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s273689" algorithmName="SHA-512" hashValue="Ndpf1zLkPIl3MhzxI2+FAqAfe26tn3vyBkfEyqHruQOiN8PSKnv6ytwBGMWrfleKRzfBNR2d7qqN/it0lUWIOA==" saltValue="wMEmGlqtrST6PRdY8kfL8w==" spinCount="100000"/>
  <workbookPr filterPrivacy="1" showInkAnnotation="0" codeName="ThisWorkbook" defaultThemeVersion="124226"/>
  <xr:revisionPtr revIDLastSave="0" documentId="8_{6D1824E4-3C89-4F3B-9E94-527A92DDAEA1}"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1" r:id="rId23"/>
    <sheet name="IMC - WS P Dep. Rates" sheetId="52" r:id="rId24"/>
    <sheet name="KGP - WS P Dep. Rates" sheetId="53" r:id="rId25"/>
    <sheet name="KPC - WS P Dep. Rates" sheetId="54" r:id="rId26"/>
    <sheet name="OPC - WS P Dep. Rates" sheetId="55" r:id="rId27"/>
    <sheet name="WPC-WS P Dep. Rates" sheetId="56" r:id="rId28"/>
    <sheet name="WS Q NITS" sheetId="32" r:id="rId29"/>
    <sheet name="WS Q Schedule 12" sheetId="47" r:id="rId30"/>
    <sheet name="WSQ Schedule 1A" sheetId="49" r:id="rId31"/>
  </sheets>
  <externalReferences>
    <externalReference r:id="rId32"/>
    <externalReference r:id="rId33"/>
    <externalReference r:id="rId34"/>
  </externalReference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7">'WPC-WS P Dep. Rates'!#REF!</definedName>
    <definedName name="_xlnm.Print_Area" localSheetId="6">'WS B-3-A'!$A$1:$N$58</definedName>
    <definedName name="_xlnm.Print_Area" localSheetId="12">'WS G  State Tax Rate'!$A$1:$H$51</definedName>
    <definedName name="_xlnm.Print_Area" localSheetId="21">'WS O - PBOP'!$A$1:$K$57</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Capital'!$A$10:$N$97</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Capital'!$A$10:$N$97</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Capital'!$A$10:$N$97</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Capital'!$A$10:$N$97</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RR'!$A$3:$O$80</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0" l="1"/>
  <c r="F38" i="57" l="1"/>
  <c r="D38" i="57"/>
  <c r="H36" i="57"/>
  <c r="L33" i="57"/>
  <c r="N33" i="57" s="1"/>
  <c r="H33" i="57"/>
  <c r="J31" i="57"/>
  <c r="J36" i="57" s="1"/>
  <c r="L36" i="57" s="1"/>
  <c r="N36" i="57" s="1"/>
  <c r="H31" i="57"/>
  <c r="F27" i="57"/>
  <c r="D24" i="57"/>
  <c r="D25" i="57" s="1"/>
  <c r="L21" i="57"/>
  <c r="N21" i="57" s="1"/>
  <c r="H21" i="57"/>
  <c r="L19" i="57"/>
  <c r="N19" i="57" s="1"/>
  <c r="H19" i="57"/>
  <c r="J17" i="57"/>
  <c r="J25" i="57" s="1"/>
  <c r="D17" i="57"/>
  <c r="A16" i="57"/>
  <c r="A17" i="57" s="1"/>
  <c r="A19" i="57" s="1"/>
  <c r="A21" i="57" s="1"/>
  <c r="A23" i="57" s="1"/>
  <c r="A24" i="57" s="1"/>
  <c r="A25" i="57" s="1"/>
  <c r="A27" i="57" s="1"/>
  <c r="A31" i="57" s="1"/>
  <c r="A33" i="57" s="1"/>
  <c r="A36" i="57" s="1"/>
  <c r="A38" i="57" s="1"/>
  <c r="D27" i="57" l="1"/>
  <c r="L25" i="57"/>
  <c r="N25" i="57" s="1"/>
  <c r="J27" i="57"/>
  <c r="H17" i="57"/>
  <c r="H25" i="57"/>
  <c r="L17" i="57"/>
  <c r="L27" i="57" s="1"/>
  <c r="J38" i="57"/>
  <c r="L31" i="57"/>
  <c r="N17" i="57" l="1"/>
  <c r="N27" i="57" s="1"/>
  <c r="L38" i="57"/>
  <c r="N31" i="57"/>
  <c r="N38" i="57" s="1"/>
  <c r="G42" i="41" l="1"/>
  <c r="E42" i="41"/>
  <c r="D42" i="41"/>
  <c r="D23" i="41"/>
  <c r="C23" i="41" l="1"/>
  <c r="C42" i="41"/>
  <c r="E23" i="41"/>
  <c r="F42" i="41"/>
  <c r="F23" i="41"/>
  <c r="F42" i="35" l="1"/>
  <c r="F23" i="35"/>
  <c r="G51" i="5" l="1"/>
  <c r="E51" i="5"/>
  <c r="A8" i="32" l="1"/>
  <c r="K91" i="6" l="1"/>
  <c r="K87" i="6"/>
  <c r="K86" i="6"/>
  <c r="K85" i="6"/>
  <c r="K82" i="6"/>
  <c r="K81" i="6"/>
  <c r="K80" i="6"/>
  <c r="K78" i="6"/>
  <c r="K77" i="6"/>
  <c r="K76" i="6"/>
  <c r="K75" i="6"/>
  <c r="K74" i="6"/>
  <c r="K73" i="6"/>
  <c r="K72" i="6"/>
  <c r="B39" i="49" l="1"/>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40" i="47" s="1"/>
  <c r="B41" i="47" s="1"/>
  <c r="B42" i="47" s="1"/>
  <c r="B43" i="47" s="1"/>
  <c r="B44" i="47" s="1"/>
  <c r="B45" i="47" s="1"/>
  <c r="B46" i="47" s="1"/>
  <c r="B47" i="47" s="1"/>
  <c r="B48" i="47" s="1"/>
  <c r="B49" i="47" s="1"/>
  <c r="B50" i="47" s="1"/>
  <c r="B36" i="47"/>
  <c r="B21" i="47"/>
  <c r="B22" i="47" s="1"/>
  <c r="B23" i="47" s="1"/>
  <c r="B24" i="47" s="1"/>
  <c r="B25" i="47" s="1"/>
  <c r="B26" i="47" s="1"/>
  <c r="B27" i="47" s="1"/>
  <c r="B28" i="47" s="1"/>
  <c r="B29" i="47" s="1"/>
  <c r="B30" i="47" s="1"/>
  <c r="B31" i="47" s="1"/>
  <c r="B32" i="47" s="1"/>
  <c r="B39" i="32"/>
  <c r="B36" i="32"/>
  <c r="B21" i="32"/>
  <c r="B40" i="32" l="1"/>
  <c r="B41" i="32" s="1"/>
  <c r="B42" i="32" s="1"/>
  <c r="B43" i="32" s="1"/>
  <c r="B44" i="32" s="1"/>
  <c r="B45" i="32" s="1"/>
  <c r="B46" i="32" s="1"/>
  <c r="B47" i="32" s="1"/>
  <c r="B48" i="32" s="1"/>
  <c r="B49" i="32" s="1"/>
  <c r="B50" i="32" s="1"/>
  <c r="B22" i="32"/>
  <c r="B23" i="32" s="1"/>
  <c r="B24" i="32" s="1"/>
  <c r="B25" i="32" s="1"/>
  <c r="B26" i="32" s="1"/>
  <c r="B27" i="32" s="1"/>
  <c r="B28" i="32" s="1"/>
  <c r="B29" i="32" s="1"/>
  <c r="B30" i="32" s="1"/>
  <c r="B31" i="32" s="1"/>
  <c r="B32" i="32" s="1"/>
  <c r="A17" i="49" l="1"/>
  <c r="A17" i="47"/>
  <c r="D8" i="47" l="1"/>
  <c r="A8" i="49"/>
  <c r="A8" i="47" l="1"/>
  <c r="K59" i="6"/>
  <c r="K55" i="6"/>
  <c r="K54" i="6"/>
  <c r="K53" i="6"/>
  <c r="K50" i="6"/>
  <c r="K49" i="6"/>
  <c r="K48" i="6"/>
  <c r="K46" i="6"/>
  <c r="K45" i="6"/>
  <c r="K44" i="6"/>
  <c r="K43" i="6"/>
  <c r="K42" i="6"/>
  <c r="K41" i="6"/>
  <c r="K40" i="6"/>
  <c r="F40" i="10" l="1"/>
  <c r="F86" i="35" l="1"/>
  <c r="O48" i="50" l="1"/>
  <c r="N48" i="50"/>
  <c r="L48" i="50"/>
  <c r="K48" i="50"/>
  <c r="J48" i="50"/>
  <c r="I48" i="50"/>
  <c r="P45" i="50"/>
  <c r="M48" i="50"/>
  <c r="P44" i="50"/>
  <c r="P40" i="50"/>
  <c r="Q39" i="50"/>
  <c r="P38" i="50"/>
  <c r="P37" i="50"/>
  <c r="Q36" i="50"/>
  <c r="Q35" i="50"/>
  <c r="P34" i="50"/>
  <c r="O29" i="50"/>
  <c r="N29" i="50"/>
  <c r="M29" i="50"/>
  <c r="L29" i="50"/>
  <c r="K29" i="50"/>
  <c r="J29" i="50"/>
  <c r="I29" i="50"/>
  <c r="P26" i="50"/>
  <c r="P25" i="50"/>
  <c r="P21" i="50"/>
  <c r="Q20" i="50"/>
  <c r="P19" i="50"/>
  <c r="P18" i="50"/>
  <c r="Q17" i="50"/>
  <c r="Q16" i="50"/>
  <c r="P15" i="50"/>
  <c r="Q14" i="50"/>
  <c r="P13" i="50"/>
  <c r="Q48" i="50" l="1"/>
  <c r="P48" i="50"/>
  <c r="Q29" i="50"/>
  <c r="P29" i="50"/>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Q39" i="51"/>
  <c r="M39" i="51"/>
  <c r="I39" i="51"/>
  <c r="E39" i="51"/>
  <c r="Q38" i="51"/>
  <c r="M38" i="51"/>
  <c r="I38" i="51"/>
  <c r="E38" i="51"/>
  <c r="Q37" i="51"/>
  <c r="M37" i="51"/>
  <c r="I37" i="51"/>
  <c r="E37" i="51"/>
  <c r="Q36" i="51"/>
  <c r="M36" i="51"/>
  <c r="I36" i="51"/>
  <c r="E36" i="51"/>
  <c r="Q35" i="51"/>
  <c r="M35" i="51"/>
  <c r="I35" i="51"/>
  <c r="E35" i="51"/>
  <c r="Q34" i="51"/>
  <c r="M34" i="51"/>
  <c r="I34" i="51"/>
  <c r="E34" i="51"/>
  <c r="Q33" i="51"/>
  <c r="M33" i="51"/>
  <c r="I33" i="51"/>
  <c r="E33" i="51"/>
  <c r="Q32" i="51"/>
  <c r="M32" i="51"/>
  <c r="I32" i="51"/>
  <c r="E32" i="51"/>
  <c r="Q31" i="51"/>
  <c r="M31" i="51"/>
  <c r="I31" i="51"/>
  <c r="E31" i="51"/>
  <c r="Q28" i="51"/>
  <c r="M28" i="51"/>
  <c r="I28" i="51"/>
  <c r="E28" i="51"/>
  <c r="Q27" i="51"/>
  <c r="M27" i="51"/>
  <c r="I27" i="51"/>
  <c r="E27" i="51"/>
  <c r="Q26" i="51"/>
  <c r="M26" i="51"/>
  <c r="I26" i="51"/>
  <c r="E26" i="51"/>
  <c r="Q25" i="51"/>
  <c r="M25" i="51"/>
  <c r="I25" i="51"/>
  <c r="E25" i="51"/>
  <c r="Q24" i="51"/>
  <c r="M24" i="51"/>
  <c r="I24" i="51"/>
  <c r="E24" i="51"/>
  <c r="Q23" i="51"/>
  <c r="M23" i="51"/>
  <c r="I23" i="51"/>
  <c r="E23" i="51"/>
  <c r="Q22" i="51"/>
  <c r="M22" i="51"/>
  <c r="I22" i="51"/>
  <c r="E22" i="51"/>
  <c r="I21" i="51"/>
  <c r="S21" i="51" s="1"/>
  <c r="E20" i="51"/>
  <c r="S20" i="51" s="1"/>
  <c r="K24" i="52" l="1"/>
  <c r="K35" i="52"/>
  <c r="K39" i="52"/>
  <c r="K20" i="52"/>
  <c r="K31" i="52"/>
  <c r="K22" i="52"/>
  <c r="K26" i="52"/>
  <c r="K33" i="52"/>
  <c r="K37" i="52"/>
  <c r="S23" i="51"/>
  <c r="S25" i="51"/>
  <c r="S27" i="51"/>
  <c r="S31" i="51"/>
  <c r="S33" i="51"/>
  <c r="S35" i="51"/>
  <c r="S37" i="51"/>
  <c r="S39" i="51"/>
  <c r="K21" i="52"/>
  <c r="K25" i="52"/>
  <c r="K32" i="52"/>
  <c r="K36" i="52"/>
  <c r="S22" i="51"/>
  <c r="S24" i="51"/>
  <c r="S26" i="51"/>
  <c r="S28" i="51"/>
  <c r="S32" i="51"/>
  <c r="S34" i="51"/>
  <c r="S36" i="51"/>
  <c r="S38" i="51"/>
  <c r="K19" i="52"/>
  <c r="K23" i="52"/>
  <c r="K27" i="52"/>
  <c r="K34" i="52"/>
  <c r="K38" i="52"/>
  <c r="D74" i="41"/>
  <c r="E71" i="41"/>
  <c r="E68" i="41"/>
  <c r="E67" i="41"/>
  <c r="E88" i="35"/>
  <c r="D88" i="35"/>
  <c r="E20" i="48"/>
  <c r="L18" i="2"/>
  <c r="G207" i="2"/>
  <c r="L207" i="2" s="1"/>
  <c r="L237" i="2"/>
  <c r="D1349" i="20"/>
  <c r="C1349" i="20"/>
  <c r="C1350" i="20" s="1"/>
  <c r="C1351" i="20" s="1"/>
  <c r="C1352" i="20" s="1"/>
  <c r="C1353" i="20" s="1"/>
  <c r="C1354" i="20" s="1"/>
  <c r="C1355" i="20" s="1"/>
  <c r="C1356" i="20" s="1"/>
  <c r="C1357" i="20" s="1"/>
  <c r="C1358" i="20" s="1"/>
  <c r="C1359" i="20" s="1"/>
  <c r="C1360" i="20" s="1"/>
  <c r="C1361" i="20" s="1"/>
  <c r="C1362" i="20" s="1"/>
  <c r="C1363" i="20" s="1"/>
  <c r="C1364" i="20" s="1"/>
  <c r="C1365" i="20" s="1"/>
  <c r="C1366" i="20" s="1"/>
  <c r="C1367" i="20" s="1"/>
  <c r="C1368" i="20" s="1"/>
  <c r="C1369" i="20" s="1"/>
  <c r="C1370" i="20" s="1"/>
  <c r="C1371" i="20" s="1"/>
  <c r="C1372" i="20" s="1"/>
  <c r="C1373" i="20" s="1"/>
  <c r="C1374" i="20" s="1"/>
  <c r="C1375" i="20" s="1"/>
  <c r="C1376" i="20" s="1"/>
  <c r="C1377" i="20" s="1"/>
  <c r="C1378" i="20" s="1"/>
  <c r="C1379" i="20" s="1"/>
  <c r="C1380" i="20" s="1"/>
  <c r="C1381" i="20" s="1"/>
  <c r="C1382" i="20" s="1"/>
  <c r="C1383" i="20" s="1"/>
  <c r="C1384" i="20" s="1"/>
  <c r="C1385" i="20" s="1"/>
  <c r="C1386" i="20" s="1"/>
  <c r="C1387" i="20" s="1"/>
  <c r="C1388" i="20" s="1"/>
  <c r="C1389" i="20" s="1"/>
  <c r="C1390" i="20" s="1"/>
  <c r="C1391" i="20" s="1"/>
  <c r="C1392" i="20" s="1"/>
  <c r="C1393" i="20" s="1"/>
  <c r="C1394" i="20" s="1"/>
  <c r="C1395" i="20" s="1"/>
  <c r="C1396" i="20" s="1"/>
  <c r="C1397" i="20" s="1"/>
  <c r="C1398" i="20" s="1"/>
  <c r="C1399" i="20" s="1"/>
  <c r="C1400" i="20" s="1"/>
  <c r="C1401" i="20" s="1"/>
  <c r="C1402" i="20" s="1"/>
  <c r="C1403" i="20" s="1"/>
  <c r="C1404" i="20" s="1"/>
  <c r="C1405" i="20" s="1"/>
  <c r="C1406" i="20" s="1"/>
  <c r="C1407" i="20" s="1"/>
  <c r="C1408" i="20" s="1"/>
  <c r="K1344" i="20"/>
  <c r="I1343" i="20"/>
  <c r="O1330" i="20"/>
  <c r="N1330" i="20"/>
  <c r="G19" i="41"/>
  <c r="E56" i="9"/>
  <c r="E57" i="9"/>
  <c r="E58" i="9"/>
  <c r="E59" i="9"/>
  <c r="E60" i="9"/>
  <c r="L173" i="2"/>
  <c r="L172" i="2"/>
  <c r="G160" i="2"/>
  <c r="G44" i="48"/>
  <c r="E72" i="41"/>
  <c r="B10" i="49"/>
  <c r="F10" i="49"/>
  <c r="G22" i="49"/>
  <c r="G23" i="49" s="1"/>
  <c r="G24" i="49" s="1"/>
  <c r="G25" i="49" s="1"/>
  <c r="G26" i="49" s="1"/>
  <c r="G27" i="49" s="1"/>
  <c r="G28" i="49" s="1"/>
  <c r="G29" i="49" s="1"/>
  <c r="G30" i="49" s="1"/>
  <c r="G31" i="49" s="1"/>
  <c r="G32" i="49" s="1"/>
  <c r="B10" i="47"/>
  <c r="F10" i="47"/>
  <c r="G22" i="47"/>
  <c r="G23" i="47" s="1"/>
  <c r="G24" i="47" s="1"/>
  <c r="G25" i="47" s="1"/>
  <c r="G26" i="47" s="1"/>
  <c r="G27" i="47" s="1"/>
  <c r="G28" i="47" s="1"/>
  <c r="G29" i="47" s="1"/>
  <c r="G30" i="47" s="1"/>
  <c r="G31" i="47" s="1"/>
  <c r="G32" i="47" s="1"/>
  <c r="B10" i="32"/>
  <c r="F10" i="32"/>
  <c r="G22" i="32"/>
  <c r="G23" i="32" s="1"/>
  <c r="G24" i="32" s="1"/>
  <c r="G25" i="32" s="1"/>
  <c r="G26" i="32" s="1"/>
  <c r="G27" i="32" s="1"/>
  <c r="G28" i="32" s="1"/>
  <c r="G29" i="32" s="1"/>
  <c r="G30" i="32" s="1"/>
  <c r="G31" i="32" s="1"/>
  <c r="G32" i="32" s="1"/>
  <c r="A4" i="48"/>
  <c r="A6" i="48"/>
  <c r="B14" i="48"/>
  <c r="F17" i="48"/>
  <c r="A23" i="48"/>
  <c r="A24" i="48" s="1"/>
  <c r="A25" i="48" s="1"/>
  <c r="A26" i="48" s="1"/>
  <c r="A27" i="48" s="1"/>
  <c r="K41" i="48"/>
  <c r="A4" i="21"/>
  <c r="A6" i="21"/>
  <c r="O17" i="21"/>
  <c r="Q17" i="21"/>
  <c r="A22" i="21"/>
  <c r="A27" i="21" s="1"/>
  <c r="A33" i="21" s="1"/>
  <c r="D209" i="2" s="1"/>
  <c r="O22" i="21"/>
  <c r="Q22" i="21"/>
  <c r="O27" i="21"/>
  <c r="Q27" i="21"/>
  <c r="K33" i="21"/>
  <c r="A2" i="41"/>
  <c r="A4" i="41"/>
  <c r="A11" i="41"/>
  <c r="A12" i="41" s="1"/>
  <c r="A13" i="41" s="1"/>
  <c r="A14" i="41" s="1"/>
  <c r="A15" i="41" s="1"/>
  <c r="A16" i="41" s="1"/>
  <c r="A17" i="41" s="1"/>
  <c r="A18" i="41" s="1"/>
  <c r="A19" i="41" s="1"/>
  <c r="A20" i="41" s="1"/>
  <c r="A21" i="41" s="1"/>
  <c r="A22" i="41" s="1"/>
  <c r="A23" i="41" s="1"/>
  <c r="E248" i="2" s="1"/>
  <c r="L249" i="2"/>
  <c r="G256" i="2" s="1"/>
  <c r="J256" i="2" s="1"/>
  <c r="B48" i="41"/>
  <c r="C63" i="41"/>
  <c r="B85" i="41"/>
  <c r="B86" i="41"/>
  <c r="B87" i="41"/>
  <c r="E88" i="41"/>
  <c r="E89" i="41"/>
  <c r="B91" i="41"/>
  <c r="B92" i="41"/>
  <c r="B93" i="41"/>
  <c r="E94" i="41"/>
  <c r="E95" i="41"/>
  <c r="B97" i="41"/>
  <c r="B98" i="41"/>
  <c r="B99" i="41"/>
  <c r="C100" i="41"/>
  <c r="C101" i="41" s="1"/>
  <c r="D100" i="41"/>
  <c r="D101" i="41" s="1"/>
  <c r="D104" i="41" s="1"/>
  <c r="B4" i="14"/>
  <c r="B6" i="14"/>
  <c r="A4" i="13"/>
  <c r="A6" i="13"/>
  <c r="O8" i="13"/>
  <c r="P8" i="13"/>
  <c r="C11" i="13"/>
  <c r="C14" i="13"/>
  <c r="F16" i="13"/>
  <c r="F18" i="13" s="1"/>
  <c r="E23" i="13" s="1"/>
  <c r="C18" i="13"/>
  <c r="M20" i="13"/>
  <c r="M23" i="13"/>
  <c r="C26" i="13"/>
  <c r="C32" i="13"/>
  <c r="C42" i="13"/>
  <c r="C43" i="13"/>
  <c r="C53" i="13"/>
  <c r="C55" i="13"/>
  <c r="C58" i="13"/>
  <c r="C60" i="13"/>
  <c r="C62" i="13"/>
  <c r="C65" i="13"/>
  <c r="C66" i="13"/>
  <c r="C68" i="13"/>
  <c r="C69" i="13"/>
  <c r="C71" i="13"/>
  <c r="O83" i="13"/>
  <c r="P83" i="13"/>
  <c r="L89" i="13"/>
  <c r="L97" i="13"/>
  <c r="J99" i="13"/>
  <c r="E102" i="13" s="1"/>
  <c r="C102" i="13"/>
  <c r="D102" i="13"/>
  <c r="M102" i="13"/>
  <c r="O102" i="13"/>
  <c r="C103" i="13"/>
  <c r="M103" i="13"/>
  <c r="O103" i="13"/>
  <c r="C104" i="13"/>
  <c r="M104" i="13"/>
  <c r="O104" i="13"/>
  <c r="C105" i="13"/>
  <c r="M105" i="13"/>
  <c r="O105" i="13"/>
  <c r="C106" i="13"/>
  <c r="M106" i="13"/>
  <c r="O106" i="13"/>
  <c r="C107" i="13"/>
  <c r="M107" i="13"/>
  <c r="O107" i="13"/>
  <c r="C108" i="13"/>
  <c r="M108" i="13"/>
  <c r="O108" i="13"/>
  <c r="C109" i="13"/>
  <c r="M109" i="13"/>
  <c r="O109" i="13"/>
  <c r="C110" i="13"/>
  <c r="M110" i="13"/>
  <c r="O110" i="13"/>
  <c r="C111" i="13"/>
  <c r="M111" i="13"/>
  <c r="O111" i="13"/>
  <c r="C112" i="13"/>
  <c r="M112" i="13"/>
  <c r="O112" i="13"/>
  <c r="C113" i="13"/>
  <c r="M113" i="13"/>
  <c r="O113" i="13"/>
  <c r="C114" i="13"/>
  <c r="M114" i="13"/>
  <c r="O114" i="13"/>
  <c r="C115" i="13"/>
  <c r="M115" i="13"/>
  <c r="O115" i="13"/>
  <c r="C116" i="13"/>
  <c r="M116" i="13"/>
  <c r="O116" i="13"/>
  <c r="C117" i="13"/>
  <c r="M117" i="13"/>
  <c r="O117" i="13"/>
  <c r="C118" i="13"/>
  <c r="M118" i="13"/>
  <c r="O118" i="13"/>
  <c r="C119" i="13"/>
  <c r="M119" i="13"/>
  <c r="O119" i="13"/>
  <c r="C120" i="13"/>
  <c r="M120" i="13"/>
  <c r="O120" i="13"/>
  <c r="C121" i="13"/>
  <c r="M121" i="13"/>
  <c r="O121" i="13"/>
  <c r="C122" i="13"/>
  <c r="M122" i="13"/>
  <c r="O122" i="13"/>
  <c r="C123" i="13"/>
  <c r="M123" i="13"/>
  <c r="O123" i="13"/>
  <c r="C124" i="13"/>
  <c r="M124" i="13"/>
  <c r="O124" i="13"/>
  <c r="C125" i="13"/>
  <c r="M125" i="13"/>
  <c r="O125" i="13"/>
  <c r="C126" i="13"/>
  <c r="M126" i="13"/>
  <c r="O126" i="13"/>
  <c r="C127" i="13"/>
  <c r="M127" i="13"/>
  <c r="O127" i="13"/>
  <c r="C128" i="13"/>
  <c r="M128" i="13"/>
  <c r="O128" i="13"/>
  <c r="C129" i="13"/>
  <c r="M129" i="13"/>
  <c r="O129" i="13"/>
  <c r="C130" i="13"/>
  <c r="M130" i="13"/>
  <c r="O130" i="13"/>
  <c r="C131" i="13"/>
  <c r="M131" i="13"/>
  <c r="O131" i="13"/>
  <c r="C132" i="13"/>
  <c r="M132" i="13"/>
  <c r="O132" i="13"/>
  <c r="C133" i="13"/>
  <c r="M133" i="13"/>
  <c r="O133" i="13"/>
  <c r="C134" i="13"/>
  <c r="M134" i="13"/>
  <c r="O134" i="13"/>
  <c r="C135" i="13"/>
  <c r="M135" i="13"/>
  <c r="O135" i="13"/>
  <c r="C136" i="13"/>
  <c r="M136" i="13"/>
  <c r="O136" i="13"/>
  <c r="C137" i="13"/>
  <c r="M137" i="13"/>
  <c r="O137" i="13"/>
  <c r="C138" i="13"/>
  <c r="M138" i="13"/>
  <c r="O138" i="13"/>
  <c r="C139" i="13"/>
  <c r="M139" i="13"/>
  <c r="O139" i="13"/>
  <c r="C140" i="13"/>
  <c r="M140" i="13"/>
  <c r="O140" i="13"/>
  <c r="C141" i="13"/>
  <c r="M141" i="13"/>
  <c r="O141" i="13"/>
  <c r="C142" i="13"/>
  <c r="M142" i="13"/>
  <c r="O142" i="13"/>
  <c r="C143" i="13"/>
  <c r="M143" i="13"/>
  <c r="O143" i="13"/>
  <c r="C144" i="13"/>
  <c r="M144" i="13"/>
  <c r="O144" i="13"/>
  <c r="C145" i="13"/>
  <c r="M145" i="13"/>
  <c r="O145" i="13"/>
  <c r="C146" i="13"/>
  <c r="M146" i="13"/>
  <c r="O146" i="13"/>
  <c r="C147" i="13"/>
  <c r="M147" i="13"/>
  <c r="O147" i="13"/>
  <c r="C148" i="13"/>
  <c r="M148" i="13"/>
  <c r="O148" i="13"/>
  <c r="C149" i="13"/>
  <c r="M149" i="13"/>
  <c r="O149" i="13"/>
  <c r="C150" i="13"/>
  <c r="M150" i="13"/>
  <c r="O150" i="13"/>
  <c r="C151" i="13"/>
  <c r="M151" i="13"/>
  <c r="O151" i="13"/>
  <c r="C152" i="13"/>
  <c r="M152" i="13"/>
  <c r="O152" i="13"/>
  <c r="C153" i="13"/>
  <c r="M153" i="13"/>
  <c r="O153" i="13"/>
  <c r="C154" i="13"/>
  <c r="M154" i="13"/>
  <c r="O154" i="13"/>
  <c r="C155" i="13"/>
  <c r="M155" i="13"/>
  <c r="O155" i="13"/>
  <c r="C156" i="13"/>
  <c r="M156" i="13"/>
  <c r="O156" i="13"/>
  <c r="C157" i="13"/>
  <c r="M157" i="13"/>
  <c r="O157" i="13"/>
  <c r="C158" i="13"/>
  <c r="M158" i="13"/>
  <c r="O158" i="13"/>
  <c r="C159" i="13"/>
  <c r="M159" i="13"/>
  <c r="O159" i="13"/>
  <c r="C160" i="13"/>
  <c r="M160" i="13"/>
  <c r="O160" i="13"/>
  <c r="C161" i="13"/>
  <c r="M161" i="13"/>
  <c r="O161" i="13"/>
  <c r="A4" i="20"/>
  <c r="A6" i="20"/>
  <c r="N8" i="20"/>
  <c r="O8" i="20"/>
  <c r="C11" i="20"/>
  <c r="C14" i="20"/>
  <c r="F16" i="20"/>
  <c r="F18" i="20" s="1"/>
  <c r="E23" i="20" s="1"/>
  <c r="C18" i="20"/>
  <c r="C26" i="20"/>
  <c r="L26" i="20"/>
  <c r="I1253" i="20" s="1"/>
  <c r="C32" i="20"/>
  <c r="C42" i="20"/>
  <c r="C43" i="20"/>
  <c r="C53" i="20"/>
  <c r="C55" i="20"/>
  <c r="C58" i="20"/>
  <c r="C60" i="20"/>
  <c r="C62" i="20"/>
  <c r="C65" i="20"/>
  <c r="C66" i="20"/>
  <c r="C68" i="20"/>
  <c r="C69" i="20"/>
  <c r="C71" i="20"/>
  <c r="N83" i="20"/>
  <c r="O83" i="20"/>
  <c r="I96" i="20"/>
  <c r="K97" i="20"/>
  <c r="C102" i="20"/>
  <c r="C103" i="20" s="1"/>
  <c r="C104" i="20" s="1"/>
  <c r="C105" i="20" s="1"/>
  <c r="C106" i="20" s="1"/>
  <c r="C107" i="20" s="1"/>
  <c r="C108" i="20" s="1"/>
  <c r="C109" i="20" s="1"/>
  <c r="C110" i="20" s="1"/>
  <c r="C111" i="20" s="1"/>
  <c r="C112" i="20" s="1"/>
  <c r="D102" i="20"/>
  <c r="N173" i="20"/>
  <c r="O173" i="20"/>
  <c r="I186" i="20"/>
  <c r="K187" i="20"/>
  <c r="C192" i="20"/>
  <c r="C193" i="20" s="1"/>
  <c r="C194" i="20" s="1"/>
  <c r="C195" i="20" s="1"/>
  <c r="C196" i="20" s="1"/>
  <c r="C197" i="20" s="1"/>
  <c r="C198" i="20" s="1"/>
  <c r="C199" i="20" s="1"/>
  <c r="C200" i="20" s="1"/>
  <c r="C201" i="20" s="1"/>
  <c r="C202" i="20" s="1"/>
  <c r="D192" i="20"/>
  <c r="N262" i="20"/>
  <c r="O262" i="20"/>
  <c r="I275" i="20"/>
  <c r="K276" i="20"/>
  <c r="C281" i="20"/>
  <c r="C282" i="20" s="1"/>
  <c r="C283" i="20" s="1"/>
  <c r="C284" i="20" s="1"/>
  <c r="C285" i="20" s="1"/>
  <c r="D281" i="20"/>
  <c r="N351" i="20"/>
  <c r="O351" i="20"/>
  <c r="I364" i="20"/>
  <c r="K365" i="20"/>
  <c r="C370" i="20"/>
  <c r="C371" i="20" s="1"/>
  <c r="C372" i="20" s="1"/>
  <c r="C373" i="20" s="1"/>
  <c r="C374" i="20" s="1"/>
  <c r="D370" i="20"/>
  <c r="I386" i="20"/>
  <c r="N440" i="20"/>
  <c r="O440" i="20"/>
  <c r="I453" i="20"/>
  <c r="K454" i="20"/>
  <c r="C459" i="20"/>
  <c r="C460" i="20" s="1"/>
  <c r="C461" i="20" s="1"/>
  <c r="C462" i="20" s="1"/>
  <c r="C463" i="20" s="1"/>
  <c r="C464" i="20" s="1"/>
  <c r="C465" i="20" s="1"/>
  <c r="D459" i="20"/>
  <c r="N529" i="20"/>
  <c r="O529" i="20"/>
  <c r="I542" i="20"/>
  <c r="K543" i="20"/>
  <c r="C548" i="20"/>
  <c r="C549" i="20" s="1"/>
  <c r="C550" i="20" s="1"/>
  <c r="C551" i="20" s="1"/>
  <c r="C552" i="20" s="1"/>
  <c r="C553" i="20" s="1"/>
  <c r="D548" i="20"/>
  <c r="N618" i="20"/>
  <c r="O618" i="20"/>
  <c r="I631" i="20"/>
  <c r="K632" i="20"/>
  <c r="C637" i="20"/>
  <c r="C638" i="20" s="1"/>
  <c r="C639" i="20" s="1"/>
  <c r="C640" i="20" s="1"/>
  <c r="C641" i="20" s="1"/>
  <c r="C642" i="20" s="1"/>
  <c r="D637" i="20"/>
  <c r="N707" i="20"/>
  <c r="O707" i="20"/>
  <c r="I720" i="20"/>
  <c r="K721" i="20"/>
  <c r="C726" i="20"/>
  <c r="C727" i="20" s="1"/>
  <c r="C728" i="20" s="1"/>
  <c r="C729" i="20" s="1"/>
  <c r="C730" i="20" s="1"/>
  <c r="C731" i="20" s="1"/>
  <c r="C732" i="20" s="1"/>
  <c r="D726" i="20"/>
  <c r="N796" i="20"/>
  <c r="O796" i="20"/>
  <c r="I809" i="20"/>
  <c r="K810" i="20"/>
  <c r="C815" i="20"/>
  <c r="C816" i="20" s="1"/>
  <c r="C817" i="20" s="1"/>
  <c r="C818" i="20" s="1"/>
  <c r="C819" i="20" s="1"/>
  <c r="D815" i="20"/>
  <c r="N885" i="20"/>
  <c r="O885" i="20"/>
  <c r="I898" i="20"/>
  <c r="K899" i="20"/>
  <c r="C904" i="20"/>
  <c r="C905" i="20" s="1"/>
  <c r="C906" i="20" s="1"/>
  <c r="C907" i="20" s="1"/>
  <c r="C908" i="20" s="1"/>
  <c r="C909" i="20" s="1"/>
  <c r="D904" i="20"/>
  <c r="N974" i="20"/>
  <c r="O974" i="20"/>
  <c r="I987" i="20"/>
  <c r="K988" i="20"/>
  <c r="C993" i="20"/>
  <c r="C994" i="20" s="1"/>
  <c r="C995" i="20" s="1"/>
  <c r="C996" i="20" s="1"/>
  <c r="C997" i="20" s="1"/>
  <c r="D993" i="20"/>
  <c r="N1063" i="20"/>
  <c r="O1063" i="20"/>
  <c r="I1076" i="20"/>
  <c r="K1077" i="20"/>
  <c r="C1082" i="20"/>
  <c r="C1083" i="20" s="1"/>
  <c r="C1084" i="20" s="1"/>
  <c r="C1085" i="20" s="1"/>
  <c r="C1086" i="20" s="1"/>
  <c r="D1082" i="20"/>
  <c r="N1152" i="20"/>
  <c r="O1152" i="20"/>
  <c r="I1165" i="20"/>
  <c r="K1166" i="20"/>
  <c r="C1171" i="20"/>
  <c r="C1172" i="20" s="1"/>
  <c r="C1173" i="20" s="1"/>
  <c r="C1174" i="20" s="1"/>
  <c r="D1171" i="20"/>
  <c r="N1241" i="20"/>
  <c r="O1241" i="20"/>
  <c r="I1254" i="20"/>
  <c r="K1255" i="20"/>
  <c r="C1260" i="20"/>
  <c r="C1261" i="20" s="1"/>
  <c r="C1262" i="20" s="1"/>
  <c r="C1263" i="20" s="1"/>
  <c r="C1264" i="20" s="1"/>
  <c r="C1265" i="20" s="1"/>
  <c r="D1260" i="20"/>
  <c r="A4" i="12"/>
  <c r="A6" i="12"/>
  <c r="A4" i="30"/>
  <c r="A6" i="30"/>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I29" i="30"/>
  <c r="I30" i="30"/>
  <c r="I31" i="30"/>
  <c r="I32" i="30"/>
  <c r="I35" i="30"/>
  <c r="I36" i="30"/>
  <c r="I37" i="30"/>
  <c r="I38" i="30"/>
  <c r="I39" i="30"/>
  <c r="I40" i="30"/>
  <c r="I41" i="30"/>
  <c r="I42" i="30"/>
  <c r="I46" i="30"/>
  <c r="I47" i="30"/>
  <c r="I48" i="30"/>
  <c r="I49" i="30"/>
  <c r="I52" i="30"/>
  <c r="I53" i="30"/>
  <c r="E71" i="30"/>
  <c r="E31" i="11" s="1"/>
  <c r="M31" i="11" s="1"/>
  <c r="A4" i="11"/>
  <c r="A6" i="1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5" i="2" s="1"/>
  <c r="C50" i="11"/>
  <c r="M54" i="11"/>
  <c r="C61" i="11"/>
  <c r="M65" i="11"/>
  <c r="A4" i="10"/>
  <c r="A6" i="10"/>
  <c r="F11" i="10"/>
  <c r="F19" i="10"/>
  <c r="F23" i="10"/>
  <c r="F28" i="10"/>
  <c r="F32" i="10"/>
  <c r="F36" i="10"/>
  <c r="A4" i="9"/>
  <c r="A6" i="9"/>
  <c r="D12" i="9"/>
  <c r="A24" i="9"/>
  <c r="A25" i="9" s="1"/>
  <c r="A26" i="9" s="1"/>
  <c r="A27" i="9" s="1"/>
  <c r="A28" i="9" s="1"/>
  <c r="A29" i="9" s="1"/>
  <c r="A30" i="9" s="1"/>
  <c r="A31" i="9" s="1"/>
  <c r="A32" i="9" s="1"/>
  <c r="A33" i="9" s="1"/>
  <c r="A36" i="9" s="1"/>
  <c r="A37" i="9" s="1"/>
  <c r="A38" i="9" s="1"/>
  <c r="A4" i="8"/>
  <c r="A6" i="8"/>
  <c r="B36" i="8" s="1"/>
  <c r="A15" i="8"/>
  <c r="A17" i="8" s="1"/>
  <c r="A19" i="8" s="1"/>
  <c r="A21" i="8" s="1"/>
  <c r="A27" i="8" s="1"/>
  <c r="A29" i="8" s="1"/>
  <c r="A31" i="8" s="1"/>
  <c r="A39" i="8" s="1"/>
  <c r="J29" i="8"/>
  <c r="A4" i="7"/>
  <c r="A6" i="7"/>
  <c r="B26" i="7" s="1"/>
  <c r="C9" i="7"/>
  <c r="B11" i="7"/>
  <c r="A15" i="7"/>
  <c r="A17" i="7" s="1"/>
  <c r="A18" i="7" s="1"/>
  <c r="A19" i="7" s="1"/>
  <c r="A21" i="7" s="1"/>
  <c r="B21" i="7"/>
  <c r="A3" i="6"/>
  <c r="A3" i="7" s="1"/>
  <c r="A4" i="6"/>
  <c r="A6" i="6"/>
  <c r="E12" i="6"/>
  <c r="G12" i="6"/>
  <c r="I12" i="6"/>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9"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I21" i="6"/>
  <c r="G116" i="2" s="1"/>
  <c r="C29" i="6"/>
  <c r="C30" i="6"/>
  <c r="D36" i="6"/>
  <c r="B34" i="6" s="1"/>
  <c r="G63" i="6"/>
  <c r="G29" i="6" s="1"/>
  <c r="D68" i="6"/>
  <c r="B66" i="6" s="1"/>
  <c r="G96" i="6"/>
  <c r="G30" i="6" s="1"/>
  <c r="G31" i="6" s="1"/>
  <c r="G119" i="2" s="1"/>
  <c r="L119" i="2" s="1"/>
  <c r="B1" i="39"/>
  <c r="B3" i="39"/>
  <c r="M10" i="39"/>
  <c r="Q10" i="39"/>
  <c r="C13" i="39"/>
  <c r="D13" i="39"/>
  <c r="E13" i="39"/>
  <c r="F13" i="39"/>
  <c r="C17" i="39"/>
  <c r="D17" i="39"/>
  <c r="I17" i="39"/>
  <c r="J17" i="39"/>
  <c r="K17" i="39"/>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C18" i="39"/>
  <c r="D18" i="39"/>
  <c r="I18" i="39"/>
  <c r="J18" i="39"/>
  <c r="K18" i="39"/>
  <c r="C19" i="39"/>
  <c r="D19" i="39"/>
  <c r="I19" i="39"/>
  <c r="J19" i="39"/>
  <c r="K19" i="39"/>
  <c r="C20" i="39"/>
  <c r="D20" i="39"/>
  <c r="I20" i="39"/>
  <c r="J20" i="39"/>
  <c r="K20" i="39"/>
  <c r="C21" i="39"/>
  <c r="D21" i="39"/>
  <c r="I21" i="39"/>
  <c r="J21" i="39"/>
  <c r="K21" i="39"/>
  <c r="C22" i="39"/>
  <c r="D22" i="39"/>
  <c r="I22" i="39"/>
  <c r="J22" i="39"/>
  <c r="K22" i="39"/>
  <c r="C23" i="39"/>
  <c r="D23" i="39"/>
  <c r="I23" i="39"/>
  <c r="J23" i="39"/>
  <c r="K23" i="39"/>
  <c r="C24" i="39"/>
  <c r="D24" i="39"/>
  <c r="I24" i="39"/>
  <c r="J24" i="39"/>
  <c r="K24" i="39"/>
  <c r="C25" i="39"/>
  <c r="D25" i="39"/>
  <c r="I25" i="39"/>
  <c r="J25" i="39"/>
  <c r="K25" i="39"/>
  <c r="C26" i="39"/>
  <c r="D26" i="39"/>
  <c r="I26" i="39"/>
  <c r="J26" i="39"/>
  <c r="K26" i="39"/>
  <c r="C27" i="39"/>
  <c r="D27" i="39"/>
  <c r="I27" i="39"/>
  <c r="J27" i="39"/>
  <c r="K27" i="39"/>
  <c r="C28" i="39"/>
  <c r="D28" i="39"/>
  <c r="I28" i="39"/>
  <c r="J28" i="39"/>
  <c r="K28" i="39"/>
  <c r="C29" i="39"/>
  <c r="D29" i="39"/>
  <c r="I29" i="39"/>
  <c r="J29" i="39"/>
  <c r="K29" i="39"/>
  <c r="C30" i="39"/>
  <c r="D30" i="39"/>
  <c r="I30" i="39"/>
  <c r="J30" i="39"/>
  <c r="K30" i="39"/>
  <c r="C31" i="39"/>
  <c r="D31" i="39"/>
  <c r="I31" i="39"/>
  <c r="J31" i="39"/>
  <c r="K31" i="39"/>
  <c r="C32" i="39"/>
  <c r="D32" i="39"/>
  <c r="I32" i="39"/>
  <c r="J32" i="39"/>
  <c r="K32" i="39"/>
  <c r="C33" i="39"/>
  <c r="D33" i="39"/>
  <c r="I33" i="39"/>
  <c r="J33" i="39"/>
  <c r="K33" i="39"/>
  <c r="C34" i="39"/>
  <c r="D34" i="39"/>
  <c r="I34" i="39"/>
  <c r="J34" i="39"/>
  <c r="K34" i="39"/>
  <c r="C35" i="39"/>
  <c r="D35" i="39"/>
  <c r="I35" i="39"/>
  <c r="J35" i="39"/>
  <c r="K35" i="39"/>
  <c r="C36" i="39"/>
  <c r="D36" i="39"/>
  <c r="I36" i="39"/>
  <c r="J36" i="39"/>
  <c r="K36" i="39"/>
  <c r="C37" i="39"/>
  <c r="D37" i="39"/>
  <c r="I37" i="39"/>
  <c r="J37" i="39"/>
  <c r="K37" i="39"/>
  <c r="C38" i="39"/>
  <c r="D38" i="39"/>
  <c r="I38" i="39"/>
  <c r="J38" i="39"/>
  <c r="K38" i="39"/>
  <c r="C39" i="39"/>
  <c r="D39" i="39"/>
  <c r="I39" i="39"/>
  <c r="J39" i="39"/>
  <c r="K39" i="39"/>
  <c r="C40" i="39"/>
  <c r="D40" i="39"/>
  <c r="I40" i="39"/>
  <c r="J40" i="39"/>
  <c r="K40" i="39"/>
  <c r="C41" i="39"/>
  <c r="D41" i="39"/>
  <c r="I41" i="39"/>
  <c r="J41" i="39"/>
  <c r="K41" i="39"/>
  <c r="C42" i="39"/>
  <c r="D42" i="39"/>
  <c r="I42" i="39"/>
  <c r="J42" i="39"/>
  <c r="K42" i="39"/>
  <c r="C43" i="39"/>
  <c r="D43" i="39"/>
  <c r="I43" i="39"/>
  <c r="J43" i="39"/>
  <c r="K43" i="39"/>
  <c r="C44" i="39"/>
  <c r="D44" i="39"/>
  <c r="I44" i="39"/>
  <c r="J44" i="39"/>
  <c r="K44" i="39"/>
  <c r="C45" i="39"/>
  <c r="D45" i="39"/>
  <c r="I45" i="39"/>
  <c r="J45" i="39"/>
  <c r="K45" i="39"/>
  <c r="C46" i="39"/>
  <c r="D46" i="39"/>
  <c r="I46" i="39"/>
  <c r="J46" i="39"/>
  <c r="K46" i="39"/>
  <c r="C47" i="39"/>
  <c r="D47" i="39"/>
  <c r="I47" i="39"/>
  <c r="J47" i="39"/>
  <c r="K47" i="39"/>
  <c r="C48" i="39"/>
  <c r="D48" i="39"/>
  <c r="I48" i="39"/>
  <c r="J48" i="39"/>
  <c r="K48" i="39"/>
  <c r="C49" i="39"/>
  <c r="D49" i="39"/>
  <c r="I49" i="39"/>
  <c r="J49" i="39"/>
  <c r="K49" i="39"/>
  <c r="C50" i="39"/>
  <c r="D50" i="39"/>
  <c r="I50" i="39"/>
  <c r="J50" i="39"/>
  <c r="K50" i="39"/>
  <c r="C51" i="39"/>
  <c r="D51" i="39"/>
  <c r="I51" i="39"/>
  <c r="J51" i="39"/>
  <c r="K51" i="39"/>
  <c r="C52" i="39"/>
  <c r="D52" i="39"/>
  <c r="I52" i="39"/>
  <c r="J52" i="39"/>
  <c r="K52" i="39"/>
  <c r="C53" i="39"/>
  <c r="D53" i="39"/>
  <c r="I53" i="39"/>
  <c r="J53" i="39"/>
  <c r="K53" i="39"/>
  <c r="C54" i="39"/>
  <c r="D54" i="39"/>
  <c r="I54" i="39"/>
  <c r="J54" i="39"/>
  <c r="K54" i="39"/>
  <c r="C55" i="39"/>
  <c r="D55" i="39"/>
  <c r="I55" i="39"/>
  <c r="J55" i="39"/>
  <c r="K55" i="39"/>
  <c r="C56" i="39"/>
  <c r="D56" i="39"/>
  <c r="I56" i="39"/>
  <c r="J56" i="39"/>
  <c r="K56" i="39"/>
  <c r="C57" i="39"/>
  <c r="D57" i="39"/>
  <c r="I57" i="39"/>
  <c r="J57" i="39"/>
  <c r="K57" i="39"/>
  <c r="C58" i="39"/>
  <c r="D58" i="39"/>
  <c r="I58" i="39"/>
  <c r="J58" i="39"/>
  <c r="K58" i="39"/>
  <c r="C59" i="39"/>
  <c r="D59" i="39"/>
  <c r="I59" i="39"/>
  <c r="J59" i="39"/>
  <c r="K59" i="39"/>
  <c r="C60" i="39"/>
  <c r="D60" i="39"/>
  <c r="I60" i="39"/>
  <c r="J60" i="39"/>
  <c r="K60" i="39"/>
  <c r="C61" i="39"/>
  <c r="D61" i="39"/>
  <c r="I61" i="39"/>
  <c r="J61" i="39"/>
  <c r="K61" i="39"/>
  <c r="C62" i="39"/>
  <c r="D62" i="39"/>
  <c r="I62" i="39"/>
  <c r="J62" i="39"/>
  <c r="K62" i="39"/>
  <c r="C63" i="39"/>
  <c r="D63" i="39"/>
  <c r="I63" i="39"/>
  <c r="J63" i="39"/>
  <c r="K63" i="39"/>
  <c r="C64" i="39"/>
  <c r="D64" i="39"/>
  <c r="I64" i="39"/>
  <c r="J64" i="39"/>
  <c r="K64" i="39"/>
  <c r="C65" i="39"/>
  <c r="D65" i="39"/>
  <c r="I65" i="39"/>
  <c r="J65" i="39"/>
  <c r="K65" i="39"/>
  <c r="C66" i="39"/>
  <c r="D66" i="39"/>
  <c r="I66" i="39"/>
  <c r="J66" i="39"/>
  <c r="K66" i="39"/>
  <c r="C67" i="39"/>
  <c r="D67" i="39"/>
  <c r="I67" i="39"/>
  <c r="J67" i="39"/>
  <c r="K67" i="39"/>
  <c r="C68" i="39"/>
  <c r="D68" i="39"/>
  <c r="I68" i="39"/>
  <c r="J68" i="39"/>
  <c r="K68" i="39"/>
  <c r="C69" i="39"/>
  <c r="D69" i="39"/>
  <c r="I69" i="39"/>
  <c r="J69" i="39"/>
  <c r="K69" i="39"/>
  <c r="C70" i="39"/>
  <c r="D70" i="39"/>
  <c r="I70" i="39"/>
  <c r="J70" i="39"/>
  <c r="K70" i="39"/>
  <c r="C71" i="39"/>
  <c r="D71" i="39"/>
  <c r="I71" i="39"/>
  <c r="J71" i="39"/>
  <c r="K71" i="39"/>
  <c r="C72" i="39"/>
  <c r="D72" i="39"/>
  <c r="I72" i="39"/>
  <c r="J72" i="39"/>
  <c r="K72" i="39"/>
  <c r="C73" i="39"/>
  <c r="D73" i="39"/>
  <c r="I73" i="39"/>
  <c r="J73" i="39"/>
  <c r="K73" i="39"/>
  <c r="C74" i="39"/>
  <c r="D74" i="39"/>
  <c r="I74" i="39"/>
  <c r="J74" i="39"/>
  <c r="K74" i="39"/>
  <c r="C75" i="39"/>
  <c r="D75" i="39"/>
  <c r="I75" i="39"/>
  <c r="J75" i="39"/>
  <c r="K75" i="39"/>
  <c r="C76" i="39"/>
  <c r="D76" i="39"/>
  <c r="I76" i="39"/>
  <c r="J76" i="39"/>
  <c r="K76" i="39"/>
  <c r="C77" i="39"/>
  <c r="D77" i="39"/>
  <c r="I77" i="39"/>
  <c r="J77" i="39"/>
  <c r="K77" i="39"/>
  <c r="C78" i="39"/>
  <c r="D78" i="39"/>
  <c r="I78" i="39"/>
  <c r="J78" i="39"/>
  <c r="K78" i="39"/>
  <c r="C79" i="39"/>
  <c r="D79" i="39"/>
  <c r="I79" i="39"/>
  <c r="J79" i="39"/>
  <c r="K79" i="39"/>
  <c r="C80" i="39"/>
  <c r="D80" i="39"/>
  <c r="I80" i="39"/>
  <c r="J80" i="39"/>
  <c r="K80" i="39"/>
  <c r="C81" i="39"/>
  <c r="D81" i="39"/>
  <c r="I81" i="39"/>
  <c r="J81" i="39"/>
  <c r="K81" i="39"/>
  <c r="C82" i="39"/>
  <c r="D82" i="39"/>
  <c r="I82" i="39"/>
  <c r="J82" i="39"/>
  <c r="K82" i="39"/>
  <c r="C83" i="39"/>
  <c r="D83" i="39"/>
  <c r="I83" i="39"/>
  <c r="J83" i="39"/>
  <c r="K83" i="39"/>
  <c r="C84" i="39"/>
  <c r="D84" i="39"/>
  <c r="I84" i="39"/>
  <c r="J84" i="39"/>
  <c r="K84" i="39"/>
  <c r="C85" i="39"/>
  <c r="D85" i="39"/>
  <c r="I85" i="39"/>
  <c r="J85" i="39"/>
  <c r="K85" i="39"/>
  <c r="C86" i="39"/>
  <c r="D86" i="39"/>
  <c r="I86" i="39"/>
  <c r="J86" i="39"/>
  <c r="K86" i="39"/>
  <c r="C87" i="39"/>
  <c r="D87" i="39"/>
  <c r="I87" i="39"/>
  <c r="J87" i="39"/>
  <c r="K87" i="39"/>
  <c r="C88" i="39"/>
  <c r="D88" i="39"/>
  <c r="I88" i="39"/>
  <c r="J88" i="39"/>
  <c r="K88" i="39"/>
  <c r="C89" i="39"/>
  <c r="D89" i="39"/>
  <c r="I89" i="39"/>
  <c r="J89" i="39"/>
  <c r="K89" i="39"/>
  <c r="C90" i="39"/>
  <c r="D90" i="39"/>
  <c r="I90" i="39"/>
  <c r="J90" i="39"/>
  <c r="K90" i="39"/>
  <c r="C91" i="39"/>
  <c r="D91" i="39"/>
  <c r="I91" i="39"/>
  <c r="J91" i="39"/>
  <c r="K91" i="39"/>
  <c r="C92" i="39"/>
  <c r="D92" i="39"/>
  <c r="I92" i="39"/>
  <c r="J92" i="39"/>
  <c r="K92" i="39"/>
  <c r="C93" i="39"/>
  <c r="D93" i="39"/>
  <c r="I93" i="39"/>
  <c r="J93" i="39"/>
  <c r="K93" i="39"/>
  <c r="C94" i="39"/>
  <c r="D94" i="39"/>
  <c r="I94" i="39"/>
  <c r="J94" i="39"/>
  <c r="K94" i="39"/>
  <c r="C95" i="39"/>
  <c r="D95" i="39"/>
  <c r="I95" i="39"/>
  <c r="J95" i="39"/>
  <c r="K95" i="39"/>
  <c r="E96" i="39"/>
  <c r="F96" i="39"/>
  <c r="E97" i="39"/>
  <c r="F97" i="39"/>
  <c r="E98" i="39"/>
  <c r="F98" i="39"/>
  <c r="E99" i="39"/>
  <c r="F99" i="39"/>
  <c r="E100" i="39"/>
  <c r="F100" i="39"/>
  <c r="E101" i="39"/>
  <c r="F101" i="39"/>
  <c r="E102" i="39"/>
  <c r="F102" i="39"/>
  <c r="E103" i="39"/>
  <c r="F103" i="39"/>
  <c r="E104" i="39"/>
  <c r="F104" i="39"/>
  <c r="E105" i="39"/>
  <c r="F105" i="39"/>
  <c r="E106" i="39"/>
  <c r="F106" i="39"/>
  <c r="I106" i="39"/>
  <c r="J106" i="39"/>
  <c r="K106" i="39"/>
  <c r="C107" i="39"/>
  <c r="D107" i="39"/>
  <c r="I107" i="39"/>
  <c r="J107" i="39"/>
  <c r="K107" i="39"/>
  <c r="M109" i="39"/>
  <c r="N109" i="39"/>
  <c r="O109" i="39"/>
  <c r="Q109" i="39"/>
  <c r="R109" i="39"/>
  <c r="S109" i="39"/>
  <c r="E110" i="39"/>
  <c r="F110" i="39"/>
  <c r="M110" i="39"/>
  <c r="N110" i="39"/>
  <c r="O110" i="39"/>
  <c r="Q110" i="39"/>
  <c r="R110" i="39"/>
  <c r="S110" i="39"/>
  <c r="B1" i="38"/>
  <c r="B3" i="38"/>
  <c r="M10" i="38"/>
  <c r="Q10" i="38"/>
  <c r="C13" i="38"/>
  <c r="D13" i="38"/>
  <c r="E13" i="38"/>
  <c r="F13" i="38"/>
  <c r="C17" i="38"/>
  <c r="C23" i="38" s="1"/>
  <c r="D17" i="38"/>
  <c r="D23" i="38" s="1"/>
  <c r="I17" i="38"/>
  <c r="I23" i="38" s="1"/>
  <c r="J17" i="38"/>
  <c r="J23" i="38" s="1"/>
  <c r="K17" i="38"/>
  <c r="K23" i="38" s="1"/>
  <c r="E19" i="38"/>
  <c r="F19" i="38"/>
  <c r="E20" i="38"/>
  <c r="F20" i="38"/>
  <c r="E21" i="38"/>
  <c r="F21" i="38"/>
  <c r="M23" i="38"/>
  <c r="N23" i="38"/>
  <c r="O23" i="38"/>
  <c r="Q23" i="38"/>
  <c r="R23" i="38"/>
  <c r="S23" i="38"/>
  <c r="A24" i="38"/>
  <c r="D18" i="5" s="1"/>
  <c r="C28" i="38"/>
  <c r="D28" i="38"/>
  <c r="I28" i="38"/>
  <c r="J28" i="38"/>
  <c r="K28" i="38"/>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C29" i="38"/>
  <c r="D29" i="38"/>
  <c r="I29" i="38"/>
  <c r="J29" i="38"/>
  <c r="K29" i="38"/>
  <c r="C30" i="38"/>
  <c r="D30" i="38"/>
  <c r="I30" i="38"/>
  <c r="J30" i="38"/>
  <c r="K30" i="38"/>
  <c r="C31" i="38"/>
  <c r="D31" i="38"/>
  <c r="I31" i="38"/>
  <c r="J31" i="38"/>
  <c r="K31" i="38"/>
  <c r="C32" i="38"/>
  <c r="D32" i="38"/>
  <c r="I32" i="38"/>
  <c r="J32" i="38"/>
  <c r="K32" i="38"/>
  <c r="C33" i="38"/>
  <c r="D33" i="38"/>
  <c r="I33" i="38"/>
  <c r="J33" i="38"/>
  <c r="K33" i="38"/>
  <c r="C34" i="38"/>
  <c r="D34" i="38"/>
  <c r="I34" i="38"/>
  <c r="J34" i="38"/>
  <c r="K34" i="38"/>
  <c r="C35" i="38"/>
  <c r="D35" i="38"/>
  <c r="I35" i="38"/>
  <c r="J35" i="38"/>
  <c r="K35" i="38"/>
  <c r="C36" i="38"/>
  <c r="D36" i="38"/>
  <c r="I36" i="38"/>
  <c r="J36" i="38"/>
  <c r="K36" i="38"/>
  <c r="C37" i="38"/>
  <c r="D37" i="38"/>
  <c r="I37" i="38"/>
  <c r="J37" i="38"/>
  <c r="K37" i="38"/>
  <c r="C38" i="38"/>
  <c r="D38" i="38"/>
  <c r="I38" i="38"/>
  <c r="J38" i="38"/>
  <c r="K38" i="38"/>
  <c r="C39" i="38"/>
  <c r="D39" i="38"/>
  <c r="I39" i="38"/>
  <c r="J39" i="38"/>
  <c r="K39" i="38"/>
  <c r="C40" i="38"/>
  <c r="D40" i="38"/>
  <c r="I40" i="38"/>
  <c r="J40" i="38"/>
  <c r="K40" i="38"/>
  <c r="C41" i="38"/>
  <c r="D41" i="38"/>
  <c r="I41" i="38"/>
  <c r="J41" i="38"/>
  <c r="K41" i="38"/>
  <c r="C42" i="38"/>
  <c r="D42" i="38"/>
  <c r="I42" i="38"/>
  <c r="J42" i="38"/>
  <c r="K42" i="38"/>
  <c r="C43" i="38"/>
  <c r="D43" i="38"/>
  <c r="I43" i="38"/>
  <c r="J43" i="38"/>
  <c r="K43" i="38"/>
  <c r="C44" i="38"/>
  <c r="D44" i="38"/>
  <c r="I44" i="38"/>
  <c r="J44" i="38"/>
  <c r="K44" i="38"/>
  <c r="C45" i="38"/>
  <c r="D45" i="38"/>
  <c r="I45" i="38"/>
  <c r="J45" i="38"/>
  <c r="K45" i="38"/>
  <c r="C46" i="38"/>
  <c r="D46" i="38"/>
  <c r="I46" i="38"/>
  <c r="J46" i="38"/>
  <c r="K46" i="38"/>
  <c r="C47" i="38"/>
  <c r="D47" i="38"/>
  <c r="I47" i="38"/>
  <c r="J47" i="38"/>
  <c r="K47" i="38"/>
  <c r="C48" i="38"/>
  <c r="D48" i="38"/>
  <c r="I48" i="38"/>
  <c r="J48" i="38"/>
  <c r="K48" i="38"/>
  <c r="C49" i="38"/>
  <c r="D49" i="38"/>
  <c r="I49" i="38"/>
  <c r="J49" i="38"/>
  <c r="K49" i="38"/>
  <c r="C50" i="38"/>
  <c r="D50" i="38"/>
  <c r="I50" i="38"/>
  <c r="J50" i="38"/>
  <c r="K50" i="38"/>
  <c r="C51" i="38"/>
  <c r="D51" i="38"/>
  <c r="I51" i="38"/>
  <c r="J51" i="38"/>
  <c r="K51" i="38"/>
  <c r="C52" i="38"/>
  <c r="D52" i="38"/>
  <c r="I52" i="38"/>
  <c r="J52" i="38"/>
  <c r="K52" i="38"/>
  <c r="C53" i="38"/>
  <c r="D53" i="38"/>
  <c r="I53" i="38"/>
  <c r="J53" i="38"/>
  <c r="K53" i="38"/>
  <c r="C54" i="38"/>
  <c r="D54" i="38"/>
  <c r="I54" i="38"/>
  <c r="J54" i="38"/>
  <c r="K54" i="38"/>
  <c r="C55" i="38"/>
  <c r="D55" i="38"/>
  <c r="I55" i="38"/>
  <c r="J55" i="38"/>
  <c r="K55" i="38"/>
  <c r="C56" i="38"/>
  <c r="D56" i="38"/>
  <c r="I56" i="38"/>
  <c r="J56" i="38"/>
  <c r="K56" i="38"/>
  <c r="C57" i="38"/>
  <c r="D57" i="38"/>
  <c r="I57" i="38"/>
  <c r="J57" i="38"/>
  <c r="K57" i="38"/>
  <c r="C58" i="38"/>
  <c r="D58" i="38"/>
  <c r="I58" i="38"/>
  <c r="J58" i="38"/>
  <c r="K58" i="38"/>
  <c r="C59" i="38"/>
  <c r="D59" i="38"/>
  <c r="I59" i="38"/>
  <c r="J59" i="38"/>
  <c r="K59" i="38"/>
  <c r="C60" i="38"/>
  <c r="D60" i="38"/>
  <c r="I60" i="38"/>
  <c r="J60" i="38"/>
  <c r="K60" i="38"/>
  <c r="C61" i="38"/>
  <c r="D61" i="38"/>
  <c r="I61" i="38"/>
  <c r="J61" i="38"/>
  <c r="K61" i="38"/>
  <c r="C62" i="38"/>
  <c r="D62" i="38"/>
  <c r="I62" i="38"/>
  <c r="J62" i="38"/>
  <c r="K62" i="38"/>
  <c r="C63" i="38"/>
  <c r="D63" i="38"/>
  <c r="I63" i="38"/>
  <c r="J63" i="38"/>
  <c r="K63" i="38"/>
  <c r="C64" i="38"/>
  <c r="D64" i="38"/>
  <c r="I64" i="38"/>
  <c r="J64" i="38"/>
  <c r="K64" i="38"/>
  <c r="C65" i="38"/>
  <c r="D65" i="38"/>
  <c r="I65" i="38"/>
  <c r="J65" i="38"/>
  <c r="K65" i="38"/>
  <c r="E66" i="38"/>
  <c r="F66" i="38"/>
  <c r="E67" i="38"/>
  <c r="F67" i="38"/>
  <c r="E68" i="38"/>
  <c r="F68" i="38"/>
  <c r="M71" i="38"/>
  <c r="N71" i="38"/>
  <c r="O71" i="38"/>
  <c r="Q71" i="38"/>
  <c r="R71" i="38"/>
  <c r="S71" i="38"/>
  <c r="A72" i="38"/>
  <c r="D26" i="5" s="1"/>
  <c r="E72" i="38"/>
  <c r="F72" i="38"/>
  <c r="M72" i="38"/>
  <c r="N72" i="38"/>
  <c r="O72" i="38"/>
  <c r="Q72" i="38"/>
  <c r="R72" i="38"/>
  <c r="S72" i="38"/>
  <c r="C76" i="38"/>
  <c r="D76" i="38"/>
  <c r="I76" i="38"/>
  <c r="J76" i="38"/>
  <c r="K76" i="38"/>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C77" i="38"/>
  <c r="D77" i="38"/>
  <c r="I77" i="38"/>
  <c r="J77" i="38"/>
  <c r="K77" i="38"/>
  <c r="C78" i="38"/>
  <c r="D78" i="38"/>
  <c r="I78" i="38"/>
  <c r="J78" i="38"/>
  <c r="K78" i="38"/>
  <c r="C79" i="38"/>
  <c r="D79" i="38"/>
  <c r="I79" i="38"/>
  <c r="J79" i="38"/>
  <c r="K79" i="38"/>
  <c r="C80" i="38"/>
  <c r="D80" i="38"/>
  <c r="I80" i="38"/>
  <c r="J80" i="38"/>
  <c r="K80" i="38"/>
  <c r="C81" i="38"/>
  <c r="D81" i="38"/>
  <c r="I81" i="38"/>
  <c r="J81" i="38"/>
  <c r="K81" i="38"/>
  <c r="C82" i="38"/>
  <c r="D82" i="38"/>
  <c r="I82" i="38"/>
  <c r="J82" i="38"/>
  <c r="K82" i="38"/>
  <c r="C83" i="38"/>
  <c r="D83" i="38"/>
  <c r="I83" i="38"/>
  <c r="J83" i="38"/>
  <c r="K83" i="38"/>
  <c r="C84" i="38"/>
  <c r="D84" i="38"/>
  <c r="I84" i="38"/>
  <c r="J84" i="38"/>
  <c r="K84" i="38"/>
  <c r="C85" i="38"/>
  <c r="D85" i="38"/>
  <c r="I85" i="38"/>
  <c r="J85" i="38"/>
  <c r="K85" i="38"/>
  <c r="C86" i="38"/>
  <c r="D86" i="38"/>
  <c r="I86" i="38"/>
  <c r="J86" i="38"/>
  <c r="K86" i="38"/>
  <c r="C87" i="38"/>
  <c r="D87" i="38"/>
  <c r="I87" i="38"/>
  <c r="J87" i="38"/>
  <c r="K87" i="38"/>
  <c r="C88" i="38"/>
  <c r="D88" i="38"/>
  <c r="I88" i="38"/>
  <c r="J88" i="38"/>
  <c r="K88" i="38"/>
  <c r="C89" i="38"/>
  <c r="D89" i="38"/>
  <c r="I89" i="38"/>
  <c r="J89" i="38"/>
  <c r="K89" i="38"/>
  <c r="C90" i="38"/>
  <c r="D90" i="38"/>
  <c r="I90" i="38"/>
  <c r="J90" i="38"/>
  <c r="K90" i="38"/>
  <c r="C91" i="38"/>
  <c r="D91" i="38"/>
  <c r="I91" i="38"/>
  <c r="J91" i="38"/>
  <c r="K91" i="38"/>
  <c r="C92" i="38"/>
  <c r="D92" i="38"/>
  <c r="I92" i="38"/>
  <c r="J92" i="38"/>
  <c r="K92" i="38"/>
  <c r="C93" i="38"/>
  <c r="D93" i="38"/>
  <c r="I93" i="38"/>
  <c r="J93" i="38"/>
  <c r="K93" i="38"/>
  <c r="C94" i="38"/>
  <c r="D94" i="38"/>
  <c r="I94" i="38"/>
  <c r="J94" i="38"/>
  <c r="K94" i="38"/>
  <c r="C95" i="38"/>
  <c r="D95" i="38"/>
  <c r="I95" i="38"/>
  <c r="J95" i="38"/>
  <c r="K95" i="38"/>
  <c r="C96" i="38"/>
  <c r="D96" i="38"/>
  <c r="I96" i="38"/>
  <c r="J96" i="38"/>
  <c r="K96" i="38"/>
  <c r="C97" i="38"/>
  <c r="D97" i="38"/>
  <c r="I97" i="38"/>
  <c r="J97" i="38"/>
  <c r="K97" i="38"/>
  <c r="C98" i="38"/>
  <c r="D98" i="38"/>
  <c r="I98" i="38"/>
  <c r="J98" i="38"/>
  <c r="K98" i="38"/>
  <c r="C99" i="38"/>
  <c r="D99" i="38"/>
  <c r="I99" i="38"/>
  <c r="J99" i="38"/>
  <c r="K99" i="38"/>
  <c r="C100" i="38"/>
  <c r="D100" i="38"/>
  <c r="I100" i="38"/>
  <c r="J100" i="38"/>
  <c r="K100" i="38"/>
  <c r="C101" i="38"/>
  <c r="D101" i="38"/>
  <c r="I101" i="38"/>
  <c r="J101" i="38"/>
  <c r="K101" i="38"/>
  <c r="C102" i="38"/>
  <c r="D102" i="38"/>
  <c r="I102" i="38"/>
  <c r="J102" i="38"/>
  <c r="K102" i="38"/>
  <c r="C103" i="38"/>
  <c r="D103" i="38"/>
  <c r="I103" i="38"/>
  <c r="J103" i="38"/>
  <c r="K103" i="38"/>
  <c r="C104" i="38"/>
  <c r="D104" i="38"/>
  <c r="I104" i="38"/>
  <c r="J104" i="38"/>
  <c r="K104" i="38"/>
  <c r="C105" i="38"/>
  <c r="D105" i="38"/>
  <c r="I105" i="38"/>
  <c r="J105" i="38"/>
  <c r="K105" i="38"/>
  <c r="C106" i="38"/>
  <c r="D106" i="38"/>
  <c r="I106" i="38"/>
  <c r="J106" i="38"/>
  <c r="K106" i="38"/>
  <c r="C107" i="38"/>
  <c r="D107" i="38"/>
  <c r="I107" i="38"/>
  <c r="J107" i="38"/>
  <c r="K107" i="38"/>
  <c r="C108" i="38"/>
  <c r="D108" i="38"/>
  <c r="I108" i="38"/>
  <c r="J108" i="38"/>
  <c r="K108" i="38"/>
  <c r="C109" i="38"/>
  <c r="D109" i="38"/>
  <c r="I109" i="38"/>
  <c r="J109" i="38"/>
  <c r="K109" i="38"/>
  <c r="C110" i="38"/>
  <c r="D110" i="38"/>
  <c r="I110" i="38"/>
  <c r="J110" i="38"/>
  <c r="K110" i="38"/>
  <c r="C111" i="38"/>
  <c r="D111" i="38"/>
  <c r="I111" i="38"/>
  <c r="J111" i="38"/>
  <c r="K111" i="38"/>
  <c r="C112" i="38"/>
  <c r="D112" i="38"/>
  <c r="I112" i="38"/>
  <c r="J112" i="38"/>
  <c r="K112" i="38"/>
  <c r="C113" i="38"/>
  <c r="D113" i="38"/>
  <c r="I113" i="38"/>
  <c r="J113" i="38"/>
  <c r="K113" i="38"/>
  <c r="C114" i="38"/>
  <c r="D114" i="38"/>
  <c r="I114" i="38"/>
  <c r="J114" i="38"/>
  <c r="K114" i="38"/>
  <c r="C115" i="38"/>
  <c r="D115" i="38"/>
  <c r="I115" i="38"/>
  <c r="J115" i="38"/>
  <c r="K115" i="38"/>
  <c r="C116" i="38"/>
  <c r="D116" i="38"/>
  <c r="I116" i="38"/>
  <c r="J116" i="38"/>
  <c r="K116" i="38"/>
  <c r="C117" i="38"/>
  <c r="D117" i="38"/>
  <c r="I117" i="38"/>
  <c r="J117" i="38"/>
  <c r="K117" i="38"/>
  <c r="C118" i="38"/>
  <c r="D118" i="38"/>
  <c r="I118" i="38"/>
  <c r="J118" i="38"/>
  <c r="K118" i="38"/>
  <c r="C119" i="38"/>
  <c r="D119" i="38"/>
  <c r="I119" i="38"/>
  <c r="J119" i="38"/>
  <c r="K119" i="38"/>
  <c r="C120" i="38"/>
  <c r="D120" i="38"/>
  <c r="I120" i="38"/>
  <c r="J120" i="38"/>
  <c r="K120" i="38"/>
  <c r="C121" i="38"/>
  <c r="D121" i="38"/>
  <c r="I121" i="38"/>
  <c r="J121" i="38"/>
  <c r="K121" i="38"/>
  <c r="C122" i="38"/>
  <c r="D122" i="38"/>
  <c r="I122" i="38"/>
  <c r="J122" i="38"/>
  <c r="K122" i="38"/>
  <c r="C123" i="38"/>
  <c r="D123" i="38"/>
  <c r="I123" i="38"/>
  <c r="J123" i="38"/>
  <c r="K123" i="38"/>
  <c r="C124" i="38"/>
  <c r="D124" i="38"/>
  <c r="I124" i="38"/>
  <c r="J124" i="38"/>
  <c r="K124" i="38"/>
  <c r="C125" i="38"/>
  <c r="D125" i="38"/>
  <c r="I125" i="38"/>
  <c r="J125" i="38"/>
  <c r="K125" i="38"/>
  <c r="C126" i="38"/>
  <c r="D126" i="38"/>
  <c r="I126" i="38"/>
  <c r="J126" i="38"/>
  <c r="K126" i="38"/>
  <c r="C127" i="38"/>
  <c r="D127" i="38"/>
  <c r="I127" i="38"/>
  <c r="J127" i="38"/>
  <c r="K127" i="38"/>
  <c r="C128" i="38"/>
  <c r="D128" i="38"/>
  <c r="I128" i="38"/>
  <c r="J128" i="38"/>
  <c r="K128" i="38"/>
  <c r="C129" i="38"/>
  <c r="D129" i="38"/>
  <c r="I129" i="38"/>
  <c r="J129" i="38"/>
  <c r="K129" i="38"/>
  <c r="C130" i="38"/>
  <c r="D130" i="38"/>
  <c r="I130" i="38"/>
  <c r="J130" i="38"/>
  <c r="K130" i="38"/>
  <c r="C131" i="38"/>
  <c r="D131" i="38"/>
  <c r="I131" i="38"/>
  <c r="J131" i="38"/>
  <c r="K131" i="38"/>
  <c r="C132" i="38"/>
  <c r="D132" i="38"/>
  <c r="I132" i="38"/>
  <c r="J132" i="38"/>
  <c r="K132" i="38"/>
  <c r="C133" i="38"/>
  <c r="D133" i="38"/>
  <c r="I133" i="38"/>
  <c r="J133" i="38"/>
  <c r="K133" i="38"/>
  <c r="C134" i="38"/>
  <c r="D134" i="38"/>
  <c r="I134" i="38"/>
  <c r="J134" i="38"/>
  <c r="K134" i="38"/>
  <c r="C135" i="38"/>
  <c r="D135" i="38"/>
  <c r="I135" i="38"/>
  <c r="J135" i="38"/>
  <c r="K135" i="38"/>
  <c r="C136" i="38"/>
  <c r="D136" i="38"/>
  <c r="I136" i="38"/>
  <c r="J136" i="38"/>
  <c r="K136" i="38"/>
  <c r="C137" i="38"/>
  <c r="D137" i="38"/>
  <c r="I137" i="38"/>
  <c r="J137" i="38"/>
  <c r="K137" i="38"/>
  <c r="C138" i="38"/>
  <c r="D138" i="38"/>
  <c r="I138" i="38"/>
  <c r="J138" i="38"/>
  <c r="K138" i="38"/>
  <c r="C139" i="38"/>
  <c r="D139" i="38"/>
  <c r="I139" i="38"/>
  <c r="J139" i="38"/>
  <c r="K139" i="38"/>
  <c r="C140" i="38"/>
  <c r="D140" i="38"/>
  <c r="I140" i="38"/>
  <c r="J140" i="38"/>
  <c r="K140" i="38"/>
  <c r="C141" i="38"/>
  <c r="D141" i="38"/>
  <c r="I141" i="38"/>
  <c r="J141" i="38"/>
  <c r="K141" i="38"/>
  <c r="C142" i="38"/>
  <c r="D142" i="38"/>
  <c r="I142" i="38"/>
  <c r="J142" i="38"/>
  <c r="K142" i="38"/>
  <c r="C143" i="38"/>
  <c r="D143" i="38"/>
  <c r="I143" i="38"/>
  <c r="J143" i="38"/>
  <c r="K143" i="38"/>
  <c r="C144" i="38"/>
  <c r="D144" i="38"/>
  <c r="I144" i="38"/>
  <c r="J144" i="38"/>
  <c r="K144" i="38"/>
  <c r="C145" i="38"/>
  <c r="D145" i="38"/>
  <c r="I145" i="38"/>
  <c r="J145" i="38"/>
  <c r="K145" i="38"/>
  <c r="C146" i="38"/>
  <c r="D146" i="38"/>
  <c r="I146" i="38"/>
  <c r="J146" i="38"/>
  <c r="K146" i="38"/>
  <c r="C147" i="38"/>
  <c r="D147" i="38"/>
  <c r="I147" i="38"/>
  <c r="J147" i="38"/>
  <c r="K147" i="38"/>
  <c r="C148" i="38"/>
  <c r="D148" i="38"/>
  <c r="I148" i="38"/>
  <c r="J148" i="38"/>
  <c r="K148" i="38"/>
  <c r="C149" i="38"/>
  <c r="D149" i="38"/>
  <c r="I149" i="38"/>
  <c r="J149" i="38"/>
  <c r="K149" i="38"/>
  <c r="C150" i="38"/>
  <c r="D150" i="38"/>
  <c r="I150" i="38"/>
  <c r="J150" i="38"/>
  <c r="K150" i="38"/>
  <c r="C151" i="38"/>
  <c r="D151" i="38"/>
  <c r="I151" i="38"/>
  <c r="J151" i="38"/>
  <c r="K151" i="38"/>
  <c r="C152" i="38"/>
  <c r="D152" i="38"/>
  <c r="I152" i="38"/>
  <c r="J152" i="38"/>
  <c r="K152" i="38"/>
  <c r="C153" i="38"/>
  <c r="D153" i="38"/>
  <c r="I153" i="38"/>
  <c r="J153" i="38"/>
  <c r="K153" i="38"/>
  <c r="C154" i="38"/>
  <c r="D154" i="38"/>
  <c r="I154" i="38"/>
  <c r="J154" i="38"/>
  <c r="K154" i="38"/>
  <c r="C155" i="38"/>
  <c r="D155" i="38"/>
  <c r="I155" i="38"/>
  <c r="J155" i="38"/>
  <c r="K155" i="38"/>
  <c r="C156" i="38"/>
  <c r="D156" i="38"/>
  <c r="I156" i="38"/>
  <c r="J156" i="38"/>
  <c r="K156" i="38"/>
  <c r="C157" i="38"/>
  <c r="D157" i="38"/>
  <c r="I157" i="38"/>
  <c r="J157" i="38"/>
  <c r="K157" i="38"/>
  <c r="C158" i="38"/>
  <c r="D158" i="38"/>
  <c r="I158" i="38"/>
  <c r="J158" i="38"/>
  <c r="K158" i="38"/>
  <c r="C159" i="38"/>
  <c r="D159" i="38"/>
  <c r="I159" i="38"/>
  <c r="J159" i="38"/>
  <c r="K159" i="38"/>
  <c r="C160" i="38"/>
  <c r="D160" i="38"/>
  <c r="I160" i="38"/>
  <c r="J160" i="38"/>
  <c r="K160" i="38"/>
  <c r="C161" i="38"/>
  <c r="D161" i="38"/>
  <c r="I161" i="38"/>
  <c r="J161" i="38"/>
  <c r="K161" i="38"/>
  <c r="C162" i="38"/>
  <c r="D162" i="38"/>
  <c r="I162" i="38"/>
  <c r="J162" i="38"/>
  <c r="K162" i="38"/>
  <c r="C163" i="38"/>
  <c r="D163" i="38"/>
  <c r="I163" i="38"/>
  <c r="J163" i="38"/>
  <c r="K163" i="38"/>
  <c r="C164" i="38"/>
  <c r="D164" i="38"/>
  <c r="I164" i="38"/>
  <c r="J164" i="38"/>
  <c r="K164" i="38"/>
  <c r="C165" i="38"/>
  <c r="D165" i="38"/>
  <c r="I165" i="38"/>
  <c r="J165" i="38"/>
  <c r="K165" i="38"/>
  <c r="C166" i="38"/>
  <c r="D166" i="38"/>
  <c r="I166" i="38"/>
  <c r="J166" i="38"/>
  <c r="K166" i="38"/>
  <c r="C167" i="38"/>
  <c r="D167" i="38"/>
  <c r="I167" i="38"/>
  <c r="J167" i="38"/>
  <c r="K167" i="38"/>
  <c r="C168" i="38"/>
  <c r="D168" i="38"/>
  <c r="I168" i="38"/>
  <c r="J168" i="38"/>
  <c r="K168" i="38"/>
  <c r="E169" i="38"/>
  <c r="F169" i="38"/>
  <c r="E170" i="38"/>
  <c r="F170" i="38"/>
  <c r="E171" i="38"/>
  <c r="F171" i="38"/>
  <c r="E172" i="38"/>
  <c r="F172" i="38"/>
  <c r="E173" i="38"/>
  <c r="F173" i="38"/>
  <c r="E174" i="38"/>
  <c r="F174" i="38"/>
  <c r="M177" i="38"/>
  <c r="M183" i="38" s="1"/>
  <c r="N177" i="38"/>
  <c r="N183" i="38" s="1"/>
  <c r="O177" i="38"/>
  <c r="O183" i="38" s="1"/>
  <c r="Q177" i="38"/>
  <c r="Q183" i="38" s="1"/>
  <c r="R177" i="38"/>
  <c r="R183" i="38" s="1"/>
  <c r="S177" i="38"/>
  <c r="S183" i="38" s="1"/>
  <c r="A180" i="38"/>
  <c r="A183" i="38" s="1"/>
  <c r="C180" i="38"/>
  <c r="D180" i="38"/>
  <c r="I180" i="38"/>
  <c r="J180" i="38"/>
  <c r="K180" i="38"/>
  <c r="E181" i="38"/>
  <c r="F181" i="38"/>
  <c r="E184" i="38"/>
  <c r="F184" i="38"/>
  <c r="M184" i="38"/>
  <c r="N184" i="38"/>
  <c r="O184" i="38"/>
  <c r="Q184" i="38"/>
  <c r="R184" i="38"/>
  <c r="S184" i="38"/>
  <c r="C194" i="38"/>
  <c r="D194" i="38"/>
  <c r="I194" i="38"/>
  <c r="J194" i="38"/>
  <c r="K194" i="38"/>
  <c r="C195" i="38"/>
  <c r="D195" i="38"/>
  <c r="I195" i="38"/>
  <c r="J195" i="38"/>
  <c r="K195" i="38"/>
  <c r="E197" i="38"/>
  <c r="F197" i="38"/>
  <c r="M197" i="38"/>
  <c r="N197" i="38"/>
  <c r="O197" i="38"/>
  <c r="Q197" i="38"/>
  <c r="R197" i="38"/>
  <c r="S197" i="38"/>
  <c r="A4" i="5"/>
  <c r="A6" i="5"/>
  <c r="E10" i="5"/>
  <c r="G10" i="5"/>
  <c r="I10" i="5"/>
  <c r="A17" i="5"/>
  <c r="A18" i="5" s="1"/>
  <c r="A19" i="5" s="1"/>
  <c r="A20" i="5" s="1"/>
  <c r="A23" i="5" s="1"/>
  <c r="A25" i="5" s="1"/>
  <c r="D19" i="5"/>
  <c r="D27" i="5"/>
  <c r="D42" i="5"/>
  <c r="D43" i="5"/>
  <c r="A2" i="35"/>
  <c r="A4" i="35"/>
  <c r="A11" i="35"/>
  <c r="A12" i="35" s="1"/>
  <c r="A13" i="35" s="1"/>
  <c r="A14" i="35" s="1"/>
  <c r="A15" i="35" s="1"/>
  <c r="A16" i="35" s="1"/>
  <c r="A17" i="35" s="1"/>
  <c r="A18" i="35" s="1"/>
  <c r="A19" i="35" s="1"/>
  <c r="A20" i="35" s="1"/>
  <c r="A21" i="35" s="1"/>
  <c r="A22" i="35" s="1"/>
  <c r="A23" i="35" s="1"/>
  <c r="G69" i="2"/>
  <c r="G81" i="2"/>
  <c r="E62" i="35"/>
  <c r="L227" i="2" s="1"/>
  <c r="F62" i="35"/>
  <c r="D67" i="35"/>
  <c r="E67" i="35"/>
  <c r="F67" i="35"/>
  <c r="A69" i="35"/>
  <c r="A71" i="35" s="1"/>
  <c r="F75" i="35"/>
  <c r="F76" i="35"/>
  <c r="F77" i="35"/>
  <c r="F78" i="35"/>
  <c r="F79" i="35"/>
  <c r="D80" i="35"/>
  <c r="E80" i="35"/>
  <c r="F87" i="35"/>
  <c r="F7" i="2"/>
  <c r="F56" i="2" s="1"/>
  <c r="F130" i="2" s="1"/>
  <c r="F218" i="2" s="1"/>
  <c r="F264" i="2" s="1"/>
  <c r="B13" i="2"/>
  <c r="B15" i="2" s="1"/>
  <c r="B18" i="2" s="1"/>
  <c r="B20" i="2" s="1"/>
  <c r="B27" i="2" s="1"/>
  <c r="B29" i="2" s="1"/>
  <c r="B30" i="2"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10" i="2"/>
  <c r="E136" i="2"/>
  <c r="L136" i="2"/>
  <c r="E137" i="2"/>
  <c r="G137" i="2"/>
  <c r="I137" i="2"/>
  <c r="L137" i="2"/>
  <c r="G154" i="2"/>
  <c r="L168" i="2"/>
  <c r="D174" i="2"/>
  <c r="D295" i="2"/>
  <c r="D351" i="2"/>
  <c r="E28" i="48"/>
  <c r="H32" i="41"/>
  <c r="H237" i="2"/>
  <c r="F15" i="49"/>
  <c r="F21" i="49" s="1"/>
  <c r="F22" i="49" s="1"/>
  <c r="F23" i="49" s="1"/>
  <c r="F24" i="49" s="1"/>
  <c r="F15" i="47"/>
  <c r="F21" i="47" s="1"/>
  <c r="F22" i="47" s="1"/>
  <c r="F21" i="32"/>
  <c r="F22" i="32" s="1"/>
  <c r="F23" i="32" s="1"/>
  <c r="F24" i="32" s="1"/>
  <c r="G153" i="2"/>
  <c r="G12" i="41"/>
  <c r="A39" i="9" l="1"/>
  <c r="A40" i="9" s="1"/>
  <c r="A41" i="9" s="1"/>
  <c r="A42" i="9" s="1"/>
  <c r="A45" i="9" s="1"/>
  <c r="A46" i="9" s="1"/>
  <c r="A47" i="9" s="1"/>
  <c r="A48" i="9" s="1"/>
  <c r="A49" i="9" s="1"/>
  <c r="A50" i="9" s="1"/>
  <c r="A51" i="9" s="1"/>
  <c r="A52" i="9" s="1"/>
  <c r="A53" i="9" s="1"/>
  <c r="A54" i="9" s="1"/>
  <c r="A55" i="9" s="1"/>
  <c r="A56" i="9" s="1"/>
  <c r="A57" i="9" s="1"/>
  <c r="A58" i="9" s="1"/>
  <c r="A59" i="9" s="1"/>
  <c r="A60" i="9" s="1"/>
  <c r="A62" i="9" s="1"/>
  <c r="G160" i="38"/>
  <c r="E146" i="2"/>
  <c r="E184" i="2"/>
  <c r="E181" i="2"/>
  <c r="E249" i="2"/>
  <c r="A29" i="41"/>
  <c r="A30" i="41" s="1"/>
  <c r="A31" i="41" s="1"/>
  <c r="A32" i="41" s="1"/>
  <c r="A33" i="41" s="1"/>
  <c r="A34" i="41" s="1"/>
  <c r="A35" i="41" s="1"/>
  <c r="A36" i="41" s="1"/>
  <c r="A37" i="41" s="1"/>
  <c r="A38" i="41" s="1"/>
  <c r="A39" i="41" s="1"/>
  <c r="A40" i="41" s="1"/>
  <c r="A41" i="41" s="1"/>
  <c r="A42" i="41" s="1"/>
  <c r="A48" i="41" s="1"/>
  <c r="A49" i="41" s="1"/>
  <c r="E251" i="2"/>
  <c r="E250" i="2"/>
  <c r="I897" i="20"/>
  <c r="I452" i="20"/>
  <c r="G82" i="39"/>
  <c r="G44" i="39"/>
  <c r="G21" i="38"/>
  <c r="G58" i="38"/>
  <c r="G58" i="39"/>
  <c r="G42" i="39"/>
  <c r="G34" i="39"/>
  <c r="G26" i="39"/>
  <c r="G163" i="38"/>
  <c r="I110" i="39"/>
  <c r="G62" i="39"/>
  <c r="G66" i="38"/>
  <c r="G132" i="38"/>
  <c r="G100" i="38"/>
  <c r="G87" i="38"/>
  <c r="G41" i="38"/>
  <c r="G90" i="39"/>
  <c r="G123" i="38"/>
  <c r="G102" i="39"/>
  <c r="G134" i="38"/>
  <c r="G118" i="38"/>
  <c r="G110" i="38"/>
  <c r="G102" i="38"/>
  <c r="G33" i="38"/>
  <c r="G30" i="38"/>
  <c r="F102" i="13"/>
  <c r="G102" i="13" s="1"/>
  <c r="G173" i="38"/>
  <c r="G22" i="39"/>
  <c r="F177" i="38"/>
  <c r="F183" i="38" s="1"/>
  <c r="G148" i="38"/>
  <c r="G140" i="38"/>
  <c r="I184" i="38"/>
  <c r="G74" i="39"/>
  <c r="G18" i="39"/>
  <c r="G62" i="38"/>
  <c r="G38" i="39"/>
  <c r="G104" i="38"/>
  <c r="A181" i="38"/>
  <c r="G106" i="39"/>
  <c r="G76" i="38"/>
  <c r="G29" i="38"/>
  <c r="G91" i="39"/>
  <c r="G88" i="39"/>
  <c r="J110" i="39"/>
  <c r="A75" i="35"/>
  <c r="A76" i="35" s="1"/>
  <c r="A77" i="35" s="1"/>
  <c r="A78" i="35" s="1"/>
  <c r="A79" i="35" s="1"/>
  <c r="A80" i="35" s="1"/>
  <c r="A84" i="35" s="1"/>
  <c r="E106" i="2"/>
  <c r="G138" i="38"/>
  <c r="D197" i="38"/>
  <c r="G174" i="38"/>
  <c r="G170" i="38"/>
  <c r="G122" i="38"/>
  <c r="G79" i="38"/>
  <c r="G28" i="38"/>
  <c r="G93" i="39"/>
  <c r="G65" i="39"/>
  <c r="G46" i="39"/>
  <c r="G19" i="39"/>
  <c r="G151" i="38"/>
  <c r="G86" i="38"/>
  <c r="G72" i="39"/>
  <c r="G154" i="38"/>
  <c r="G127" i="38"/>
  <c r="F80" i="35"/>
  <c r="G108" i="2" s="1"/>
  <c r="L108" i="2" s="1"/>
  <c r="I72" i="38"/>
  <c r="S22" i="21"/>
  <c r="G116" i="38"/>
  <c r="G68" i="38"/>
  <c r="G60" i="39"/>
  <c r="G159" i="38"/>
  <c r="G108" i="38"/>
  <c r="G89" i="39"/>
  <c r="G64" i="39"/>
  <c r="G75" i="39"/>
  <c r="G126" i="38"/>
  <c r="G91" i="38"/>
  <c r="G88" i="38"/>
  <c r="F71" i="38"/>
  <c r="G63" i="39"/>
  <c r="G165" i="38"/>
  <c r="G92" i="39"/>
  <c r="G168" i="38"/>
  <c r="G119" i="38"/>
  <c r="C103" i="41"/>
  <c r="C105" i="41" s="1"/>
  <c r="G94" i="38"/>
  <c r="G94" i="39"/>
  <c r="A3" i="8"/>
  <c r="S17" i="21"/>
  <c r="E101" i="41"/>
  <c r="E104" i="41" s="1"/>
  <c r="C104" i="41"/>
  <c r="G164" i="38"/>
  <c r="G103" i="38"/>
  <c r="G65" i="38"/>
  <c r="G40" i="38"/>
  <c r="G100" i="39"/>
  <c r="G84" i="39"/>
  <c r="G59" i="39"/>
  <c r="G142" i="38"/>
  <c r="D72" i="38"/>
  <c r="G40" i="39"/>
  <c r="G180" i="38"/>
  <c r="G171" i="38"/>
  <c r="G156" i="38"/>
  <c r="G90" i="38"/>
  <c r="G63" i="38"/>
  <c r="G38" i="38"/>
  <c r="G32" i="38"/>
  <c r="G85" i="39"/>
  <c r="G76" i="39"/>
  <c r="G73" i="39"/>
  <c r="G54" i="39"/>
  <c r="G49" i="39"/>
  <c r="G35" i="39"/>
  <c r="G30" i="39"/>
  <c r="G27" i="39"/>
  <c r="G24" i="39"/>
  <c r="C910" i="20"/>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G78" i="38"/>
  <c r="G67" i="38"/>
  <c r="G57" i="38"/>
  <c r="G34" i="38"/>
  <c r="G81" i="39"/>
  <c r="G56" i="39"/>
  <c r="G48" i="39"/>
  <c r="G167" i="38"/>
  <c r="G150" i="38"/>
  <c r="C184" i="38"/>
  <c r="G70" i="39"/>
  <c r="G32" i="39"/>
  <c r="C466" i="20"/>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G181" i="38"/>
  <c r="G143" i="38"/>
  <c r="G107" i="38"/>
  <c r="G61" i="38"/>
  <c r="G50" i="38"/>
  <c r="G44" i="38"/>
  <c r="G33" i="39"/>
  <c r="C1175" i="20"/>
  <c r="C1176" i="20" s="1"/>
  <c r="C1177" i="20" s="1"/>
  <c r="C1178" i="20" s="1"/>
  <c r="C1179" i="20" s="1"/>
  <c r="C1180" i="20" s="1"/>
  <c r="C1181" i="20" s="1"/>
  <c r="C1182" i="20" s="1"/>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C1201" i="20" s="1"/>
  <c r="C1202" i="20" s="1"/>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G92" i="38"/>
  <c r="G104" i="39"/>
  <c r="G120" i="38"/>
  <c r="G43" i="39"/>
  <c r="C1266" i="20"/>
  <c r="C1267" i="20" s="1"/>
  <c r="C1268" i="20" s="1"/>
  <c r="C1269" i="20" s="1"/>
  <c r="C1270" i="20" s="1"/>
  <c r="C1271" i="20" s="1"/>
  <c r="C1272" i="20" s="1"/>
  <c r="C1273" i="20" s="1"/>
  <c r="C1274" i="20" s="1"/>
  <c r="C1275" i="20" s="1"/>
  <c r="C1276" i="20" s="1"/>
  <c r="C1277" i="20" s="1"/>
  <c r="C1278" i="20" s="1"/>
  <c r="C1279" i="20" s="1"/>
  <c r="C1280" i="20" s="1"/>
  <c r="C1281" i="20" s="1"/>
  <c r="C1282" i="20" s="1"/>
  <c r="C1283" i="20" s="1"/>
  <c r="C1284" i="20" s="1"/>
  <c r="C1285" i="20" s="1"/>
  <c r="C1286" i="20" s="1"/>
  <c r="C1287" i="20" s="1"/>
  <c r="C1288" i="20" s="1"/>
  <c r="C1289" i="20" s="1"/>
  <c r="C1290" i="20" s="1"/>
  <c r="C1291" i="20" s="1"/>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C554" i="20"/>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J109" i="39"/>
  <c r="C643" i="20"/>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I71" i="38"/>
  <c r="G51" i="39"/>
  <c r="I197" i="38"/>
  <c r="G135" i="38"/>
  <c r="G124" i="38"/>
  <c r="G56" i="38"/>
  <c r="G48" i="38"/>
  <c r="G36" i="38"/>
  <c r="J72" i="38"/>
  <c r="G98" i="39"/>
  <c r="G83" i="39"/>
  <c r="G80" i="39"/>
  <c r="G66" i="39"/>
  <c r="G47" i="39"/>
  <c r="G28" i="39"/>
  <c r="G172" i="38"/>
  <c r="G161" i="38"/>
  <c r="G136" i="38"/>
  <c r="G78" i="39"/>
  <c r="G67" i="39"/>
  <c r="G95" i="38"/>
  <c r="G84" i="38"/>
  <c r="G52" i="38"/>
  <c r="G155" i="38"/>
  <c r="G152" i="38"/>
  <c r="G111" i="38"/>
  <c r="G59" i="38"/>
  <c r="G42" i="38"/>
  <c r="G37" i="38"/>
  <c r="G86" i="39"/>
  <c r="G50" i="39"/>
  <c r="G31" i="39"/>
  <c r="C733" i="20"/>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I541" i="20"/>
  <c r="I95" i="20"/>
  <c r="I185" i="20"/>
  <c r="I719" i="20"/>
  <c r="I808" i="20"/>
  <c r="I363" i="20"/>
  <c r="J197" i="38"/>
  <c r="G146" i="38"/>
  <c r="I177" i="38"/>
  <c r="I183" i="38" s="1"/>
  <c r="G131" i="38"/>
  <c r="G128" i="38"/>
  <c r="G114" i="38"/>
  <c r="J184" i="38"/>
  <c r="G99" i="38"/>
  <c r="G96" i="38"/>
  <c r="G82" i="38"/>
  <c r="C71" i="38"/>
  <c r="G64" i="38"/>
  <c r="G60" i="38"/>
  <c r="G54" i="38"/>
  <c r="G53" i="38"/>
  <c r="G46" i="38"/>
  <c r="G45" i="38"/>
  <c r="K71" i="38"/>
  <c r="G17" i="38"/>
  <c r="G107" i="39"/>
  <c r="G95" i="39"/>
  <c r="G87" i="39"/>
  <c r="G79" i="39"/>
  <c r="K110" i="39"/>
  <c r="G71" i="39"/>
  <c r="G68" i="39"/>
  <c r="G61" i="39"/>
  <c r="G55" i="39"/>
  <c r="G52" i="39"/>
  <c r="G45" i="39"/>
  <c r="G39" i="39"/>
  <c r="G36" i="39"/>
  <c r="G29" i="39"/>
  <c r="G23" i="39"/>
  <c r="G20" i="39"/>
  <c r="D103" i="41"/>
  <c r="D105" i="41" s="1"/>
  <c r="O33" i="21"/>
  <c r="G209" i="2" s="1"/>
  <c r="G20" i="38"/>
  <c r="C110" i="39"/>
  <c r="G57" i="39"/>
  <c r="G41" i="39"/>
  <c r="G25" i="39"/>
  <c r="E100" i="41"/>
  <c r="E103" i="41" s="1"/>
  <c r="D20" i="5"/>
  <c r="K197" i="38"/>
  <c r="G162" i="38"/>
  <c r="G147" i="38"/>
  <c r="G144" i="38"/>
  <c r="K184" i="38"/>
  <c r="G130" i="38"/>
  <c r="D177" i="38"/>
  <c r="D183" i="38" s="1"/>
  <c r="G115" i="38"/>
  <c r="G112" i="38"/>
  <c r="G98" i="38"/>
  <c r="G83" i="38"/>
  <c r="G80" i="38"/>
  <c r="G49" i="38"/>
  <c r="G69" i="39"/>
  <c r="G53" i="39"/>
  <c r="G37" i="39"/>
  <c r="G21" i="39"/>
  <c r="N90" i="13"/>
  <c r="O21" i="13" s="1"/>
  <c r="F43" i="10"/>
  <c r="F340" i="2" s="1"/>
  <c r="G189" i="2" s="1"/>
  <c r="G193" i="2" s="1"/>
  <c r="L200" i="2" s="1"/>
  <c r="P111" i="13"/>
  <c r="P107" i="13"/>
  <c r="P103" i="13"/>
  <c r="P105" i="13"/>
  <c r="P155" i="13"/>
  <c r="P151" i="13"/>
  <c r="P147" i="13"/>
  <c r="P143" i="13"/>
  <c r="P139" i="13"/>
  <c r="P125" i="13"/>
  <c r="P159" i="13"/>
  <c r="P134" i="13"/>
  <c r="P129" i="13"/>
  <c r="P118" i="13"/>
  <c r="P117" i="13"/>
  <c r="P102" i="13"/>
  <c r="I1164" i="20"/>
  <c r="I1075" i="20"/>
  <c r="H33" i="41"/>
  <c r="H37" i="41"/>
  <c r="H41" i="41"/>
  <c r="E69" i="41"/>
  <c r="G10" i="41"/>
  <c r="H43" i="48"/>
  <c r="H34" i="41"/>
  <c r="P130" i="13"/>
  <c r="P126" i="13"/>
  <c r="P114" i="13"/>
  <c r="P110" i="13"/>
  <c r="J47" i="48"/>
  <c r="I18" i="5"/>
  <c r="I19" i="6"/>
  <c r="G115" i="2" s="1"/>
  <c r="P141" i="13"/>
  <c r="P137" i="13"/>
  <c r="P133" i="13"/>
  <c r="P121" i="13"/>
  <c r="P113" i="13"/>
  <c r="P109" i="13"/>
  <c r="G14" i="41"/>
  <c r="G18" i="41"/>
  <c r="F239" i="2"/>
  <c r="L236" i="2"/>
  <c r="H238" i="2"/>
  <c r="L238" i="2"/>
  <c r="P128" i="13"/>
  <c r="P124" i="13"/>
  <c r="P123" i="13"/>
  <c r="P120" i="13"/>
  <c r="P116" i="13"/>
  <c r="P112" i="13"/>
  <c r="H39" i="41"/>
  <c r="H38" i="41"/>
  <c r="K37" i="48"/>
  <c r="D47" i="48"/>
  <c r="I47" i="48"/>
  <c r="E66" i="41"/>
  <c r="E70" i="41"/>
  <c r="F73" i="41"/>
  <c r="E65" i="41"/>
  <c r="P157" i="13"/>
  <c r="P153" i="13"/>
  <c r="P145" i="13"/>
  <c r="L251" i="2"/>
  <c r="H29" i="41"/>
  <c r="H31" i="41"/>
  <c r="H47" i="48"/>
  <c r="P158" i="13"/>
  <c r="P146" i="13"/>
  <c r="P142" i="13"/>
  <c r="P138" i="13"/>
  <c r="P106" i="13"/>
  <c r="L248" i="2"/>
  <c r="G16" i="41"/>
  <c r="F43" i="48"/>
  <c r="J43" i="48"/>
  <c r="F25" i="32"/>
  <c r="F26" i="32" s="1"/>
  <c r="I49" i="5"/>
  <c r="P132" i="13"/>
  <c r="H30" i="41"/>
  <c r="C21" i="7"/>
  <c r="C23" i="7" s="1"/>
  <c r="G123" i="2" s="1"/>
  <c r="L123" i="2" s="1"/>
  <c r="G155" i="2"/>
  <c r="D43" i="48"/>
  <c r="H36" i="41"/>
  <c r="H40" i="41"/>
  <c r="I17" i="6"/>
  <c r="G114" i="2" s="1"/>
  <c r="I43" i="48"/>
  <c r="I50" i="5"/>
  <c r="F85" i="35"/>
  <c r="F88" i="35" s="1"/>
  <c r="G110" i="2" s="1"/>
  <c r="H234" i="2"/>
  <c r="L234" i="2"/>
  <c r="P144" i="13"/>
  <c r="P122" i="13"/>
  <c r="P119" i="13"/>
  <c r="P108" i="13"/>
  <c r="P104" i="13"/>
  <c r="H35" i="41"/>
  <c r="A26" i="5"/>
  <c r="A27" i="5" s="1"/>
  <c r="A28" i="5" s="1"/>
  <c r="A31" i="5" s="1"/>
  <c r="A33" i="5" s="1"/>
  <c r="E66" i="2"/>
  <c r="E70" i="2"/>
  <c r="E72" i="2"/>
  <c r="E74" i="2"/>
  <c r="A29" i="35"/>
  <c r="A30" i="35" s="1"/>
  <c r="A31" i="35" s="1"/>
  <c r="A32" i="35" s="1"/>
  <c r="A33" i="35" s="1"/>
  <c r="A34" i="35" s="1"/>
  <c r="A35" i="35" s="1"/>
  <c r="A36" i="35" s="1"/>
  <c r="A37" i="35" s="1"/>
  <c r="A38" i="35" s="1"/>
  <c r="A39" i="35" s="1"/>
  <c r="A40" i="35" s="1"/>
  <c r="A41" i="35" s="1"/>
  <c r="A42" i="35" s="1"/>
  <c r="E71" i="2"/>
  <c r="E69" i="2"/>
  <c r="E67" i="2"/>
  <c r="E73" i="2"/>
  <c r="E22" i="13"/>
  <c r="E22" i="20"/>
  <c r="E31" i="2"/>
  <c r="B31" i="2"/>
  <c r="B33" i="2" s="1"/>
  <c r="B34" i="2" s="1"/>
  <c r="D33" i="2"/>
  <c r="K177" i="38"/>
  <c r="K183" i="38" s="1"/>
  <c r="J177" i="38"/>
  <c r="J183" i="38" s="1"/>
  <c r="F48" i="13"/>
  <c r="G48" i="20"/>
  <c r="G195" i="38"/>
  <c r="G166" i="38"/>
  <c r="G139" i="38"/>
  <c r="D184" i="38"/>
  <c r="C197" i="38"/>
  <c r="G194" i="38"/>
  <c r="C177" i="38"/>
  <c r="C183" i="38" s="1"/>
  <c r="E20" i="2"/>
  <c r="A184" i="38"/>
  <c r="D35" i="5"/>
  <c r="E177" i="38"/>
  <c r="E183" i="38" s="1"/>
  <c r="G169" i="38"/>
  <c r="G158" i="38"/>
  <c r="G106" i="38"/>
  <c r="F23" i="38"/>
  <c r="C47" i="20"/>
  <c r="C47" i="13"/>
  <c r="G157" i="38"/>
  <c r="G149" i="38"/>
  <c r="G141" i="38"/>
  <c r="G133" i="38"/>
  <c r="G125" i="38"/>
  <c r="G117" i="38"/>
  <c r="G109" i="38"/>
  <c r="G101" i="38"/>
  <c r="G93" i="38"/>
  <c r="G85" i="38"/>
  <c r="G77" i="38"/>
  <c r="C72" i="38"/>
  <c r="D71" i="38"/>
  <c r="E71" i="38"/>
  <c r="E23" i="38"/>
  <c r="G19" i="38"/>
  <c r="G96" i="39"/>
  <c r="E109" i="39"/>
  <c r="G77" i="39"/>
  <c r="D110" i="39"/>
  <c r="E183" i="2"/>
  <c r="A48" i="11"/>
  <c r="G153" i="38"/>
  <c r="G145" i="38"/>
  <c r="G137" i="38"/>
  <c r="G129" i="38"/>
  <c r="G121" i="38"/>
  <c r="G113" i="38"/>
  <c r="G105" i="38"/>
  <c r="G97" i="38"/>
  <c r="G89" i="38"/>
  <c r="G81" i="38"/>
  <c r="F109" i="39"/>
  <c r="K109" i="39"/>
  <c r="A23" i="7"/>
  <c r="B23" i="7"/>
  <c r="J71" i="38"/>
  <c r="D109" i="39"/>
  <c r="G51" i="38"/>
  <c r="G43" i="38"/>
  <c r="K72" i="38"/>
  <c r="G35" i="38"/>
  <c r="C109" i="39"/>
  <c r="G103" i="39"/>
  <c r="G99" i="39"/>
  <c r="P161" i="13"/>
  <c r="P149" i="13"/>
  <c r="P127" i="13"/>
  <c r="N91" i="13"/>
  <c r="M91" i="13"/>
  <c r="M90" i="13"/>
  <c r="P115" i="13"/>
  <c r="G55" i="38"/>
  <c r="G47" i="38"/>
  <c r="G39" i="38"/>
  <c r="G31" i="38"/>
  <c r="G105" i="39"/>
  <c r="G101" i="39"/>
  <c r="G97" i="39"/>
  <c r="I109" i="39"/>
  <c r="G17" i="39"/>
  <c r="A28" i="48"/>
  <c r="A37" i="48" s="1"/>
  <c r="B28" i="48"/>
  <c r="I1342" i="20"/>
  <c r="I630" i="20"/>
  <c r="I986" i="20"/>
  <c r="P156" i="13"/>
  <c r="P152" i="13"/>
  <c r="P135" i="13"/>
  <c r="I274" i="20"/>
  <c r="P160" i="13"/>
  <c r="P154" i="13"/>
  <c r="P150" i="13"/>
  <c r="P148" i="13"/>
  <c r="P136" i="13"/>
  <c r="P131" i="13"/>
  <c r="S27" i="21"/>
  <c r="G177" i="2"/>
  <c r="G145" i="2"/>
  <c r="G20" i="41"/>
  <c r="G22" i="41"/>
  <c r="G15" i="41"/>
  <c r="G13" i="41"/>
  <c r="G17" i="41"/>
  <c r="G21" i="41"/>
  <c r="G43" i="48"/>
  <c r="F47" i="48"/>
  <c r="F23" i="47"/>
  <c r="E64" i="41"/>
  <c r="C74" i="41"/>
  <c r="E50" i="41" s="1"/>
  <c r="F25" i="49"/>
  <c r="L250" i="2"/>
  <c r="G11" i="41"/>
  <c r="G47" i="48"/>
  <c r="K45" i="48"/>
  <c r="P140" i="13"/>
  <c r="H235" i="2"/>
  <c r="G239" i="2"/>
  <c r="E161" i="2" l="1"/>
  <c r="A65" i="9"/>
  <c r="A66" i="9" s="1"/>
  <c r="A67" i="9" s="1"/>
  <c r="E162" i="2"/>
  <c r="G23" i="41"/>
  <c r="H42" i="41"/>
  <c r="G255" i="2" s="1"/>
  <c r="E108" i="2"/>
  <c r="G72" i="38"/>
  <c r="D103" i="13"/>
  <c r="E103" i="13" s="1"/>
  <c r="F103" i="13" s="1"/>
  <c r="G23" i="38"/>
  <c r="D28" i="5"/>
  <c r="S33" i="21"/>
  <c r="L209" i="2" s="1"/>
  <c r="L201" i="2"/>
  <c r="E39" i="13" s="1"/>
  <c r="G109" i="39"/>
  <c r="G200" i="2"/>
  <c r="G201" i="2"/>
  <c r="G110" i="39"/>
  <c r="G199" i="2"/>
  <c r="E105" i="41"/>
  <c r="L246" i="2"/>
  <c r="G184" i="38"/>
  <c r="L252" i="2"/>
  <c r="G257" i="2" s="1"/>
  <c r="H239" i="2"/>
  <c r="I51" i="5"/>
  <c r="G103" i="2" s="1"/>
  <c r="E76" i="41"/>
  <c r="K47" i="48"/>
  <c r="K43" i="48"/>
  <c r="C70" i="20"/>
  <c r="C70" i="13"/>
  <c r="B36" i="2"/>
  <c r="B37" i="2" s="1"/>
  <c r="D36" i="2"/>
  <c r="E38" i="13"/>
  <c r="F38" i="20"/>
  <c r="A39" i="48"/>
  <c r="A41" i="48" s="1"/>
  <c r="N21" i="13"/>
  <c r="P21" i="13" s="1"/>
  <c r="O90" i="13"/>
  <c r="A186" i="38"/>
  <c r="A188" i="38" s="1"/>
  <c r="A190" i="38" s="1"/>
  <c r="A192" i="38" s="1"/>
  <c r="A193" i="38" s="1"/>
  <c r="A194" i="38" s="1"/>
  <c r="A195" i="38" s="1"/>
  <c r="A196" i="38" s="1"/>
  <c r="A197" i="38" s="1"/>
  <c r="D52" i="5" s="1"/>
  <c r="D34" i="5"/>
  <c r="N22" i="13"/>
  <c r="M92" i="13"/>
  <c r="G177" i="38"/>
  <c r="G183" i="38" s="1"/>
  <c r="E79" i="2"/>
  <c r="E82" i="2"/>
  <c r="A49" i="35"/>
  <c r="A50" i="35" s="1"/>
  <c r="A51" i="35" s="1"/>
  <c r="A52" i="35" s="1"/>
  <c r="A53" i="35" s="1"/>
  <c r="A54" i="35" s="1"/>
  <c r="A55" i="35" s="1"/>
  <c r="A56" i="35" s="1"/>
  <c r="A57" i="35" s="1"/>
  <c r="A58" i="35" s="1"/>
  <c r="A59" i="35" s="1"/>
  <c r="A60" i="35" s="1"/>
  <c r="A61" i="35" s="1"/>
  <c r="A62" i="35" s="1"/>
  <c r="E78" i="2"/>
  <c r="E80" i="2"/>
  <c r="E84" i="2"/>
  <c r="E86" i="2"/>
  <c r="E81" i="2"/>
  <c r="E83" i="2"/>
  <c r="E85" i="2"/>
  <c r="G71" i="38"/>
  <c r="O91" i="13"/>
  <c r="O22" i="13"/>
  <c r="N92" i="13"/>
  <c r="A50" i="11"/>
  <c r="A51" i="11" s="1"/>
  <c r="G197" i="38"/>
  <c r="A50" i="41"/>
  <c r="A51" i="41" s="1"/>
  <c r="A52" i="41" s="1"/>
  <c r="A53" i="41" s="1"/>
  <c r="A54" i="41" s="1"/>
  <c r="A55" i="41" s="1"/>
  <c r="A56" i="41" s="1"/>
  <c r="A34" i="5"/>
  <c r="A35" i="5" s="1"/>
  <c r="A36" i="5" s="1"/>
  <c r="A39" i="5" s="1"/>
  <c r="A41" i="5" s="1"/>
  <c r="F26" i="49"/>
  <c r="F27" i="32"/>
  <c r="F24" i="47"/>
  <c r="A68" i="9" l="1"/>
  <c r="A69" i="9" s="1"/>
  <c r="A70" i="9" s="1"/>
  <c r="A72" i="9" s="1"/>
  <c r="E163" i="2" s="1"/>
  <c r="F39" i="20"/>
  <c r="B56" i="41"/>
  <c r="E153" i="2"/>
  <c r="C51" i="11"/>
  <c r="B43" i="48"/>
  <c r="G258" i="2"/>
  <c r="H256" i="2" s="1"/>
  <c r="N23" i="13"/>
  <c r="O92" i="13"/>
  <c r="D36" i="5"/>
  <c r="D227" i="2"/>
  <c r="D228" i="2"/>
  <c r="E245" i="2"/>
  <c r="A58" i="41"/>
  <c r="B58" i="41"/>
  <c r="B39" i="2"/>
  <c r="B42" i="2" s="1"/>
  <c r="B44" i="2" s="1"/>
  <c r="B24" i="2"/>
  <c r="A52" i="11"/>
  <c r="A53" i="11" s="1"/>
  <c r="P22" i="13"/>
  <c r="P23" i="13" s="1"/>
  <c r="O23" i="13"/>
  <c r="A42" i="5"/>
  <c r="A43" i="5" s="1"/>
  <c r="A44" i="5" s="1"/>
  <c r="A47" i="5" s="1"/>
  <c r="A49" i="5" s="1"/>
  <c r="A43" i="48"/>
  <c r="E154" i="2"/>
  <c r="D104" i="13"/>
  <c r="G103" i="13"/>
  <c r="F25" i="47"/>
  <c r="F28" i="32"/>
  <c r="F27" i="49"/>
  <c r="D22" i="20" l="1"/>
  <c r="F22" i="20" s="1"/>
  <c r="H257" i="2"/>
  <c r="D44" i="5"/>
  <c r="H255" i="2"/>
  <c r="E77" i="41"/>
  <c r="E79" i="41" s="1"/>
  <c r="E80" i="41" s="1"/>
  <c r="E51" i="41" s="1"/>
  <c r="E56" i="41" s="1"/>
  <c r="L245" i="2" s="1"/>
  <c r="I256" i="2"/>
  <c r="L256" i="2"/>
  <c r="D22" i="13"/>
  <c r="F22" i="13" s="1"/>
  <c r="A45" i="48"/>
  <c r="B47" i="48" s="1"/>
  <c r="B45" i="2"/>
  <c r="A54" i="11"/>
  <c r="A55" i="11" s="1"/>
  <c r="A50" i="5"/>
  <c r="A51" i="5" s="1"/>
  <c r="A52" i="5" s="1"/>
  <c r="C53" i="11"/>
  <c r="A61" i="41"/>
  <c r="D255" i="2"/>
  <c r="E104" i="13"/>
  <c r="F28" i="49"/>
  <c r="F29" i="32"/>
  <c r="F26" i="47"/>
  <c r="D23" i="20" l="1"/>
  <c r="F23" i="20" s="1"/>
  <c r="D21" i="20"/>
  <c r="D23" i="13"/>
  <c r="F23" i="13" s="1"/>
  <c r="L257" i="2"/>
  <c r="I257" i="2"/>
  <c r="I255" i="2" s="1"/>
  <c r="D21" i="13"/>
  <c r="E58" i="41"/>
  <c r="J255" i="2" s="1"/>
  <c r="L255" i="2" s="1"/>
  <c r="B46" i="2"/>
  <c r="B48" i="2" s="1"/>
  <c r="B66" i="2" s="1"/>
  <c r="D51" i="5"/>
  <c r="D63" i="41"/>
  <c r="A64" i="41"/>
  <c r="A56" i="11"/>
  <c r="C56" i="11"/>
  <c r="C55" i="11"/>
  <c r="A47" i="48"/>
  <c r="C21" i="48" s="1"/>
  <c r="E155" i="2"/>
  <c r="F29" i="49"/>
  <c r="F27" i="47"/>
  <c r="F30" i="32"/>
  <c r="F104" i="13"/>
  <c r="D303" i="2" l="1"/>
  <c r="E48" i="2"/>
  <c r="L258" i="2"/>
  <c r="E21" i="13"/>
  <c r="F21" i="13" s="1"/>
  <c r="F24" i="13" s="1"/>
  <c r="E29" i="13" s="1"/>
  <c r="E21" i="20"/>
  <c r="F21" i="20" s="1"/>
  <c r="F24" i="20" s="1"/>
  <c r="F29" i="20" s="1"/>
  <c r="A57" i="11"/>
  <c r="C57" i="11"/>
  <c r="A65" i="41"/>
  <c r="A66" i="41" s="1"/>
  <c r="A67" i="41" s="1"/>
  <c r="A68" i="41" s="1"/>
  <c r="A69" i="41" s="1"/>
  <c r="A70" i="41" s="1"/>
  <c r="A71" i="41" s="1"/>
  <c r="A72" i="41" s="1"/>
  <c r="A73" i="41" s="1"/>
  <c r="A74" i="41" s="1"/>
  <c r="B67" i="2"/>
  <c r="B68" i="2" s="1"/>
  <c r="F31" i="32"/>
  <c r="F28" i="47"/>
  <c r="D105" i="13"/>
  <c r="G104" i="13"/>
  <c r="F30" i="49"/>
  <c r="G190" i="2" l="1"/>
  <c r="E35" i="13" s="1"/>
  <c r="B76" i="41"/>
  <c r="A76" i="41"/>
  <c r="B50" i="41"/>
  <c r="C75" i="13"/>
  <c r="C75" i="20"/>
  <c r="B69" i="2"/>
  <c r="B70" i="2" s="1"/>
  <c r="E226" i="2"/>
  <c r="A58" i="11"/>
  <c r="C58" i="11"/>
  <c r="F31" i="49"/>
  <c r="F29" i="47"/>
  <c r="F32" i="32"/>
  <c r="E105" i="13"/>
  <c r="F105" i="13" s="1"/>
  <c r="G211" i="2" l="1"/>
  <c r="F35" i="20"/>
  <c r="L211" i="2"/>
  <c r="B71" i="2"/>
  <c r="B72" i="2" s="1"/>
  <c r="A77" i="41"/>
  <c r="A78" i="41" s="1"/>
  <c r="A79" i="41" s="1"/>
  <c r="A80" i="41" s="1"/>
  <c r="A59" i="11"/>
  <c r="A61" i="11" s="1"/>
  <c r="C59" i="11"/>
  <c r="D106" i="13"/>
  <c r="G105" i="13"/>
  <c r="F32" i="49"/>
  <c r="F39" i="32"/>
  <c r="F36" i="32"/>
  <c r="F30" i="47"/>
  <c r="B80" i="41" l="1"/>
  <c r="B51" i="41"/>
  <c r="A85" i="41"/>
  <c r="B73" i="2"/>
  <c r="B74" i="2" s="1"/>
  <c r="A62" i="11"/>
  <c r="C62" i="11"/>
  <c r="F40" i="32"/>
  <c r="F36" i="49"/>
  <c r="F39" i="49"/>
  <c r="F31" i="47"/>
  <c r="E106" i="13"/>
  <c r="F106" i="13" s="1"/>
  <c r="D107" i="13" l="1"/>
  <c r="E107" i="13" s="1"/>
  <c r="F107" i="13" s="1"/>
  <c r="D108" i="13" s="1"/>
  <c r="G106" i="13"/>
  <c r="B75" i="2"/>
  <c r="B77" i="2" s="1"/>
  <c r="B78" i="2" s="1"/>
  <c r="E75" i="2"/>
  <c r="A86" i="41"/>
  <c r="A63" i="11"/>
  <c r="A64" i="11" s="1"/>
  <c r="C72" i="11"/>
  <c r="F32" i="47"/>
  <c r="F40" i="49"/>
  <c r="F41" i="32"/>
  <c r="C64" i="11" l="1"/>
  <c r="B79" i="2"/>
  <c r="B80" i="2" s="1"/>
  <c r="A87" i="41"/>
  <c r="A88" i="41" s="1"/>
  <c r="A65" i="11"/>
  <c r="A66" i="11" s="1"/>
  <c r="F41" i="49"/>
  <c r="F42" i="32"/>
  <c r="F39" i="47"/>
  <c r="F36" i="47"/>
  <c r="E108" i="13"/>
  <c r="F108" i="13" s="1"/>
  <c r="D109" i="13" s="1"/>
  <c r="G107" i="13"/>
  <c r="E90" i="2" l="1"/>
  <c r="G108" i="13"/>
  <c r="A89" i="41"/>
  <c r="B89" i="41"/>
  <c r="A67" i="11"/>
  <c r="C67" i="11"/>
  <c r="C66" i="11"/>
  <c r="B81" i="2"/>
  <c r="B82" i="2" s="1"/>
  <c r="B88" i="41"/>
  <c r="E109" i="13"/>
  <c r="F109" i="13" s="1"/>
  <c r="D110" i="13" s="1"/>
  <c r="F40" i="47"/>
  <c r="F43" i="32"/>
  <c r="F42" i="49"/>
  <c r="E91" i="2" l="1"/>
  <c r="G109" i="13"/>
  <c r="A91" i="41"/>
  <c r="B83" i="2"/>
  <c r="B84" i="2" s="1"/>
  <c r="C68" i="11"/>
  <c r="A68" i="11"/>
  <c r="E110" i="13"/>
  <c r="F110" i="13" s="1"/>
  <c r="F43" i="49"/>
  <c r="F44" i="32"/>
  <c r="F41" i="47"/>
  <c r="B85" i="2" l="1"/>
  <c r="B86" i="2" s="1"/>
  <c r="A69" i="11"/>
  <c r="C69" i="11"/>
  <c r="A92" i="41"/>
  <c r="E92" i="2"/>
  <c r="D111" i="13"/>
  <c r="G110" i="13"/>
  <c r="F44" i="49"/>
  <c r="F45" i="32"/>
  <c r="F42" i="47"/>
  <c r="E93" i="2" l="1"/>
  <c r="C70" i="11"/>
  <c r="A70" i="11"/>
  <c r="A72" i="11" s="1"/>
  <c r="A73" i="11" s="1"/>
  <c r="A74" i="11" s="1"/>
  <c r="A93" i="41"/>
  <c r="A94" i="41" s="1"/>
  <c r="B87" i="2"/>
  <c r="B89" i="2" s="1"/>
  <c r="B90" i="2" s="1"/>
  <c r="E94" i="2"/>
  <c r="E87" i="2"/>
  <c r="F43" i="47"/>
  <c r="F45" i="49"/>
  <c r="E111" i="13"/>
  <c r="F111" i="13" s="1"/>
  <c r="F46" i="32"/>
  <c r="B94" i="41" l="1"/>
  <c r="D112" i="13"/>
  <c r="E112" i="13" s="1"/>
  <c r="G111" i="13"/>
  <c r="A75" i="11"/>
  <c r="A76" i="11" s="1"/>
  <c r="B91" i="2"/>
  <c r="A95" i="41"/>
  <c r="B95" i="41"/>
  <c r="F47" i="32"/>
  <c r="F46" i="49"/>
  <c r="F44" i="47"/>
  <c r="C76" i="11" l="1"/>
  <c r="F112" i="13"/>
  <c r="D113" i="13" s="1"/>
  <c r="E113" i="13" s="1"/>
  <c r="F113" i="13" s="1"/>
  <c r="D114" i="13" s="1"/>
  <c r="C64" i="20"/>
  <c r="C64" i="13"/>
  <c r="B92" i="2"/>
  <c r="B93" i="2" s="1"/>
  <c r="B94" i="2" s="1"/>
  <c r="A77" i="11"/>
  <c r="A78" i="11" s="1"/>
  <c r="C77" i="11"/>
  <c r="A97" i="41"/>
  <c r="F45" i="47"/>
  <c r="F47" i="49"/>
  <c r="F48" i="32"/>
  <c r="G112" i="13" l="1"/>
  <c r="A79" i="11"/>
  <c r="C78" i="11"/>
  <c r="A98" i="41"/>
  <c r="B95" i="2"/>
  <c r="E95" i="2"/>
  <c r="C79" i="11"/>
  <c r="E114" i="13"/>
  <c r="F114" i="13" s="1"/>
  <c r="G113" i="13"/>
  <c r="F46" i="47"/>
  <c r="F49" i="32"/>
  <c r="F48" i="49"/>
  <c r="B98" i="2" l="1"/>
  <c r="B99" i="2" s="1"/>
  <c r="C48" i="11"/>
  <c r="A80" i="11"/>
  <c r="C80" i="11"/>
  <c r="A99" i="41"/>
  <c r="A100" i="41" s="1"/>
  <c r="D115" i="13"/>
  <c r="G114" i="13"/>
  <c r="F49" i="49"/>
  <c r="F50" i="32"/>
  <c r="F47" i="47"/>
  <c r="A101" i="41" l="1"/>
  <c r="B103" i="41"/>
  <c r="B101" i="41"/>
  <c r="B100" i="41"/>
  <c r="B100" i="2"/>
  <c r="B101" i="2" s="1"/>
  <c r="B102" i="2" s="1"/>
  <c r="B103" i="2" s="1"/>
  <c r="B104" i="2" s="1"/>
  <c r="F48" i="47"/>
  <c r="F50" i="49"/>
  <c r="E115" i="13"/>
  <c r="F115" i="13" s="1"/>
  <c r="E104" i="2" l="1"/>
  <c r="B106" i="2"/>
  <c r="B108" i="2" s="1"/>
  <c r="B110" i="2" s="1"/>
  <c r="B112" i="2" s="1"/>
  <c r="B113" i="2" s="1"/>
  <c r="A103" i="41"/>
  <c r="B104" i="41"/>
  <c r="D116" i="13"/>
  <c r="G115" i="13"/>
  <c r="F49" i="47"/>
  <c r="A104" i="41" l="1"/>
  <c r="E246" i="2"/>
  <c r="B114" i="2"/>
  <c r="B115" i="2" s="1"/>
  <c r="B116" i="2" s="1"/>
  <c r="B117" i="2" s="1"/>
  <c r="B118" i="2" s="1"/>
  <c r="B119" i="2" s="1"/>
  <c r="B120" i="2" s="1"/>
  <c r="B121" i="2" s="1"/>
  <c r="B123" i="2" s="1"/>
  <c r="F50" i="47"/>
  <c r="E116" i="13"/>
  <c r="F116" i="13" s="1"/>
  <c r="D117" i="13" s="1"/>
  <c r="E121" i="2" l="1"/>
  <c r="B125" i="2"/>
  <c r="D299" i="2"/>
  <c r="D125" i="2"/>
  <c r="A105" i="41"/>
  <c r="B105" i="41"/>
  <c r="E117" i="13"/>
  <c r="F117" i="13" s="1"/>
  <c r="G116" i="13"/>
  <c r="C28" i="13" l="1"/>
  <c r="C28" i="20"/>
  <c r="B140" i="2"/>
  <c r="D118" i="13"/>
  <c r="G117" i="13"/>
  <c r="B141" i="2" l="1"/>
  <c r="B142" i="2" s="1"/>
  <c r="B143" i="2" s="1"/>
  <c r="B144" i="2" s="1"/>
  <c r="E118" i="13"/>
  <c r="F118" i="13" s="1"/>
  <c r="B145" i="2" l="1"/>
  <c r="B146" i="2" s="1"/>
  <c r="E145" i="2"/>
  <c r="D119" i="13"/>
  <c r="G118" i="13"/>
  <c r="E44" i="2" l="1"/>
  <c r="B147" i="2"/>
  <c r="B148" i="2" s="1"/>
  <c r="D294" i="2"/>
  <c r="E119" i="13"/>
  <c r="F119" i="13" s="1"/>
  <c r="E149" i="2" l="1"/>
  <c r="D296" i="2"/>
  <c r="B149" i="2"/>
  <c r="D120" i="13"/>
  <c r="G119" i="13"/>
  <c r="B151" i="2" l="1"/>
  <c r="D293" i="2"/>
  <c r="E113" i="2"/>
  <c r="E120" i="13"/>
  <c r="F120" i="13" s="1"/>
  <c r="D121" i="13" s="1"/>
  <c r="B152" i="2" l="1"/>
  <c r="G120" i="13"/>
  <c r="E121" i="13"/>
  <c r="F121" i="13" s="1"/>
  <c r="D122" i="13" s="1"/>
  <c r="E160" i="2" l="1"/>
  <c r="B153" i="2"/>
  <c r="B154" i="2" s="1"/>
  <c r="B155" i="2" s="1"/>
  <c r="B156" i="2" s="1"/>
  <c r="B157" i="2" s="1"/>
  <c r="B158" i="2" s="1"/>
  <c r="E122" i="13"/>
  <c r="F122" i="13" s="1"/>
  <c r="D123" i="13" s="1"/>
  <c r="G121" i="13"/>
  <c r="B159" i="2" l="1"/>
  <c r="E159" i="2"/>
  <c r="E123" i="13"/>
  <c r="F123" i="13" s="1"/>
  <c r="G122" i="13"/>
  <c r="D124" i="13" l="1"/>
  <c r="E124" i="13" s="1"/>
  <c r="F124" i="13" s="1"/>
  <c r="D125" i="13" s="1"/>
  <c r="G123" i="13"/>
  <c r="B160" i="2"/>
  <c r="B161" i="2" s="1"/>
  <c r="B162" i="2" s="1"/>
  <c r="B163" i="2" s="1"/>
  <c r="B164" i="2" s="1"/>
  <c r="B165" i="2" s="1"/>
  <c r="E165" i="2" l="1"/>
  <c r="D297" i="2"/>
  <c r="B167" i="2"/>
  <c r="E167" i="2"/>
  <c r="G124" i="13"/>
  <c r="E125" i="13"/>
  <c r="F125" i="13" s="1"/>
  <c r="B168" i="2" l="1"/>
  <c r="E169" i="2" s="1"/>
  <c r="D126" i="13"/>
  <c r="G125" i="13"/>
  <c r="C48" i="20" l="1"/>
  <c r="C48" i="13"/>
  <c r="E30" i="2"/>
  <c r="D312" i="2"/>
  <c r="B169" i="2"/>
  <c r="D310" i="2"/>
  <c r="D307" i="2"/>
  <c r="E126" i="13"/>
  <c r="F126" i="13" s="1"/>
  <c r="D127" i="13" s="1"/>
  <c r="B171" i="2" l="1"/>
  <c r="B172" i="2" s="1"/>
  <c r="E127" i="13"/>
  <c r="F127" i="13" s="1"/>
  <c r="D128" i="13" s="1"/>
  <c r="G126" i="13"/>
  <c r="B173" i="2" l="1"/>
  <c r="B174" i="2" s="1"/>
  <c r="E128" i="13"/>
  <c r="F128" i="13" s="1"/>
  <c r="D129" i="13" s="1"/>
  <c r="G127" i="13"/>
  <c r="C59" i="20" l="1"/>
  <c r="C59" i="13"/>
  <c r="C76" i="13"/>
  <c r="C76" i="20"/>
  <c r="B175" i="2"/>
  <c r="B176" i="2" s="1"/>
  <c r="B177" i="2" s="1"/>
  <c r="E34" i="2"/>
  <c r="G128" i="13"/>
  <c r="E129" i="13"/>
  <c r="F129" i="13" s="1"/>
  <c r="E177" i="2" l="1"/>
  <c r="B179" i="2"/>
  <c r="B180" i="2" s="1"/>
  <c r="B181" i="2" s="1"/>
  <c r="D130" i="13"/>
  <c r="G129" i="13"/>
  <c r="B182" i="2" l="1"/>
  <c r="B183" i="2" s="1"/>
  <c r="B184" i="2" s="1"/>
  <c r="B185" i="2" s="1"/>
  <c r="B186" i="2" s="1"/>
  <c r="E130" i="13"/>
  <c r="F130" i="13" s="1"/>
  <c r="D131" i="13" s="1"/>
  <c r="B188" i="2" l="1"/>
  <c r="B189" i="2" s="1"/>
  <c r="G130" i="13"/>
  <c r="E186" i="2"/>
  <c r="E131" i="13"/>
  <c r="F131" i="13" s="1"/>
  <c r="D132" i="13" s="1"/>
  <c r="G131" i="13" l="1"/>
  <c r="B190" i="2"/>
  <c r="D193" i="2"/>
  <c r="E132" i="13"/>
  <c r="F132" i="13" s="1"/>
  <c r="C35" i="20" l="1"/>
  <c r="C35" i="13"/>
  <c r="B191" i="2"/>
  <c r="B192" i="2" s="1"/>
  <c r="B193" i="2" s="1"/>
  <c r="D133" i="13"/>
  <c r="G132" i="13"/>
  <c r="B194" i="2" l="1"/>
  <c r="E133" i="13"/>
  <c r="F133" i="13" s="1"/>
  <c r="D134" i="13" s="1"/>
  <c r="D338" i="2" l="1"/>
  <c r="B195" i="2"/>
  <c r="E199" i="2"/>
  <c r="E134" i="13"/>
  <c r="F134" i="13" s="1"/>
  <c r="G133" i="13"/>
  <c r="B196" i="2" l="1"/>
  <c r="E200" i="2"/>
  <c r="D135" i="13"/>
  <c r="G134" i="13"/>
  <c r="B198" i="2" l="1"/>
  <c r="E201" i="2"/>
  <c r="E135" i="13"/>
  <c r="F135" i="13" s="1"/>
  <c r="D136" i="13" s="1"/>
  <c r="G135" i="13" l="1"/>
  <c r="B199" i="2"/>
  <c r="B200" i="2" s="1"/>
  <c r="B201" i="2" s="1"/>
  <c r="B203" i="2" s="1"/>
  <c r="E136" i="13"/>
  <c r="F136" i="13" s="1"/>
  <c r="E203" i="2" l="1"/>
  <c r="D137" i="13"/>
  <c r="E137" i="13" s="1"/>
  <c r="F137" i="13" s="1"/>
  <c r="G136" i="13"/>
  <c r="C50" i="20"/>
  <c r="C50" i="13"/>
  <c r="B205" i="2"/>
  <c r="C49" i="13" l="1"/>
  <c r="C49" i="20"/>
  <c r="B207" i="2"/>
  <c r="E198" i="2"/>
  <c r="E37" i="2"/>
  <c r="D138" i="13"/>
  <c r="G137" i="13"/>
  <c r="D301" i="2" l="1"/>
  <c r="B209" i="2"/>
  <c r="E138" i="13"/>
  <c r="F138" i="13" s="1"/>
  <c r="B211" i="2" l="1"/>
  <c r="B213" i="2" s="1"/>
  <c r="D211" i="2"/>
  <c r="D139" i="13"/>
  <c r="G138" i="13"/>
  <c r="E13" i="2" l="1"/>
  <c r="B226" i="2"/>
  <c r="D214" i="2"/>
  <c r="E139" i="13"/>
  <c r="F139" i="13" s="1"/>
  <c r="B227" i="2" l="1"/>
  <c r="B228" i="2" s="1"/>
  <c r="B229" i="2" s="1"/>
  <c r="D140" i="13"/>
  <c r="G139" i="13"/>
  <c r="B231" i="2" l="1"/>
  <c r="B233" i="2" s="1"/>
  <c r="B234" i="2" s="1"/>
  <c r="E231" i="2"/>
  <c r="E68" i="2"/>
  <c r="E229" i="2"/>
  <c r="E140" i="13"/>
  <c r="F140" i="13" s="1"/>
  <c r="D141" i="13" s="1"/>
  <c r="B235" i="2" l="1"/>
  <c r="B236" i="2" s="1"/>
  <c r="B237" i="2" s="1"/>
  <c r="B238" i="2" s="1"/>
  <c r="B239" i="2" s="1"/>
  <c r="B241" i="2" s="1"/>
  <c r="B244" i="2" s="1"/>
  <c r="B245" i="2" s="1"/>
  <c r="E141" i="13"/>
  <c r="F141" i="13" s="1"/>
  <c r="G140" i="13"/>
  <c r="D142" i="13" l="1"/>
  <c r="E142" i="13" s="1"/>
  <c r="F142" i="13" s="1"/>
  <c r="G141" i="13"/>
  <c r="E239" i="2"/>
  <c r="B246" i="2"/>
  <c r="B247" i="2" s="1"/>
  <c r="B248" i="2" s="1"/>
  <c r="B249" i="2" l="1"/>
  <c r="D143" i="13"/>
  <c r="G142" i="13"/>
  <c r="B250" i="2" l="1"/>
  <c r="D256" i="2"/>
  <c r="E143" i="13"/>
  <c r="F143" i="13" s="1"/>
  <c r="D144" i="13" s="1"/>
  <c r="B251" i="2" l="1"/>
  <c r="B252" i="2" s="1"/>
  <c r="E144" i="13"/>
  <c r="F144" i="13" s="1"/>
  <c r="G143" i="13"/>
  <c r="E252" i="2" l="1"/>
  <c r="B254" i="2"/>
  <c r="B255" i="2" s="1"/>
  <c r="D257" i="2"/>
  <c r="D145" i="13"/>
  <c r="G144" i="13"/>
  <c r="D359" i="2" l="1"/>
  <c r="B256" i="2"/>
  <c r="B257" i="2" s="1"/>
  <c r="C19" i="13" s="1"/>
  <c r="E145" i="13"/>
  <c r="F145" i="13" s="1"/>
  <c r="D146" i="13" s="1"/>
  <c r="D350" i="2" l="1"/>
  <c r="D258" i="2"/>
  <c r="C16" i="13"/>
  <c r="C16" i="20"/>
  <c r="B258" i="2"/>
  <c r="C19" i="20"/>
  <c r="G145" i="13"/>
  <c r="E146" i="13"/>
  <c r="F146" i="13" s="1"/>
  <c r="B260" i="2" l="1"/>
  <c r="B77" i="41"/>
  <c r="E205" i="2"/>
  <c r="D191" i="2"/>
  <c r="D147" i="13"/>
  <c r="G146" i="13"/>
  <c r="E147" i="13" l="1"/>
  <c r="F147" i="13" s="1"/>
  <c r="D148" i="13" l="1"/>
  <c r="G147" i="13"/>
  <c r="E148" i="13" l="1"/>
  <c r="F148" i="13" s="1"/>
  <c r="D149" i="13" l="1"/>
  <c r="G148" i="13"/>
  <c r="E149" i="13" l="1"/>
  <c r="F149" i="13" s="1"/>
  <c r="D150" i="13" s="1"/>
  <c r="G149" i="13" l="1"/>
  <c r="E150" i="13"/>
  <c r="F150" i="13" s="1"/>
  <c r="D151" i="13" l="1"/>
  <c r="G150" i="13"/>
  <c r="E151" i="13" l="1"/>
  <c r="F151" i="13" s="1"/>
  <c r="D152" i="13" l="1"/>
  <c r="G151" i="13"/>
  <c r="E152" i="13" l="1"/>
  <c r="F152" i="13" s="1"/>
  <c r="D153" i="13" l="1"/>
  <c r="G152" i="13"/>
  <c r="E153" i="13" l="1"/>
  <c r="F153" i="13" s="1"/>
  <c r="D154" i="13" s="1"/>
  <c r="E154" i="13" l="1"/>
  <c r="F154" i="13" s="1"/>
  <c r="G153" i="13"/>
  <c r="D155" i="13" l="1"/>
  <c r="G154" i="13"/>
  <c r="E155" i="13" l="1"/>
  <c r="F155" i="13" s="1"/>
  <c r="D156" i="13" l="1"/>
  <c r="G155" i="13"/>
  <c r="E156" i="13" l="1"/>
  <c r="F156" i="13" s="1"/>
  <c r="D157" i="13" s="1"/>
  <c r="G156" i="13" l="1"/>
  <c r="E157" i="13"/>
  <c r="F157" i="13" s="1"/>
  <c r="D158" i="13" s="1"/>
  <c r="G157" i="13" l="1"/>
  <c r="E158" i="13"/>
  <c r="F158" i="13" s="1"/>
  <c r="D159" i="13" s="1"/>
  <c r="E159" i="13" l="1"/>
  <c r="F159" i="13" s="1"/>
  <c r="D160" i="13" s="1"/>
  <c r="G158" i="13"/>
  <c r="G159" i="13" l="1"/>
  <c r="E160" i="13"/>
  <c r="F160" i="13" s="1"/>
  <c r="D161" i="13" l="1"/>
  <c r="G160" i="13"/>
  <c r="E161" i="13" l="1"/>
  <c r="E162" i="13" s="1"/>
  <c r="F161" i="13" l="1"/>
  <c r="G161" i="13" s="1"/>
  <c r="H10" i="47" l="1"/>
  <c r="D21" i="47" l="1"/>
  <c r="D22" i="47" s="1"/>
  <c r="I54" i="47"/>
  <c r="H21" i="47" l="1"/>
  <c r="K21" i="47" s="1"/>
  <c r="D23" i="47"/>
  <c r="H22" i="47"/>
  <c r="K22" i="47" s="1"/>
  <c r="D24" i="47" l="1"/>
  <c r="H23" i="47"/>
  <c r="K23" i="47" s="1"/>
  <c r="D25" i="47" l="1"/>
  <c r="H24" i="47"/>
  <c r="K24" i="47" s="1"/>
  <c r="D26" i="47" l="1"/>
  <c r="H25" i="47"/>
  <c r="K25" i="47" s="1"/>
  <c r="D27" i="47" l="1"/>
  <c r="H26" i="47"/>
  <c r="K26" i="47" s="1"/>
  <c r="D28" i="47" l="1"/>
  <c r="H27" i="47"/>
  <c r="K27" i="47" s="1"/>
  <c r="D29" i="47" l="1"/>
  <c r="H28" i="47"/>
  <c r="K28" i="47" s="1"/>
  <c r="D30" i="47" l="1"/>
  <c r="H29" i="47"/>
  <c r="K29" i="47" s="1"/>
  <c r="D31" i="47" l="1"/>
  <c r="H30" i="47"/>
  <c r="K30" i="47" s="1"/>
  <c r="D32" i="47" l="1"/>
  <c r="H32" i="47" s="1"/>
  <c r="H31" i="47"/>
  <c r="K31" i="47" s="1"/>
  <c r="K32" i="47" l="1"/>
  <c r="K33" i="47" s="1"/>
  <c r="D36" i="47" s="1"/>
  <c r="H33" i="47"/>
  <c r="H36" i="47" l="1"/>
  <c r="K36" i="47" s="1"/>
  <c r="D39" i="47" l="1"/>
  <c r="I39" i="47"/>
  <c r="I40" i="47" l="1"/>
  <c r="I41" i="47" s="1"/>
  <c r="I42" i="47" s="1"/>
  <c r="I43" i="47" s="1"/>
  <c r="I44" i="47" s="1"/>
  <c r="I45" i="47" s="1"/>
  <c r="I46" i="47" s="1"/>
  <c r="I47" i="47" s="1"/>
  <c r="I48" i="47" s="1"/>
  <c r="I49" i="47" s="1"/>
  <c r="I50" i="47" s="1"/>
  <c r="H39" i="47"/>
  <c r="K39" i="47"/>
  <c r="D40" i="47" s="1"/>
  <c r="H40" i="47" l="1"/>
  <c r="K40" i="47"/>
  <c r="D41" i="47" s="1"/>
  <c r="I53" i="47"/>
  <c r="I55" i="47" l="1"/>
  <c r="H41" i="47"/>
  <c r="K41" i="47"/>
  <c r="D42" i="47" s="1"/>
  <c r="H42" i="47" l="1"/>
  <c r="K42" i="47"/>
  <c r="D43" i="47" s="1"/>
  <c r="K43" i="47" l="1"/>
  <c r="D44" i="47" s="1"/>
  <c r="H43" i="47"/>
  <c r="H44" i="47" l="1"/>
  <c r="K44" i="47"/>
  <c r="D45" i="47" s="1"/>
  <c r="K45" i="47" l="1"/>
  <c r="D46" i="47" s="1"/>
  <c r="H45" i="47"/>
  <c r="H46" i="47" l="1"/>
  <c r="K46" i="47"/>
  <c r="D47" i="47" s="1"/>
  <c r="K47" i="47" l="1"/>
  <c r="D48" i="47" s="1"/>
  <c r="H47" i="47"/>
  <c r="H48" i="47" l="1"/>
  <c r="K48" i="47"/>
  <c r="D49" i="47" s="1"/>
  <c r="K49" i="47" l="1"/>
  <c r="D50" i="47" s="1"/>
  <c r="H49" i="47"/>
  <c r="K50" i="47" l="1"/>
  <c r="H50" i="47"/>
  <c r="H51" i="47" s="1"/>
  <c r="J13" i="8" l="1"/>
  <c r="I27" i="8" l="1"/>
  <c r="I31" i="8" s="1"/>
  <c r="J17" i="8" l="1"/>
  <c r="J15" i="8"/>
  <c r="J19" i="8"/>
  <c r="J21" i="8" l="1"/>
  <c r="J27" i="8" s="1"/>
  <c r="J31" i="8" s="1"/>
  <c r="K27" i="8"/>
  <c r="K31" i="8" s="1"/>
  <c r="G15" i="2" s="1"/>
  <c r="L15" i="2" s="1"/>
  <c r="E44" i="30" l="1"/>
  <c r="E22" i="11" s="1"/>
  <c r="G22" i="11" s="1"/>
  <c r="E100" i="30" l="1"/>
  <c r="E38" i="11" s="1"/>
  <c r="K38" i="11" s="1"/>
  <c r="E103" i="30"/>
  <c r="E39" i="11" s="1"/>
  <c r="M39" i="11" s="1"/>
  <c r="E75" i="30"/>
  <c r="E34" i="11" s="1"/>
  <c r="M34" i="11" s="1"/>
  <c r="E83" i="30"/>
  <c r="E36" i="11" s="1"/>
  <c r="K36" i="11" s="1"/>
  <c r="E65" i="30"/>
  <c r="E28" i="11" s="1"/>
  <c r="I28" i="11" s="1"/>
  <c r="E107" i="30"/>
  <c r="E40" i="11" s="1"/>
  <c r="M40" i="11" s="1"/>
  <c r="E110" i="30"/>
  <c r="E41" i="11" s="1"/>
  <c r="M41" i="11" s="1"/>
  <c r="E61" i="30"/>
  <c r="E26" i="11" s="1"/>
  <c r="I26" i="11" s="1"/>
  <c r="E93" i="30"/>
  <c r="E37" i="11" s="1"/>
  <c r="K37" i="11" s="1"/>
  <c r="E79" i="30"/>
  <c r="E35" i="11" s="1"/>
  <c r="K35" i="11" s="1"/>
  <c r="E63" i="30"/>
  <c r="E27" i="11" s="1"/>
  <c r="I27" i="11" s="1"/>
  <c r="K43" i="11" l="1"/>
  <c r="G185" i="2" s="1"/>
  <c r="E27" i="30"/>
  <c r="E33" i="30"/>
  <c r="E21" i="11" s="1"/>
  <c r="G21" i="11" s="1"/>
  <c r="I43" i="11"/>
  <c r="G181" i="2" s="1"/>
  <c r="E15" i="30"/>
  <c r="E17" i="11" s="1"/>
  <c r="F113" i="30"/>
  <c r="E50" i="30"/>
  <c r="E23" i="11" s="1"/>
  <c r="G23" i="11" s="1"/>
  <c r="M17" i="11" l="1"/>
  <c r="M43" i="11" s="1"/>
  <c r="G184" i="2" s="1"/>
  <c r="L184" i="2" s="1"/>
  <c r="E20" i="11"/>
  <c r="G20" i="11" s="1"/>
  <c r="G43" i="11" s="1"/>
  <c r="G183" i="2" s="1"/>
  <c r="E25" i="30"/>
  <c r="E113" i="30" s="1"/>
  <c r="G186" i="2" l="1"/>
  <c r="E43" i="11"/>
  <c r="G26" i="48" l="1"/>
  <c r="G27" i="48" l="1"/>
  <c r="G24" i="48"/>
  <c r="C28" i="48"/>
  <c r="D26" i="48" s="1"/>
  <c r="E26" i="48" s="1"/>
  <c r="H26" i="48" s="1"/>
  <c r="I26" i="48" s="1"/>
  <c r="G25" i="48"/>
  <c r="D22" i="48" l="1"/>
  <c r="E22" i="48" s="1"/>
  <c r="D23" i="48"/>
  <c r="E23" i="48" s="1"/>
  <c r="D24" i="48"/>
  <c r="E24" i="48" s="1"/>
  <c r="H24" i="48" s="1"/>
  <c r="I24" i="48" s="1"/>
  <c r="D27" i="48"/>
  <c r="E27" i="48" s="1"/>
  <c r="H27" i="48" s="1"/>
  <c r="I27" i="48" s="1"/>
  <c r="D25" i="48"/>
  <c r="E25" i="48" s="1"/>
  <c r="H25" i="48" s="1"/>
  <c r="I25" i="48" s="1"/>
  <c r="G164" i="2" l="1"/>
  <c r="G22" i="48" l="1"/>
  <c r="H22" i="48"/>
  <c r="I22" i="48" l="1"/>
  <c r="D21" i="9" l="1"/>
  <c r="G148" i="2" s="1"/>
  <c r="F71" i="35" l="1"/>
  <c r="L106" i="2" s="1"/>
  <c r="D23" i="35"/>
  <c r="G67" i="2" s="1"/>
  <c r="L67" i="2" s="1"/>
  <c r="K42" i="35"/>
  <c r="G86" i="2" s="1"/>
  <c r="G23" i="35"/>
  <c r="G70" i="2" s="1"/>
  <c r="K23" i="35"/>
  <c r="G74" i="2" s="1"/>
  <c r="H42" i="35"/>
  <c r="G83" i="2" s="1"/>
  <c r="L83" i="2" s="1"/>
  <c r="I42" i="35"/>
  <c r="G84" i="2" s="1"/>
  <c r="H23" i="35"/>
  <c r="G71" i="2" s="1"/>
  <c r="L71" i="2" s="1"/>
  <c r="I23" i="35"/>
  <c r="G72" i="2" s="1"/>
  <c r="D62" i="35"/>
  <c r="J42" i="35"/>
  <c r="G85" i="2" s="1"/>
  <c r="D42" i="35"/>
  <c r="G79" i="2" s="1"/>
  <c r="L79" i="2" s="1"/>
  <c r="G42" i="35"/>
  <c r="G82" i="2" s="1"/>
  <c r="L82" i="2" s="1"/>
  <c r="C62" i="35"/>
  <c r="L228" i="2" s="1"/>
  <c r="J23" i="35"/>
  <c r="G73" i="2" s="1"/>
  <c r="G94" i="2" l="1"/>
  <c r="G92" i="2"/>
  <c r="L70" i="2"/>
  <c r="L92" i="2" s="1"/>
  <c r="E23" i="35"/>
  <c r="G68" i="2" s="1"/>
  <c r="L226" i="2" s="1"/>
  <c r="C23" i="35"/>
  <c r="G66" i="2" s="1"/>
  <c r="E42" i="35"/>
  <c r="F69" i="35"/>
  <c r="G106" i="2" s="1"/>
  <c r="C42" i="35"/>
  <c r="G78" i="2" s="1"/>
  <c r="G93" i="2"/>
  <c r="K48" i="11" l="1"/>
  <c r="K62" i="11" s="1"/>
  <c r="K64" i="11" s="1"/>
  <c r="K66" i="11" s="1"/>
  <c r="K68" i="11" s="1"/>
  <c r="K69" i="11" s="1"/>
  <c r="I48" i="11"/>
  <c r="I51" i="11" s="1"/>
  <c r="I53" i="11" s="1"/>
  <c r="I55" i="11" s="1"/>
  <c r="G80" i="2"/>
  <c r="G91" i="2" s="1"/>
  <c r="D64" i="35"/>
  <c r="L80" i="2" s="1"/>
  <c r="G90" i="2"/>
  <c r="G75" i="2"/>
  <c r="L66" i="2"/>
  <c r="L78" i="2"/>
  <c r="L229" i="2"/>
  <c r="L68" i="2" s="1"/>
  <c r="K51" i="11" l="1"/>
  <c r="K53" i="11" s="1"/>
  <c r="K55" i="11" s="1"/>
  <c r="K57" i="11" s="1"/>
  <c r="K58" i="11" s="1"/>
  <c r="I62" i="11"/>
  <c r="I64" i="11" s="1"/>
  <c r="I66" i="11" s="1"/>
  <c r="G48" i="11"/>
  <c r="G62" i="11" s="1"/>
  <c r="G64" i="11" s="1"/>
  <c r="G66" i="11" s="1"/>
  <c r="J80" i="2"/>
  <c r="G87" i="2"/>
  <c r="I72" i="11"/>
  <c r="I74" i="11" s="1"/>
  <c r="I76" i="11" s="1"/>
  <c r="K72" i="11"/>
  <c r="K74" i="11" s="1"/>
  <c r="K76" i="11" s="1"/>
  <c r="K78" i="11" s="1"/>
  <c r="K79" i="11" s="1"/>
  <c r="E48" i="11"/>
  <c r="G95" i="2"/>
  <c r="G75" i="20"/>
  <c r="J76" i="2"/>
  <c r="H75" i="13"/>
  <c r="L231" i="2"/>
  <c r="J81" i="2"/>
  <c r="L81" i="2" s="1"/>
  <c r="J174" i="2"/>
  <c r="L174" i="2" s="1"/>
  <c r="L90" i="2"/>
  <c r="G51" i="11" l="1"/>
  <c r="G53" i="11" s="1"/>
  <c r="G55" i="11" s="1"/>
  <c r="J235" i="2"/>
  <c r="L235" i="2" s="1"/>
  <c r="L239" i="2" s="1"/>
  <c r="L241" i="2" s="1"/>
  <c r="J162" i="2"/>
  <c r="J69" i="2"/>
  <c r="L69" i="2" s="1"/>
  <c r="J114" i="2"/>
  <c r="L114" i="2" s="1"/>
  <c r="J161" i="2"/>
  <c r="J149" i="2"/>
  <c r="G59" i="20"/>
  <c r="F59" i="13"/>
  <c r="G76" i="20"/>
  <c r="G77" i="20" s="1"/>
  <c r="G78" i="20" s="1"/>
  <c r="G79" i="20" s="1"/>
  <c r="H76" i="13"/>
  <c r="H77" i="13" s="1"/>
  <c r="H78" i="13" s="1"/>
  <c r="H79" i="13" s="1"/>
  <c r="D98" i="13" s="1"/>
  <c r="M48" i="11"/>
  <c r="E62" i="11"/>
  <c r="E51" i="11"/>
  <c r="G72" i="11" l="1"/>
  <c r="G74" i="11" s="1"/>
  <c r="G76" i="11" s="1"/>
  <c r="D188" i="20"/>
  <c r="I189" i="20" s="1"/>
  <c r="E192" i="20" s="1"/>
  <c r="F192" i="20" s="1"/>
  <c r="D193" i="20" s="1"/>
  <c r="E193" i="20" s="1"/>
  <c r="F193" i="20" s="1"/>
  <c r="D194" i="20" s="1"/>
  <c r="D1078" i="20"/>
  <c r="D366" i="20"/>
  <c r="D98" i="20"/>
  <c r="I99" i="20" s="1"/>
  <c r="E102" i="20" s="1"/>
  <c r="F102" i="20" s="1"/>
  <c r="D103" i="20" s="1"/>
  <c r="E103" i="20" s="1"/>
  <c r="F103" i="20" s="1"/>
  <c r="D104" i="20" s="1"/>
  <c r="D455" i="20"/>
  <c r="I456" i="20" s="1"/>
  <c r="E459" i="20" s="1"/>
  <c r="F459" i="20" s="1"/>
  <c r="D460" i="20" s="1"/>
  <c r="E460" i="20" s="1"/>
  <c r="F460" i="20" s="1"/>
  <c r="D461" i="20" s="1"/>
  <c r="E461" i="20" s="1"/>
  <c r="F461" i="20" s="1"/>
  <c r="D462" i="20" s="1"/>
  <c r="E462" i="20" s="1"/>
  <c r="F462" i="20" s="1"/>
  <c r="D463" i="20" s="1"/>
  <c r="E463" i="20" s="1"/>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E507" i="20" s="1"/>
  <c r="F507" i="20" s="1"/>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D544" i="20"/>
  <c r="I545" i="20" s="1"/>
  <c r="E548" i="20" s="1"/>
  <c r="F548" i="20" s="1"/>
  <c r="D549" i="20" s="1"/>
  <c r="E549" i="20" s="1"/>
  <c r="F549" i="20" s="1"/>
  <c r="D550" i="20" s="1"/>
  <c r="E550" i="20" s="1"/>
  <c r="F550" i="20" s="1"/>
  <c r="D551" i="20" s="1"/>
  <c r="E551" i="20" s="1"/>
  <c r="F551" i="20" s="1"/>
  <c r="D552" i="20" s="1"/>
  <c r="E552" i="20" s="1"/>
  <c r="F552" i="20" s="1"/>
  <c r="D553" i="20" s="1"/>
  <c r="E553" i="20" s="1"/>
  <c r="F553" i="20" s="1"/>
  <c r="D554" i="20" s="1"/>
  <c r="E554" i="20" s="1"/>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D1345" i="20"/>
  <c r="I1346" i="20" s="1"/>
  <c r="E1349" i="20" s="1"/>
  <c r="F1349" i="20" s="1"/>
  <c r="D1350" i="20" s="1"/>
  <c r="E1350" i="20" s="1"/>
  <c r="F1350" i="20" s="1"/>
  <c r="D1351" i="20" s="1"/>
  <c r="E1351" i="20" s="1"/>
  <c r="F1351" i="20" s="1"/>
  <c r="D1352" i="20" s="1"/>
  <c r="E1352" i="20" s="1"/>
  <c r="F1352" i="20" s="1"/>
  <c r="D1353" i="20" s="1"/>
  <c r="E1353" i="20" s="1"/>
  <c r="F1353" i="20" s="1"/>
  <c r="D1354" i="20" s="1"/>
  <c r="E1354" i="20" s="1"/>
  <c r="F1354" i="20" s="1"/>
  <c r="D1355" i="20" s="1"/>
  <c r="E1355" i="20" s="1"/>
  <c r="F1355" i="20" s="1"/>
  <c r="D1356" i="20" s="1"/>
  <c r="E1356" i="20" s="1"/>
  <c r="F1356" i="20" s="1"/>
  <c r="D1357" i="20" s="1"/>
  <c r="E1357" i="20" s="1"/>
  <c r="F1357" i="20" s="1"/>
  <c r="D1358" i="20" s="1"/>
  <c r="E1358" i="20" s="1"/>
  <c r="F1358" i="20" s="1"/>
  <c r="D1359" i="20" s="1"/>
  <c r="E1359" i="20" s="1"/>
  <c r="F1359" i="20" s="1"/>
  <c r="D1360" i="20" s="1"/>
  <c r="E1360" i="20" s="1"/>
  <c r="F1360" i="20" s="1"/>
  <c r="D1361" i="20" s="1"/>
  <c r="E1361" i="20" s="1"/>
  <c r="F1361" i="20" s="1"/>
  <c r="D1362" i="20" s="1"/>
  <c r="E1362" i="20" s="1"/>
  <c r="F1362" i="20" s="1"/>
  <c r="D1363" i="20" s="1"/>
  <c r="E1363" i="20" s="1"/>
  <c r="F1363" i="20" s="1"/>
  <c r="D1364" i="20" s="1"/>
  <c r="E1364" i="20" s="1"/>
  <c r="F1364" i="20" s="1"/>
  <c r="D1365" i="20" s="1"/>
  <c r="E1365" i="20" s="1"/>
  <c r="F1365" i="20" s="1"/>
  <c r="D1366" i="20" s="1"/>
  <c r="E1366" i="20" s="1"/>
  <c r="F1366" i="20" s="1"/>
  <c r="D1367" i="20" s="1"/>
  <c r="E1367" i="20" s="1"/>
  <c r="F1367" i="20" s="1"/>
  <c r="D1368" i="20" s="1"/>
  <c r="E1368" i="20" s="1"/>
  <c r="F1368" i="20" s="1"/>
  <c r="D1369" i="20" s="1"/>
  <c r="E1369" i="20" s="1"/>
  <c r="F1369" i="20" s="1"/>
  <c r="D1370" i="20" s="1"/>
  <c r="E1370" i="20" s="1"/>
  <c r="F1370" i="20" s="1"/>
  <c r="D1371" i="20" s="1"/>
  <c r="E1371" i="20" s="1"/>
  <c r="F1371" i="20" s="1"/>
  <c r="D1372" i="20" s="1"/>
  <c r="E1372" i="20" s="1"/>
  <c r="F1372" i="20" s="1"/>
  <c r="D1373" i="20" s="1"/>
  <c r="E1373" i="20" s="1"/>
  <c r="F1373" i="20" s="1"/>
  <c r="D1374" i="20" s="1"/>
  <c r="E1374" i="20" s="1"/>
  <c r="F1374" i="20" s="1"/>
  <c r="D1375" i="20" s="1"/>
  <c r="E1375" i="20" s="1"/>
  <c r="F1375" i="20" s="1"/>
  <c r="D1376" i="20" s="1"/>
  <c r="E1376" i="20" s="1"/>
  <c r="F1376" i="20" s="1"/>
  <c r="D1377" i="20" s="1"/>
  <c r="E1377" i="20" s="1"/>
  <c r="F1377" i="20" s="1"/>
  <c r="D1378" i="20" s="1"/>
  <c r="E1378" i="20" s="1"/>
  <c r="F1378" i="20" s="1"/>
  <c r="D1379" i="20" s="1"/>
  <c r="E1379" i="20" s="1"/>
  <c r="F1379" i="20" s="1"/>
  <c r="D1380" i="20" s="1"/>
  <c r="E1380" i="20" s="1"/>
  <c r="F1380" i="20" s="1"/>
  <c r="D1381" i="20" s="1"/>
  <c r="E1381" i="20" s="1"/>
  <c r="F1381" i="20" s="1"/>
  <c r="D1382" i="20" s="1"/>
  <c r="E1382" i="20" s="1"/>
  <c r="F1382" i="20" s="1"/>
  <c r="D1383" i="20" s="1"/>
  <c r="E1383" i="20" s="1"/>
  <c r="F1383" i="20" s="1"/>
  <c r="D1384" i="20" s="1"/>
  <c r="E1384" i="20" s="1"/>
  <c r="F1384" i="20" s="1"/>
  <c r="D1385" i="20" s="1"/>
  <c r="E1385" i="20" s="1"/>
  <c r="F1385" i="20" s="1"/>
  <c r="D1386" i="20" s="1"/>
  <c r="E1386" i="20" s="1"/>
  <c r="F1386" i="20" s="1"/>
  <c r="D1387" i="20" s="1"/>
  <c r="E1387" i="20" s="1"/>
  <c r="F1387" i="20" s="1"/>
  <c r="D1388" i="20" s="1"/>
  <c r="E1388" i="20" s="1"/>
  <c r="F1388" i="20" s="1"/>
  <c r="D1389" i="20" s="1"/>
  <c r="E1389" i="20" s="1"/>
  <c r="F1389" i="20" s="1"/>
  <c r="D1390" i="20" s="1"/>
  <c r="E1390" i="20" s="1"/>
  <c r="F1390" i="20" s="1"/>
  <c r="D1391" i="20" s="1"/>
  <c r="E1391" i="20" s="1"/>
  <c r="F1391" i="20" s="1"/>
  <c r="D1392" i="20" s="1"/>
  <c r="E1392" i="20" s="1"/>
  <c r="F1392" i="20" s="1"/>
  <c r="D1393" i="20" s="1"/>
  <c r="E1393" i="20" s="1"/>
  <c r="F1393" i="20" s="1"/>
  <c r="D1394" i="20" s="1"/>
  <c r="E1394" i="20" s="1"/>
  <c r="F1394" i="20" s="1"/>
  <c r="D1395" i="20" s="1"/>
  <c r="E1395" i="20" s="1"/>
  <c r="F1395" i="20" s="1"/>
  <c r="D1396" i="20" s="1"/>
  <c r="E1396" i="20" s="1"/>
  <c r="F1396" i="20" s="1"/>
  <c r="D1397" i="20" s="1"/>
  <c r="E1397" i="20" s="1"/>
  <c r="F1397" i="20" s="1"/>
  <c r="D1398" i="20" s="1"/>
  <c r="E1398" i="20" s="1"/>
  <c r="F1398" i="20" s="1"/>
  <c r="D1399" i="20" s="1"/>
  <c r="E1399" i="20" s="1"/>
  <c r="F1399" i="20" s="1"/>
  <c r="D1400" i="20" s="1"/>
  <c r="E1400" i="20" s="1"/>
  <c r="F1400" i="20" s="1"/>
  <c r="D1401" i="20" s="1"/>
  <c r="E1401" i="20" s="1"/>
  <c r="F1401" i="20" s="1"/>
  <c r="D1402" i="20" s="1"/>
  <c r="E1402" i="20" s="1"/>
  <c r="F1402" i="20" s="1"/>
  <c r="D1403" i="20" s="1"/>
  <c r="E1403" i="20" s="1"/>
  <c r="F1403" i="20" s="1"/>
  <c r="D1404" i="20" s="1"/>
  <c r="E1404" i="20" s="1"/>
  <c r="F1404" i="20" s="1"/>
  <c r="D1405" i="20" s="1"/>
  <c r="E1405" i="20" s="1"/>
  <c r="F1405" i="20" s="1"/>
  <c r="D1406" i="20" s="1"/>
  <c r="E1406" i="20" s="1"/>
  <c r="F1406" i="20" s="1"/>
  <c r="D1407" i="20" s="1"/>
  <c r="E1407" i="20" s="1"/>
  <c r="F1407" i="20" s="1"/>
  <c r="D1408" i="20" s="1"/>
  <c r="D811" i="20"/>
  <c r="D1167" i="20"/>
  <c r="I1168" i="20" s="1"/>
  <c r="E1171" i="20" s="1"/>
  <c r="F1171" i="20" s="1"/>
  <c r="D1172" i="20" s="1"/>
  <c r="E1172" i="20" s="1"/>
  <c r="F1172" i="20" s="1"/>
  <c r="D1173" i="20" s="1"/>
  <c r="E1173" i="20" s="1"/>
  <c r="F1173" i="20" s="1"/>
  <c r="D1174" i="20" s="1"/>
  <c r="E1174" i="20" s="1"/>
  <c r="F1174" i="20" s="1"/>
  <c r="D1175" i="20" s="1"/>
  <c r="E1175" i="20" s="1"/>
  <c r="F1175" i="20" s="1"/>
  <c r="D1176" i="20" s="1"/>
  <c r="E1176" i="20" s="1"/>
  <c r="F1176" i="20" s="1"/>
  <c r="D1177" i="20" s="1"/>
  <c r="E1177" i="20" s="1"/>
  <c r="F1177" i="20" s="1"/>
  <c r="D1178" i="20" s="1"/>
  <c r="E1178" i="20" s="1"/>
  <c r="F1178" i="20" s="1"/>
  <c r="D1179" i="20" s="1"/>
  <c r="E1179" i="20" s="1"/>
  <c r="F1179" i="20" s="1"/>
  <c r="D1180" i="20" s="1"/>
  <c r="E1180" i="20" s="1"/>
  <c r="F1180" i="20" s="1"/>
  <c r="D1181" i="20" s="1"/>
  <c r="E1181" i="20" s="1"/>
  <c r="F1181" i="20" s="1"/>
  <c r="D1182" i="20" s="1"/>
  <c r="E1182" i="20" s="1"/>
  <c r="F1182" i="20" s="1"/>
  <c r="D1183" i="20" s="1"/>
  <c r="E1183" i="20" s="1"/>
  <c r="F1183" i="20" s="1"/>
  <c r="D1184" i="20" s="1"/>
  <c r="E1184" i="20" s="1"/>
  <c r="F1184" i="20" s="1"/>
  <c r="D1185" i="20" s="1"/>
  <c r="E1185" i="20" s="1"/>
  <c r="F1185" i="20" s="1"/>
  <c r="D1186" i="20" s="1"/>
  <c r="E1186" i="20" s="1"/>
  <c r="F1186" i="20" s="1"/>
  <c r="D1187" i="20" s="1"/>
  <c r="E1187" i="20" s="1"/>
  <c r="F1187" i="20" s="1"/>
  <c r="D1188" i="20" s="1"/>
  <c r="E1188" i="20" s="1"/>
  <c r="F1188" i="20" s="1"/>
  <c r="D1189" i="20" s="1"/>
  <c r="E1189" i="20" s="1"/>
  <c r="F1189" i="20" s="1"/>
  <c r="D1190" i="20" s="1"/>
  <c r="E1190" i="20" s="1"/>
  <c r="F1190" i="20" s="1"/>
  <c r="D1191" i="20" s="1"/>
  <c r="E1191" i="20" s="1"/>
  <c r="F1191" i="20" s="1"/>
  <c r="D1192" i="20" s="1"/>
  <c r="E1192" i="20" s="1"/>
  <c r="F1192" i="20" s="1"/>
  <c r="D1193" i="20" s="1"/>
  <c r="E1193" i="20" s="1"/>
  <c r="F1193" i="20" s="1"/>
  <c r="D1194" i="20" s="1"/>
  <c r="E1194" i="20" s="1"/>
  <c r="F1194" i="20" s="1"/>
  <c r="D1195" i="20" s="1"/>
  <c r="E1195" i="20" s="1"/>
  <c r="F1195" i="20" s="1"/>
  <c r="D1196" i="20" s="1"/>
  <c r="E1196" i="20" s="1"/>
  <c r="F1196" i="20" s="1"/>
  <c r="D1197" i="20" s="1"/>
  <c r="E1197" i="20" s="1"/>
  <c r="F1197" i="20" s="1"/>
  <c r="D1198" i="20" s="1"/>
  <c r="E1198" i="20" s="1"/>
  <c r="F1198" i="20" s="1"/>
  <c r="D1199" i="20" s="1"/>
  <c r="E1199" i="20" s="1"/>
  <c r="F1199" i="20" s="1"/>
  <c r="D1200" i="20" s="1"/>
  <c r="E1200" i="20" s="1"/>
  <c r="F1200" i="20" s="1"/>
  <c r="D1201" i="20" s="1"/>
  <c r="E1201" i="20" s="1"/>
  <c r="F1201" i="20" s="1"/>
  <c r="D1202" i="20" s="1"/>
  <c r="E1202" i="20" s="1"/>
  <c r="F1202" i="20" s="1"/>
  <c r="D1203" i="20" s="1"/>
  <c r="E1203" i="20" s="1"/>
  <c r="F1203" i="20" s="1"/>
  <c r="D1204" i="20" s="1"/>
  <c r="E1204" i="20" s="1"/>
  <c r="F1204" i="20" s="1"/>
  <c r="D1205" i="20" s="1"/>
  <c r="E1205" i="20" s="1"/>
  <c r="F1205" i="20" s="1"/>
  <c r="D1206" i="20" s="1"/>
  <c r="E1206" i="20" s="1"/>
  <c r="F1206" i="20" s="1"/>
  <c r="D1207" i="20" s="1"/>
  <c r="E1207" i="20" s="1"/>
  <c r="F1207" i="20" s="1"/>
  <c r="D1208" i="20" s="1"/>
  <c r="E1208" i="20" s="1"/>
  <c r="F1208" i="20" s="1"/>
  <c r="D1209" i="20" s="1"/>
  <c r="E1209" i="20" s="1"/>
  <c r="F1209" i="20" s="1"/>
  <c r="D1210" i="20" s="1"/>
  <c r="E1210" i="20" s="1"/>
  <c r="F1210" i="20" s="1"/>
  <c r="D1211" i="20" s="1"/>
  <c r="E1211" i="20" s="1"/>
  <c r="F1211" i="20" s="1"/>
  <c r="D1212" i="20" s="1"/>
  <c r="E1212" i="20" s="1"/>
  <c r="F1212" i="20" s="1"/>
  <c r="D1213" i="20" s="1"/>
  <c r="E1213" i="20" s="1"/>
  <c r="F1213" i="20" s="1"/>
  <c r="D1214" i="20" s="1"/>
  <c r="E1214" i="20" s="1"/>
  <c r="F1214" i="20" s="1"/>
  <c r="D1215" i="20" s="1"/>
  <c r="E1215" i="20" s="1"/>
  <c r="F1215" i="20" s="1"/>
  <c r="D1216" i="20" s="1"/>
  <c r="E1216" i="20" s="1"/>
  <c r="F1216" i="20" s="1"/>
  <c r="D1217" i="20" s="1"/>
  <c r="E1217" i="20" s="1"/>
  <c r="F1217" i="20" s="1"/>
  <c r="D1218" i="20" s="1"/>
  <c r="E1218" i="20" s="1"/>
  <c r="F1218" i="20" s="1"/>
  <c r="D1219" i="20" s="1"/>
  <c r="E1219" i="20" s="1"/>
  <c r="F1219" i="20" s="1"/>
  <c r="D1220" i="20" s="1"/>
  <c r="E1220" i="20" s="1"/>
  <c r="F1220" i="20" s="1"/>
  <c r="D1221" i="20" s="1"/>
  <c r="E1221" i="20" s="1"/>
  <c r="F1221" i="20" s="1"/>
  <c r="D1222" i="20" s="1"/>
  <c r="E1222" i="20" s="1"/>
  <c r="F1222" i="20" s="1"/>
  <c r="D1223" i="20" s="1"/>
  <c r="E1223" i="20" s="1"/>
  <c r="F1223" i="20" s="1"/>
  <c r="D1224" i="20" s="1"/>
  <c r="E1224" i="20" s="1"/>
  <c r="F1224" i="20" s="1"/>
  <c r="D1225" i="20" s="1"/>
  <c r="E1225" i="20" s="1"/>
  <c r="F1225" i="20" s="1"/>
  <c r="D1226" i="20" s="1"/>
  <c r="E1226" i="20" s="1"/>
  <c r="F1226" i="20" s="1"/>
  <c r="D1227" i="20" s="1"/>
  <c r="E1227" i="20" s="1"/>
  <c r="F1227" i="20" s="1"/>
  <c r="D1228" i="20" s="1"/>
  <c r="E1228" i="20" s="1"/>
  <c r="F1228" i="20" s="1"/>
  <c r="D1229" i="20" s="1"/>
  <c r="E1229" i="20" s="1"/>
  <c r="F1229" i="20" s="1"/>
  <c r="D1230" i="20" s="1"/>
  <c r="D277" i="20"/>
  <c r="D900" i="20"/>
  <c r="I901" i="20" s="1"/>
  <c r="E904" i="20" s="1"/>
  <c r="F904" i="20" s="1"/>
  <c r="D905" i="20" s="1"/>
  <c r="E905" i="20" s="1"/>
  <c r="F905" i="20" s="1"/>
  <c r="D906" i="20" s="1"/>
  <c r="E906" i="20" s="1"/>
  <c r="F906" i="20" s="1"/>
  <c r="D907" i="20" s="1"/>
  <c r="D722" i="20"/>
  <c r="I723" i="20" s="1"/>
  <c r="E726" i="20" s="1"/>
  <c r="F726" i="20" s="1"/>
  <c r="D727" i="20" s="1"/>
  <c r="E727" i="20" s="1"/>
  <c r="F727" i="20" s="1"/>
  <c r="D728" i="20" s="1"/>
  <c r="E728" i="20" s="1"/>
  <c r="F728" i="20" s="1"/>
  <c r="D729" i="20" s="1"/>
  <c r="E729" i="20" s="1"/>
  <c r="F729" i="20" s="1"/>
  <c r="D730" i="20" s="1"/>
  <c r="E730" i="20" s="1"/>
  <c r="F730" i="20" s="1"/>
  <c r="D731" i="20" s="1"/>
  <c r="E731" i="20" s="1"/>
  <c r="F731" i="20" s="1"/>
  <c r="D732" i="20" s="1"/>
  <c r="E732" i="20" s="1"/>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E762" i="20" s="1"/>
  <c r="F762" i="20" s="1"/>
  <c r="D763" i="20" s="1"/>
  <c r="E763" i="20" s="1"/>
  <c r="F763" i="20" s="1"/>
  <c r="D764" i="20" s="1"/>
  <c r="E764" i="20" s="1"/>
  <c r="F764" i="20" s="1"/>
  <c r="D765" i="20" s="1"/>
  <c r="E765" i="20" s="1"/>
  <c r="F765" i="20" s="1"/>
  <c r="D766" i="20" s="1"/>
  <c r="E766" i="20" s="1"/>
  <c r="F766" i="20" s="1"/>
  <c r="D767" i="20" s="1"/>
  <c r="E767" i="20" s="1"/>
  <c r="F767" i="20" s="1"/>
  <c r="D768" i="20" s="1"/>
  <c r="E768" i="20" s="1"/>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D1256" i="20"/>
  <c r="I1257" i="20" s="1"/>
  <c r="E1260" i="20" s="1"/>
  <c r="F1260" i="20" s="1"/>
  <c r="D1261" i="20" s="1"/>
  <c r="E1261" i="20" s="1"/>
  <c r="F1261" i="20" s="1"/>
  <c r="D1262" i="20" s="1"/>
  <c r="E1262" i="20" s="1"/>
  <c r="F1262" i="20" s="1"/>
  <c r="D1263" i="20" s="1"/>
  <c r="E1263" i="20" s="1"/>
  <c r="F1263" i="20" s="1"/>
  <c r="D1264" i="20" s="1"/>
  <c r="E1264" i="20" s="1"/>
  <c r="F1264" i="20" s="1"/>
  <c r="D1265" i="20" s="1"/>
  <c r="E1265" i="20" s="1"/>
  <c r="F1265" i="20" s="1"/>
  <c r="D1266" i="20" s="1"/>
  <c r="E1266" i="20" s="1"/>
  <c r="F1266" i="20" s="1"/>
  <c r="D1267" i="20" s="1"/>
  <c r="E1267" i="20" s="1"/>
  <c r="F1267" i="20" s="1"/>
  <c r="D1268" i="20" s="1"/>
  <c r="E1268" i="20" s="1"/>
  <c r="F1268" i="20" s="1"/>
  <c r="D1269" i="20" s="1"/>
  <c r="E1269" i="20" s="1"/>
  <c r="F1269" i="20" s="1"/>
  <c r="D1270" i="20" s="1"/>
  <c r="E1270" i="20" s="1"/>
  <c r="F1270" i="20" s="1"/>
  <c r="D1271" i="20" s="1"/>
  <c r="E1271" i="20" s="1"/>
  <c r="F1271" i="20" s="1"/>
  <c r="D1272" i="20" s="1"/>
  <c r="E1272" i="20" s="1"/>
  <c r="F1272" i="20" s="1"/>
  <c r="D1273" i="20" s="1"/>
  <c r="E1273" i="20" s="1"/>
  <c r="F1273" i="20" s="1"/>
  <c r="D1274" i="20" s="1"/>
  <c r="E1274" i="20" s="1"/>
  <c r="F1274" i="20" s="1"/>
  <c r="D1275" i="20" s="1"/>
  <c r="E1275" i="20" s="1"/>
  <c r="F1275" i="20" s="1"/>
  <c r="D1276" i="20" s="1"/>
  <c r="E1276" i="20" s="1"/>
  <c r="F1276" i="20" s="1"/>
  <c r="D1277" i="20" s="1"/>
  <c r="E1277" i="20" s="1"/>
  <c r="F1277" i="20" s="1"/>
  <c r="D1278" i="20" s="1"/>
  <c r="E1278" i="20" s="1"/>
  <c r="F1278" i="20" s="1"/>
  <c r="D1279" i="20" s="1"/>
  <c r="E1279" i="20" s="1"/>
  <c r="F1279" i="20" s="1"/>
  <c r="D1280" i="20" s="1"/>
  <c r="E1280" i="20" s="1"/>
  <c r="F1280" i="20" s="1"/>
  <c r="D1281" i="20" s="1"/>
  <c r="E1281" i="20" s="1"/>
  <c r="F1281" i="20" s="1"/>
  <c r="D1282" i="20" s="1"/>
  <c r="E1282" i="20" s="1"/>
  <c r="F1282" i="20" s="1"/>
  <c r="D1283" i="20" s="1"/>
  <c r="E1283" i="20" s="1"/>
  <c r="F1283" i="20" s="1"/>
  <c r="D1284" i="20" s="1"/>
  <c r="E1284" i="20" s="1"/>
  <c r="F1284" i="20" s="1"/>
  <c r="D1285" i="20" s="1"/>
  <c r="E1285" i="20" s="1"/>
  <c r="F1285" i="20" s="1"/>
  <c r="D1286" i="20" s="1"/>
  <c r="E1286" i="20" s="1"/>
  <c r="F1286" i="20" s="1"/>
  <c r="D1287" i="20" s="1"/>
  <c r="E1287" i="20" s="1"/>
  <c r="F1287" i="20" s="1"/>
  <c r="D1288" i="20" s="1"/>
  <c r="E1288" i="20" s="1"/>
  <c r="F1288" i="20" s="1"/>
  <c r="D1289" i="20" s="1"/>
  <c r="E1289" i="20" s="1"/>
  <c r="F1289" i="20" s="1"/>
  <c r="D1290" i="20" s="1"/>
  <c r="E1290" i="20" s="1"/>
  <c r="F1290" i="20" s="1"/>
  <c r="D1291" i="20" s="1"/>
  <c r="E1291" i="20" s="1"/>
  <c r="F1291" i="20" s="1"/>
  <c r="D1292" i="20" s="1"/>
  <c r="E1292" i="20" s="1"/>
  <c r="F1292" i="20" s="1"/>
  <c r="D1293" i="20" s="1"/>
  <c r="E1293" i="20" s="1"/>
  <c r="F1293" i="20" s="1"/>
  <c r="D1294" i="20" s="1"/>
  <c r="E1294" i="20" s="1"/>
  <c r="F1294" i="20" s="1"/>
  <c r="D1295" i="20" s="1"/>
  <c r="E1295" i="20" s="1"/>
  <c r="F1295" i="20" s="1"/>
  <c r="D1296" i="20" s="1"/>
  <c r="E1296" i="20" s="1"/>
  <c r="F1296" i="20" s="1"/>
  <c r="D1297" i="20" s="1"/>
  <c r="E1297" i="20" s="1"/>
  <c r="F1297" i="20" s="1"/>
  <c r="D1298" i="20" s="1"/>
  <c r="E1298" i="20" s="1"/>
  <c r="F1298" i="20" s="1"/>
  <c r="D1299" i="20" s="1"/>
  <c r="E1299" i="20" s="1"/>
  <c r="F1299" i="20" s="1"/>
  <c r="D1300" i="20" s="1"/>
  <c r="E1300" i="20" s="1"/>
  <c r="F1300" i="20" s="1"/>
  <c r="D1301" i="20" s="1"/>
  <c r="E1301" i="20" s="1"/>
  <c r="F1301" i="20" s="1"/>
  <c r="D1302" i="20" s="1"/>
  <c r="E1302" i="20" s="1"/>
  <c r="F1302" i="20" s="1"/>
  <c r="D1303" i="20" s="1"/>
  <c r="E1303" i="20" s="1"/>
  <c r="F1303" i="20" s="1"/>
  <c r="D1304" i="20" s="1"/>
  <c r="E1304" i="20" s="1"/>
  <c r="F1304" i="20" s="1"/>
  <c r="D1305" i="20" s="1"/>
  <c r="E1305" i="20" s="1"/>
  <c r="F1305" i="20" s="1"/>
  <c r="D1306" i="20" s="1"/>
  <c r="E1306" i="20" s="1"/>
  <c r="F1306" i="20" s="1"/>
  <c r="D1307" i="20" s="1"/>
  <c r="E1307" i="20" s="1"/>
  <c r="F1307" i="20" s="1"/>
  <c r="D1308" i="20" s="1"/>
  <c r="E1308" i="20" s="1"/>
  <c r="F1308" i="20" s="1"/>
  <c r="D1309" i="20" s="1"/>
  <c r="E1309" i="20" s="1"/>
  <c r="F1309" i="20" s="1"/>
  <c r="D1310" i="20" s="1"/>
  <c r="E1310" i="20" s="1"/>
  <c r="F1310" i="20" s="1"/>
  <c r="D1311" i="20" s="1"/>
  <c r="E1311" i="20" s="1"/>
  <c r="F1311" i="20" s="1"/>
  <c r="D1312" i="20" s="1"/>
  <c r="E1312" i="20" s="1"/>
  <c r="F1312" i="20" s="1"/>
  <c r="D1313" i="20" s="1"/>
  <c r="E1313" i="20" s="1"/>
  <c r="F1313" i="20" s="1"/>
  <c r="D1314" i="20" s="1"/>
  <c r="E1314" i="20" s="1"/>
  <c r="F1314" i="20" s="1"/>
  <c r="D1315" i="20" s="1"/>
  <c r="E1315" i="20" s="1"/>
  <c r="F1315" i="20" s="1"/>
  <c r="D1316" i="20" s="1"/>
  <c r="E1316" i="20" s="1"/>
  <c r="F1316" i="20" s="1"/>
  <c r="D1317" i="20" s="1"/>
  <c r="E1317" i="20" s="1"/>
  <c r="F1317" i="20" s="1"/>
  <c r="D1318" i="20" s="1"/>
  <c r="E1318" i="20" s="1"/>
  <c r="F1318" i="20" s="1"/>
  <c r="D1319" i="20" s="1"/>
  <c r="D989" i="20"/>
  <c r="D633" i="20"/>
  <c r="I634" i="20" s="1"/>
  <c r="E637" i="20" s="1"/>
  <c r="F637" i="20" s="1"/>
  <c r="D638" i="20" s="1"/>
  <c r="E638" i="20" s="1"/>
  <c r="F638" i="20" s="1"/>
  <c r="D639" i="20" s="1"/>
  <c r="E639" i="20" s="1"/>
  <c r="F639" i="20" s="1"/>
  <c r="D640" i="20" s="1"/>
  <c r="E640" i="20" s="1"/>
  <c r="F640" i="20" s="1"/>
  <c r="D641" i="20" s="1"/>
  <c r="E641" i="20" s="1"/>
  <c r="F641" i="20" s="1"/>
  <c r="D642" i="20" s="1"/>
  <c r="E642" i="20" s="1"/>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E683" i="20" s="1"/>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L91" i="2"/>
  <c r="E64" i="11"/>
  <c r="M62" i="11"/>
  <c r="E72" i="11"/>
  <c r="E53" i="11"/>
  <c r="M51" i="11"/>
  <c r="J73" i="2"/>
  <c r="L73" i="2" s="1"/>
  <c r="J164" i="2"/>
  <c r="L164" i="2" s="1"/>
  <c r="J85" i="2"/>
  <c r="L85" i="2" s="1"/>
  <c r="J117" i="2"/>
  <c r="J176" i="2"/>
  <c r="L176" i="2" s="1"/>
  <c r="J110" i="2"/>
  <c r="L110" i="2" s="1"/>
  <c r="J159" i="2"/>
  <c r="J175" i="2"/>
  <c r="L175" i="2" s="1"/>
  <c r="J115" i="2"/>
  <c r="L115" i="2" s="1"/>
  <c r="J86" i="2"/>
  <c r="L86" i="2" s="1"/>
  <c r="J84" i="2"/>
  <c r="L84" i="2" s="1"/>
  <c r="J72" i="2"/>
  <c r="L72" i="2" s="1"/>
  <c r="J74" i="2"/>
  <c r="L74" i="2" s="1"/>
  <c r="J181" i="2"/>
  <c r="L181" i="2" s="1"/>
  <c r="L177" i="2" l="1"/>
  <c r="E696" i="20"/>
  <c r="E697" i="20" s="1"/>
  <c r="F64" i="13"/>
  <c r="G64" i="20"/>
  <c r="C820" i="20"/>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I812" i="20"/>
  <c r="E815" i="20" s="1"/>
  <c r="F815" i="20" s="1"/>
  <c r="D816" i="20" s="1"/>
  <c r="E816" i="20" s="1"/>
  <c r="F816" i="20" s="1"/>
  <c r="D817" i="20" s="1"/>
  <c r="E817" i="20" s="1"/>
  <c r="F817" i="20" s="1"/>
  <c r="D818" i="20" s="1"/>
  <c r="E818" i="20" s="1"/>
  <c r="F818" i="20" s="1"/>
  <c r="D819" i="20" s="1"/>
  <c r="E819" i="20" s="1"/>
  <c r="F819" i="20" s="1"/>
  <c r="D820" i="20" s="1"/>
  <c r="E820" i="20" s="1"/>
  <c r="F820" i="20" s="1"/>
  <c r="D821"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E846" i="20" s="1"/>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E1408" i="20"/>
  <c r="E1409" i="20" s="1"/>
  <c r="E577" i="20"/>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E518" i="20"/>
  <c r="E519" i="20" s="1"/>
  <c r="E785" i="20"/>
  <c r="E786" i="20" s="1"/>
  <c r="E104" i="20"/>
  <c r="F104" i="20" s="1"/>
  <c r="D105" i="20" s="1"/>
  <c r="E105" i="20" s="1"/>
  <c r="F105" i="20" s="1"/>
  <c r="D106" i="20" s="1"/>
  <c r="E106" i="20" s="1"/>
  <c r="F106" i="20" s="1"/>
  <c r="D107" i="20" s="1"/>
  <c r="C113" i="20"/>
  <c r="C114" i="20" s="1"/>
  <c r="C115" i="20" s="1"/>
  <c r="E1319" i="20"/>
  <c r="E1320" i="20" s="1"/>
  <c r="E907" i="20"/>
  <c r="F907" i="20" s="1"/>
  <c r="D908" i="20" s="1"/>
  <c r="E908" i="20" s="1"/>
  <c r="F908" i="20" s="1"/>
  <c r="D909" i="20" s="1"/>
  <c r="E909" i="20" s="1"/>
  <c r="F909" i="20" s="1"/>
  <c r="D910" i="20" s="1"/>
  <c r="E910" i="20" s="1"/>
  <c r="F910" i="20" s="1"/>
  <c r="D911" i="20" s="1"/>
  <c r="E911" i="20" s="1"/>
  <c r="F911" i="20" s="1"/>
  <c r="D912" i="20" s="1"/>
  <c r="E912" i="20" s="1"/>
  <c r="F912" i="20" s="1"/>
  <c r="D913" i="20" s="1"/>
  <c r="E913" i="20" s="1"/>
  <c r="F913" i="20" s="1"/>
  <c r="D914" i="20" s="1"/>
  <c r="E914" i="20" s="1"/>
  <c r="F914" i="20" s="1"/>
  <c r="D915" i="20" s="1"/>
  <c r="E915" i="20" s="1"/>
  <c r="F915" i="20" s="1"/>
  <c r="D916" i="20" s="1"/>
  <c r="E916" i="20" s="1"/>
  <c r="F916" i="20" s="1"/>
  <c r="D917" i="20" s="1"/>
  <c r="E917" i="20" s="1"/>
  <c r="F917" i="20" s="1"/>
  <c r="D918" i="20" s="1"/>
  <c r="E918" i="20" s="1"/>
  <c r="F918" i="20" s="1"/>
  <c r="D919" i="20" s="1"/>
  <c r="E919" i="20" s="1"/>
  <c r="F919" i="20" s="1"/>
  <c r="D920" i="20" s="1"/>
  <c r="E920" i="20" s="1"/>
  <c r="F920" i="20" s="1"/>
  <c r="D921" i="20" s="1"/>
  <c r="E921" i="20" s="1"/>
  <c r="F921" i="20" s="1"/>
  <c r="D922" i="20" s="1"/>
  <c r="E922" i="20" s="1"/>
  <c r="F922" i="20" s="1"/>
  <c r="D923" i="20" s="1"/>
  <c r="E923" i="20" s="1"/>
  <c r="F923" i="20" s="1"/>
  <c r="D924" i="20" s="1"/>
  <c r="E924" i="20" s="1"/>
  <c r="F924" i="20" s="1"/>
  <c r="D925" i="20" s="1"/>
  <c r="E925" i="20" s="1"/>
  <c r="F925" i="20" s="1"/>
  <c r="D926" i="20" s="1"/>
  <c r="E926" i="20" s="1"/>
  <c r="F926" i="20" s="1"/>
  <c r="D927" i="20" s="1"/>
  <c r="E927" i="20" s="1"/>
  <c r="F927" i="20" s="1"/>
  <c r="D928" i="20" s="1"/>
  <c r="E928" i="20" s="1"/>
  <c r="F928" i="20" s="1"/>
  <c r="D929" i="20" s="1"/>
  <c r="E929" i="20" s="1"/>
  <c r="F929" i="20" s="1"/>
  <c r="D930" i="20" s="1"/>
  <c r="E930" i="20" s="1"/>
  <c r="F930" i="20" s="1"/>
  <c r="D931" i="20" s="1"/>
  <c r="E931" i="20" s="1"/>
  <c r="F931" i="20" s="1"/>
  <c r="D932" i="20" s="1"/>
  <c r="E932" i="20" s="1"/>
  <c r="F932" i="20" s="1"/>
  <c r="D933" i="20" s="1"/>
  <c r="E933" i="20" s="1"/>
  <c r="F933" i="20" s="1"/>
  <c r="D934" i="20" s="1"/>
  <c r="E934" i="20" s="1"/>
  <c r="F934" i="20" s="1"/>
  <c r="D935" i="20" s="1"/>
  <c r="E935" i="20" s="1"/>
  <c r="F935" i="20" s="1"/>
  <c r="D936" i="20" s="1"/>
  <c r="E936" i="20" s="1"/>
  <c r="F936" i="20" s="1"/>
  <c r="D937" i="20" s="1"/>
  <c r="E937" i="20" s="1"/>
  <c r="F937" i="20" s="1"/>
  <c r="D938" i="20" s="1"/>
  <c r="E938" i="20" s="1"/>
  <c r="F938" i="20" s="1"/>
  <c r="D939" i="20" s="1"/>
  <c r="E939" i="20" s="1"/>
  <c r="F939" i="20" s="1"/>
  <c r="D940" i="20" s="1"/>
  <c r="E940" i="20" s="1"/>
  <c r="F940" i="20" s="1"/>
  <c r="D941" i="20" s="1"/>
  <c r="E941" i="20" s="1"/>
  <c r="F941" i="20" s="1"/>
  <c r="D942" i="20" s="1"/>
  <c r="E942" i="20" s="1"/>
  <c r="F942" i="20" s="1"/>
  <c r="D943" i="20" s="1"/>
  <c r="E943" i="20" s="1"/>
  <c r="F943" i="20" s="1"/>
  <c r="D944" i="20" s="1"/>
  <c r="E944" i="20" s="1"/>
  <c r="F944" i="20" s="1"/>
  <c r="D945" i="20" s="1"/>
  <c r="E945" i="20" s="1"/>
  <c r="F945" i="20" s="1"/>
  <c r="D946" i="20" s="1"/>
  <c r="E946" i="20" s="1"/>
  <c r="F946" i="20" s="1"/>
  <c r="D947" i="20" s="1"/>
  <c r="E947" i="20" s="1"/>
  <c r="F947" i="20" s="1"/>
  <c r="D948" i="20" s="1"/>
  <c r="E948" i="20" s="1"/>
  <c r="F948" i="20" s="1"/>
  <c r="D949" i="20" s="1"/>
  <c r="E949" i="20" s="1"/>
  <c r="F949" i="20" s="1"/>
  <c r="D950" i="20" s="1"/>
  <c r="E950" i="20" s="1"/>
  <c r="F950" i="20" s="1"/>
  <c r="D951" i="20" s="1"/>
  <c r="E951" i="20" s="1"/>
  <c r="F951" i="20" s="1"/>
  <c r="D952" i="20" s="1"/>
  <c r="E952" i="20" s="1"/>
  <c r="F952" i="20" s="1"/>
  <c r="D953" i="20" s="1"/>
  <c r="E953" i="20" s="1"/>
  <c r="F953" i="20" s="1"/>
  <c r="D954" i="20" s="1"/>
  <c r="E954" i="20" s="1"/>
  <c r="F954" i="20" s="1"/>
  <c r="D955" i="20" s="1"/>
  <c r="E955" i="20" s="1"/>
  <c r="F955" i="20" s="1"/>
  <c r="D956" i="20" s="1"/>
  <c r="E956" i="20" s="1"/>
  <c r="F956" i="20" s="1"/>
  <c r="D957" i="20" s="1"/>
  <c r="E957" i="20" s="1"/>
  <c r="F957" i="20" s="1"/>
  <c r="D958" i="20" s="1"/>
  <c r="E958" i="20" s="1"/>
  <c r="F958" i="20" s="1"/>
  <c r="D959" i="20" s="1"/>
  <c r="E959" i="20" s="1"/>
  <c r="F959" i="20" s="1"/>
  <c r="D960" i="20" s="1"/>
  <c r="E960" i="20" s="1"/>
  <c r="F960" i="20" s="1"/>
  <c r="D961" i="20" s="1"/>
  <c r="E961" i="20" s="1"/>
  <c r="F961" i="20" s="1"/>
  <c r="D962" i="20" s="1"/>
  <c r="E962" i="20" s="1"/>
  <c r="F962" i="20" s="1"/>
  <c r="D963" i="20" s="1"/>
  <c r="I367" i="20"/>
  <c r="E370" i="20" s="1"/>
  <c r="F370" i="20" s="1"/>
  <c r="D371"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E392" i="20" s="1"/>
  <c r="F392" i="20" s="1"/>
  <c r="D393" i="20" s="1"/>
  <c r="E393" i="20" s="1"/>
  <c r="F393" i="20" s="1"/>
  <c r="D394" i="20" s="1"/>
  <c r="E394" i="20" s="1"/>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405" i="20" s="1"/>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414" i="20" s="1"/>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E428" i="20" s="1"/>
  <c r="F428" i="20" s="1"/>
  <c r="D429" i="20" s="1"/>
  <c r="C375" i="20"/>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E55" i="11"/>
  <c r="M53" i="11"/>
  <c r="I990" i="20"/>
  <c r="E993" i="20" s="1"/>
  <c r="F993" i="20" s="1"/>
  <c r="D994" i="20" s="1"/>
  <c r="E994" i="20" s="1"/>
  <c r="F994" i="20" s="1"/>
  <c r="D995" i="20" s="1"/>
  <c r="E995" i="20" s="1"/>
  <c r="F995" i="20" s="1"/>
  <c r="D996" i="20" s="1"/>
  <c r="E996" i="20" s="1"/>
  <c r="F996" i="20" s="1"/>
  <c r="D997" i="20" s="1"/>
  <c r="E997" i="20" s="1"/>
  <c r="F997" i="20" s="1"/>
  <c r="D998" i="20" s="1"/>
  <c r="E998" i="20" s="1"/>
  <c r="F998" i="20" s="1"/>
  <c r="D999" i="20" s="1"/>
  <c r="E999" i="20" s="1"/>
  <c r="F999" i="20" s="1"/>
  <c r="D1000" i="20" s="1"/>
  <c r="E1000" i="20" s="1"/>
  <c r="F1000" i="20" s="1"/>
  <c r="D1001" i="20" s="1"/>
  <c r="E1001" i="20" s="1"/>
  <c r="F1001" i="20" s="1"/>
  <c r="D1002" i="20" s="1"/>
  <c r="E1002" i="20" s="1"/>
  <c r="F1002" i="20" s="1"/>
  <c r="D1003" i="20" s="1"/>
  <c r="E1003" i="20" s="1"/>
  <c r="F1003" i="20" s="1"/>
  <c r="D1004" i="20" s="1"/>
  <c r="E1004" i="20" s="1"/>
  <c r="F1004" i="20" s="1"/>
  <c r="D1005" i="20" s="1"/>
  <c r="E1005" i="20" s="1"/>
  <c r="F1005" i="20" s="1"/>
  <c r="D1006" i="20" s="1"/>
  <c r="E1006" i="20" s="1"/>
  <c r="F1006" i="20" s="1"/>
  <c r="D1007" i="20" s="1"/>
  <c r="E1007" i="20" s="1"/>
  <c r="F1007" i="20" s="1"/>
  <c r="D1008" i="20" s="1"/>
  <c r="E1008" i="20" s="1"/>
  <c r="F1008" i="20" s="1"/>
  <c r="D1009" i="20" s="1"/>
  <c r="E1009" i="20" s="1"/>
  <c r="F1009" i="20" s="1"/>
  <c r="D1010" i="20" s="1"/>
  <c r="E1010" i="20" s="1"/>
  <c r="F1010" i="20" s="1"/>
  <c r="D1011" i="20" s="1"/>
  <c r="E1011" i="20" s="1"/>
  <c r="F1011" i="20" s="1"/>
  <c r="D1012" i="20" s="1"/>
  <c r="E1012" i="20" s="1"/>
  <c r="F1012" i="20" s="1"/>
  <c r="D1013" i="20" s="1"/>
  <c r="E1013" i="20" s="1"/>
  <c r="F1013" i="20" s="1"/>
  <c r="D1014" i="20" s="1"/>
  <c r="E1014" i="20" s="1"/>
  <c r="F1014" i="20" s="1"/>
  <c r="D1015" i="20" s="1"/>
  <c r="E1015" i="20" s="1"/>
  <c r="F1015" i="20" s="1"/>
  <c r="D1016" i="20" s="1"/>
  <c r="E1016" i="20" s="1"/>
  <c r="F1016" i="20" s="1"/>
  <c r="D1017" i="20" s="1"/>
  <c r="E1017" i="20" s="1"/>
  <c r="F1017" i="20" s="1"/>
  <c r="D1018" i="20" s="1"/>
  <c r="E1018" i="20" s="1"/>
  <c r="F1018" i="20" s="1"/>
  <c r="D1019" i="20" s="1"/>
  <c r="E1019" i="20" s="1"/>
  <c r="F1019" i="20" s="1"/>
  <c r="D1020" i="20" s="1"/>
  <c r="E1020" i="20" s="1"/>
  <c r="F1020" i="20" s="1"/>
  <c r="D1021" i="20" s="1"/>
  <c r="E1021" i="20" s="1"/>
  <c r="F1021" i="20" s="1"/>
  <c r="D1022" i="20" s="1"/>
  <c r="E1022" i="20" s="1"/>
  <c r="F1022" i="20" s="1"/>
  <c r="D1023" i="20" s="1"/>
  <c r="E1023" i="20" s="1"/>
  <c r="F1023" i="20" s="1"/>
  <c r="D1024" i="20" s="1"/>
  <c r="E1024" i="20" s="1"/>
  <c r="F1024" i="20" s="1"/>
  <c r="D1025" i="20" s="1"/>
  <c r="E1025" i="20" s="1"/>
  <c r="F1025" i="20" s="1"/>
  <c r="D1026" i="20" s="1"/>
  <c r="E1026" i="20" s="1"/>
  <c r="F1026" i="20" s="1"/>
  <c r="D1027" i="20" s="1"/>
  <c r="E1027" i="20" s="1"/>
  <c r="F1027" i="20" s="1"/>
  <c r="D1028" i="20" s="1"/>
  <c r="E1028" i="20" s="1"/>
  <c r="F1028" i="20" s="1"/>
  <c r="D1029" i="20" s="1"/>
  <c r="E1029" i="20" s="1"/>
  <c r="F1029" i="20" s="1"/>
  <c r="D1030" i="20" s="1"/>
  <c r="E1030" i="20" s="1"/>
  <c r="F1030" i="20" s="1"/>
  <c r="D1031" i="20" s="1"/>
  <c r="E1031" i="20" s="1"/>
  <c r="F1031" i="20" s="1"/>
  <c r="D1032" i="20" s="1"/>
  <c r="E1032" i="20" s="1"/>
  <c r="F1032" i="20" s="1"/>
  <c r="D1033" i="20" s="1"/>
  <c r="E1033" i="20" s="1"/>
  <c r="F1033" i="20" s="1"/>
  <c r="D1034" i="20" s="1"/>
  <c r="E1034" i="20" s="1"/>
  <c r="F1034" i="20" s="1"/>
  <c r="D1035" i="20" s="1"/>
  <c r="E1035" i="20" s="1"/>
  <c r="F1035" i="20" s="1"/>
  <c r="D1036" i="20" s="1"/>
  <c r="E1036" i="20" s="1"/>
  <c r="F1036" i="20" s="1"/>
  <c r="D1037" i="20" s="1"/>
  <c r="E1037" i="20" s="1"/>
  <c r="F1037" i="20" s="1"/>
  <c r="D1038" i="20" s="1"/>
  <c r="E1038" i="20" s="1"/>
  <c r="F1038" i="20" s="1"/>
  <c r="D1039" i="20" s="1"/>
  <c r="E1039" i="20" s="1"/>
  <c r="F1039" i="20" s="1"/>
  <c r="D1040" i="20" s="1"/>
  <c r="E1040" i="20" s="1"/>
  <c r="F1040" i="20" s="1"/>
  <c r="D1041" i="20" s="1"/>
  <c r="E1041" i="20" s="1"/>
  <c r="F1041" i="20" s="1"/>
  <c r="D1042" i="20" s="1"/>
  <c r="E1042" i="20" s="1"/>
  <c r="F1042" i="20" s="1"/>
  <c r="D1043" i="20" s="1"/>
  <c r="E1043" i="20" s="1"/>
  <c r="F1043" i="20" s="1"/>
  <c r="D1044" i="20" s="1"/>
  <c r="E1044" i="20" s="1"/>
  <c r="F1044" i="20" s="1"/>
  <c r="D1045" i="20" s="1"/>
  <c r="E1045" i="20" s="1"/>
  <c r="F1045" i="20" s="1"/>
  <c r="D1046" i="20" s="1"/>
  <c r="E1046" i="20" s="1"/>
  <c r="F1046" i="20" s="1"/>
  <c r="D1047" i="20" s="1"/>
  <c r="E1047" i="20" s="1"/>
  <c r="F1047" i="20" s="1"/>
  <c r="D1048" i="20" s="1"/>
  <c r="E1048" i="20" s="1"/>
  <c r="F1048" i="20" s="1"/>
  <c r="D1049" i="20" s="1"/>
  <c r="E1049" i="20" s="1"/>
  <c r="F1049" i="20" s="1"/>
  <c r="D1050" i="20" s="1"/>
  <c r="E1050" i="20" s="1"/>
  <c r="F1050" i="20" s="1"/>
  <c r="D1051" i="20" s="1"/>
  <c r="E1051" i="20" s="1"/>
  <c r="F1051" i="20" s="1"/>
  <c r="D1052" i="20" s="1"/>
  <c r="C998" i="20"/>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E74" i="11"/>
  <c r="M72" i="11"/>
  <c r="L94" i="2"/>
  <c r="L93" i="2"/>
  <c r="M64" i="11"/>
  <c r="E66" i="11"/>
  <c r="L87" i="2"/>
  <c r="L75" i="2"/>
  <c r="J75" i="2" s="1"/>
  <c r="C286" i="20"/>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I278" i="20"/>
  <c r="E281" i="20" s="1"/>
  <c r="F281" i="20" s="1"/>
  <c r="D282" i="20" s="1"/>
  <c r="E282" i="20" s="1"/>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E308" i="20" s="1"/>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336" i="20" s="1"/>
  <c r="F336" i="20" s="1"/>
  <c r="D337" i="20" s="1"/>
  <c r="E337" i="20" s="1"/>
  <c r="F337" i="20" s="1"/>
  <c r="D338" i="20" s="1"/>
  <c r="E338" i="20" s="1"/>
  <c r="F338" i="20" s="1"/>
  <c r="D339" i="20" s="1"/>
  <c r="E339" i="20" s="1"/>
  <c r="F339" i="20" s="1"/>
  <c r="D340" i="20" s="1"/>
  <c r="C1087" i="20"/>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I1079" i="20"/>
  <c r="E1082" i="20" s="1"/>
  <c r="F1082" i="20" s="1"/>
  <c r="D1083" i="20" s="1"/>
  <c r="E1083" i="20" s="1"/>
  <c r="F1083" i="20" s="1"/>
  <c r="D1084" i="20" s="1"/>
  <c r="E1084" i="20" s="1"/>
  <c r="F1084" i="20" s="1"/>
  <c r="D1085" i="20" s="1"/>
  <c r="E1085" i="20" s="1"/>
  <c r="F1085" i="20" s="1"/>
  <c r="D1086" i="20" s="1"/>
  <c r="E1086" i="20" s="1"/>
  <c r="F1086" i="20" s="1"/>
  <c r="D1087" i="20" s="1"/>
  <c r="E1087" i="20" s="1"/>
  <c r="F1087" i="20" s="1"/>
  <c r="D1088" i="20" s="1"/>
  <c r="E1088" i="20" s="1"/>
  <c r="F1088" i="20" s="1"/>
  <c r="D1089" i="20" s="1"/>
  <c r="E1089" i="20" s="1"/>
  <c r="F1089" i="20" s="1"/>
  <c r="D1090" i="20" s="1"/>
  <c r="E1090" i="20" s="1"/>
  <c r="F1090" i="20" s="1"/>
  <c r="D1091" i="20" s="1"/>
  <c r="E1091" i="20" s="1"/>
  <c r="F1091" i="20" s="1"/>
  <c r="D1092" i="20" s="1"/>
  <c r="E1092" i="20" s="1"/>
  <c r="F1092" i="20" s="1"/>
  <c r="D1093" i="20" s="1"/>
  <c r="E1093" i="20" s="1"/>
  <c r="F1093" i="20" s="1"/>
  <c r="D1094" i="20" s="1"/>
  <c r="E1094" i="20" s="1"/>
  <c r="F1094" i="20" s="1"/>
  <c r="D1095" i="20" s="1"/>
  <c r="E1095" i="20" s="1"/>
  <c r="F1095" i="20" s="1"/>
  <c r="D1096" i="20" s="1"/>
  <c r="E1096" i="20" s="1"/>
  <c r="F1096" i="20" s="1"/>
  <c r="D1097" i="20" s="1"/>
  <c r="E1097" i="20" s="1"/>
  <c r="F1097" i="20" s="1"/>
  <c r="D1098" i="20" s="1"/>
  <c r="E1098" i="20" s="1"/>
  <c r="F1098" i="20" s="1"/>
  <c r="D1099" i="20" s="1"/>
  <c r="E1099" i="20" s="1"/>
  <c r="F1099" i="20" s="1"/>
  <c r="D1100" i="20" s="1"/>
  <c r="E1100" i="20" s="1"/>
  <c r="F1100" i="20" s="1"/>
  <c r="D1101" i="20" s="1"/>
  <c r="E1101" i="20" s="1"/>
  <c r="F1101" i="20" s="1"/>
  <c r="D1102" i="20" s="1"/>
  <c r="E1102" i="20" s="1"/>
  <c r="F1102" i="20" s="1"/>
  <c r="D1103" i="20" s="1"/>
  <c r="E1103" i="20" s="1"/>
  <c r="F1103" i="20" s="1"/>
  <c r="D1104" i="20" s="1"/>
  <c r="E1104" i="20" s="1"/>
  <c r="F1104" i="20" s="1"/>
  <c r="D1105" i="20" s="1"/>
  <c r="E1105" i="20" s="1"/>
  <c r="F1105" i="20" s="1"/>
  <c r="D1106" i="20" s="1"/>
  <c r="E1106" i="20" s="1"/>
  <c r="F1106" i="20" s="1"/>
  <c r="D1107" i="20" s="1"/>
  <c r="E1107" i="20" s="1"/>
  <c r="F1107" i="20" s="1"/>
  <c r="D1108" i="20" s="1"/>
  <c r="E1108" i="20" s="1"/>
  <c r="F1108" i="20" s="1"/>
  <c r="D1109" i="20" s="1"/>
  <c r="E1109" i="20" s="1"/>
  <c r="F1109" i="20" s="1"/>
  <c r="D1110" i="20" s="1"/>
  <c r="E1110" i="20" s="1"/>
  <c r="F1110" i="20" s="1"/>
  <c r="D1111" i="20" s="1"/>
  <c r="E1111" i="20" s="1"/>
  <c r="F1111" i="20" s="1"/>
  <c r="D1112" i="20" s="1"/>
  <c r="E1112" i="20" s="1"/>
  <c r="F1112" i="20" s="1"/>
  <c r="D1113" i="20" s="1"/>
  <c r="E1113" i="20" s="1"/>
  <c r="F1113" i="20" s="1"/>
  <c r="D1114" i="20" s="1"/>
  <c r="E1114" i="20" s="1"/>
  <c r="F1114" i="20" s="1"/>
  <c r="D1115" i="20" s="1"/>
  <c r="E1115" i="20" s="1"/>
  <c r="F1115" i="20" s="1"/>
  <c r="D1116" i="20" s="1"/>
  <c r="E1116" i="20" s="1"/>
  <c r="F1116" i="20" s="1"/>
  <c r="D1117" i="20" s="1"/>
  <c r="E1117" i="20" s="1"/>
  <c r="F1117" i="20" s="1"/>
  <c r="D1118" i="20" s="1"/>
  <c r="E1118" i="20" s="1"/>
  <c r="F1118" i="20" s="1"/>
  <c r="D1119" i="20" s="1"/>
  <c r="E1119" i="20" s="1"/>
  <c r="F1119" i="20" s="1"/>
  <c r="D1120" i="20" s="1"/>
  <c r="E1120" i="20" s="1"/>
  <c r="F1120" i="20" s="1"/>
  <c r="D1121" i="20" s="1"/>
  <c r="E1121" i="20" s="1"/>
  <c r="F1121" i="20" s="1"/>
  <c r="D1122" i="20" s="1"/>
  <c r="E1122" i="20" s="1"/>
  <c r="F1122" i="20" s="1"/>
  <c r="D1123" i="20" s="1"/>
  <c r="E1123" i="20" s="1"/>
  <c r="F1123" i="20" s="1"/>
  <c r="D1124" i="20" s="1"/>
  <c r="E1124" i="20" s="1"/>
  <c r="F1124" i="20" s="1"/>
  <c r="D1125" i="20" s="1"/>
  <c r="E1125" i="20" s="1"/>
  <c r="F1125" i="20" s="1"/>
  <c r="D1126" i="20" s="1"/>
  <c r="E1126" i="20" s="1"/>
  <c r="F1126" i="20" s="1"/>
  <c r="D1127" i="20" s="1"/>
  <c r="E1127" i="20" s="1"/>
  <c r="F1127" i="20" s="1"/>
  <c r="D1128" i="20" s="1"/>
  <c r="E1128" i="20" s="1"/>
  <c r="F1128" i="20" s="1"/>
  <c r="D1129" i="20" s="1"/>
  <c r="E1129" i="20" s="1"/>
  <c r="F1129" i="20" s="1"/>
  <c r="D1130" i="20" s="1"/>
  <c r="E1130" i="20" s="1"/>
  <c r="F1130" i="20" s="1"/>
  <c r="D1131" i="20" s="1"/>
  <c r="E1131" i="20" s="1"/>
  <c r="F1131" i="20" s="1"/>
  <c r="D1132" i="20" s="1"/>
  <c r="E1132" i="20" s="1"/>
  <c r="F1132" i="20" s="1"/>
  <c r="D1133" i="20" s="1"/>
  <c r="E1133" i="20" s="1"/>
  <c r="F1133" i="20" s="1"/>
  <c r="D1134" i="20" s="1"/>
  <c r="E1134" i="20" s="1"/>
  <c r="F1134" i="20" s="1"/>
  <c r="D1135" i="20" s="1"/>
  <c r="E1135" i="20" s="1"/>
  <c r="F1135" i="20" s="1"/>
  <c r="D1136" i="20" s="1"/>
  <c r="E1136" i="20" s="1"/>
  <c r="F1136" i="20" s="1"/>
  <c r="D1137" i="20" s="1"/>
  <c r="E1137" i="20" s="1"/>
  <c r="F1137" i="20" s="1"/>
  <c r="D1138" i="20" s="1"/>
  <c r="E1138" i="20" s="1"/>
  <c r="F1138" i="20" s="1"/>
  <c r="D1139" i="20" s="1"/>
  <c r="E1139" i="20" s="1"/>
  <c r="F1139" i="20" s="1"/>
  <c r="D1140" i="20" s="1"/>
  <c r="E1140" i="20" s="1"/>
  <c r="F1140" i="20" s="1"/>
  <c r="D1141" i="20" s="1"/>
  <c r="E1230" i="20"/>
  <c r="E1231" i="20" s="1"/>
  <c r="C203" i="20"/>
  <c r="C204" i="20" s="1"/>
  <c r="C205" i="20" s="1"/>
  <c r="C206" i="20" s="1"/>
  <c r="C207" i="20" s="1"/>
  <c r="C208" i="20" s="1"/>
  <c r="C209" i="20" s="1"/>
  <c r="C210" i="20" s="1"/>
  <c r="C211" i="20" s="1"/>
  <c r="C212" i="20" s="1"/>
  <c r="C213" i="20" s="1"/>
  <c r="C214" i="20" s="1"/>
  <c r="C215" i="20" s="1"/>
  <c r="C216" i="20" s="1"/>
  <c r="C217" i="20" s="1"/>
  <c r="C218" i="20" s="1"/>
  <c r="C219" i="20" s="1"/>
  <c r="C220" i="20" s="1"/>
  <c r="C221" i="20" s="1"/>
  <c r="E194" i="20"/>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E250" i="20" s="1"/>
  <c r="F250" i="20" s="1"/>
  <c r="D251" i="20" s="1"/>
  <c r="F696" i="20" l="1"/>
  <c r="F785" i="20"/>
  <c r="F518" i="20"/>
  <c r="F1319" i="20"/>
  <c r="E607" i="20"/>
  <c r="E608" i="20" s="1"/>
  <c r="E963" i="20"/>
  <c r="E964" i="20" s="1"/>
  <c r="C400" i="20"/>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L95" i="2"/>
  <c r="J95" i="2" s="1"/>
  <c r="E56" i="11"/>
  <c r="E57" i="11" s="1"/>
  <c r="I56" i="11"/>
  <c r="I57" i="11" s="1"/>
  <c r="I58" i="11" s="1"/>
  <c r="G56" i="11"/>
  <c r="G57" i="11" s="1"/>
  <c r="G58" i="11" s="1"/>
  <c r="C116" i="20"/>
  <c r="C117" i="20" s="1"/>
  <c r="C118" i="20" s="1"/>
  <c r="C119" i="20" s="1"/>
  <c r="C120" i="20" s="1"/>
  <c r="C121" i="20" s="1"/>
  <c r="C122" i="20" s="1"/>
  <c r="C123" i="20" s="1"/>
  <c r="C124" i="20" s="1"/>
  <c r="C125" i="20" s="1"/>
  <c r="C126" i="20" s="1"/>
  <c r="C127" i="20" s="1"/>
  <c r="C128" i="20" s="1"/>
  <c r="C129" i="20" s="1"/>
  <c r="C130" i="20" s="1"/>
  <c r="C131" i="20" s="1"/>
  <c r="E107" i="20"/>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E160" i="20" s="1"/>
  <c r="F160" i="20" s="1"/>
  <c r="D161" i="20" s="1"/>
  <c r="E874" i="20"/>
  <c r="E875" i="20" s="1"/>
  <c r="E1141" i="20"/>
  <c r="E1142" i="20" s="1"/>
  <c r="C845" i="20"/>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E340" i="20"/>
  <c r="E341" i="20" s="1"/>
  <c r="C1112" i="20"/>
  <c r="C1113" i="20" s="1"/>
  <c r="C1114" i="20" s="1"/>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C311" i="20"/>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E76" i="11"/>
  <c r="M74" i="11"/>
  <c r="E429" i="20"/>
  <c r="E430" i="20" s="1"/>
  <c r="C1023" i="20"/>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E1052" i="20"/>
  <c r="E1053" i="20" s="1"/>
  <c r="E251" i="20"/>
  <c r="E252" i="20" s="1"/>
  <c r="J185" i="2"/>
  <c r="L185" i="2" s="1"/>
  <c r="J116" i="2"/>
  <c r="L116" i="2" s="1"/>
  <c r="J118" i="2"/>
  <c r="J199" i="2"/>
  <c r="L199" i="2" s="1"/>
  <c r="H51" i="30"/>
  <c r="I51" i="30" s="1"/>
  <c r="I50" i="30" s="1"/>
  <c r="J160" i="2"/>
  <c r="L160" i="2" s="1"/>
  <c r="C222" i="20"/>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F1230" i="20"/>
  <c r="E67" i="11"/>
  <c r="E68" i="11" s="1"/>
  <c r="E69" i="11" s="1"/>
  <c r="I67" i="11"/>
  <c r="I68" i="11" s="1"/>
  <c r="I69" i="11" s="1"/>
  <c r="G67" i="11"/>
  <c r="G68" i="11" s="1"/>
  <c r="G69" i="11" s="1"/>
  <c r="F1408" i="20"/>
  <c r="F874" i="20" l="1"/>
  <c r="M57" i="11"/>
  <c r="F607" i="20"/>
  <c r="F429" i="20"/>
  <c r="F1052" i="20"/>
  <c r="F340" i="20"/>
  <c r="F37" i="20"/>
  <c r="E37" i="13"/>
  <c r="E161" i="20"/>
  <c r="E162" i="20" s="1"/>
  <c r="C132" i="20"/>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M69" i="11"/>
  <c r="E70" i="11" s="1"/>
  <c r="F251" i="20"/>
  <c r="F963" i="20"/>
  <c r="M68" i="11"/>
  <c r="E77" i="11"/>
  <c r="E78" i="11" s="1"/>
  <c r="E79" i="11" s="1"/>
  <c r="I77" i="11"/>
  <c r="I78" i="11" s="1"/>
  <c r="I79" i="11" s="1"/>
  <c r="G77" i="11"/>
  <c r="G78" i="11" s="1"/>
  <c r="G79" i="11" s="1"/>
  <c r="F1141" i="20"/>
  <c r="E58" i="11"/>
  <c r="M58" i="11" s="1"/>
  <c r="E59" i="11" s="1"/>
  <c r="G70" i="11" l="1"/>
  <c r="H28" i="30" s="1"/>
  <c r="I28" i="30" s="1"/>
  <c r="I27" i="30" s="1"/>
  <c r="F161" i="20"/>
  <c r="M79" i="11"/>
  <c r="E80" i="11" s="1"/>
  <c r="G59" i="11"/>
  <c r="H34" i="30" s="1"/>
  <c r="I34" i="30" s="1"/>
  <c r="I33" i="30" s="1"/>
  <c r="I59" i="11"/>
  <c r="I70" i="11"/>
  <c r="G80" i="11" l="1"/>
  <c r="H45" i="30" s="1"/>
  <c r="I45" i="30" s="1"/>
  <c r="I44" i="30" s="1"/>
  <c r="I25" i="30" s="1"/>
  <c r="L183" i="2" s="1"/>
  <c r="L186" i="2" s="1"/>
  <c r="I80" i="11"/>
  <c r="D42" i="9" l="1"/>
  <c r="G156" i="2" s="1"/>
  <c r="F42" i="9" l="1"/>
  <c r="G161" i="2" s="1"/>
  <c r="L161" i="2" s="1"/>
  <c r="E42" i="9" l="1"/>
  <c r="L45" i="2"/>
  <c r="L46" i="2" l="1"/>
  <c r="D62" i="9" l="1"/>
  <c r="G157" i="2" s="1"/>
  <c r="D33" i="9"/>
  <c r="G146" i="2" s="1"/>
  <c r="F62" i="9" l="1"/>
  <c r="G162" i="2" s="1"/>
  <c r="L162" i="2" s="1"/>
  <c r="G149" i="2"/>
  <c r="L44" i="2"/>
  <c r="L48" i="2" s="1"/>
  <c r="E62" i="9" l="1"/>
  <c r="L149" i="2"/>
  <c r="G113" i="2"/>
  <c r="L113" i="2" l="1"/>
  <c r="D72" i="9" l="1"/>
  <c r="G158" i="2" s="1"/>
  <c r="G159" i="2" s="1"/>
  <c r="L159" i="2" l="1"/>
  <c r="E72" i="9" l="1"/>
  <c r="F72" i="9"/>
  <c r="G163" i="2" s="1"/>
  <c r="G165" i="2" s="1"/>
  <c r="G167" i="2" s="1"/>
  <c r="G169" i="2" s="1"/>
  <c r="L163" i="2" l="1"/>
  <c r="L165" i="2" s="1"/>
  <c r="L167" i="2" s="1"/>
  <c r="L169" i="2" s="1"/>
  <c r="I52" i="5" l="1"/>
  <c r="L103" i="2" s="1"/>
  <c r="I42" i="5" l="1"/>
  <c r="I34" i="5"/>
  <c r="I26" i="5"/>
  <c r="I41" i="5" l="1"/>
  <c r="G102" i="2" s="1"/>
  <c r="G44" i="5"/>
  <c r="E44" i="5" l="1"/>
  <c r="I43" i="5"/>
  <c r="I44" i="5" s="1"/>
  <c r="L102" i="2" s="1"/>
  <c r="E36" i="5" l="1"/>
  <c r="I25" i="5"/>
  <c r="G100" i="2" s="1"/>
  <c r="G28" i="5"/>
  <c r="I35" i="5" l="1"/>
  <c r="I33" i="5"/>
  <c r="G101" i="2" s="1"/>
  <c r="G36" i="5"/>
  <c r="I17" i="5" l="1"/>
  <c r="G99" i="2" s="1"/>
  <c r="G104" i="2" s="1"/>
  <c r="G20" i="5"/>
  <c r="I36" i="5"/>
  <c r="L101" i="2" s="1"/>
  <c r="E20" i="5" l="1"/>
  <c r="I19" i="5"/>
  <c r="I20" i="5" s="1"/>
  <c r="L99" i="2" s="1"/>
  <c r="E28" i="5" l="1"/>
  <c r="I27" i="5"/>
  <c r="I28" i="5" s="1"/>
  <c r="L100" i="2" s="1"/>
  <c r="L104" i="2" s="1"/>
  <c r="J89" i="6" l="1"/>
  <c r="K89" i="6" s="1"/>
  <c r="E89" i="6" s="1"/>
  <c r="J79" i="6"/>
  <c r="J57" i="6"/>
  <c r="K57" i="6" s="1"/>
  <c r="E57" i="6" s="1"/>
  <c r="J47" i="6"/>
  <c r="K47" i="6" l="1"/>
  <c r="E47" i="6" s="1"/>
  <c r="J63" i="6"/>
  <c r="J29" i="6" s="1"/>
  <c r="J96" i="6"/>
  <c r="J30" i="6" s="1"/>
  <c r="J31" i="6" s="1"/>
  <c r="G117" i="2" s="1"/>
  <c r="K79" i="6"/>
  <c r="E79" i="6" s="1"/>
  <c r="L117" i="2" l="1"/>
  <c r="E80" i="6" l="1"/>
  <c r="E91" i="6" l="1"/>
  <c r="E48" i="6"/>
  <c r="E59" i="6" l="1"/>
  <c r="I39" i="6" l="1"/>
  <c r="E86" i="6"/>
  <c r="E54" i="6"/>
  <c r="E81" i="6"/>
  <c r="E49" i="6"/>
  <c r="I83" i="6"/>
  <c r="K83" i="6" s="1"/>
  <c r="E83" i="6" s="1"/>
  <c r="I51" i="6"/>
  <c r="K51" i="6" s="1"/>
  <c r="E51" i="6" s="1"/>
  <c r="E50" i="6"/>
  <c r="E82" i="6"/>
  <c r="E58" i="6"/>
  <c r="E90" i="6"/>
  <c r="E77" i="6"/>
  <c r="E45" i="6"/>
  <c r="I52" i="6"/>
  <c r="K52" i="6" s="1"/>
  <c r="E52" i="6" s="1"/>
  <c r="I84" i="6"/>
  <c r="K84" i="6" s="1"/>
  <c r="E84" i="6" s="1"/>
  <c r="E46" i="6"/>
  <c r="E78" i="6"/>
  <c r="E41" i="6"/>
  <c r="E73" i="6"/>
  <c r="E76" i="6"/>
  <c r="E44" i="6"/>
  <c r="E55" i="6"/>
  <c r="E87" i="6"/>
  <c r="E75" i="6"/>
  <c r="E43" i="6"/>
  <c r="E42" i="6"/>
  <c r="E74" i="6"/>
  <c r="E85" i="6"/>
  <c r="E53" i="6"/>
  <c r="E56" i="6"/>
  <c r="E88" i="6"/>
  <c r="E72" i="6"/>
  <c r="E40" i="6"/>
  <c r="D96" i="6" l="1"/>
  <c r="D30" i="6" s="1"/>
  <c r="I71" i="6"/>
  <c r="D63" i="6"/>
  <c r="D29" i="6" s="1"/>
  <c r="K39" i="6"/>
  <c r="I63" i="6"/>
  <c r="I29" i="6" s="1"/>
  <c r="K71" i="6" l="1"/>
  <c r="I96" i="6"/>
  <c r="I30" i="6" s="1"/>
  <c r="I31" i="6" s="1"/>
  <c r="G118" i="2" s="1"/>
  <c r="K63" i="6"/>
  <c r="K29" i="6" s="1"/>
  <c r="E39" i="6"/>
  <c r="E63" i="6" s="1"/>
  <c r="E29" i="6" s="1"/>
  <c r="D31" i="6"/>
  <c r="L118" i="2" l="1"/>
  <c r="K96" i="6"/>
  <c r="K30" i="6" s="1"/>
  <c r="K31" i="6" s="1"/>
  <c r="E71" i="6"/>
  <c r="E96" i="6" s="1"/>
  <c r="E30" i="6" s="1"/>
  <c r="E31" i="6" s="1"/>
  <c r="G120" i="2" s="1"/>
  <c r="L120" i="2" s="1"/>
  <c r="G121" i="2" l="1"/>
  <c r="G125" i="2" s="1"/>
  <c r="G205" i="2" s="1"/>
  <c r="G198" i="2" s="1"/>
  <c r="G203" i="2" s="1"/>
  <c r="G213" i="2" s="1"/>
  <c r="L121" i="2"/>
  <c r="L125" i="2" s="1"/>
  <c r="F28" i="20" l="1"/>
  <c r="F30" i="20" s="1"/>
  <c r="E28" i="13"/>
  <c r="E30" i="13" s="1"/>
  <c r="L205" i="2"/>
  <c r="F56" i="13" l="1"/>
  <c r="E34" i="13"/>
  <c r="E36" i="13" s="1"/>
  <c r="E40" i="13" s="1"/>
  <c r="F57" i="13" s="1"/>
  <c r="L198" i="2"/>
  <c r="L203" i="2" s="1"/>
  <c r="L213" i="2" s="1"/>
  <c r="L13" i="2" s="1"/>
  <c r="F49" i="13"/>
  <c r="G49" i="20"/>
  <c r="F34" i="20"/>
  <c r="F36" i="20" s="1"/>
  <c r="F40" i="20" s="1"/>
  <c r="G57" i="20" s="1"/>
  <c r="G56" i="20"/>
  <c r="G47" i="20" l="1"/>
  <c r="L37" i="2"/>
  <c r="L34" i="2"/>
  <c r="F47" i="13"/>
  <c r="L20" i="2"/>
  <c r="L30" i="2"/>
  <c r="L31" i="2" s="1"/>
  <c r="F50" i="13"/>
  <c r="G50" i="20"/>
  <c r="F51" i="13" l="1"/>
  <c r="F55" i="13" s="1"/>
  <c r="F58" i="13" s="1"/>
  <c r="G70" i="20"/>
  <c r="F70" i="13"/>
  <c r="J97" i="13" s="1"/>
  <c r="G51" i="20"/>
  <c r="G55" i="20" s="1"/>
  <c r="G58" i="20" s="1"/>
  <c r="H149" i="13" l="1"/>
  <c r="H155" i="13"/>
  <c r="H154" i="13"/>
  <c r="H161" i="13"/>
  <c r="H113" i="13"/>
  <c r="H124" i="13"/>
  <c r="H109" i="13"/>
  <c r="H134" i="13"/>
  <c r="H126" i="13"/>
  <c r="H157" i="13"/>
  <c r="H120" i="13"/>
  <c r="H104" i="13"/>
  <c r="H137" i="13"/>
  <c r="H117" i="13"/>
  <c r="H105" i="13"/>
  <c r="H152" i="13"/>
  <c r="H103" i="13"/>
  <c r="H111" i="13"/>
  <c r="H151" i="13"/>
  <c r="H159" i="13"/>
  <c r="H160" i="13"/>
  <c r="H130" i="13"/>
  <c r="H145" i="13"/>
  <c r="H107" i="13"/>
  <c r="H139" i="13"/>
  <c r="H108" i="13"/>
  <c r="H153" i="13"/>
  <c r="H141" i="13"/>
  <c r="H121" i="13"/>
  <c r="H106" i="13"/>
  <c r="H143" i="13"/>
  <c r="H147" i="13"/>
  <c r="H125" i="13"/>
  <c r="H158" i="13"/>
  <c r="H136" i="13"/>
  <c r="H156" i="13"/>
  <c r="J98" i="13"/>
  <c r="H132" i="13"/>
  <c r="H148" i="13"/>
  <c r="H135" i="13"/>
  <c r="H131" i="13"/>
  <c r="H127" i="13"/>
  <c r="H123" i="13"/>
  <c r="H150" i="13"/>
  <c r="H119" i="13"/>
  <c r="H118" i="13"/>
  <c r="H140" i="13"/>
  <c r="H116" i="13"/>
  <c r="H122" i="13"/>
  <c r="H114" i="13"/>
  <c r="H115" i="13"/>
  <c r="H102" i="13"/>
  <c r="H110" i="13"/>
  <c r="H146" i="13"/>
  <c r="H144" i="13"/>
  <c r="H142" i="13"/>
  <c r="H129" i="13"/>
  <c r="H128" i="13"/>
  <c r="H138" i="13"/>
  <c r="H112" i="13"/>
  <c r="H133" i="13"/>
  <c r="G60" i="20"/>
  <c r="G68" i="20" s="1"/>
  <c r="G69" i="20" s="1"/>
  <c r="G71" i="20" s="1"/>
  <c r="G65" i="20"/>
  <c r="G66" i="20" s="1"/>
  <c r="I810" i="20"/>
  <c r="I1166" i="20"/>
  <c r="I1255" i="20"/>
  <c r="I97" i="20"/>
  <c r="I543" i="20"/>
  <c r="I1077" i="20"/>
  <c r="I276" i="20"/>
  <c r="I187" i="20"/>
  <c r="I454" i="20"/>
  <c r="I988" i="20"/>
  <c r="I632" i="20"/>
  <c r="I1344" i="20"/>
  <c r="I899" i="20"/>
  <c r="I721" i="20"/>
  <c r="I365" i="20"/>
  <c r="F60" i="13"/>
  <c r="F68" i="13" s="1"/>
  <c r="F69" i="13" s="1"/>
  <c r="F71" i="13" s="1"/>
  <c r="F65" i="13"/>
  <c r="F66" i="13" s="1"/>
  <c r="G836" i="20" l="1"/>
  <c r="G847" i="20"/>
  <c r="G862" i="20"/>
  <c r="G832" i="20"/>
  <c r="G841" i="20"/>
  <c r="G854" i="20"/>
  <c r="G827" i="20"/>
  <c r="G868" i="20"/>
  <c r="G834" i="20"/>
  <c r="G873" i="20"/>
  <c r="I811" i="20"/>
  <c r="G861" i="20"/>
  <c r="G835" i="20"/>
  <c r="G859" i="20"/>
  <c r="G839" i="20"/>
  <c r="G842" i="20"/>
  <c r="G840" i="20"/>
  <c r="G869" i="20"/>
  <c r="G853" i="20"/>
  <c r="G851" i="20"/>
  <c r="G857" i="20"/>
  <c r="G855" i="20"/>
  <c r="G833" i="20"/>
  <c r="G825" i="20"/>
  <c r="N802" i="20" s="1"/>
  <c r="G874" i="20"/>
  <c r="G871" i="20"/>
  <c r="G817" i="20"/>
  <c r="G850" i="20"/>
  <c r="G826" i="20"/>
  <c r="G870" i="20"/>
  <c r="G829" i="20"/>
  <c r="G837" i="20"/>
  <c r="G849" i="20"/>
  <c r="G820" i="20"/>
  <c r="G819" i="20"/>
  <c r="G823" i="20"/>
  <c r="G824" i="20"/>
  <c r="G866" i="20"/>
  <c r="G848" i="20"/>
  <c r="G858" i="20"/>
  <c r="G838" i="20"/>
  <c r="G831" i="20"/>
  <c r="G818" i="20"/>
  <c r="G872" i="20"/>
  <c r="G852" i="20"/>
  <c r="G845" i="20"/>
  <c r="G815" i="20"/>
  <c r="G856" i="20"/>
  <c r="G860" i="20"/>
  <c r="G816" i="20"/>
  <c r="G821" i="20"/>
  <c r="G865" i="20"/>
  <c r="G863" i="20"/>
  <c r="G846" i="20"/>
  <c r="G822" i="20"/>
  <c r="G867" i="20"/>
  <c r="G843" i="20"/>
  <c r="G864" i="20"/>
  <c r="G828" i="20"/>
  <c r="G844" i="20"/>
  <c r="G830" i="20"/>
  <c r="G416" i="20"/>
  <c r="G393" i="20"/>
  <c r="G370" i="20"/>
  <c r="G392" i="20"/>
  <c r="G398" i="20"/>
  <c r="G424" i="20"/>
  <c r="G383" i="20"/>
  <c r="G390" i="20"/>
  <c r="G373" i="20"/>
  <c r="G426" i="20"/>
  <c r="G375" i="20"/>
  <c r="G423" i="20"/>
  <c r="G411" i="20"/>
  <c r="G376" i="20"/>
  <c r="G377" i="20"/>
  <c r="G419" i="20"/>
  <c r="G381" i="20"/>
  <c r="G405" i="20"/>
  <c r="G422" i="20"/>
  <c r="G388" i="20"/>
  <c r="G414" i="20"/>
  <c r="G402" i="20"/>
  <c r="G391" i="20"/>
  <c r="G427" i="20"/>
  <c r="G401" i="20"/>
  <c r="G408" i="20"/>
  <c r="G371" i="20"/>
  <c r="G425" i="20"/>
  <c r="G412" i="20"/>
  <c r="G397" i="20"/>
  <c r="G418" i="20"/>
  <c r="G420" i="20"/>
  <c r="G396" i="20"/>
  <c r="G395" i="20"/>
  <c r="G399" i="20"/>
  <c r="G374" i="20"/>
  <c r="G429" i="20"/>
  <c r="G384" i="20"/>
  <c r="G421" i="20"/>
  <c r="G400" i="20"/>
  <c r="G378" i="20"/>
  <c r="G413" i="20"/>
  <c r="G394" i="20"/>
  <c r="G410" i="20"/>
  <c r="G380" i="20"/>
  <c r="N357" i="20" s="1"/>
  <c r="G428" i="20"/>
  <c r="G403" i="20"/>
  <c r="G387" i="20"/>
  <c r="G379" i="20"/>
  <c r="G385" i="20"/>
  <c r="G415" i="20"/>
  <c r="G386" i="20"/>
  <c r="G406" i="20"/>
  <c r="I366" i="20"/>
  <c r="G409" i="20"/>
  <c r="G407" i="20"/>
  <c r="G389" i="20"/>
  <c r="G382" i="20"/>
  <c r="G372" i="20"/>
  <c r="G404" i="20"/>
  <c r="G417" i="20"/>
  <c r="G1111" i="20"/>
  <c r="G1083" i="20"/>
  <c r="G1125" i="20"/>
  <c r="G1084" i="20"/>
  <c r="G1100" i="20"/>
  <c r="G1091" i="20"/>
  <c r="G1120" i="20"/>
  <c r="G1088" i="20"/>
  <c r="G1127" i="20"/>
  <c r="G1140" i="20"/>
  <c r="G1101" i="20"/>
  <c r="G1104" i="20"/>
  <c r="G1122" i="20"/>
  <c r="G1095" i="20"/>
  <c r="G1129" i="20"/>
  <c r="G1124" i="20"/>
  <c r="G1106" i="20"/>
  <c r="G1094" i="20"/>
  <c r="G1116" i="20"/>
  <c r="G1110" i="20"/>
  <c r="G1086" i="20"/>
  <c r="G1089" i="20"/>
  <c r="N1069" i="20" s="1"/>
  <c r="G1112" i="20"/>
  <c r="G1131" i="20"/>
  <c r="G1141" i="20"/>
  <c r="I1078" i="20"/>
  <c r="G1085" i="20"/>
  <c r="G1134" i="20"/>
  <c r="G1115" i="20"/>
  <c r="G1117" i="20"/>
  <c r="G1126" i="20"/>
  <c r="G1135" i="20"/>
  <c r="G1128" i="20"/>
  <c r="G1097" i="20"/>
  <c r="G1096" i="20"/>
  <c r="G1102" i="20"/>
  <c r="G1090" i="20"/>
  <c r="G1139" i="20"/>
  <c r="G1121" i="20"/>
  <c r="G1103" i="20"/>
  <c r="G1137" i="20"/>
  <c r="G1138" i="20"/>
  <c r="G1093" i="20"/>
  <c r="G1118" i="20"/>
  <c r="G1098" i="20"/>
  <c r="G1119" i="20"/>
  <c r="G1113" i="20"/>
  <c r="G1105" i="20"/>
  <c r="G1107" i="20"/>
  <c r="G1109" i="20"/>
  <c r="G1092" i="20"/>
  <c r="G1114" i="20"/>
  <c r="G1130" i="20"/>
  <c r="G1123" i="20"/>
  <c r="G1108" i="20"/>
  <c r="G1099" i="20"/>
  <c r="G1132" i="20"/>
  <c r="G1087" i="20"/>
  <c r="G1133" i="20"/>
  <c r="G1136" i="20"/>
  <c r="I128" i="13"/>
  <c r="J128" i="13" s="1"/>
  <c r="I137" i="13"/>
  <c r="J137" i="13" s="1"/>
  <c r="I158" i="13"/>
  <c r="J158" i="13" s="1"/>
  <c r="I140" i="13"/>
  <c r="J140" i="13" s="1"/>
  <c r="I104" i="13"/>
  <c r="J104" i="13" s="1"/>
  <c r="I152" i="13"/>
  <c r="J152" i="13" s="1"/>
  <c r="I109" i="13"/>
  <c r="J109" i="13" s="1"/>
  <c r="I111" i="13"/>
  <c r="J111" i="13" s="1"/>
  <c r="I108" i="13"/>
  <c r="J108" i="13" s="1"/>
  <c r="I157" i="13"/>
  <c r="J157" i="13" s="1"/>
  <c r="I112" i="13"/>
  <c r="J112" i="13" s="1"/>
  <c r="I119" i="13"/>
  <c r="J119" i="13" s="1"/>
  <c r="I123" i="13"/>
  <c r="J123" i="13" s="1"/>
  <c r="I153" i="13"/>
  <c r="J153" i="13" s="1"/>
  <c r="I105" i="13"/>
  <c r="J105" i="13" s="1"/>
  <c r="I117" i="13"/>
  <c r="J117" i="13" s="1"/>
  <c r="I146" i="13"/>
  <c r="J146" i="13" s="1"/>
  <c r="I118" i="13"/>
  <c r="J118" i="13" s="1"/>
  <c r="I145" i="13"/>
  <c r="J145" i="13" s="1"/>
  <c r="I150" i="13"/>
  <c r="J150" i="13" s="1"/>
  <c r="I161" i="13"/>
  <c r="J161" i="13" s="1"/>
  <c r="I134" i="13"/>
  <c r="J134" i="13" s="1"/>
  <c r="I115" i="13"/>
  <c r="J115" i="13" s="1"/>
  <c r="I125" i="13"/>
  <c r="J125" i="13" s="1"/>
  <c r="I160" i="13"/>
  <c r="J160" i="13" s="1"/>
  <c r="I131" i="13"/>
  <c r="J131" i="13" s="1"/>
  <c r="I139" i="13"/>
  <c r="J139" i="13" s="1"/>
  <c r="I129" i="13"/>
  <c r="J129" i="13" s="1"/>
  <c r="I130" i="13"/>
  <c r="J130" i="13" s="1"/>
  <c r="I122" i="13"/>
  <c r="J122" i="13" s="1"/>
  <c r="I135" i="13"/>
  <c r="J135" i="13" s="1"/>
  <c r="I156" i="13"/>
  <c r="J156" i="13" s="1"/>
  <c r="I102" i="13"/>
  <c r="I106" i="13"/>
  <c r="J106" i="13" s="1"/>
  <c r="I110" i="13"/>
  <c r="J110" i="13" s="1"/>
  <c r="I136" i="13"/>
  <c r="J136" i="13" s="1"/>
  <c r="I142" i="13"/>
  <c r="J142" i="13" s="1"/>
  <c r="I154" i="13"/>
  <c r="J154" i="13" s="1"/>
  <c r="I132" i="13"/>
  <c r="J132" i="13" s="1"/>
  <c r="I121" i="13"/>
  <c r="J121" i="13" s="1"/>
  <c r="I159" i="13"/>
  <c r="J159" i="13" s="1"/>
  <c r="I124" i="13"/>
  <c r="J124" i="13" s="1"/>
  <c r="I113" i="13"/>
  <c r="J113" i="13" s="1"/>
  <c r="I120" i="13"/>
  <c r="J120" i="13" s="1"/>
  <c r="I133" i="13"/>
  <c r="J133" i="13" s="1"/>
  <c r="I155" i="13"/>
  <c r="J155" i="13" s="1"/>
  <c r="I141" i="13"/>
  <c r="J141" i="13" s="1"/>
  <c r="I126" i="13"/>
  <c r="J126" i="13" s="1"/>
  <c r="I138" i="13"/>
  <c r="J138" i="13" s="1"/>
  <c r="I151" i="13"/>
  <c r="J151" i="13" s="1"/>
  <c r="I147" i="13"/>
  <c r="J147" i="13" s="1"/>
  <c r="I103" i="13"/>
  <c r="J103" i="13" s="1"/>
  <c r="I114" i="13"/>
  <c r="J114" i="13" s="1"/>
  <c r="I107" i="13"/>
  <c r="J107" i="13" s="1"/>
  <c r="I143" i="13"/>
  <c r="J143" i="13" s="1"/>
  <c r="I116" i="13"/>
  <c r="J116" i="13" s="1"/>
  <c r="I144" i="13"/>
  <c r="J144" i="13" s="1"/>
  <c r="I149" i="13"/>
  <c r="J149" i="13" s="1"/>
  <c r="I148" i="13"/>
  <c r="J148" i="13" s="1"/>
  <c r="I127" i="13"/>
  <c r="J127" i="13" s="1"/>
  <c r="G196" i="20"/>
  <c r="G193" i="20"/>
  <c r="G223" i="20"/>
  <c r="G242" i="20"/>
  <c r="G216" i="20"/>
  <c r="G232" i="20"/>
  <c r="G238" i="20"/>
  <c r="G219" i="20"/>
  <c r="G202" i="20"/>
  <c r="G197" i="20"/>
  <c r="G203" i="20"/>
  <c r="G204" i="20"/>
  <c r="G234" i="20"/>
  <c r="G220" i="20"/>
  <c r="G222" i="20"/>
  <c r="G194" i="20"/>
  <c r="G209" i="20"/>
  <c r="G248" i="20"/>
  <c r="G221" i="20"/>
  <c r="G224" i="20"/>
  <c r="G218" i="20"/>
  <c r="G226" i="20"/>
  <c r="G239" i="20"/>
  <c r="G233" i="20"/>
  <c r="G241" i="20"/>
  <c r="G192" i="20"/>
  <c r="G207" i="20"/>
  <c r="G198" i="20"/>
  <c r="G208" i="20"/>
  <c r="G211" i="20"/>
  <c r="G228" i="20"/>
  <c r="G205" i="20"/>
  <c r="N179" i="20" s="1"/>
  <c r="G200" i="20"/>
  <c r="G231" i="20"/>
  <c r="G199" i="20"/>
  <c r="G249" i="20"/>
  <c r="G217" i="20"/>
  <c r="G244" i="20"/>
  <c r="G250" i="20"/>
  <c r="G195" i="20"/>
  <c r="G235" i="20"/>
  <c r="G246" i="20"/>
  <c r="I188" i="20"/>
  <c r="G230" i="20"/>
  <c r="G201" i="20"/>
  <c r="G240" i="20"/>
  <c r="G229" i="20"/>
  <c r="G206" i="20"/>
  <c r="G225" i="20"/>
  <c r="G213" i="20"/>
  <c r="G251" i="20"/>
  <c r="G212" i="20"/>
  <c r="G210" i="20"/>
  <c r="G237" i="20"/>
  <c r="G243" i="20"/>
  <c r="G227" i="20"/>
  <c r="G245" i="20"/>
  <c r="G247" i="20"/>
  <c r="G214" i="20"/>
  <c r="G215" i="20"/>
  <c r="G236" i="20"/>
  <c r="G336" i="20"/>
  <c r="G284" i="20"/>
  <c r="G306" i="20"/>
  <c r="G312" i="20"/>
  <c r="G317" i="20"/>
  <c r="G324" i="20"/>
  <c r="G285" i="20"/>
  <c r="G315" i="20"/>
  <c r="G329" i="20"/>
  <c r="G291" i="20"/>
  <c r="N268" i="20" s="1"/>
  <c r="G316" i="20"/>
  <c r="G334" i="20"/>
  <c r="G282" i="20"/>
  <c r="G314" i="20"/>
  <c r="G320" i="20"/>
  <c r="G287" i="20"/>
  <c r="G307" i="20"/>
  <c r="G308" i="20"/>
  <c r="G294" i="20"/>
  <c r="G299" i="20"/>
  <c r="I277" i="20"/>
  <c r="G283" i="20"/>
  <c r="G332" i="20"/>
  <c r="G318" i="20"/>
  <c r="G289" i="20"/>
  <c r="G338" i="20"/>
  <c r="G309" i="20"/>
  <c r="G301" i="20"/>
  <c r="G323" i="20"/>
  <c r="G305" i="20"/>
  <c r="G288" i="20"/>
  <c r="G296" i="20"/>
  <c r="G303" i="20"/>
  <c r="G304" i="20"/>
  <c r="G337" i="20"/>
  <c r="G319" i="20"/>
  <c r="G333" i="20"/>
  <c r="G339" i="20"/>
  <c r="G310" i="20"/>
  <c r="G330" i="20"/>
  <c r="G328" i="20"/>
  <c r="G325" i="20"/>
  <c r="G298" i="20"/>
  <c r="G295" i="20"/>
  <c r="G281" i="20"/>
  <c r="G322" i="20"/>
  <c r="G335" i="20"/>
  <c r="G292" i="20"/>
  <c r="G313" i="20"/>
  <c r="G331" i="20"/>
  <c r="G300" i="20"/>
  <c r="G302" i="20"/>
  <c r="G290" i="20"/>
  <c r="G321" i="20"/>
  <c r="G311" i="20"/>
  <c r="G297" i="20"/>
  <c r="G340" i="20"/>
  <c r="G286" i="20"/>
  <c r="G327" i="20"/>
  <c r="G326" i="20"/>
  <c r="G293" i="20"/>
  <c r="H162" i="13"/>
  <c r="G1356" i="20"/>
  <c r="G1349" i="20"/>
  <c r="G1362" i="20"/>
  <c r="G1370" i="20"/>
  <c r="G1353" i="20"/>
  <c r="G1366" i="20"/>
  <c r="G1371" i="20"/>
  <c r="G1400" i="20"/>
  <c r="G1382" i="20"/>
  <c r="G1377" i="20"/>
  <c r="G1406" i="20"/>
  <c r="G1363" i="20"/>
  <c r="G1359" i="20"/>
  <c r="G1381" i="20"/>
  <c r="G1352" i="20"/>
  <c r="G1390" i="20"/>
  <c r="G1369" i="20"/>
  <c r="G1404" i="20"/>
  <c r="G1386" i="20"/>
  <c r="G1405" i="20"/>
  <c r="G1388" i="20"/>
  <c r="G1394" i="20"/>
  <c r="I1345" i="20"/>
  <c r="G1380" i="20"/>
  <c r="G1401" i="20"/>
  <c r="G1351" i="20"/>
  <c r="G1375" i="20"/>
  <c r="G1396" i="20"/>
  <c r="G1358" i="20"/>
  <c r="G1397" i="20"/>
  <c r="G1384" i="20"/>
  <c r="G1392" i="20"/>
  <c r="G1402" i="20"/>
  <c r="G1408" i="20"/>
  <c r="G1395" i="20"/>
  <c r="G1379" i="20"/>
  <c r="G1393" i="20"/>
  <c r="G1389" i="20"/>
  <c r="G1399" i="20"/>
  <c r="G1367" i="20"/>
  <c r="G1354" i="20"/>
  <c r="N1336" i="20" s="1"/>
  <c r="G1383" i="20"/>
  <c r="G1355" i="20"/>
  <c r="G1361" i="20"/>
  <c r="G1360" i="20"/>
  <c r="G1374" i="20"/>
  <c r="G1378" i="20"/>
  <c r="G1407" i="20"/>
  <c r="G1373" i="20"/>
  <c r="G1376" i="20"/>
  <c r="G1364" i="20"/>
  <c r="G1398" i="20"/>
  <c r="G1385" i="20"/>
  <c r="G1357" i="20"/>
  <c r="G1365" i="20"/>
  <c r="G1403" i="20"/>
  <c r="G1372" i="20"/>
  <c r="G1387" i="20"/>
  <c r="G1391" i="20"/>
  <c r="G1368" i="20"/>
  <c r="G1350" i="20"/>
  <c r="G147" i="20"/>
  <c r="G153" i="20"/>
  <c r="G113" i="20"/>
  <c r="G116" i="20"/>
  <c r="G152" i="20"/>
  <c r="G143" i="20"/>
  <c r="G102" i="20"/>
  <c r="G135" i="20"/>
  <c r="G142" i="20"/>
  <c r="G125" i="20"/>
  <c r="G138" i="20"/>
  <c r="G150" i="20"/>
  <c r="G111" i="20"/>
  <c r="G105" i="20"/>
  <c r="G161" i="20"/>
  <c r="G128" i="20"/>
  <c r="G107" i="20"/>
  <c r="G115" i="20"/>
  <c r="G110" i="20"/>
  <c r="G118" i="20"/>
  <c r="N89" i="20" s="1"/>
  <c r="G159" i="20"/>
  <c r="G137" i="20"/>
  <c r="G156" i="20"/>
  <c r="G119" i="20"/>
  <c r="G130" i="20"/>
  <c r="G145" i="20"/>
  <c r="G126" i="20"/>
  <c r="G151" i="20"/>
  <c r="G133" i="20"/>
  <c r="G132" i="20"/>
  <c r="G103" i="20"/>
  <c r="G124" i="20"/>
  <c r="G131" i="20"/>
  <c r="G149" i="20"/>
  <c r="G127" i="20"/>
  <c r="G155" i="20"/>
  <c r="G158" i="20"/>
  <c r="G109" i="20"/>
  <c r="G141" i="20"/>
  <c r="G148" i="20"/>
  <c r="G117" i="20"/>
  <c r="G112" i="20"/>
  <c r="G140" i="20"/>
  <c r="G136" i="20"/>
  <c r="G129" i="20"/>
  <c r="G122" i="20"/>
  <c r="G104" i="20"/>
  <c r="G108" i="20"/>
  <c r="G139" i="20"/>
  <c r="G121" i="20"/>
  <c r="G106" i="20"/>
  <c r="G123" i="20"/>
  <c r="G114" i="20"/>
  <c r="G154" i="20"/>
  <c r="G144" i="20"/>
  <c r="G157" i="20"/>
  <c r="G134" i="20"/>
  <c r="G120" i="20"/>
  <c r="I98" i="20"/>
  <c r="G160" i="20"/>
  <c r="G146" i="20"/>
  <c r="G471" i="20"/>
  <c r="G517" i="20"/>
  <c r="G467" i="20"/>
  <c r="G488" i="20"/>
  <c r="G496" i="20"/>
  <c r="G460" i="20"/>
  <c r="G515" i="20"/>
  <c r="G459" i="20"/>
  <c r="G514" i="20"/>
  <c r="G495" i="20"/>
  <c r="G504" i="20"/>
  <c r="G503" i="20"/>
  <c r="G477" i="20"/>
  <c r="G466" i="20"/>
  <c r="G468" i="20"/>
  <c r="N446" i="20" s="1"/>
  <c r="G510" i="20"/>
  <c r="G476" i="20"/>
  <c r="G462" i="20"/>
  <c r="G493" i="20"/>
  <c r="G464" i="20"/>
  <c r="G513" i="20"/>
  <c r="G474" i="20"/>
  <c r="G465" i="20"/>
  <c r="G492" i="20"/>
  <c r="G469" i="20"/>
  <c r="I455" i="20"/>
  <c r="G483" i="20"/>
  <c r="G480" i="20"/>
  <c r="G500" i="20"/>
  <c r="G461" i="20"/>
  <c r="G508" i="20"/>
  <c r="G478" i="20"/>
  <c r="G498" i="20"/>
  <c r="G494" i="20"/>
  <c r="G490" i="20"/>
  <c r="G497" i="20"/>
  <c r="G512" i="20"/>
  <c r="G479" i="20"/>
  <c r="G463" i="20"/>
  <c r="G502" i="20"/>
  <c r="G505" i="20"/>
  <c r="G472" i="20"/>
  <c r="G518" i="20"/>
  <c r="G481" i="20"/>
  <c r="G507" i="20"/>
  <c r="G487" i="20"/>
  <c r="G475" i="20"/>
  <c r="G506" i="20"/>
  <c r="G499" i="20"/>
  <c r="G509" i="20"/>
  <c r="G470" i="20"/>
  <c r="G473" i="20"/>
  <c r="G485" i="20"/>
  <c r="G486" i="20"/>
  <c r="G484" i="20"/>
  <c r="G489" i="20"/>
  <c r="G482" i="20"/>
  <c r="G501" i="20"/>
  <c r="G511" i="20"/>
  <c r="G491" i="20"/>
  <c r="G516" i="20"/>
  <c r="G598" i="20"/>
  <c r="G574" i="20"/>
  <c r="G556" i="20"/>
  <c r="N535" i="20" s="1"/>
  <c r="G562" i="20"/>
  <c r="G602" i="20"/>
  <c r="G559" i="20"/>
  <c r="G558" i="20"/>
  <c r="G578" i="20"/>
  <c r="G595" i="20"/>
  <c r="G554" i="20"/>
  <c r="G603" i="20"/>
  <c r="G573" i="20"/>
  <c r="G570" i="20"/>
  <c r="G576" i="20"/>
  <c r="G575" i="20"/>
  <c r="G606" i="20"/>
  <c r="G553" i="20"/>
  <c r="G550" i="20"/>
  <c r="G551" i="20"/>
  <c r="G590" i="20"/>
  <c r="G591" i="20"/>
  <c r="G589" i="20"/>
  <c r="G597" i="20"/>
  <c r="G572" i="20"/>
  <c r="G583" i="20"/>
  <c r="G567" i="20"/>
  <c r="G568" i="20"/>
  <c r="G601" i="20"/>
  <c r="G564" i="20"/>
  <c r="G600" i="20"/>
  <c r="G555" i="20"/>
  <c r="G552" i="20"/>
  <c r="G560" i="20"/>
  <c r="G582" i="20"/>
  <c r="G587" i="20"/>
  <c r="G585" i="20"/>
  <c r="G579" i="20"/>
  <c r="G593" i="20"/>
  <c r="G599" i="20"/>
  <c r="G588" i="20"/>
  <c r="G581" i="20"/>
  <c r="G577" i="20"/>
  <c r="I544" i="20"/>
  <c r="G549" i="20"/>
  <c r="G596" i="20"/>
  <c r="G566" i="20"/>
  <c r="G548" i="20"/>
  <c r="G594" i="20"/>
  <c r="G565" i="20"/>
  <c r="G607" i="20"/>
  <c r="G561" i="20"/>
  <c r="G604" i="20"/>
  <c r="G571" i="20"/>
  <c r="G605" i="20"/>
  <c r="G569" i="20"/>
  <c r="G592" i="20"/>
  <c r="G563" i="20"/>
  <c r="G584" i="20"/>
  <c r="G557" i="20"/>
  <c r="G586" i="20"/>
  <c r="G580" i="20"/>
  <c r="G688" i="20"/>
  <c r="G675" i="20"/>
  <c r="G661" i="20"/>
  <c r="G665" i="20"/>
  <c r="G679" i="20"/>
  <c r="G670" i="20"/>
  <c r="G643" i="20"/>
  <c r="G669" i="20"/>
  <c r="G671" i="20"/>
  <c r="G660" i="20"/>
  <c r="G656" i="20"/>
  <c r="G650" i="20"/>
  <c r="G668" i="20"/>
  <c r="G657" i="20"/>
  <c r="G693" i="20"/>
  <c r="G687" i="20"/>
  <c r="G696" i="20"/>
  <c r="G667" i="20"/>
  <c r="G644" i="20"/>
  <c r="G683" i="20"/>
  <c r="G666" i="20"/>
  <c r="G659" i="20"/>
  <c r="G681" i="20"/>
  <c r="G658" i="20"/>
  <c r="G652" i="20"/>
  <c r="G673" i="20"/>
  <c r="G645" i="20"/>
  <c r="N624" i="20" s="1"/>
  <c r="G689" i="20"/>
  <c r="G674" i="20"/>
  <c r="G648" i="20"/>
  <c r="G637" i="20"/>
  <c r="G649" i="20"/>
  <c r="G662" i="20"/>
  <c r="G663" i="20"/>
  <c r="G690" i="20"/>
  <c r="G638" i="20"/>
  <c r="G672" i="20"/>
  <c r="G651" i="20"/>
  <c r="G639" i="20"/>
  <c r="G664" i="20"/>
  <c r="G641" i="20"/>
  <c r="G685" i="20"/>
  <c r="G653" i="20"/>
  <c r="G694" i="20"/>
  <c r="G647" i="20"/>
  <c r="G682" i="20"/>
  <c r="G646" i="20"/>
  <c r="G676" i="20"/>
  <c r="G655" i="20"/>
  <c r="G695" i="20"/>
  <c r="G640" i="20"/>
  <c r="G678" i="20"/>
  <c r="G692" i="20"/>
  <c r="G642" i="20"/>
  <c r="G686" i="20"/>
  <c r="G677" i="20"/>
  <c r="G654" i="20"/>
  <c r="G680" i="20"/>
  <c r="I633" i="20"/>
  <c r="G691" i="20"/>
  <c r="G684" i="20"/>
  <c r="G1298" i="20"/>
  <c r="G1287" i="20"/>
  <c r="G1283" i="20"/>
  <c r="G1302" i="20"/>
  <c r="G1314" i="20"/>
  <c r="G1273" i="20"/>
  <c r="G1304" i="20"/>
  <c r="G1270" i="20"/>
  <c r="G1308" i="20"/>
  <c r="G1290" i="20"/>
  <c r="G1291" i="20"/>
  <c r="G1268" i="20"/>
  <c r="N1247" i="20" s="1"/>
  <c r="G1276" i="20"/>
  <c r="G1271" i="20"/>
  <c r="G1260" i="20"/>
  <c r="G1275" i="20"/>
  <c r="G1277" i="20"/>
  <c r="G1262" i="20"/>
  <c r="G1305" i="20"/>
  <c r="G1289" i="20"/>
  <c r="G1293" i="20"/>
  <c r="G1297" i="20"/>
  <c r="G1272" i="20"/>
  <c r="G1317" i="20"/>
  <c r="G1306" i="20"/>
  <c r="G1318" i="20"/>
  <c r="G1307" i="20"/>
  <c r="G1309" i="20"/>
  <c r="I1256" i="20"/>
  <c r="G1316" i="20"/>
  <c r="G1313" i="20"/>
  <c r="G1300" i="20"/>
  <c r="G1281" i="20"/>
  <c r="G1264" i="20"/>
  <c r="G1280" i="20"/>
  <c r="G1285" i="20"/>
  <c r="G1282" i="20"/>
  <c r="G1303" i="20"/>
  <c r="G1299" i="20"/>
  <c r="G1284" i="20"/>
  <c r="G1288" i="20"/>
  <c r="G1279" i="20"/>
  <c r="G1265" i="20"/>
  <c r="G1278" i="20"/>
  <c r="G1294" i="20"/>
  <c r="G1266" i="20"/>
  <c r="G1269" i="20"/>
  <c r="G1315" i="20"/>
  <c r="G1295" i="20"/>
  <c r="G1296" i="20"/>
  <c r="G1319" i="20"/>
  <c r="G1312" i="20"/>
  <c r="G1292" i="20"/>
  <c r="G1267" i="20"/>
  <c r="G1274" i="20"/>
  <c r="G1286" i="20"/>
  <c r="G1310" i="20"/>
  <c r="G1311" i="20"/>
  <c r="G1261" i="20"/>
  <c r="G1301" i="20"/>
  <c r="G1263" i="20"/>
  <c r="G754" i="20"/>
  <c r="G752" i="20"/>
  <c r="G766" i="20"/>
  <c r="G731" i="20"/>
  <c r="G733" i="20"/>
  <c r="G767" i="20"/>
  <c r="G770" i="20"/>
  <c r="G732" i="20"/>
  <c r="G749" i="20"/>
  <c r="G746" i="20"/>
  <c r="G728" i="20"/>
  <c r="G751" i="20"/>
  <c r="G774" i="20"/>
  <c r="G765" i="20"/>
  <c r="G780" i="20"/>
  <c r="G759" i="20"/>
  <c r="G747" i="20"/>
  <c r="G734" i="20"/>
  <c r="G768" i="20"/>
  <c r="G736" i="20"/>
  <c r="G744" i="20"/>
  <c r="G738" i="20"/>
  <c r="G758" i="20"/>
  <c r="G782" i="20"/>
  <c r="G785" i="20"/>
  <c r="G742" i="20"/>
  <c r="G769" i="20"/>
  <c r="I722" i="20"/>
  <c r="G762" i="20"/>
  <c r="G730" i="20"/>
  <c r="G778" i="20"/>
  <c r="G741" i="20"/>
  <c r="G763" i="20"/>
  <c r="G726" i="20"/>
  <c r="G739" i="20"/>
  <c r="G779" i="20"/>
  <c r="G743" i="20"/>
  <c r="G764" i="20"/>
  <c r="G745" i="20"/>
  <c r="G729" i="20"/>
  <c r="G784" i="20"/>
  <c r="G753" i="20"/>
  <c r="G773" i="20"/>
  <c r="G757" i="20"/>
  <c r="G781" i="20"/>
  <c r="G783" i="20"/>
  <c r="G772" i="20"/>
  <c r="G776" i="20"/>
  <c r="G771" i="20"/>
  <c r="G748" i="20"/>
  <c r="G777" i="20"/>
  <c r="G775" i="20"/>
  <c r="G735" i="20"/>
  <c r="N713" i="20" s="1"/>
  <c r="G761" i="20"/>
  <c r="G760" i="20"/>
  <c r="G737" i="20"/>
  <c r="G750" i="20"/>
  <c r="G727" i="20"/>
  <c r="G756" i="20"/>
  <c r="G740" i="20"/>
  <c r="G755" i="20"/>
  <c r="G922" i="20"/>
  <c r="G929" i="20"/>
  <c r="G926" i="20"/>
  <c r="G911" i="20"/>
  <c r="G958" i="20"/>
  <c r="G941" i="20"/>
  <c r="G951" i="20"/>
  <c r="G957" i="20"/>
  <c r="G950" i="20"/>
  <c r="G955" i="20"/>
  <c r="G925" i="20"/>
  <c r="G919" i="20"/>
  <c r="G918" i="20"/>
  <c r="G928" i="20"/>
  <c r="G935" i="20"/>
  <c r="G961" i="20"/>
  <c r="G904" i="20"/>
  <c r="G946" i="20"/>
  <c r="G953" i="20"/>
  <c r="G915" i="20"/>
  <c r="G909" i="20"/>
  <c r="G931" i="20"/>
  <c r="G933" i="20"/>
  <c r="G956" i="20"/>
  <c r="G960" i="20"/>
  <c r="G905" i="20"/>
  <c r="G910" i="20"/>
  <c r="G936" i="20"/>
  <c r="G937" i="20"/>
  <c r="G924" i="20"/>
  <c r="G932" i="20"/>
  <c r="G944" i="20"/>
  <c r="G923" i="20"/>
  <c r="G913" i="20"/>
  <c r="I900" i="20"/>
  <c r="G917" i="20"/>
  <c r="G912" i="20"/>
  <c r="N891" i="20" s="1"/>
  <c r="G934" i="20"/>
  <c r="G948" i="20"/>
  <c r="G907" i="20"/>
  <c r="G954" i="20"/>
  <c r="G908" i="20"/>
  <c r="G943" i="20"/>
  <c r="G949" i="20"/>
  <c r="G916" i="20"/>
  <c r="G947" i="20"/>
  <c r="G940" i="20"/>
  <c r="G952" i="20"/>
  <c r="G963" i="20"/>
  <c r="G942" i="20"/>
  <c r="G962" i="20"/>
  <c r="G959" i="20"/>
  <c r="G920" i="20"/>
  <c r="G921" i="20"/>
  <c r="G927" i="20"/>
  <c r="G930" i="20"/>
  <c r="G938" i="20"/>
  <c r="G939" i="20"/>
  <c r="G906" i="20"/>
  <c r="G914" i="20"/>
  <c r="G945" i="20"/>
  <c r="G1048" i="20"/>
  <c r="G1023" i="20"/>
  <c r="G999" i="20"/>
  <c r="G993" i="20"/>
  <c r="G1025" i="20"/>
  <c r="G1000" i="20"/>
  <c r="G1006" i="20"/>
  <c r="G1035" i="20"/>
  <c r="G1015" i="20"/>
  <c r="G1033" i="20"/>
  <c r="G1032" i="20"/>
  <c r="G1027" i="20"/>
  <c r="G1039" i="20"/>
  <c r="G1019" i="20"/>
  <c r="G1044" i="20"/>
  <c r="G1031" i="20"/>
  <c r="G1041" i="20"/>
  <c r="G1037" i="20"/>
  <c r="G1049" i="20"/>
  <c r="G1028" i="20"/>
  <c r="G1009" i="20"/>
  <c r="G1082" i="20"/>
  <c r="G1050" i="20"/>
  <c r="G1046" i="20"/>
  <c r="G1043" i="20"/>
  <c r="G1034" i="20"/>
  <c r="G1040" i="20"/>
  <c r="G1011" i="20"/>
  <c r="G1020" i="20"/>
  <c r="G997" i="20"/>
  <c r="G1018" i="20"/>
  <c r="G1002" i="20"/>
  <c r="G996" i="20"/>
  <c r="G994" i="20"/>
  <c r="G1052" i="20"/>
  <c r="G1008" i="20"/>
  <c r="G1024" i="20"/>
  <c r="G1045" i="20"/>
  <c r="I989" i="20"/>
  <c r="G1007" i="20"/>
  <c r="G1029" i="20"/>
  <c r="G1051" i="20"/>
  <c r="G1003" i="20"/>
  <c r="N980" i="20" s="1"/>
  <c r="G1042" i="20"/>
  <c r="G1021" i="20"/>
  <c r="G1004" i="20"/>
  <c r="G1026" i="20"/>
  <c r="G998" i="20"/>
  <c r="G1047" i="20"/>
  <c r="G1012" i="20"/>
  <c r="G1022" i="20"/>
  <c r="G1001" i="20"/>
  <c r="G1036" i="20"/>
  <c r="G1030" i="20"/>
  <c r="G1014" i="20"/>
  <c r="G995" i="20"/>
  <c r="G1013" i="20"/>
  <c r="G1038" i="20"/>
  <c r="G1005" i="20"/>
  <c r="G1017" i="20"/>
  <c r="G1010" i="20"/>
  <c r="G1016" i="20"/>
  <c r="G1230" i="20"/>
  <c r="G1214" i="20"/>
  <c r="G1197" i="20"/>
  <c r="G1189" i="20"/>
  <c r="G1204" i="20"/>
  <c r="G1217" i="20"/>
  <c r="G1229" i="20"/>
  <c r="G1171" i="20"/>
  <c r="G1221" i="20"/>
  <c r="G1181" i="20"/>
  <c r="G1210" i="20"/>
  <c r="G1172" i="20"/>
  <c r="G1195" i="20"/>
  <c r="G1203" i="20"/>
  <c r="G1223" i="20"/>
  <c r="G1211" i="20"/>
  <c r="G1205" i="20"/>
  <c r="G1213" i="20"/>
  <c r="G1183" i="20"/>
  <c r="G1176" i="20"/>
  <c r="G1219" i="20"/>
  <c r="G1177" i="20"/>
  <c r="N1158" i="20" s="1"/>
  <c r="I1167" i="20"/>
  <c r="G1201" i="20"/>
  <c r="G1194" i="20"/>
  <c r="G1216" i="20"/>
  <c r="G1212" i="20"/>
  <c r="G1186" i="20"/>
  <c r="G1224" i="20"/>
  <c r="G1222" i="20"/>
  <c r="G1225" i="20"/>
  <c r="G1226" i="20"/>
  <c r="G1178" i="20"/>
  <c r="G1185" i="20"/>
  <c r="G1209" i="20"/>
  <c r="G1182" i="20"/>
  <c r="G1196" i="20"/>
  <c r="G1179" i="20"/>
  <c r="G1207" i="20"/>
  <c r="G1184" i="20"/>
  <c r="G1206" i="20"/>
  <c r="G1228" i="20"/>
  <c r="G1202" i="20"/>
  <c r="G1187" i="20"/>
  <c r="G1200" i="20"/>
  <c r="G1190" i="20"/>
  <c r="G1227" i="20"/>
  <c r="G1188" i="20"/>
  <c r="G1208" i="20"/>
  <c r="G1192" i="20"/>
  <c r="G1215" i="20"/>
  <c r="G1199" i="20"/>
  <c r="G1220" i="20"/>
  <c r="G1218" i="20"/>
  <c r="G1175" i="20"/>
  <c r="G1174" i="20"/>
  <c r="G1191" i="20"/>
  <c r="G1180" i="20"/>
  <c r="G1173" i="20"/>
  <c r="G1198" i="20"/>
  <c r="G1193" i="20"/>
  <c r="G1142" i="20" l="1"/>
  <c r="G697" i="20"/>
  <c r="G430" i="20"/>
  <c r="H785" i="20"/>
  <c r="I785" i="20" s="1"/>
  <c r="H748" i="20"/>
  <c r="I748" i="20" s="1"/>
  <c r="H751" i="20"/>
  <c r="I751" i="20" s="1"/>
  <c r="H738" i="20"/>
  <c r="I738" i="20" s="1"/>
  <c r="H739" i="20"/>
  <c r="I739" i="20" s="1"/>
  <c r="H777" i="20"/>
  <c r="I777" i="20" s="1"/>
  <c r="H778" i="20"/>
  <c r="I778" i="20" s="1"/>
  <c r="H749" i="20"/>
  <c r="I749" i="20" s="1"/>
  <c r="H730" i="20"/>
  <c r="I730" i="20" s="1"/>
  <c r="H771" i="20"/>
  <c r="I771" i="20" s="1"/>
  <c r="H759" i="20"/>
  <c r="I759" i="20" s="1"/>
  <c r="H783" i="20"/>
  <c r="I783" i="20" s="1"/>
  <c r="H727" i="20"/>
  <c r="I727" i="20" s="1"/>
  <c r="H764" i="20"/>
  <c r="I764" i="20" s="1"/>
  <c r="H745" i="20"/>
  <c r="I745" i="20" s="1"/>
  <c r="H784" i="20"/>
  <c r="I784" i="20" s="1"/>
  <c r="H750" i="20"/>
  <c r="I750" i="20" s="1"/>
  <c r="H767" i="20"/>
  <c r="I767" i="20" s="1"/>
  <c r="H769" i="20"/>
  <c r="I769" i="20" s="1"/>
  <c r="H770" i="20"/>
  <c r="I770" i="20" s="1"/>
  <c r="H726" i="20"/>
  <c r="H746" i="20"/>
  <c r="I746" i="20" s="1"/>
  <c r="H757" i="20"/>
  <c r="I757" i="20" s="1"/>
  <c r="H735" i="20"/>
  <c r="H754" i="20"/>
  <c r="I754" i="20" s="1"/>
  <c r="H781" i="20"/>
  <c r="I781" i="20" s="1"/>
  <c r="H728" i="20"/>
  <c r="I728" i="20" s="1"/>
  <c r="H765" i="20"/>
  <c r="I765" i="20" s="1"/>
  <c r="H776" i="20"/>
  <c r="I776" i="20" s="1"/>
  <c r="H736" i="20"/>
  <c r="I736" i="20" s="1"/>
  <c r="H733" i="20"/>
  <c r="I733" i="20" s="1"/>
  <c r="H732" i="20"/>
  <c r="I732" i="20" s="1"/>
  <c r="H729" i="20"/>
  <c r="I729" i="20" s="1"/>
  <c r="H772" i="20"/>
  <c r="I772" i="20" s="1"/>
  <c r="H758" i="20"/>
  <c r="I758" i="20" s="1"/>
  <c r="H779" i="20"/>
  <c r="I779" i="20" s="1"/>
  <c r="H731" i="20"/>
  <c r="I731" i="20" s="1"/>
  <c r="H760" i="20"/>
  <c r="I760" i="20" s="1"/>
  <c r="H742" i="20"/>
  <c r="I742" i="20" s="1"/>
  <c r="H773" i="20"/>
  <c r="I773" i="20" s="1"/>
  <c r="H761" i="20"/>
  <c r="I761" i="20" s="1"/>
  <c r="H775" i="20"/>
  <c r="I775" i="20" s="1"/>
  <c r="H755" i="20"/>
  <c r="I755" i="20" s="1"/>
  <c r="H768" i="20"/>
  <c r="I768" i="20" s="1"/>
  <c r="H762" i="20"/>
  <c r="I762" i="20" s="1"/>
  <c r="H737" i="20"/>
  <c r="I737" i="20" s="1"/>
  <c r="H743" i="20"/>
  <c r="I743" i="20" s="1"/>
  <c r="H774" i="20"/>
  <c r="I774" i="20" s="1"/>
  <c r="H766" i="20"/>
  <c r="I766" i="20" s="1"/>
  <c r="H753" i="20"/>
  <c r="I753" i="20" s="1"/>
  <c r="H741" i="20"/>
  <c r="I741" i="20" s="1"/>
  <c r="H740" i="20"/>
  <c r="I740" i="20" s="1"/>
  <c r="H763" i="20"/>
  <c r="I763" i="20" s="1"/>
  <c r="H744" i="20"/>
  <c r="I744" i="20" s="1"/>
  <c r="H747" i="20"/>
  <c r="I747" i="20" s="1"/>
  <c r="H752" i="20"/>
  <c r="I752" i="20" s="1"/>
  <c r="H756" i="20"/>
  <c r="I756" i="20" s="1"/>
  <c r="H734" i="20"/>
  <c r="I734" i="20" s="1"/>
  <c r="H782" i="20"/>
  <c r="I782" i="20" s="1"/>
  <c r="H780" i="20"/>
  <c r="I780" i="20" s="1"/>
  <c r="H598" i="20"/>
  <c r="I598" i="20" s="1"/>
  <c r="H585" i="20"/>
  <c r="I585" i="20" s="1"/>
  <c r="H596" i="20"/>
  <c r="I596" i="20" s="1"/>
  <c r="H568" i="20"/>
  <c r="I568" i="20" s="1"/>
  <c r="H590" i="20"/>
  <c r="I590" i="20" s="1"/>
  <c r="H559" i="20"/>
  <c r="I559" i="20" s="1"/>
  <c r="H605" i="20"/>
  <c r="I605" i="20" s="1"/>
  <c r="H558" i="20"/>
  <c r="I558" i="20" s="1"/>
  <c r="H589" i="20"/>
  <c r="I589" i="20" s="1"/>
  <c r="H551" i="20"/>
  <c r="I551" i="20" s="1"/>
  <c r="H556" i="20"/>
  <c r="H566" i="20"/>
  <c r="I566" i="20" s="1"/>
  <c r="H587" i="20"/>
  <c r="I587" i="20" s="1"/>
  <c r="H571" i="20"/>
  <c r="I571" i="20" s="1"/>
  <c r="H564" i="20"/>
  <c r="I564" i="20" s="1"/>
  <c r="H555" i="20"/>
  <c r="I555" i="20" s="1"/>
  <c r="H591" i="20"/>
  <c r="I591" i="20" s="1"/>
  <c r="H563" i="20"/>
  <c r="I563" i="20" s="1"/>
  <c r="H581" i="20"/>
  <c r="I581" i="20" s="1"/>
  <c r="H573" i="20"/>
  <c r="I573" i="20" s="1"/>
  <c r="H552" i="20"/>
  <c r="I552" i="20" s="1"/>
  <c r="H560" i="20"/>
  <c r="I560" i="20" s="1"/>
  <c r="H553" i="20"/>
  <c r="I553" i="20" s="1"/>
  <c r="H578" i="20"/>
  <c r="I578" i="20" s="1"/>
  <c r="H594" i="20"/>
  <c r="I594" i="20" s="1"/>
  <c r="H588" i="20"/>
  <c r="I588" i="20" s="1"/>
  <c r="H602" i="20"/>
  <c r="I602" i="20" s="1"/>
  <c r="H549" i="20"/>
  <c r="I549" i="20" s="1"/>
  <c r="H574" i="20"/>
  <c r="I574" i="20" s="1"/>
  <c r="H576" i="20"/>
  <c r="I576" i="20" s="1"/>
  <c r="H567" i="20"/>
  <c r="I567" i="20" s="1"/>
  <c r="H562" i="20"/>
  <c r="I562" i="20" s="1"/>
  <c r="H601" i="20"/>
  <c r="I601" i="20" s="1"/>
  <c r="H586" i="20"/>
  <c r="I586" i="20" s="1"/>
  <c r="H579" i="20"/>
  <c r="I579" i="20" s="1"/>
  <c r="H570" i="20"/>
  <c r="I570" i="20" s="1"/>
  <c r="H597" i="20"/>
  <c r="I597" i="20" s="1"/>
  <c r="H606" i="20"/>
  <c r="I606" i="20" s="1"/>
  <c r="H595" i="20"/>
  <c r="I595" i="20" s="1"/>
  <c r="H603" i="20"/>
  <c r="I603" i="20" s="1"/>
  <c r="H600" i="20"/>
  <c r="I600" i="20" s="1"/>
  <c r="H569" i="20"/>
  <c r="I569" i="20" s="1"/>
  <c r="H550" i="20"/>
  <c r="I550" i="20" s="1"/>
  <c r="H592" i="20"/>
  <c r="I592" i="20" s="1"/>
  <c r="H580" i="20"/>
  <c r="I580" i="20" s="1"/>
  <c r="H557" i="20"/>
  <c r="I557" i="20" s="1"/>
  <c r="H604" i="20"/>
  <c r="I604" i="20" s="1"/>
  <c r="H584" i="20"/>
  <c r="I584" i="20" s="1"/>
  <c r="H572" i="20"/>
  <c r="I572" i="20" s="1"/>
  <c r="H593" i="20"/>
  <c r="I593" i="20" s="1"/>
  <c r="H565" i="20"/>
  <c r="I565" i="20" s="1"/>
  <c r="H561" i="20"/>
  <c r="I561" i="20" s="1"/>
  <c r="H548" i="20"/>
  <c r="H607" i="20"/>
  <c r="I607" i="20" s="1"/>
  <c r="H575" i="20"/>
  <c r="I575" i="20" s="1"/>
  <c r="H577" i="20"/>
  <c r="I577" i="20" s="1"/>
  <c r="H583" i="20"/>
  <c r="I583" i="20" s="1"/>
  <c r="H554" i="20"/>
  <c r="I554" i="20" s="1"/>
  <c r="H599" i="20"/>
  <c r="I599" i="20" s="1"/>
  <c r="H582" i="20"/>
  <c r="I582" i="20" s="1"/>
  <c r="G519" i="20"/>
  <c r="G1409" i="20"/>
  <c r="I162" i="13"/>
  <c r="J102" i="13"/>
  <c r="J162" i="13" s="1"/>
  <c r="G875" i="20"/>
  <c r="M26" i="20"/>
  <c r="G786" i="20"/>
  <c r="G1320" i="20"/>
  <c r="H159" i="20"/>
  <c r="I159" i="20" s="1"/>
  <c r="H131" i="20"/>
  <c r="I131" i="20" s="1"/>
  <c r="H160" i="20"/>
  <c r="I160" i="20" s="1"/>
  <c r="H158" i="20"/>
  <c r="I158" i="20" s="1"/>
  <c r="H142" i="20"/>
  <c r="I142" i="20" s="1"/>
  <c r="H117" i="20"/>
  <c r="I117" i="20" s="1"/>
  <c r="H124" i="20"/>
  <c r="I124" i="20" s="1"/>
  <c r="H129" i="20"/>
  <c r="I129" i="20" s="1"/>
  <c r="H119" i="20"/>
  <c r="I119" i="20" s="1"/>
  <c r="H120" i="20"/>
  <c r="I120" i="20" s="1"/>
  <c r="H114" i="20"/>
  <c r="I114" i="20" s="1"/>
  <c r="H161" i="20"/>
  <c r="I161" i="20" s="1"/>
  <c r="H153" i="20"/>
  <c r="I153" i="20" s="1"/>
  <c r="H150" i="20"/>
  <c r="I150" i="20" s="1"/>
  <c r="H126" i="20"/>
  <c r="I126" i="20" s="1"/>
  <c r="H156" i="20"/>
  <c r="I156" i="20" s="1"/>
  <c r="H109" i="20"/>
  <c r="I109" i="20" s="1"/>
  <c r="H128" i="20"/>
  <c r="I128" i="20" s="1"/>
  <c r="H139" i="20"/>
  <c r="I139" i="20" s="1"/>
  <c r="H143" i="20"/>
  <c r="I143" i="20" s="1"/>
  <c r="H155" i="20"/>
  <c r="I155" i="20" s="1"/>
  <c r="H116" i="20"/>
  <c r="I116" i="20" s="1"/>
  <c r="H148" i="20"/>
  <c r="I148" i="20" s="1"/>
  <c r="H145" i="20"/>
  <c r="I145" i="20" s="1"/>
  <c r="H147" i="20"/>
  <c r="I147" i="20" s="1"/>
  <c r="H144" i="20"/>
  <c r="I144" i="20" s="1"/>
  <c r="H130" i="20"/>
  <c r="I130" i="20" s="1"/>
  <c r="H136" i="20"/>
  <c r="I136" i="20" s="1"/>
  <c r="H140" i="20"/>
  <c r="I140" i="20" s="1"/>
  <c r="H113" i="20"/>
  <c r="I113" i="20" s="1"/>
  <c r="H132" i="20"/>
  <c r="I132" i="20" s="1"/>
  <c r="H102" i="20"/>
  <c r="H141" i="20"/>
  <c r="I141" i="20" s="1"/>
  <c r="H133" i="20"/>
  <c r="I133" i="20" s="1"/>
  <c r="H154" i="20"/>
  <c r="I154" i="20" s="1"/>
  <c r="H108" i="20"/>
  <c r="I108" i="20" s="1"/>
  <c r="H103" i="20"/>
  <c r="I103" i="20" s="1"/>
  <c r="H106" i="20"/>
  <c r="I106" i="20" s="1"/>
  <c r="H125" i="20"/>
  <c r="I125" i="20" s="1"/>
  <c r="H104" i="20"/>
  <c r="I104" i="20" s="1"/>
  <c r="H157" i="20"/>
  <c r="I157" i="20" s="1"/>
  <c r="H112" i="20"/>
  <c r="I112" i="20" s="1"/>
  <c r="H152" i="20"/>
  <c r="I152" i="20" s="1"/>
  <c r="H105" i="20"/>
  <c r="I105" i="20" s="1"/>
  <c r="H151" i="20"/>
  <c r="I151" i="20" s="1"/>
  <c r="H111" i="20"/>
  <c r="I111" i="20" s="1"/>
  <c r="H107" i="20"/>
  <c r="I107" i="20" s="1"/>
  <c r="H135" i="20"/>
  <c r="I135" i="20" s="1"/>
  <c r="H149" i="20"/>
  <c r="I149" i="20" s="1"/>
  <c r="H115" i="20"/>
  <c r="I115" i="20" s="1"/>
  <c r="H123" i="20"/>
  <c r="I123" i="20" s="1"/>
  <c r="H137" i="20"/>
  <c r="I137" i="20" s="1"/>
  <c r="H121" i="20"/>
  <c r="I121" i="20" s="1"/>
  <c r="H138" i="20"/>
  <c r="I138" i="20" s="1"/>
  <c r="H146" i="20"/>
  <c r="I146" i="20" s="1"/>
  <c r="H134" i="20"/>
  <c r="I134" i="20" s="1"/>
  <c r="H118" i="20"/>
  <c r="H122" i="20"/>
  <c r="I122" i="20" s="1"/>
  <c r="H127" i="20"/>
  <c r="I127" i="20" s="1"/>
  <c r="H110" i="20"/>
  <c r="I110" i="20" s="1"/>
  <c r="H249" i="20"/>
  <c r="I249" i="20" s="1"/>
  <c r="H197" i="20"/>
  <c r="I197" i="20" s="1"/>
  <c r="H228" i="20"/>
  <c r="I228" i="20" s="1"/>
  <c r="H201" i="20"/>
  <c r="I201" i="20" s="1"/>
  <c r="H251" i="20"/>
  <c r="I251" i="20" s="1"/>
  <c r="H246" i="20"/>
  <c r="I246" i="20" s="1"/>
  <c r="H209" i="20"/>
  <c r="I209" i="20" s="1"/>
  <c r="H234" i="20"/>
  <c r="I234" i="20" s="1"/>
  <c r="H236" i="20"/>
  <c r="I236" i="20" s="1"/>
  <c r="H245" i="20"/>
  <c r="I245" i="20" s="1"/>
  <c r="H198" i="20"/>
  <c r="I198" i="20" s="1"/>
  <c r="H235" i="20"/>
  <c r="I235" i="20" s="1"/>
  <c r="H217" i="20"/>
  <c r="I217" i="20" s="1"/>
  <c r="H250" i="20"/>
  <c r="I250" i="20" s="1"/>
  <c r="H212" i="20"/>
  <c r="I212" i="20" s="1"/>
  <c r="H210" i="20"/>
  <c r="I210" i="20" s="1"/>
  <c r="H199" i="20"/>
  <c r="I199" i="20" s="1"/>
  <c r="H242" i="20"/>
  <c r="I242" i="20" s="1"/>
  <c r="H222" i="20"/>
  <c r="I222" i="20" s="1"/>
  <c r="H204" i="20"/>
  <c r="I204" i="20" s="1"/>
  <c r="H241" i="20"/>
  <c r="I241" i="20" s="1"/>
  <c r="H240" i="20"/>
  <c r="I240" i="20" s="1"/>
  <c r="H247" i="20"/>
  <c r="I247" i="20" s="1"/>
  <c r="H248" i="20"/>
  <c r="I248" i="20" s="1"/>
  <c r="H229" i="20"/>
  <c r="I229" i="20" s="1"/>
  <c r="H218" i="20"/>
  <c r="I218" i="20" s="1"/>
  <c r="H203" i="20"/>
  <c r="I203" i="20" s="1"/>
  <c r="H233" i="20"/>
  <c r="I233" i="20" s="1"/>
  <c r="H215" i="20"/>
  <c r="I215" i="20" s="1"/>
  <c r="H219" i="20"/>
  <c r="I219" i="20" s="1"/>
  <c r="H243" i="20"/>
  <c r="I243" i="20" s="1"/>
  <c r="H207" i="20"/>
  <c r="I207" i="20" s="1"/>
  <c r="H193" i="20"/>
  <c r="I193" i="20" s="1"/>
  <c r="H195" i="20"/>
  <c r="I195" i="20" s="1"/>
  <c r="H231" i="20"/>
  <c r="I231" i="20" s="1"/>
  <c r="H208" i="20"/>
  <c r="I208" i="20" s="1"/>
  <c r="H192" i="20"/>
  <c r="H211" i="20"/>
  <c r="I211" i="20" s="1"/>
  <c r="H230" i="20"/>
  <c r="I230" i="20" s="1"/>
  <c r="H216" i="20"/>
  <c r="I216" i="20" s="1"/>
  <c r="H196" i="20"/>
  <c r="I196" i="20" s="1"/>
  <c r="H226" i="20"/>
  <c r="I226" i="20" s="1"/>
  <c r="H232" i="20"/>
  <c r="I232" i="20" s="1"/>
  <c r="H214" i="20"/>
  <c r="I214" i="20" s="1"/>
  <c r="H202" i="20"/>
  <c r="I202" i="20" s="1"/>
  <c r="H244" i="20"/>
  <c r="I244" i="20" s="1"/>
  <c r="H227" i="20"/>
  <c r="I227" i="20" s="1"/>
  <c r="H239" i="20"/>
  <c r="I239" i="20" s="1"/>
  <c r="H194" i="20"/>
  <c r="I194" i="20" s="1"/>
  <c r="H213" i="20"/>
  <c r="I213" i="20" s="1"/>
  <c r="H205" i="20"/>
  <c r="H223" i="20"/>
  <c r="I223" i="20" s="1"/>
  <c r="H220" i="20"/>
  <c r="I220" i="20" s="1"/>
  <c r="H237" i="20"/>
  <c r="I237" i="20" s="1"/>
  <c r="H221" i="20"/>
  <c r="I221" i="20" s="1"/>
  <c r="H238" i="20"/>
  <c r="I238" i="20" s="1"/>
  <c r="H200" i="20"/>
  <c r="I200" i="20" s="1"/>
  <c r="H224" i="20"/>
  <c r="I224" i="20" s="1"/>
  <c r="H206" i="20"/>
  <c r="I206" i="20" s="1"/>
  <c r="H225" i="20"/>
  <c r="I225" i="20" s="1"/>
  <c r="H1012" i="20"/>
  <c r="I1012" i="20" s="1"/>
  <c r="H1035" i="20"/>
  <c r="I1035" i="20" s="1"/>
  <c r="H1000" i="20"/>
  <c r="I1000" i="20" s="1"/>
  <c r="H1018" i="20"/>
  <c r="I1018" i="20" s="1"/>
  <c r="H999" i="20"/>
  <c r="I999" i="20" s="1"/>
  <c r="H1011" i="20"/>
  <c r="I1011" i="20" s="1"/>
  <c r="H1033" i="20"/>
  <c r="I1033" i="20" s="1"/>
  <c r="H1019" i="20"/>
  <c r="I1019" i="20" s="1"/>
  <c r="H996" i="20"/>
  <c r="I996" i="20" s="1"/>
  <c r="H1082" i="20"/>
  <c r="H1027" i="20"/>
  <c r="I1027" i="20" s="1"/>
  <c r="H1026" i="20"/>
  <c r="I1026" i="20" s="1"/>
  <c r="H998" i="20"/>
  <c r="I998" i="20" s="1"/>
  <c r="H1029" i="20"/>
  <c r="I1029" i="20" s="1"/>
  <c r="H1020" i="20"/>
  <c r="I1020" i="20" s="1"/>
  <c r="H1014" i="20"/>
  <c r="I1014" i="20" s="1"/>
  <c r="H1005" i="20"/>
  <c r="I1005" i="20" s="1"/>
  <c r="H1017" i="20"/>
  <c r="I1017" i="20" s="1"/>
  <c r="H1015" i="20"/>
  <c r="I1015" i="20" s="1"/>
  <c r="H1022" i="20"/>
  <c r="I1022" i="20" s="1"/>
  <c r="H1007" i="20"/>
  <c r="I1007" i="20" s="1"/>
  <c r="H997" i="20"/>
  <c r="I997" i="20" s="1"/>
  <c r="H1028" i="20"/>
  <c r="I1028" i="20" s="1"/>
  <c r="H1001" i="20"/>
  <c r="I1001" i="20" s="1"/>
  <c r="H1032" i="20"/>
  <c r="I1032" i="20" s="1"/>
  <c r="H995" i="20"/>
  <c r="I995" i="20" s="1"/>
  <c r="H1045" i="20"/>
  <c r="I1045" i="20" s="1"/>
  <c r="H1021" i="20"/>
  <c r="I1021" i="20" s="1"/>
  <c r="H1013" i="20"/>
  <c r="I1013" i="20" s="1"/>
  <c r="H1034" i="20"/>
  <c r="I1034" i="20" s="1"/>
  <c r="H1030" i="20"/>
  <c r="I1030" i="20" s="1"/>
  <c r="H1008" i="20"/>
  <c r="I1008" i="20" s="1"/>
  <c r="H1025" i="20"/>
  <c r="I1025" i="20" s="1"/>
  <c r="H1046" i="20"/>
  <c r="I1046" i="20" s="1"/>
  <c r="H1042" i="20"/>
  <c r="I1042" i="20" s="1"/>
  <c r="H1004" i="20"/>
  <c r="I1004" i="20" s="1"/>
  <c r="H1003" i="20"/>
  <c r="H1006" i="20"/>
  <c r="I1006" i="20" s="1"/>
  <c r="H1037" i="20"/>
  <c r="I1037" i="20" s="1"/>
  <c r="H1023" i="20"/>
  <c r="I1023" i="20" s="1"/>
  <c r="H1051" i="20"/>
  <c r="I1051" i="20" s="1"/>
  <c r="H993" i="20"/>
  <c r="H1052" i="20"/>
  <c r="I1052" i="20" s="1"/>
  <c r="H1038" i="20"/>
  <c r="I1038" i="20" s="1"/>
  <c r="H1009" i="20"/>
  <c r="I1009" i="20" s="1"/>
  <c r="H994" i="20"/>
  <c r="I994" i="20" s="1"/>
  <c r="H1049" i="20"/>
  <c r="I1049" i="20" s="1"/>
  <c r="H1036" i="20"/>
  <c r="I1036" i="20" s="1"/>
  <c r="H1024" i="20"/>
  <c r="I1024" i="20" s="1"/>
  <c r="H1031" i="20"/>
  <c r="I1031" i="20" s="1"/>
  <c r="H1041" i="20"/>
  <c r="I1041" i="20" s="1"/>
  <c r="H1016" i="20"/>
  <c r="I1016" i="20" s="1"/>
  <c r="H1040" i="20"/>
  <c r="I1040" i="20" s="1"/>
  <c r="H1050" i="20"/>
  <c r="I1050" i="20" s="1"/>
  <c r="H1002" i="20"/>
  <c r="I1002" i="20" s="1"/>
  <c r="H1048" i="20"/>
  <c r="I1048" i="20" s="1"/>
  <c r="H1039" i="20"/>
  <c r="I1039" i="20" s="1"/>
  <c r="H1047" i="20"/>
  <c r="I1047" i="20" s="1"/>
  <c r="H1044" i="20"/>
  <c r="I1044" i="20" s="1"/>
  <c r="H1010" i="20"/>
  <c r="I1010" i="20" s="1"/>
  <c r="H1043" i="20"/>
  <c r="I1043" i="20" s="1"/>
  <c r="H676" i="20"/>
  <c r="I676" i="20" s="1"/>
  <c r="H694" i="20"/>
  <c r="I694" i="20" s="1"/>
  <c r="H645" i="20"/>
  <c r="H650" i="20"/>
  <c r="I650" i="20" s="1"/>
  <c r="H671" i="20"/>
  <c r="I671" i="20" s="1"/>
  <c r="H680" i="20"/>
  <c r="I680" i="20" s="1"/>
  <c r="H681" i="20"/>
  <c r="I681" i="20" s="1"/>
  <c r="H690" i="20"/>
  <c r="I690" i="20" s="1"/>
  <c r="H647" i="20"/>
  <c r="I647" i="20" s="1"/>
  <c r="H642" i="20"/>
  <c r="I642" i="20" s="1"/>
  <c r="H685" i="20"/>
  <c r="I685" i="20" s="1"/>
  <c r="H687" i="20"/>
  <c r="I687" i="20" s="1"/>
  <c r="H657" i="20"/>
  <c r="I657" i="20" s="1"/>
  <c r="H652" i="20"/>
  <c r="I652" i="20" s="1"/>
  <c r="H674" i="20"/>
  <c r="I674" i="20" s="1"/>
  <c r="H665" i="20"/>
  <c r="I665" i="20" s="1"/>
  <c r="H689" i="20"/>
  <c r="I689" i="20" s="1"/>
  <c r="H695" i="20"/>
  <c r="I695" i="20" s="1"/>
  <c r="H688" i="20"/>
  <c r="I688" i="20" s="1"/>
  <c r="H672" i="20"/>
  <c r="I672" i="20" s="1"/>
  <c r="H684" i="20"/>
  <c r="I684" i="20" s="1"/>
  <c r="H666" i="20"/>
  <c r="I666" i="20" s="1"/>
  <c r="H643" i="20"/>
  <c r="I643" i="20" s="1"/>
  <c r="H653" i="20"/>
  <c r="I653" i="20" s="1"/>
  <c r="H692" i="20"/>
  <c r="I692" i="20" s="1"/>
  <c r="H675" i="20"/>
  <c r="I675" i="20" s="1"/>
  <c r="H696" i="20"/>
  <c r="I696" i="20" s="1"/>
  <c r="H663" i="20"/>
  <c r="I663" i="20" s="1"/>
  <c r="H664" i="20"/>
  <c r="I664" i="20" s="1"/>
  <c r="H646" i="20"/>
  <c r="I646" i="20" s="1"/>
  <c r="H649" i="20"/>
  <c r="I649" i="20" s="1"/>
  <c r="H662" i="20"/>
  <c r="I662" i="20" s="1"/>
  <c r="H648" i="20"/>
  <c r="I648" i="20" s="1"/>
  <c r="H656" i="20"/>
  <c r="I656" i="20" s="1"/>
  <c r="H638" i="20"/>
  <c r="I638" i="20" s="1"/>
  <c r="H678" i="20"/>
  <c r="I678" i="20" s="1"/>
  <c r="H639" i="20"/>
  <c r="I639" i="20" s="1"/>
  <c r="H661" i="20"/>
  <c r="I661" i="20" s="1"/>
  <c r="H669" i="20"/>
  <c r="I669" i="20" s="1"/>
  <c r="H683" i="20"/>
  <c r="I683" i="20" s="1"/>
  <c r="H686" i="20"/>
  <c r="I686" i="20" s="1"/>
  <c r="H673" i="20"/>
  <c r="I673" i="20" s="1"/>
  <c r="H693" i="20"/>
  <c r="I693" i="20" s="1"/>
  <c r="H691" i="20"/>
  <c r="I691" i="20" s="1"/>
  <c r="H637" i="20"/>
  <c r="H654" i="20"/>
  <c r="I654" i="20" s="1"/>
  <c r="H682" i="20"/>
  <c r="I682" i="20" s="1"/>
  <c r="H641" i="20"/>
  <c r="I641" i="20" s="1"/>
  <c r="H659" i="20"/>
  <c r="I659" i="20" s="1"/>
  <c r="H655" i="20"/>
  <c r="I655" i="20" s="1"/>
  <c r="H660" i="20"/>
  <c r="I660" i="20" s="1"/>
  <c r="H644" i="20"/>
  <c r="I644" i="20" s="1"/>
  <c r="H670" i="20"/>
  <c r="I670" i="20" s="1"/>
  <c r="H679" i="20"/>
  <c r="I679" i="20" s="1"/>
  <c r="H667" i="20"/>
  <c r="I667" i="20" s="1"/>
  <c r="H658" i="20"/>
  <c r="I658" i="20" s="1"/>
  <c r="H668" i="20"/>
  <c r="I668" i="20" s="1"/>
  <c r="H651" i="20"/>
  <c r="I651" i="20" s="1"/>
  <c r="H677" i="20"/>
  <c r="I677" i="20" s="1"/>
  <c r="H640" i="20"/>
  <c r="I640" i="20" s="1"/>
  <c r="H1382" i="20"/>
  <c r="I1382" i="20" s="1"/>
  <c r="H1350" i="20"/>
  <c r="I1350" i="20" s="1"/>
  <c r="H1395" i="20"/>
  <c r="I1395" i="20" s="1"/>
  <c r="H1366" i="20"/>
  <c r="I1366" i="20" s="1"/>
  <c r="H1389" i="20"/>
  <c r="I1389" i="20" s="1"/>
  <c r="H1360" i="20"/>
  <c r="I1360" i="20" s="1"/>
  <c r="H1405" i="20"/>
  <c r="I1405" i="20" s="1"/>
  <c r="H1396" i="20"/>
  <c r="I1396" i="20" s="1"/>
  <c r="H1365" i="20"/>
  <c r="I1365" i="20" s="1"/>
  <c r="H1354" i="20"/>
  <c r="H1388" i="20"/>
  <c r="I1388" i="20" s="1"/>
  <c r="H1361" i="20"/>
  <c r="I1361" i="20" s="1"/>
  <c r="H1407" i="20"/>
  <c r="I1407" i="20" s="1"/>
  <c r="H1364" i="20"/>
  <c r="I1364" i="20" s="1"/>
  <c r="H1408" i="20"/>
  <c r="I1408" i="20" s="1"/>
  <c r="H1399" i="20"/>
  <c r="I1399" i="20" s="1"/>
  <c r="H1400" i="20"/>
  <c r="I1400" i="20" s="1"/>
  <c r="H1398" i="20"/>
  <c r="I1398" i="20" s="1"/>
  <c r="H1380" i="20"/>
  <c r="I1380" i="20" s="1"/>
  <c r="H1355" i="20"/>
  <c r="I1355" i="20" s="1"/>
  <c r="H1351" i="20"/>
  <c r="I1351" i="20" s="1"/>
  <c r="H1402" i="20"/>
  <c r="I1402" i="20" s="1"/>
  <c r="H1381" i="20"/>
  <c r="I1381" i="20" s="1"/>
  <c r="H1359" i="20"/>
  <c r="I1359" i="20" s="1"/>
  <c r="H1368" i="20"/>
  <c r="I1368" i="20" s="1"/>
  <c r="H1357" i="20"/>
  <c r="I1357" i="20" s="1"/>
  <c r="H1372" i="20"/>
  <c r="I1372" i="20" s="1"/>
  <c r="H1386" i="20"/>
  <c r="I1386" i="20" s="1"/>
  <c r="H1406" i="20"/>
  <c r="I1406" i="20" s="1"/>
  <c r="H1391" i="20"/>
  <c r="I1391" i="20" s="1"/>
  <c r="H1374" i="20"/>
  <c r="I1374" i="20" s="1"/>
  <c r="H1358" i="20"/>
  <c r="I1358" i="20" s="1"/>
  <c r="H1362" i="20"/>
  <c r="I1362" i="20" s="1"/>
  <c r="H1369" i="20"/>
  <c r="I1369" i="20" s="1"/>
  <c r="H1401" i="20"/>
  <c r="I1401" i="20" s="1"/>
  <c r="H1370" i="20"/>
  <c r="I1370" i="20" s="1"/>
  <c r="H1394" i="20"/>
  <c r="I1394" i="20" s="1"/>
  <c r="H1371" i="20"/>
  <c r="I1371" i="20" s="1"/>
  <c r="H1383" i="20"/>
  <c r="I1383" i="20" s="1"/>
  <c r="H1403" i="20"/>
  <c r="I1403" i="20" s="1"/>
  <c r="H1397" i="20"/>
  <c r="I1397" i="20" s="1"/>
  <c r="H1385" i="20"/>
  <c r="I1385" i="20" s="1"/>
  <c r="H1404" i="20"/>
  <c r="I1404" i="20" s="1"/>
  <c r="H1363" i="20"/>
  <c r="I1363" i="20" s="1"/>
  <c r="H1349" i="20"/>
  <c r="H1393" i="20"/>
  <c r="I1393" i="20" s="1"/>
  <c r="H1376" i="20"/>
  <c r="I1376" i="20" s="1"/>
  <c r="H1367" i="20"/>
  <c r="I1367" i="20" s="1"/>
  <c r="H1387" i="20"/>
  <c r="I1387" i="20" s="1"/>
  <c r="H1353" i="20"/>
  <c r="I1353" i="20" s="1"/>
  <c r="H1373" i="20"/>
  <c r="I1373" i="20" s="1"/>
  <c r="H1384" i="20"/>
  <c r="I1384" i="20" s="1"/>
  <c r="H1390" i="20"/>
  <c r="I1390" i="20" s="1"/>
  <c r="H1375" i="20"/>
  <c r="I1375" i="20" s="1"/>
  <c r="H1377" i="20"/>
  <c r="I1377" i="20" s="1"/>
  <c r="H1392" i="20"/>
  <c r="I1392" i="20" s="1"/>
  <c r="H1352" i="20"/>
  <c r="I1352" i="20" s="1"/>
  <c r="H1379" i="20"/>
  <c r="I1379" i="20" s="1"/>
  <c r="H1378" i="20"/>
  <c r="I1378" i="20" s="1"/>
  <c r="H1356" i="20"/>
  <c r="I1356" i="20" s="1"/>
  <c r="G341" i="20"/>
  <c r="H295" i="20"/>
  <c r="I295" i="20" s="1"/>
  <c r="H296" i="20"/>
  <c r="I296" i="20" s="1"/>
  <c r="H339" i="20"/>
  <c r="I339" i="20" s="1"/>
  <c r="H302" i="20"/>
  <c r="I302" i="20" s="1"/>
  <c r="H337" i="20"/>
  <c r="I337" i="20" s="1"/>
  <c r="H330" i="20"/>
  <c r="I330" i="20" s="1"/>
  <c r="H293" i="20"/>
  <c r="I293" i="20" s="1"/>
  <c r="H332" i="20"/>
  <c r="I332" i="20" s="1"/>
  <c r="H338" i="20"/>
  <c r="I338" i="20" s="1"/>
  <c r="H308" i="20"/>
  <c r="I308" i="20" s="1"/>
  <c r="H294" i="20"/>
  <c r="I294" i="20" s="1"/>
  <c r="H289" i="20"/>
  <c r="I289" i="20" s="1"/>
  <c r="H281" i="20"/>
  <c r="H309" i="20"/>
  <c r="I309" i="20" s="1"/>
  <c r="H288" i="20"/>
  <c r="I288" i="20" s="1"/>
  <c r="H335" i="20"/>
  <c r="I335" i="20" s="1"/>
  <c r="H301" i="20"/>
  <c r="I301" i="20" s="1"/>
  <c r="H299" i="20"/>
  <c r="I299" i="20" s="1"/>
  <c r="H310" i="20"/>
  <c r="I310" i="20" s="1"/>
  <c r="H303" i="20"/>
  <c r="I303" i="20" s="1"/>
  <c r="H333" i="20"/>
  <c r="I333" i="20" s="1"/>
  <c r="H331" i="20"/>
  <c r="I331" i="20" s="1"/>
  <c r="H284" i="20"/>
  <c r="I284" i="20" s="1"/>
  <c r="H292" i="20"/>
  <c r="I292" i="20" s="1"/>
  <c r="H321" i="20"/>
  <c r="I321" i="20" s="1"/>
  <c r="H287" i="20"/>
  <c r="I287" i="20" s="1"/>
  <c r="H334" i="20"/>
  <c r="I334" i="20" s="1"/>
  <c r="H313" i="20"/>
  <c r="I313" i="20" s="1"/>
  <c r="H324" i="20"/>
  <c r="I324" i="20" s="1"/>
  <c r="H312" i="20"/>
  <c r="I312" i="20" s="1"/>
  <c r="H311" i="20"/>
  <c r="I311" i="20" s="1"/>
  <c r="H283" i="20"/>
  <c r="I283" i="20" s="1"/>
  <c r="H307" i="20"/>
  <c r="I307" i="20" s="1"/>
  <c r="H304" i="20"/>
  <c r="I304" i="20" s="1"/>
  <c r="H285" i="20"/>
  <c r="I285" i="20" s="1"/>
  <c r="H282" i="20"/>
  <c r="I282" i="20" s="1"/>
  <c r="H298" i="20"/>
  <c r="I298" i="20" s="1"/>
  <c r="H318" i="20"/>
  <c r="I318" i="20" s="1"/>
  <c r="H319" i="20"/>
  <c r="I319" i="20" s="1"/>
  <c r="H286" i="20"/>
  <c r="I286" i="20" s="1"/>
  <c r="H326" i="20"/>
  <c r="I326" i="20" s="1"/>
  <c r="H323" i="20"/>
  <c r="I323" i="20" s="1"/>
  <c r="H297" i="20"/>
  <c r="I297" i="20" s="1"/>
  <c r="H300" i="20"/>
  <c r="I300" i="20" s="1"/>
  <c r="H329" i="20"/>
  <c r="I329" i="20" s="1"/>
  <c r="H291" i="20"/>
  <c r="H317" i="20"/>
  <c r="I317" i="20" s="1"/>
  <c r="H305" i="20"/>
  <c r="I305" i="20" s="1"/>
  <c r="H322" i="20"/>
  <c r="I322" i="20" s="1"/>
  <c r="H340" i="20"/>
  <c r="I340" i="20" s="1"/>
  <c r="H316" i="20"/>
  <c r="I316" i="20" s="1"/>
  <c r="H328" i="20"/>
  <c r="I328" i="20" s="1"/>
  <c r="H314" i="20"/>
  <c r="I314" i="20" s="1"/>
  <c r="H336" i="20"/>
  <c r="I336" i="20" s="1"/>
  <c r="H315" i="20"/>
  <c r="I315" i="20" s="1"/>
  <c r="H327" i="20"/>
  <c r="I327" i="20" s="1"/>
  <c r="H290" i="20"/>
  <c r="I290" i="20" s="1"/>
  <c r="H325" i="20"/>
  <c r="I325" i="20" s="1"/>
  <c r="H320" i="20"/>
  <c r="I320" i="20" s="1"/>
  <c r="H306" i="20"/>
  <c r="I306" i="20" s="1"/>
  <c r="G252" i="20"/>
  <c r="H1100" i="20"/>
  <c r="I1100" i="20" s="1"/>
  <c r="H1106" i="20"/>
  <c r="I1106" i="20" s="1"/>
  <c r="H1119" i="20"/>
  <c r="I1119" i="20" s="1"/>
  <c r="H1127" i="20"/>
  <c r="I1127" i="20" s="1"/>
  <c r="H1087" i="20"/>
  <c r="I1087" i="20" s="1"/>
  <c r="H1122" i="20"/>
  <c r="I1122" i="20" s="1"/>
  <c r="H1132" i="20"/>
  <c r="I1132" i="20" s="1"/>
  <c r="H1103" i="20"/>
  <c r="I1103" i="20" s="1"/>
  <c r="H1086" i="20"/>
  <c r="I1086" i="20" s="1"/>
  <c r="H1141" i="20"/>
  <c r="I1141" i="20" s="1"/>
  <c r="H1085" i="20"/>
  <c r="I1085" i="20" s="1"/>
  <c r="H1137" i="20"/>
  <c r="I1137" i="20" s="1"/>
  <c r="H1136" i="20"/>
  <c r="I1136" i="20" s="1"/>
  <c r="H1099" i="20"/>
  <c r="I1099" i="20" s="1"/>
  <c r="H1129" i="20"/>
  <c r="I1129" i="20" s="1"/>
  <c r="H1115" i="20"/>
  <c r="I1115" i="20" s="1"/>
  <c r="H1135" i="20"/>
  <c r="I1135" i="20" s="1"/>
  <c r="H1138" i="20"/>
  <c r="I1138" i="20" s="1"/>
  <c r="H1134" i="20"/>
  <c r="I1134" i="20" s="1"/>
  <c r="H1117" i="20"/>
  <c r="I1117" i="20" s="1"/>
  <c r="H1133" i="20"/>
  <c r="I1133" i="20" s="1"/>
  <c r="H1125" i="20"/>
  <c r="I1125" i="20" s="1"/>
  <c r="H1089" i="20"/>
  <c r="H1140" i="20"/>
  <c r="I1140" i="20" s="1"/>
  <c r="H1118" i="20"/>
  <c r="I1118" i="20" s="1"/>
  <c r="H1107" i="20"/>
  <c r="I1107" i="20" s="1"/>
  <c r="H1120" i="20"/>
  <c r="I1120" i="20" s="1"/>
  <c r="H1113" i="20"/>
  <c r="I1113" i="20" s="1"/>
  <c r="H1110" i="20"/>
  <c r="I1110" i="20" s="1"/>
  <c r="H1116" i="20"/>
  <c r="I1116" i="20" s="1"/>
  <c r="H1098" i="20"/>
  <c r="I1098" i="20" s="1"/>
  <c r="H1139" i="20"/>
  <c r="I1139" i="20" s="1"/>
  <c r="H1097" i="20"/>
  <c r="I1097" i="20" s="1"/>
  <c r="H1121" i="20"/>
  <c r="I1121" i="20" s="1"/>
  <c r="H1126" i="20"/>
  <c r="I1126" i="20" s="1"/>
  <c r="H1093" i="20"/>
  <c r="I1093" i="20" s="1"/>
  <c r="H1114" i="20"/>
  <c r="I1114" i="20" s="1"/>
  <c r="H1095" i="20"/>
  <c r="I1095" i="20" s="1"/>
  <c r="H1108" i="20"/>
  <c r="I1108" i="20" s="1"/>
  <c r="H1094" i="20"/>
  <c r="I1094" i="20" s="1"/>
  <c r="H1096" i="20"/>
  <c r="I1096" i="20" s="1"/>
  <c r="H1083" i="20"/>
  <c r="I1083" i="20" s="1"/>
  <c r="H1128" i="20"/>
  <c r="I1128" i="20" s="1"/>
  <c r="H1131" i="20"/>
  <c r="I1131" i="20" s="1"/>
  <c r="H1088" i="20"/>
  <c r="I1088" i="20" s="1"/>
  <c r="H1091" i="20"/>
  <c r="I1091" i="20" s="1"/>
  <c r="H1109" i="20"/>
  <c r="I1109" i="20" s="1"/>
  <c r="H1105" i="20"/>
  <c r="I1105" i="20" s="1"/>
  <c r="H1101" i="20"/>
  <c r="I1101" i="20" s="1"/>
  <c r="H1084" i="20"/>
  <c r="I1084" i="20" s="1"/>
  <c r="H1092" i="20"/>
  <c r="I1092" i="20" s="1"/>
  <c r="H1124" i="20"/>
  <c r="I1124" i="20" s="1"/>
  <c r="H1112" i="20"/>
  <c r="I1112" i="20" s="1"/>
  <c r="H1111" i="20"/>
  <c r="I1111" i="20" s="1"/>
  <c r="H1090" i="20"/>
  <c r="I1090" i="20" s="1"/>
  <c r="H1123" i="20"/>
  <c r="I1123" i="20" s="1"/>
  <c r="H1104" i="20"/>
  <c r="I1104" i="20" s="1"/>
  <c r="H1130" i="20"/>
  <c r="I1130" i="20" s="1"/>
  <c r="H1102" i="20"/>
  <c r="I1102" i="20" s="1"/>
  <c r="G1231" i="20"/>
  <c r="H917" i="20"/>
  <c r="I917" i="20" s="1"/>
  <c r="H957" i="20"/>
  <c r="I957" i="20" s="1"/>
  <c r="H936" i="20"/>
  <c r="I936" i="20" s="1"/>
  <c r="H951" i="20"/>
  <c r="I951" i="20" s="1"/>
  <c r="H913" i="20"/>
  <c r="I913" i="20" s="1"/>
  <c r="H950" i="20"/>
  <c r="I950" i="20" s="1"/>
  <c r="H924" i="20"/>
  <c r="I924" i="20" s="1"/>
  <c r="H929" i="20"/>
  <c r="I929" i="20" s="1"/>
  <c r="H915" i="20"/>
  <c r="I915" i="20" s="1"/>
  <c r="H946" i="20"/>
  <c r="I946" i="20" s="1"/>
  <c r="H949" i="20"/>
  <c r="I949" i="20" s="1"/>
  <c r="H914" i="20"/>
  <c r="I914" i="20" s="1"/>
  <c r="H935" i="20"/>
  <c r="I935" i="20" s="1"/>
  <c r="H941" i="20"/>
  <c r="I941" i="20" s="1"/>
  <c r="H927" i="20"/>
  <c r="I927" i="20" s="1"/>
  <c r="H931" i="20"/>
  <c r="I931" i="20" s="1"/>
  <c r="H947" i="20"/>
  <c r="I947" i="20" s="1"/>
  <c r="H961" i="20"/>
  <c r="I961" i="20" s="1"/>
  <c r="H928" i="20"/>
  <c r="I928" i="20" s="1"/>
  <c r="H922" i="20"/>
  <c r="I922" i="20" s="1"/>
  <c r="H905" i="20"/>
  <c r="I905" i="20" s="1"/>
  <c r="H939" i="20"/>
  <c r="I939" i="20" s="1"/>
  <c r="H923" i="20"/>
  <c r="I923" i="20" s="1"/>
  <c r="H954" i="20"/>
  <c r="I954" i="20" s="1"/>
  <c r="H955" i="20"/>
  <c r="I955" i="20" s="1"/>
  <c r="H925" i="20"/>
  <c r="I925" i="20" s="1"/>
  <c r="H930" i="20"/>
  <c r="I930" i="20" s="1"/>
  <c r="H937" i="20"/>
  <c r="I937" i="20" s="1"/>
  <c r="H907" i="20"/>
  <c r="I907" i="20" s="1"/>
  <c r="H916" i="20"/>
  <c r="I916" i="20" s="1"/>
  <c r="H959" i="20"/>
  <c r="I959" i="20" s="1"/>
  <c r="H926" i="20"/>
  <c r="I926" i="20" s="1"/>
  <c r="H909" i="20"/>
  <c r="I909" i="20" s="1"/>
  <c r="H910" i="20"/>
  <c r="I910" i="20" s="1"/>
  <c r="H956" i="20"/>
  <c r="I956" i="20" s="1"/>
  <c r="H932" i="20"/>
  <c r="I932" i="20" s="1"/>
  <c r="H934" i="20"/>
  <c r="I934" i="20" s="1"/>
  <c r="H945" i="20"/>
  <c r="I945" i="20" s="1"/>
  <c r="H952" i="20"/>
  <c r="I952" i="20" s="1"/>
  <c r="H906" i="20"/>
  <c r="I906" i="20" s="1"/>
  <c r="H960" i="20"/>
  <c r="I960" i="20" s="1"/>
  <c r="H962" i="20"/>
  <c r="I962" i="20" s="1"/>
  <c r="H938" i="20"/>
  <c r="I938" i="20" s="1"/>
  <c r="H912" i="20"/>
  <c r="H940" i="20"/>
  <c r="I940" i="20" s="1"/>
  <c r="H921" i="20"/>
  <c r="I921" i="20" s="1"/>
  <c r="H919" i="20"/>
  <c r="I919" i="20" s="1"/>
  <c r="H911" i="20"/>
  <c r="I911" i="20" s="1"/>
  <c r="H958" i="20"/>
  <c r="I958" i="20" s="1"/>
  <c r="H953" i="20"/>
  <c r="I953" i="20" s="1"/>
  <c r="H944" i="20"/>
  <c r="I944" i="20" s="1"/>
  <c r="H943" i="20"/>
  <c r="I943" i="20" s="1"/>
  <c r="H963" i="20"/>
  <c r="I963" i="20" s="1"/>
  <c r="H904" i="20"/>
  <c r="H933" i="20"/>
  <c r="I933" i="20" s="1"/>
  <c r="H918" i="20"/>
  <c r="I918" i="20" s="1"/>
  <c r="H920" i="20"/>
  <c r="I920" i="20" s="1"/>
  <c r="H942" i="20"/>
  <c r="I942" i="20" s="1"/>
  <c r="H948" i="20"/>
  <c r="I948" i="20" s="1"/>
  <c r="H908" i="20"/>
  <c r="I908" i="20" s="1"/>
  <c r="H1268" i="20"/>
  <c r="H1296" i="20"/>
  <c r="I1296" i="20" s="1"/>
  <c r="H1286" i="20"/>
  <c r="I1286" i="20" s="1"/>
  <c r="H1306" i="20"/>
  <c r="I1306" i="20" s="1"/>
  <c r="H1275" i="20"/>
  <c r="I1275" i="20" s="1"/>
  <c r="H1304" i="20"/>
  <c r="I1304" i="20" s="1"/>
  <c r="H1273" i="20"/>
  <c r="I1273" i="20" s="1"/>
  <c r="H1284" i="20"/>
  <c r="I1284" i="20" s="1"/>
  <c r="H1316" i="20"/>
  <c r="I1316" i="20" s="1"/>
  <c r="H1312" i="20"/>
  <c r="I1312" i="20" s="1"/>
  <c r="H1262" i="20"/>
  <c r="I1262" i="20" s="1"/>
  <c r="H1277" i="20"/>
  <c r="I1277" i="20" s="1"/>
  <c r="H1274" i="20"/>
  <c r="I1274" i="20" s="1"/>
  <c r="H1300" i="20"/>
  <c r="I1300" i="20" s="1"/>
  <c r="H1292" i="20"/>
  <c r="I1292" i="20" s="1"/>
  <c r="H1261" i="20"/>
  <c r="I1261" i="20" s="1"/>
  <c r="H1305" i="20"/>
  <c r="I1305" i="20" s="1"/>
  <c r="H1297" i="20"/>
  <c r="I1297" i="20" s="1"/>
  <c r="H1319" i="20"/>
  <c r="I1319" i="20" s="1"/>
  <c r="H1282" i="20"/>
  <c r="I1282" i="20" s="1"/>
  <c r="H1303" i="20"/>
  <c r="I1303" i="20" s="1"/>
  <c r="H1301" i="20"/>
  <c r="I1301" i="20" s="1"/>
  <c r="H1280" i="20"/>
  <c r="I1280" i="20" s="1"/>
  <c r="H1298" i="20"/>
  <c r="I1298" i="20" s="1"/>
  <c r="H1318" i="20"/>
  <c r="I1318" i="20" s="1"/>
  <c r="H1317" i="20"/>
  <c r="I1317" i="20" s="1"/>
  <c r="H1314" i="20"/>
  <c r="I1314" i="20" s="1"/>
  <c r="H1264" i="20"/>
  <c r="I1264" i="20" s="1"/>
  <c r="H1269" i="20"/>
  <c r="I1269" i="20" s="1"/>
  <c r="H1299" i="20"/>
  <c r="I1299" i="20" s="1"/>
  <c r="H1270" i="20"/>
  <c r="I1270" i="20" s="1"/>
  <c r="H1308" i="20"/>
  <c r="I1308" i="20" s="1"/>
  <c r="H1266" i="20"/>
  <c r="I1266" i="20" s="1"/>
  <c r="H1285" i="20"/>
  <c r="I1285" i="20" s="1"/>
  <c r="H1295" i="20"/>
  <c r="I1295" i="20" s="1"/>
  <c r="H1281" i="20"/>
  <c r="I1281" i="20" s="1"/>
  <c r="H1291" i="20"/>
  <c r="I1291" i="20" s="1"/>
  <c r="H1294" i="20"/>
  <c r="I1294" i="20" s="1"/>
  <c r="H1310" i="20"/>
  <c r="I1310" i="20" s="1"/>
  <c r="H1302" i="20"/>
  <c r="I1302" i="20" s="1"/>
  <c r="H1278" i="20"/>
  <c r="I1278" i="20" s="1"/>
  <c r="H1279" i="20"/>
  <c r="I1279" i="20" s="1"/>
  <c r="H1283" i="20"/>
  <c r="I1283" i="20" s="1"/>
  <c r="H1311" i="20"/>
  <c r="I1311" i="20" s="1"/>
  <c r="H1267" i="20"/>
  <c r="I1267" i="20" s="1"/>
  <c r="H1289" i="20"/>
  <c r="I1289" i="20" s="1"/>
  <c r="H1309" i="20"/>
  <c r="I1309" i="20" s="1"/>
  <c r="H1260" i="20"/>
  <c r="H1290" i="20"/>
  <c r="I1290" i="20" s="1"/>
  <c r="H1313" i="20"/>
  <c r="I1313" i="20" s="1"/>
  <c r="H1265" i="20"/>
  <c r="I1265" i="20" s="1"/>
  <c r="H1287" i="20"/>
  <c r="I1287" i="20" s="1"/>
  <c r="H1263" i="20"/>
  <c r="I1263" i="20" s="1"/>
  <c r="H1307" i="20"/>
  <c r="I1307" i="20" s="1"/>
  <c r="H1288" i="20"/>
  <c r="I1288" i="20" s="1"/>
  <c r="H1272" i="20"/>
  <c r="I1272" i="20" s="1"/>
  <c r="H1293" i="20"/>
  <c r="I1293" i="20" s="1"/>
  <c r="H1271" i="20"/>
  <c r="I1271" i="20" s="1"/>
  <c r="H1276" i="20"/>
  <c r="I1276" i="20" s="1"/>
  <c r="H1315" i="20"/>
  <c r="I1315" i="20" s="1"/>
  <c r="G608" i="20"/>
  <c r="H391" i="20"/>
  <c r="I391" i="20" s="1"/>
  <c r="H398" i="20"/>
  <c r="I398" i="20" s="1"/>
  <c r="H372" i="20"/>
  <c r="I372" i="20" s="1"/>
  <c r="H419" i="20"/>
  <c r="I419" i="20" s="1"/>
  <c r="H407" i="20"/>
  <c r="I407" i="20" s="1"/>
  <c r="H428" i="20"/>
  <c r="I428" i="20" s="1"/>
  <c r="H394" i="20"/>
  <c r="I394" i="20" s="1"/>
  <c r="H427" i="20"/>
  <c r="I427" i="20" s="1"/>
  <c r="H401" i="20"/>
  <c r="I401" i="20" s="1"/>
  <c r="H382" i="20"/>
  <c r="I382" i="20" s="1"/>
  <c r="H413" i="20"/>
  <c r="I413" i="20" s="1"/>
  <c r="H374" i="20"/>
  <c r="I374" i="20" s="1"/>
  <c r="H408" i="20"/>
  <c r="I408" i="20" s="1"/>
  <c r="H395" i="20"/>
  <c r="I395" i="20" s="1"/>
  <c r="H411" i="20"/>
  <c r="I411" i="20" s="1"/>
  <c r="H379" i="20"/>
  <c r="I379" i="20" s="1"/>
  <c r="H404" i="20"/>
  <c r="I404" i="20" s="1"/>
  <c r="H424" i="20"/>
  <c r="I424" i="20" s="1"/>
  <c r="H389" i="20"/>
  <c r="I389" i="20" s="1"/>
  <c r="H381" i="20"/>
  <c r="I381" i="20" s="1"/>
  <c r="H376" i="20"/>
  <c r="I376" i="20" s="1"/>
  <c r="H370" i="20"/>
  <c r="H426" i="20"/>
  <c r="I426" i="20" s="1"/>
  <c r="H420" i="20"/>
  <c r="I420" i="20" s="1"/>
  <c r="H402" i="20"/>
  <c r="I402" i="20" s="1"/>
  <c r="H418" i="20"/>
  <c r="I418" i="20" s="1"/>
  <c r="H390" i="20"/>
  <c r="I390" i="20" s="1"/>
  <c r="H380" i="20"/>
  <c r="H412" i="20"/>
  <c r="I412" i="20" s="1"/>
  <c r="H415" i="20"/>
  <c r="I415" i="20" s="1"/>
  <c r="H388" i="20"/>
  <c r="I388" i="20" s="1"/>
  <c r="H400" i="20"/>
  <c r="I400" i="20" s="1"/>
  <c r="H405" i="20"/>
  <c r="I405" i="20" s="1"/>
  <c r="H375" i="20"/>
  <c r="I375" i="20" s="1"/>
  <c r="H403" i="20"/>
  <c r="I403" i="20" s="1"/>
  <c r="H396" i="20"/>
  <c r="I396" i="20" s="1"/>
  <c r="H414" i="20"/>
  <c r="I414" i="20" s="1"/>
  <c r="H397" i="20"/>
  <c r="I397" i="20" s="1"/>
  <c r="H399" i="20"/>
  <c r="I399" i="20" s="1"/>
  <c r="H384" i="20"/>
  <c r="I384" i="20" s="1"/>
  <c r="H429" i="20"/>
  <c r="I429" i="20" s="1"/>
  <c r="H417" i="20"/>
  <c r="I417" i="20" s="1"/>
  <c r="H373" i="20"/>
  <c r="I373" i="20" s="1"/>
  <c r="H387" i="20"/>
  <c r="I387" i="20" s="1"/>
  <c r="H423" i="20"/>
  <c r="I423" i="20" s="1"/>
  <c r="H410" i="20"/>
  <c r="I410" i="20" s="1"/>
  <c r="H416" i="20"/>
  <c r="I416" i="20" s="1"/>
  <c r="H383" i="20"/>
  <c r="I383" i="20" s="1"/>
  <c r="H371" i="20"/>
  <c r="I371" i="20" s="1"/>
  <c r="H378" i="20"/>
  <c r="I378" i="20" s="1"/>
  <c r="H385" i="20"/>
  <c r="I385" i="20" s="1"/>
  <c r="H422" i="20"/>
  <c r="I422" i="20" s="1"/>
  <c r="H425" i="20"/>
  <c r="I425" i="20" s="1"/>
  <c r="H377" i="20"/>
  <c r="I377" i="20" s="1"/>
  <c r="H409" i="20"/>
  <c r="I409" i="20" s="1"/>
  <c r="H392" i="20"/>
  <c r="I392" i="20" s="1"/>
  <c r="H393" i="20"/>
  <c r="I393" i="20" s="1"/>
  <c r="H406" i="20"/>
  <c r="I406" i="20" s="1"/>
  <c r="H386" i="20"/>
  <c r="H421" i="20"/>
  <c r="I421" i="20" s="1"/>
  <c r="H833" i="20"/>
  <c r="I833" i="20" s="1"/>
  <c r="H818" i="20"/>
  <c r="I818" i="20" s="1"/>
  <c r="H842" i="20"/>
  <c r="I842" i="20" s="1"/>
  <c r="H848" i="20"/>
  <c r="I848" i="20" s="1"/>
  <c r="H847" i="20"/>
  <c r="I847" i="20" s="1"/>
  <c r="H863" i="20"/>
  <c r="I863" i="20" s="1"/>
  <c r="H851" i="20"/>
  <c r="I851" i="20" s="1"/>
  <c r="H862" i="20"/>
  <c r="I862" i="20" s="1"/>
  <c r="H859" i="20"/>
  <c r="I859" i="20" s="1"/>
  <c r="H832" i="20"/>
  <c r="I832" i="20" s="1"/>
  <c r="H824" i="20"/>
  <c r="I824" i="20" s="1"/>
  <c r="H846" i="20"/>
  <c r="I846" i="20" s="1"/>
  <c r="H821" i="20"/>
  <c r="I821" i="20" s="1"/>
  <c r="H849" i="20"/>
  <c r="I849" i="20" s="1"/>
  <c r="H843" i="20"/>
  <c r="I843" i="20" s="1"/>
  <c r="H845" i="20"/>
  <c r="I845" i="20" s="1"/>
  <c r="H853" i="20"/>
  <c r="I853" i="20" s="1"/>
  <c r="H825" i="20"/>
  <c r="H874" i="20"/>
  <c r="I874" i="20" s="1"/>
  <c r="H868" i="20"/>
  <c r="I868" i="20" s="1"/>
  <c r="H835" i="20"/>
  <c r="I835" i="20" s="1"/>
  <c r="H841" i="20"/>
  <c r="I841" i="20" s="1"/>
  <c r="H855" i="20"/>
  <c r="I855" i="20" s="1"/>
  <c r="H857" i="20"/>
  <c r="I857" i="20" s="1"/>
  <c r="H836" i="20"/>
  <c r="I836" i="20" s="1"/>
  <c r="H820" i="20"/>
  <c r="I820" i="20" s="1"/>
  <c r="H844" i="20"/>
  <c r="I844" i="20" s="1"/>
  <c r="H831" i="20"/>
  <c r="I831" i="20" s="1"/>
  <c r="H869" i="20"/>
  <c r="I869" i="20" s="1"/>
  <c r="H856" i="20"/>
  <c r="I856" i="20" s="1"/>
  <c r="H858" i="20"/>
  <c r="I858" i="20" s="1"/>
  <c r="H826" i="20"/>
  <c r="I826" i="20" s="1"/>
  <c r="H830" i="20"/>
  <c r="I830" i="20" s="1"/>
  <c r="H823" i="20"/>
  <c r="I823" i="20" s="1"/>
  <c r="H829" i="20"/>
  <c r="I829" i="20" s="1"/>
  <c r="H860" i="20"/>
  <c r="I860" i="20" s="1"/>
  <c r="H817" i="20"/>
  <c r="I817" i="20" s="1"/>
  <c r="H854" i="20"/>
  <c r="I854" i="20" s="1"/>
  <c r="H867" i="20"/>
  <c r="I867" i="20" s="1"/>
  <c r="H852" i="20"/>
  <c r="I852" i="20" s="1"/>
  <c r="H822" i="20"/>
  <c r="I822" i="20" s="1"/>
  <c r="H870" i="20"/>
  <c r="I870" i="20" s="1"/>
  <c r="H865" i="20"/>
  <c r="I865" i="20" s="1"/>
  <c r="H840" i="20"/>
  <c r="I840" i="20" s="1"/>
  <c r="H864" i="20"/>
  <c r="I864" i="20" s="1"/>
  <c r="H839" i="20"/>
  <c r="I839" i="20" s="1"/>
  <c r="H861" i="20"/>
  <c r="I861" i="20" s="1"/>
  <c r="H828" i="20"/>
  <c r="I828" i="20" s="1"/>
  <c r="H819" i="20"/>
  <c r="I819" i="20" s="1"/>
  <c r="H873" i="20"/>
  <c r="I873" i="20" s="1"/>
  <c r="H834" i="20"/>
  <c r="I834" i="20" s="1"/>
  <c r="H838" i="20"/>
  <c r="I838" i="20" s="1"/>
  <c r="H871" i="20"/>
  <c r="I871" i="20" s="1"/>
  <c r="H816" i="20"/>
  <c r="I816" i="20" s="1"/>
  <c r="H872" i="20"/>
  <c r="I872" i="20" s="1"/>
  <c r="H866" i="20"/>
  <c r="I866" i="20" s="1"/>
  <c r="H827" i="20"/>
  <c r="I827" i="20" s="1"/>
  <c r="H815" i="20"/>
  <c r="H850" i="20"/>
  <c r="I850" i="20" s="1"/>
  <c r="H837" i="20"/>
  <c r="I837" i="20" s="1"/>
  <c r="H1186" i="20"/>
  <c r="I1186" i="20" s="1"/>
  <c r="H1196" i="20"/>
  <c r="I1196" i="20" s="1"/>
  <c r="H1220" i="20"/>
  <c r="I1220" i="20" s="1"/>
  <c r="H1185" i="20"/>
  <c r="I1185" i="20" s="1"/>
  <c r="H1214" i="20"/>
  <c r="I1214" i="20" s="1"/>
  <c r="H1205" i="20"/>
  <c r="I1205" i="20" s="1"/>
  <c r="H1201" i="20"/>
  <c r="I1201" i="20" s="1"/>
  <c r="H1209" i="20"/>
  <c r="I1209" i="20" s="1"/>
  <c r="H1191" i="20"/>
  <c r="I1191" i="20" s="1"/>
  <c r="H1225" i="20"/>
  <c r="I1225" i="20" s="1"/>
  <c r="H1203" i="20"/>
  <c r="I1203" i="20" s="1"/>
  <c r="H1222" i="20"/>
  <c r="I1222" i="20" s="1"/>
  <c r="H1227" i="20"/>
  <c r="I1227" i="20" s="1"/>
  <c r="H1206" i="20"/>
  <c r="I1206" i="20" s="1"/>
  <c r="H1194" i="20"/>
  <c r="I1194" i="20" s="1"/>
  <c r="H1175" i="20"/>
  <c r="I1175" i="20" s="1"/>
  <c r="H1187" i="20"/>
  <c r="I1187" i="20" s="1"/>
  <c r="H1183" i="20"/>
  <c r="I1183" i="20" s="1"/>
  <c r="H1180" i="20"/>
  <c r="I1180" i="20" s="1"/>
  <c r="H1198" i="20"/>
  <c r="I1198" i="20" s="1"/>
  <c r="H1184" i="20"/>
  <c r="I1184" i="20" s="1"/>
  <c r="H1230" i="20"/>
  <c r="I1230" i="20" s="1"/>
  <c r="H1176" i="20"/>
  <c r="I1176" i="20" s="1"/>
  <c r="H1204" i="20"/>
  <c r="I1204" i="20" s="1"/>
  <c r="H1219" i="20"/>
  <c r="I1219" i="20" s="1"/>
  <c r="H1193" i="20"/>
  <c r="I1193" i="20" s="1"/>
  <c r="H1179" i="20"/>
  <c r="I1179" i="20" s="1"/>
  <c r="H1213" i="20"/>
  <c r="I1213" i="20" s="1"/>
  <c r="H1226" i="20"/>
  <c r="I1226" i="20" s="1"/>
  <c r="H1171" i="20"/>
  <c r="H1210" i="20"/>
  <c r="I1210" i="20" s="1"/>
  <c r="H1173" i="20"/>
  <c r="I1173" i="20" s="1"/>
  <c r="H1199" i="20"/>
  <c r="I1199" i="20" s="1"/>
  <c r="H1212" i="20"/>
  <c r="I1212" i="20" s="1"/>
  <c r="H1200" i="20"/>
  <c r="I1200" i="20" s="1"/>
  <c r="H1178" i="20"/>
  <c r="I1178" i="20" s="1"/>
  <c r="H1177" i="20"/>
  <c r="H1207" i="20"/>
  <c r="I1207" i="20" s="1"/>
  <c r="H1188" i="20"/>
  <c r="I1188" i="20" s="1"/>
  <c r="H1208" i="20"/>
  <c r="I1208" i="20" s="1"/>
  <c r="H1195" i="20"/>
  <c r="I1195" i="20" s="1"/>
  <c r="H1172" i="20"/>
  <c r="I1172" i="20" s="1"/>
  <c r="H1202" i="20"/>
  <c r="I1202" i="20" s="1"/>
  <c r="H1211" i="20"/>
  <c r="I1211" i="20" s="1"/>
  <c r="H1181" i="20"/>
  <c r="I1181" i="20" s="1"/>
  <c r="H1218" i="20"/>
  <c r="I1218" i="20" s="1"/>
  <c r="H1228" i="20"/>
  <c r="I1228" i="20" s="1"/>
  <c r="H1192" i="20"/>
  <c r="I1192" i="20" s="1"/>
  <c r="H1189" i="20"/>
  <c r="I1189" i="20" s="1"/>
  <c r="H1223" i="20"/>
  <c r="I1223" i="20" s="1"/>
  <c r="H1229" i="20"/>
  <c r="I1229" i="20" s="1"/>
  <c r="H1217" i="20"/>
  <c r="I1217" i="20" s="1"/>
  <c r="H1216" i="20"/>
  <c r="I1216" i="20" s="1"/>
  <c r="H1215" i="20"/>
  <c r="I1215" i="20" s="1"/>
  <c r="H1221" i="20"/>
  <c r="I1221" i="20" s="1"/>
  <c r="H1174" i="20"/>
  <c r="I1174" i="20" s="1"/>
  <c r="H1224" i="20"/>
  <c r="I1224" i="20" s="1"/>
  <c r="H1197" i="20"/>
  <c r="I1197" i="20" s="1"/>
  <c r="H1182" i="20"/>
  <c r="I1182" i="20" s="1"/>
  <c r="H1190" i="20"/>
  <c r="I1190" i="20" s="1"/>
  <c r="G1053" i="20"/>
  <c r="G964" i="20"/>
  <c r="H467" i="20"/>
  <c r="I467" i="20" s="1"/>
  <c r="H488" i="20"/>
  <c r="I488" i="20" s="1"/>
  <c r="H503" i="20"/>
  <c r="I503" i="20" s="1"/>
  <c r="H498" i="20"/>
  <c r="I498" i="20" s="1"/>
  <c r="H469" i="20"/>
  <c r="I469" i="20" s="1"/>
  <c r="H479" i="20"/>
  <c r="I479" i="20" s="1"/>
  <c r="H478" i="20"/>
  <c r="I478" i="20" s="1"/>
  <c r="H484" i="20"/>
  <c r="I484" i="20" s="1"/>
  <c r="H482" i="20"/>
  <c r="I482" i="20" s="1"/>
  <c r="H490" i="20"/>
  <c r="I490" i="20" s="1"/>
  <c r="H499" i="20"/>
  <c r="I499" i="20" s="1"/>
  <c r="H495" i="20"/>
  <c r="I495" i="20" s="1"/>
  <c r="H465" i="20"/>
  <c r="I465" i="20" s="1"/>
  <c r="H505" i="20"/>
  <c r="I505" i="20" s="1"/>
  <c r="H516" i="20"/>
  <c r="I516" i="20" s="1"/>
  <c r="H507" i="20"/>
  <c r="I507" i="20" s="1"/>
  <c r="H506" i="20"/>
  <c r="I506" i="20" s="1"/>
  <c r="H509" i="20"/>
  <c r="I509" i="20" s="1"/>
  <c r="H518" i="20"/>
  <c r="I518" i="20" s="1"/>
  <c r="H462" i="20"/>
  <c r="I462" i="20" s="1"/>
  <c r="H513" i="20"/>
  <c r="I513" i="20" s="1"/>
  <c r="H476" i="20"/>
  <c r="I476" i="20" s="1"/>
  <c r="H477" i="20"/>
  <c r="I477" i="20" s="1"/>
  <c r="H500" i="20"/>
  <c r="I500" i="20" s="1"/>
  <c r="H472" i="20"/>
  <c r="I472" i="20" s="1"/>
  <c r="H491" i="20"/>
  <c r="I491" i="20" s="1"/>
  <c r="H510" i="20"/>
  <c r="I510" i="20" s="1"/>
  <c r="H461" i="20"/>
  <c r="I461" i="20" s="1"/>
  <c r="H464" i="20"/>
  <c r="I464" i="20" s="1"/>
  <c r="H492" i="20"/>
  <c r="I492" i="20" s="1"/>
  <c r="H489" i="20"/>
  <c r="I489" i="20" s="1"/>
  <c r="H493" i="20"/>
  <c r="I493" i="20" s="1"/>
  <c r="H473" i="20"/>
  <c r="I473" i="20" s="1"/>
  <c r="H485" i="20"/>
  <c r="I485" i="20" s="1"/>
  <c r="H496" i="20"/>
  <c r="I496" i="20" s="1"/>
  <c r="H501" i="20"/>
  <c r="I501" i="20" s="1"/>
  <c r="H481" i="20"/>
  <c r="I481" i="20" s="1"/>
  <c r="H511" i="20"/>
  <c r="I511" i="20" s="1"/>
  <c r="H502" i="20"/>
  <c r="I502" i="20" s="1"/>
  <c r="H470" i="20"/>
  <c r="I470" i="20" s="1"/>
  <c r="H460" i="20"/>
  <c r="I460" i="20" s="1"/>
  <c r="H459" i="20"/>
  <c r="H475" i="20"/>
  <c r="I475" i="20" s="1"/>
  <c r="H497" i="20"/>
  <c r="I497" i="20" s="1"/>
  <c r="H480" i="20"/>
  <c r="I480" i="20" s="1"/>
  <c r="H487" i="20"/>
  <c r="I487" i="20" s="1"/>
  <c r="H483" i="20"/>
  <c r="I483" i="20" s="1"/>
  <c r="H504" i="20"/>
  <c r="I504" i="20" s="1"/>
  <c r="H494" i="20"/>
  <c r="I494" i="20" s="1"/>
  <c r="H514" i="20"/>
  <c r="I514" i="20" s="1"/>
  <c r="H486" i="20"/>
  <c r="I486" i="20" s="1"/>
  <c r="H512" i="20"/>
  <c r="I512" i="20" s="1"/>
  <c r="H466" i="20"/>
  <c r="I466" i="20" s="1"/>
  <c r="H471" i="20"/>
  <c r="I471" i="20" s="1"/>
  <c r="H468" i="20"/>
  <c r="H474" i="20"/>
  <c r="I474" i="20" s="1"/>
  <c r="H515" i="20"/>
  <c r="I515" i="20" s="1"/>
  <c r="H517" i="20"/>
  <c r="I517" i="20" s="1"/>
  <c r="H463" i="20"/>
  <c r="I463" i="20" s="1"/>
  <c r="H508" i="20"/>
  <c r="I508" i="20" s="1"/>
  <c r="G162" i="20"/>
  <c r="G27" i="2" l="1"/>
  <c r="L27" i="2" s="1"/>
  <c r="I459" i="20"/>
  <c r="H519" i="20"/>
  <c r="H1231" i="20"/>
  <c r="I1171" i="20"/>
  <c r="H875" i="20"/>
  <c r="I815" i="20"/>
  <c r="I825" i="20"/>
  <c r="N803" i="20"/>
  <c r="N804" i="20" s="1"/>
  <c r="H430" i="20"/>
  <c r="I370" i="20"/>
  <c r="I1349" i="20"/>
  <c r="H1409" i="20"/>
  <c r="I1177" i="20"/>
  <c r="N1159" i="20"/>
  <c r="N1160" i="20" s="1"/>
  <c r="H964" i="20"/>
  <c r="I904" i="20"/>
  <c r="N981" i="20"/>
  <c r="N982" i="20" s="1"/>
  <c r="I1003" i="20"/>
  <c r="H786" i="20"/>
  <c r="I726" i="20"/>
  <c r="N358" i="20"/>
  <c r="N359" i="20" s="1"/>
  <c r="I380" i="20"/>
  <c r="N1248" i="20"/>
  <c r="N1249" i="20" s="1"/>
  <c r="I1268" i="20"/>
  <c r="I291" i="20"/>
  <c r="N269" i="20"/>
  <c r="N270" i="20" s="1"/>
  <c r="H1320" i="20"/>
  <c r="I1260" i="20"/>
  <c r="N892" i="20"/>
  <c r="N893" i="20" s="1"/>
  <c r="I912" i="20"/>
  <c r="H341" i="20"/>
  <c r="I281" i="20"/>
  <c r="I1354" i="20"/>
  <c r="N1337" i="20"/>
  <c r="N1338" i="20" s="1"/>
  <c r="N447" i="20"/>
  <c r="N448" i="20" s="1"/>
  <c r="I468" i="20"/>
  <c r="I1089" i="20"/>
  <c r="N1070" i="20"/>
  <c r="N1071" i="20" s="1"/>
  <c r="H697" i="20"/>
  <c r="I637" i="20"/>
  <c r="H1053" i="20"/>
  <c r="I993" i="20"/>
  <c r="I1053" i="20" s="1"/>
  <c r="H1142" i="20"/>
  <c r="I1082" i="20"/>
  <c r="H252" i="20"/>
  <c r="I192" i="20"/>
  <c r="I252" i="20" s="1"/>
  <c r="N90" i="20"/>
  <c r="I118" i="20"/>
  <c r="I548" i="20"/>
  <c r="H608" i="20"/>
  <c r="I645" i="20"/>
  <c r="N625" i="20"/>
  <c r="N626" i="20" s="1"/>
  <c r="H162" i="20"/>
  <c r="I102" i="20"/>
  <c r="I735" i="20"/>
  <c r="N714" i="20"/>
  <c r="N715" i="20" s="1"/>
  <c r="N180" i="20"/>
  <c r="N181" i="20" s="1"/>
  <c r="I205" i="20"/>
  <c r="I556" i="20"/>
  <c r="N536" i="20"/>
  <c r="N537" i="20" s="1"/>
  <c r="I341" i="20" l="1"/>
  <c r="I697" i="20"/>
  <c r="I1409" i="20"/>
  <c r="I964" i="20"/>
  <c r="I875" i="20"/>
  <c r="N26" i="20"/>
  <c r="O26" i="20" s="1"/>
  <c r="N91" i="20"/>
  <c r="I1142" i="20"/>
  <c r="I1320" i="20"/>
  <c r="I786" i="20"/>
  <c r="I1231" i="20"/>
  <c r="I162" i="20"/>
  <c r="I430" i="20"/>
  <c r="I608" i="20"/>
  <c r="I519" i="20"/>
  <c r="G23" i="48" l="1"/>
  <c r="G28" i="48" s="1"/>
  <c r="H23" i="48"/>
  <c r="I23" i="48" l="1"/>
  <c r="I28" i="48" s="1"/>
  <c r="H28" i="48"/>
  <c r="H10" i="49" l="1"/>
  <c r="I54" i="49" l="1"/>
  <c r="D21" i="49"/>
  <c r="H10" i="32"/>
  <c r="I54" i="32" l="1"/>
  <c r="D21" i="32"/>
  <c r="D22" i="49"/>
  <c r="H21" i="49"/>
  <c r="K21" i="49" l="1"/>
  <c r="D23" i="49"/>
  <c r="H22" i="49"/>
  <c r="K22" i="49" s="1"/>
  <c r="D22" i="32"/>
  <c r="H21" i="32"/>
  <c r="K21" i="32" l="1"/>
  <c r="D23" i="32"/>
  <c r="H22" i="32"/>
  <c r="K22" i="32" s="1"/>
  <c r="D24" i="49"/>
  <c r="H23" i="49"/>
  <c r="K23" i="49" s="1"/>
  <c r="H24" i="49" l="1"/>
  <c r="K24" i="49" s="1"/>
  <c r="D25" i="49"/>
  <c r="D24" i="32"/>
  <c r="H23" i="32"/>
  <c r="K23" i="32" s="1"/>
  <c r="D25" i="32" l="1"/>
  <c r="H24" i="32"/>
  <c r="D26" i="49"/>
  <c r="H25" i="49"/>
  <c r="D27" i="49" l="1"/>
  <c r="H26" i="49"/>
  <c r="K26" i="49" s="1"/>
  <c r="K24" i="32"/>
  <c r="K25" i="49"/>
  <c r="D26" i="32"/>
  <c r="H25" i="32"/>
  <c r="K25" i="32" s="1"/>
  <c r="D27" i="32" l="1"/>
  <c r="H26" i="32"/>
  <c r="K26" i="32" s="1"/>
  <c r="D28" i="49"/>
  <c r="H27" i="49"/>
  <c r="K27" i="49" l="1"/>
  <c r="D29" i="49"/>
  <c r="H28" i="49"/>
  <c r="K28" i="49" s="1"/>
  <c r="D28" i="32"/>
  <c r="H27" i="32"/>
  <c r="K27" i="32" l="1"/>
  <c r="D29" i="32"/>
  <c r="H28" i="32"/>
  <c r="K28" i="32" s="1"/>
  <c r="D30" i="49"/>
  <c r="H29" i="49"/>
  <c r="K29" i="49" s="1"/>
  <c r="D31" i="49" l="1"/>
  <c r="H30" i="49"/>
  <c r="K30" i="49" s="1"/>
  <c r="D30" i="32"/>
  <c r="H29" i="32"/>
  <c r="K29" i="32" s="1"/>
  <c r="D31" i="32" l="1"/>
  <c r="H30" i="32"/>
  <c r="K30" i="32" s="1"/>
  <c r="D32" i="49"/>
  <c r="H32" i="49" s="1"/>
  <c r="H31" i="49"/>
  <c r="K31" i="49" s="1"/>
  <c r="K32" i="49" l="1"/>
  <c r="K33" i="49" s="1"/>
  <c r="D36" i="49" s="1"/>
  <c r="H36" i="49" s="1"/>
  <c r="K36" i="49" s="1"/>
  <c r="H33" i="49"/>
  <c r="D32" i="32"/>
  <c r="H32" i="32" s="1"/>
  <c r="H31" i="32"/>
  <c r="K31" i="32" s="1"/>
  <c r="I39" i="49" l="1"/>
  <c r="I40" i="49" s="1"/>
  <c r="I41" i="49" s="1"/>
  <c r="I42" i="49" s="1"/>
  <c r="I43" i="49" s="1"/>
  <c r="I44" i="49" s="1"/>
  <c r="I45" i="49" s="1"/>
  <c r="I46" i="49" s="1"/>
  <c r="I47" i="49" s="1"/>
  <c r="I48" i="49" s="1"/>
  <c r="I49" i="49" s="1"/>
  <c r="I50" i="49" s="1"/>
  <c r="I53" i="49" s="1"/>
  <c r="I55" i="49" s="1"/>
  <c r="D39" i="49"/>
  <c r="K32" i="32"/>
  <c r="K33" i="32" s="1"/>
  <c r="D36" i="32" s="1"/>
  <c r="H33" i="32"/>
  <c r="H36" i="32" l="1"/>
  <c r="K36" i="32" s="1"/>
  <c r="K39" i="49"/>
  <c r="D40" i="49" s="1"/>
  <c r="H39" i="49"/>
  <c r="H40" i="49" l="1"/>
  <c r="K40" i="49"/>
  <c r="D41" i="49" s="1"/>
  <c r="D39" i="32"/>
  <c r="I39" i="32"/>
  <c r="I40" i="32" l="1"/>
  <c r="I41" i="32" s="1"/>
  <c r="I42" i="32" s="1"/>
  <c r="I43" i="32" s="1"/>
  <c r="I44" i="32" s="1"/>
  <c r="I45" i="32" s="1"/>
  <c r="I46" i="32" s="1"/>
  <c r="I47" i="32" s="1"/>
  <c r="I48" i="32" s="1"/>
  <c r="I49" i="32" s="1"/>
  <c r="I50" i="32" s="1"/>
  <c r="K39" i="32"/>
  <c r="D40" i="32" s="1"/>
  <c r="H39" i="32"/>
  <c r="K41" i="49"/>
  <c r="D42" i="49" s="1"/>
  <c r="H41" i="49"/>
  <c r="I53" i="32" l="1"/>
  <c r="I55" i="32" s="1"/>
  <c r="H42" i="49"/>
  <c r="K42" i="49"/>
  <c r="D43" i="49" s="1"/>
  <c r="K40" i="32"/>
  <c r="D41" i="32" s="1"/>
  <c r="H40" i="32"/>
  <c r="K41" i="32" l="1"/>
  <c r="D42" i="32" s="1"/>
  <c r="H41" i="32"/>
  <c r="H43" i="49"/>
  <c r="K43" i="49"/>
  <c r="D44" i="49" s="1"/>
  <c r="H44" i="49" l="1"/>
  <c r="K44" i="49"/>
  <c r="D45" i="49" s="1"/>
  <c r="K42" i="32"/>
  <c r="D43" i="32" s="1"/>
  <c r="H42" i="32"/>
  <c r="K43" i="32" l="1"/>
  <c r="D44" i="32" s="1"/>
  <c r="H43" i="32"/>
  <c r="H45" i="49"/>
  <c r="K45" i="49"/>
  <c r="D46" i="49" s="1"/>
  <c r="H46" i="49" l="1"/>
  <c r="K46" i="49"/>
  <c r="D47" i="49" s="1"/>
  <c r="H44" i="32"/>
  <c r="K44" i="32"/>
  <c r="D45" i="32" s="1"/>
  <c r="H45" i="32" l="1"/>
  <c r="K45" i="32"/>
  <c r="D46" i="32" s="1"/>
  <c r="K47" i="49"/>
  <c r="D48" i="49" s="1"/>
  <c r="H47" i="49"/>
  <c r="H48" i="49" l="1"/>
  <c r="K48" i="49"/>
  <c r="D49" i="49" s="1"/>
  <c r="K46" i="32"/>
  <c r="D47" i="32" s="1"/>
  <c r="H46" i="32"/>
  <c r="H47" i="32" l="1"/>
  <c r="K47" i="32"/>
  <c r="D48" i="32" s="1"/>
  <c r="H49" i="49"/>
  <c r="K49" i="49"/>
  <c r="D50" i="49" s="1"/>
  <c r="K50" i="49" l="1"/>
  <c r="H50" i="49"/>
  <c r="H51" i="49" s="1"/>
  <c r="K48" i="32"/>
  <c r="D49" i="32" s="1"/>
  <c r="H48" i="32"/>
  <c r="H49" i="32" l="1"/>
  <c r="K49" i="32"/>
  <c r="D50" i="32" s="1"/>
  <c r="K50" i="32" l="1"/>
  <c r="H50" i="32"/>
  <c r="H51" i="32" s="1"/>
</calcChain>
</file>

<file path=xl/sharedStrings.xml><?xml version="1.0" encoding="utf-8"?>
<sst xmlns="http://schemas.openxmlformats.org/spreadsheetml/2006/main" count="3027" uniqueCount="1203">
  <si>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</si>
  <si>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</si>
  <si>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</si>
  <si>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</si>
  <si>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</si>
  <si>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</si>
  <si>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</si>
  <si>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</si>
  <si>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</si>
  <si>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</si>
  <si>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</si>
  <si>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</si>
  <si>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</si>
  <si>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</si>
  <si>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</si>
  <si>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</si>
  <si>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</si>
  <si>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</si>
  <si>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</si>
  <si>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</si>
  <si>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</si>
  <si>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</si>
  <si>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</si>
  <si>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</si>
  <si>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</si>
  <si>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</si>
  <si>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</si>
  <si>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</si>
  <si>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</si>
  <si>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</si>
  <si>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</si>
  <si>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</si>
  <si>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</si>
  <si>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</si>
  <si>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</si>
  <si>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</si>
  <si>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</si>
  <si>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</si>
  <si>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</si>
  <si>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</si>
  <si>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</si>
  <si>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</si>
  <si>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</si>
  <si>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</si>
  <si>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</si>
  <si>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</si>
  <si>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</si>
  <si>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</si>
  <si>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</si>
  <si>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</si>
  <si>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</si>
  <si>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</si>
  <si>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</si>
  <si>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</si>
  <si>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</si>
  <si>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</si>
  <si>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</si>
  <si>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</si>
  <si>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</si>
  <si>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</si>
  <si>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</si>
  <si>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</si>
  <si>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</si>
  <si>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</si>
  <si>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</si>
  <si>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</si>
  <si>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</si>
  <si>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</si>
  <si>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</si>
  <si>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</si>
  <si>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</si>
  <si>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</si>
  <si>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</si>
  <si>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</si>
  <si>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</si>
  <si>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</si>
  <si>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</si>
  <si>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</si>
  <si>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</si>
  <si>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</si>
  <si>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</si>
  <si>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</si>
  <si>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</si>
  <si>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</si>
  <si>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</si>
  <si>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</si>
  <si>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</si>
  <si>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</si>
  <si>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</si>
  <si>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</si>
  <si>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</si>
  <si>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</si>
  <si>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</si>
  <si>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</si>
  <si>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</si>
  <si>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</si>
  <si>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</si>
  <si>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</si>
  <si>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</si>
  <si>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</si>
  <si>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</si>
  <si>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</si>
  <si>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</si>
  <si>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</si>
  <si>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</si>
  <si>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</si>
  <si>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</si>
  <si>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</si>
  <si>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</si>
  <si>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</si>
  <si>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</si>
  <si>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</si>
  <si>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</si>
  <si>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</si>
  <si>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</si>
  <si>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</si>
  <si>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</si>
  <si>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</si>
  <si>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</si>
  <si>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</si>
  <si>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</si>
  <si>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</si>
  <si>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</si>
  <si>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</si>
  <si>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</si>
  <si>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</si>
  <si>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</si>
  <si>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</si>
  <si>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</si>
  <si>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</si>
  <si>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</si>
  <si>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</si>
  <si>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</si>
  <si>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</si>
  <si>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</si>
  <si>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</si>
  <si>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</si>
  <si>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</si>
  <si>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</si>
  <si>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</si>
  <si>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</si>
  <si>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</si>
  <si>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</si>
  <si>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</si>
  <si>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</si>
  <si>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</si>
  <si>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</si>
  <si>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</si>
  <si>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</si>
  <si>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</si>
  <si>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</si>
  <si>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</si>
  <si>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</si>
  <si>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</si>
  <si>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</si>
  <si>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</si>
  <si>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</si>
  <si>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</si>
  <si>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</si>
  <si>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</si>
  <si>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</si>
  <si>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</si>
  <si>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</si>
  <si>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</si>
  <si>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</si>
  <si>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</si>
  <si>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</si>
  <si>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</si>
  <si>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</si>
  <si>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</si>
  <si>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</si>
  <si>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</si>
  <si>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</si>
  <si>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</si>
  <si>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</si>
  <si>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</si>
  <si>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</si>
  <si>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</si>
  <si>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</si>
  <si>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</si>
  <si>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</si>
  <si>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</si>
  <si>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</si>
  <si>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</si>
  <si>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</si>
  <si>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</si>
  <si>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</si>
  <si>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</si>
  <si>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</si>
  <si>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</si>
  <si>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</si>
  <si>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</si>
  <si>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</si>
  <si>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</si>
  <si>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</si>
  <si>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</si>
  <si>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</si>
  <si>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</si>
  <si>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</si>
  <si>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</si>
  <si>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</si>
  <si>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</si>
  <si>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</si>
  <si>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</si>
  <si>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</si>
  <si>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</si>
  <si>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</si>
  <si>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</si>
  <si>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</si>
  <si>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</si>
  <si>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</si>
  <si>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</si>
  <si>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</si>
  <si>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</si>
  <si>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</si>
  <si>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</si>
  <si>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</si>
  <si>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</si>
  <si>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</si>
  <si>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</si>
  <si>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</si>
  <si>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</si>
  <si>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</si>
  <si>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</si>
  <si>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</si>
  <si>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</si>
  <si>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</si>
  <si>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</si>
  <si>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</si>
  <si>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</si>
  <si>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</si>
  <si>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</si>
  <si>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</si>
  <si>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</si>
  <si>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</si>
  <si>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</si>
  <si>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</si>
  <si>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</si>
  <si>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</si>
  <si>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</si>
  <si>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</si>
  <si>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</si>
  <si>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</si>
  <si>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</si>
  <si>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</si>
  <si>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</si>
  <si>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</si>
  <si>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</si>
  <si>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</si>
  <si>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</si>
  <si>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</si>
  <si>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</si>
  <si>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</si>
  <si>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</si>
  <si>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</si>
  <si>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</si>
  <si>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</si>
  <si>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</si>
  <si>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</si>
  <si>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</si>
  <si>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</si>
  <si>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</si>
  <si>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</si>
  <si>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</si>
  <si>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</si>
  <si>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</si>
  <si>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</si>
  <si>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</si>
  <si>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</si>
  <si>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</si>
  <si>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</si>
  <si>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</si>
  <si>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</si>
  <si>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</si>
  <si>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</si>
  <si>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</si>
  <si>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</si>
  <si>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</si>
  <si>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</si>
  <si>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</si>
  <si>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</si>
  <si>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</si>
  <si>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</si>
  <si>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</si>
  <si>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</si>
  <si>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</si>
  <si>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</si>
  <si>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</si>
  <si>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</si>
  <si>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</si>
  <si>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</si>
  <si>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</si>
  <si>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</si>
  <si>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</si>
  <si>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</si>
  <si>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</si>
  <si>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</si>
  <si>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</si>
  <si>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</si>
  <si>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</si>
  <si>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</si>
  <si>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</si>
  <si>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</si>
  <si>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</si>
  <si>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</si>
  <si>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</si>
  <si>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</si>
  <si>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</si>
  <si>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</si>
  <si>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</si>
  <si>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</si>
  <si>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</si>
  <si>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</si>
  <si>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</si>
  <si>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</si>
  <si>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</si>
  <si>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</si>
  <si>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</si>
  <si>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</si>
  <si>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</si>
  <si>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</si>
  <si>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</si>
  <si>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</si>
  <si>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</si>
  <si>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</si>
  <si>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</si>
  <si>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</si>
  <si>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</si>
  <si>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</si>
  <si>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</si>
  <si>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</si>
  <si>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</si>
  <si>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</si>
  <si>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</si>
  <si>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</si>
  <si>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</si>
  <si>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</si>
  <si>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</si>
  <si>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</si>
  <si>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</si>
  <si>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</si>
  <si>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</si>
  <si>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</si>
  <si>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</si>
  <si>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</si>
  <si>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</si>
  <si>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</si>
  <si>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</si>
  <si>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</si>
  <si>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</si>
  <si>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</si>
  <si>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</si>
  <si>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</si>
  <si>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</si>
  <si>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</si>
  <si>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</si>
  <si>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</si>
  <si>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</si>
  <si>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</si>
  <si>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</si>
  <si>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</si>
  <si>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</si>
  <si>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</si>
  <si>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</si>
  <si>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</si>
  <si>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</si>
  <si>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</si>
  <si>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</si>
  <si>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</si>
  <si>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</si>
  <si>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</si>
  <si>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</si>
  <si>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</si>
  <si>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</si>
  <si>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</si>
  <si>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</si>
  <si>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</si>
  <si>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</si>
  <si>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</si>
  <si>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</si>
  <si>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</si>
  <si>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</si>
  <si>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</si>
  <si>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</si>
  <si>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</si>
  <si>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</si>
  <si>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</si>
  <si>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</si>
  <si>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</si>
  <si>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</si>
  <si>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</si>
  <si>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</si>
  <si>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</si>
  <si>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</si>
  <si>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</si>
  <si>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</si>
  <si>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</si>
  <si>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</si>
  <si>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</si>
  <si>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</si>
  <si>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</si>
  <si>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</si>
  <si>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</si>
  <si>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</si>
  <si>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</si>
  <si>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</si>
  <si>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</si>
  <si>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</si>
  <si>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</si>
  <si>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</si>
  <si>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</si>
  <si>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</si>
  <si>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</si>
  <si>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</si>
  <si>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</si>
  <si>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</si>
  <si>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</si>
  <si>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</si>
  <si>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</si>
  <si>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</si>
  <si>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</si>
  <si>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</si>
  <si>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</si>
  <si>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</si>
  <si>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</si>
  <si>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</si>
  <si>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</si>
  <si>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</si>
  <si>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</si>
  <si>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</si>
  <si>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</si>
  <si>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</si>
  <si>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</si>
  <si>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</si>
  <si>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</si>
  <si>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</si>
  <si>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</si>
  <si>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</si>
  <si>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</si>
  <si>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</si>
  <si>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</si>
  <si>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</si>
  <si>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</si>
  <si>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</si>
  <si>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</si>
  <si>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</si>
  <si>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</si>
  <si>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</si>
  <si>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</si>
  <si>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</si>
  <si>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</si>
  <si>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</si>
  <si>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</si>
  <si>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</si>
  <si>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</si>
  <si>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</si>
  <si>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</si>
  <si>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</si>
  <si>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</si>
  <si>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</si>
  <si>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</si>
  <si>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</si>
  <si>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</si>
  <si>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</si>
  <si>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</si>
  <si>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</si>
  <si>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</si>
  <si>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</si>
  <si>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</si>
  <si>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</si>
  <si>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</si>
  <si>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</si>
  <si>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</si>
  <si>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</si>
  <si>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</si>
  <si>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</si>
  <si>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</si>
  <si>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</si>
  <si>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</si>
  <si>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</si>
  <si>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</si>
  <si>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</si>
  <si>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</si>
  <si>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</si>
  <si>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</si>
  <si>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</si>
  <si>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</si>
  <si>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</si>
  <si>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</si>
  <si>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</si>
  <si>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</si>
  <si>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</si>
  <si>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</si>
  <si>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</si>
  <si>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</si>
  <si>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</si>
  <si>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</si>
  <si>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</si>
  <si>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</si>
  <si>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</si>
  <si>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</si>
  <si>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</si>
  <si>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</si>
  <si>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</si>
  <si>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</si>
  <si>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</si>
  <si>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</si>
  <si>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</si>
  <si>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</si>
  <si>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</si>
  <si>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</si>
  <si>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</si>
  <si>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</si>
  <si>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</si>
  <si>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</si>
  <si>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</si>
  <si>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</si>
  <si>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</si>
  <si>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</si>
  <si>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</si>
  <si>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</si>
  <si>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</si>
  <si>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</si>
  <si>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</si>
  <si>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</si>
  <si>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</si>
  <si>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</si>
  <si>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</si>
  <si>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</si>
  <si>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</si>
  <si>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</si>
  <si>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</si>
  <si>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</si>
  <si>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</si>
  <si>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</si>
  <si>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</si>
  <si>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</si>
  <si>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</si>
  <si>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</si>
  <si>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</si>
  <si>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</si>
  <si>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</si>
  <si>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</si>
  <si>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</si>
  <si>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</si>
  <si>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</si>
  <si>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</si>
  <si>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</si>
  <si>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</si>
  <si>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</si>
  <si>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</si>
  <si>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</si>
  <si>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</si>
  <si>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</si>
  <si>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</si>
  <si>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</si>
  <si>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</si>
  <si>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</si>
  <si>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</si>
  <si>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</si>
  <si>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</si>
  <si>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</si>
  <si>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</si>
  <si>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</si>
  <si>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</si>
  <si>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</si>
  <si>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</si>
  <si>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</si>
  <si>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</si>
  <si>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</si>
  <si>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</si>
  <si>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</si>
  <si>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</si>
  <si>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</si>
  <si>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</si>
  <si>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</si>
  <si>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</si>
  <si>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</si>
  <si>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</si>
  <si>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</si>
  <si>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</si>
  <si>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</si>
  <si>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</si>
  <si>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</si>
  <si>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</si>
  <si>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</si>
  <si>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</si>
  <si>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</si>
  <si>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</si>
  <si>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</si>
  <si>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</si>
  <si>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</si>
  <si>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</si>
  <si>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</si>
  <si>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</si>
  <si>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Prepaid Lease </t>
  </si>
  <si>
    <t>Real and Personal Property - Tennessee</t>
  </si>
  <si>
    <t>Less: Net Value  Exempted Generation Plant</t>
  </si>
  <si>
    <t>Taxable Property Basis</t>
  </si>
  <si>
    <t>Real and Personal Property - West Virginia</t>
  </si>
  <si>
    <t>Real and Personal Property -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</si>
  <si>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</si>
  <si>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</si>
  <si>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</si>
  <si>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</si>
  <si>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</si>
  <si>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</si>
  <si>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</si>
  <si>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</si>
  <si>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</si>
  <si>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</si>
  <si>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</si>
  <si>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</si>
  <si>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</si>
  <si>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</si>
  <si>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</si>
  <si>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</si>
  <si>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</si>
  <si>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</si>
  <si>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</si>
  <si>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</si>
  <si>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</si>
  <si>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</si>
  <si>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</si>
  <si>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</si>
  <si>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</si>
  <si>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</si>
  <si>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</si>
  <si>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</si>
  <si>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</si>
  <si>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</si>
  <si>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</si>
  <si>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</si>
  <si>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</si>
  <si>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</si>
  <si>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</si>
  <si>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</si>
  <si>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</si>
  <si>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</si>
  <si>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</si>
  <si>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</si>
  <si>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</si>
  <si>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</si>
  <si>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</si>
  <si>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</si>
  <si>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</si>
  <si>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</si>
  <si>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</si>
  <si>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</si>
  <si>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</si>
  <si>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</si>
  <si>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</si>
  <si>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</si>
  <si>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</si>
  <si>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</si>
  <si>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</si>
  <si>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</si>
  <si>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</si>
  <si>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</si>
  <si>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</si>
  <si>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</si>
  <si>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</si>
  <si>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</si>
  <si>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</si>
  <si>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</si>
  <si>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</si>
  <si>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</si>
  <si>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</si>
  <si>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</si>
  <si>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</si>
  <si>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</si>
  <si>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</si>
  <si>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</si>
  <si>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</si>
  <si>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</si>
  <si>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</si>
  <si>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</si>
  <si>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</si>
  <si>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</si>
  <si>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</si>
  <si>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</si>
  <si>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</si>
  <si>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</si>
  <si>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</si>
  <si>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</si>
  <si>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</si>
  <si>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</si>
  <si>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</si>
  <si>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</si>
  <si>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</si>
  <si>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</si>
  <si>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</si>
  <si>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</si>
  <si>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</si>
  <si>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</si>
  <si>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</si>
  <si>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</si>
  <si>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</si>
  <si>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</si>
  <si>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</si>
  <si>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</si>
  <si>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</si>
  <si>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</si>
  <si>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</si>
  <si>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</si>
  <si>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</si>
  <si>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</si>
  <si>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</si>
  <si>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</si>
  <si>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</si>
  <si>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</si>
  <si>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</si>
  <si>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</si>
  <si>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</si>
  <si>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</si>
  <si>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</si>
  <si>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</si>
  <si>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</si>
  <si>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</si>
  <si>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</si>
  <si>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</si>
  <si>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</si>
  <si>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</si>
  <si>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</si>
  <si>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</si>
  <si>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</si>
  <si>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</si>
  <si>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</si>
  <si>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</si>
  <si>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</si>
  <si>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</si>
  <si>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</si>
  <si>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</si>
  <si>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</si>
  <si>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</si>
  <si>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</si>
  <si>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</si>
  <si>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</si>
  <si>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</si>
  <si>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</si>
  <si>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</si>
  <si>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</si>
  <si>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</si>
  <si>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</si>
  <si>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</si>
  <si>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</si>
  <si>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</si>
  <si>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</si>
  <si>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</si>
  <si>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</si>
  <si>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</si>
  <si>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</si>
  <si>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</si>
  <si>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</si>
  <si>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</si>
  <si>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</si>
  <si>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</si>
  <si>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</si>
  <si>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</si>
  <si>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</si>
  <si>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</si>
  <si>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</si>
  <si>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</si>
  <si>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</si>
  <si>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</si>
  <si>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</si>
  <si>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</si>
  <si>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</si>
  <si>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</si>
  <si>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</si>
  <si>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</si>
  <si>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</si>
  <si>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</si>
  <si>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</si>
  <si>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</si>
  <si>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</si>
  <si>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</si>
  <si>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</si>
  <si>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</si>
  <si>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</si>
  <si>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</si>
  <si>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</si>
  <si>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</si>
  <si>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</si>
  <si>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</si>
  <si>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</si>
  <si>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</si>
  <si>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</si>
  <si>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</si>
  <si>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</si>
  <si>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</si>
  <si>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</si>
  <si>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</si>
  <si>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</si>
  <si>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</si>
  <si>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</si>
  <si>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</si>
  <si>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</si>
  <si>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</si>
  <si>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</si>
  <si>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</si>
  <si>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</si>
  <si>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</si>
  <si>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</si>
  <si>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</si>
  <si>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</si>
  <si>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</si>
  <si>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</si>
  <si>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</si>
  <si>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</si>
  <si>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</si>
  <si>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</si>
  <si>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</si>
  <si>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</si>
  <si>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</si>
  <si>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</si>
  <si>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</si>
  <si>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</si>
  <si>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</si>
  <si>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</si>
  <si>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</si>
  <si>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</si>
  <si>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</si>
  <si>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</si>
  <si>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</si>
  <si>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</si>
  <si>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</si>
  <si>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</si>
  <si>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</si>
  <si>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</si>
  <si>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</si>
  <si>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</si>
  <si>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</si>
  <si>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</si>
  <si>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</si>
  <si>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</si>
  <si>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</si>
  <si>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</si>
  <si>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</si>
  <si>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</si>
  <si>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</si>
  <si>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</si>
  <si>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</si>
  <si>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</si>
  <si>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</si>
  <si>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</si>
  <si>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</si>
  <si>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</si>
  <si>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</si>
  <si>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</si>
  <si>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</si>
  <si>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</si>
  <si>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</si>
  <si>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</si>
  <si>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</si>
  <si>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</si>
  <si>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</si>
  <si>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</si>
  <si>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</si>
  <si>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</si>
  <si>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</si>
  <si>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</si>
  <si>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</si>
  <si>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</si>
  <si>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</si>
  <si>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</si>
  <si>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</si>
  <si>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</si>
  <si>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</si>
  <si>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</si>
  <si>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Appalachian Power Company</t>
  </si>
  <si>
    <t>Accum Prv I/D Worker's Com</t>
  </si>
  <si>
    <t>1650001</t>
  </si>
  <si>
    <t>Prepaid Insurance</t>
  </si>
  <si>
    <t>Prepaid Taxes</t>
  </si>
  <si>
    <t>1650004</t>
  </si>
  <si>
    <t>Prepaid Interest</t>
  </si>
  <si>
    <t>1650006</t>
  </si>
  <si>
    <t>Other Prepayments</t>
  </si>
  <si>
    <t>1650009</t>
  </si>
  <si>
    <t>Prepaid Carry Cost-Factored AR</t>
  </si>
  <si>
    <t>1650010</t>
  </si>
  <si>
    <t>Prepaid Use Taxes</t>
  </si>
  <si>
    <t>1650014</t>
  </si>
  <si>
    <t>FAS 158 Qual Contra Asset</t>
  </si>
  <si>
    <t>1650016</t>
  </si>
  <si>
    <t>FAS 112 ASSETS</t>
  </si>
  <si>
    <t>1650021</t>
  </si>
  <si>
    <t>Prepaid Insurance - EIS</t>
  </si>
  <si>
    <t>1650023</t>
  </si>
  <si>
    <t>Prepaid Lease</t>
  </si>
  <si>
    <t>1650031</t>
  </si>
  <si>
    <t>Prepaid OCIP Work Comp</t>
  </si>
  <si>
    <t>1650032</t>
  </si>
  <si>
    <t>Prepaid OCIP Work Comp LT</t>
  </si>
  <si>
    <t>1650033</t>
  </si>
  <si>
    <t>Prepaid OCIP Work Comp - Aff</t>
  </si>
  <si>
    <t>1650034</t>
  </si>
  <si>
    <t>PPD OCIP Work Comp LT - Aff</t>
  </si>
  <si>
    <t>1650035</t>
  </si>
  <si>
    <t>PRW Without MED-D Benefits</t>
  </si>
  <si>
    <t>1650036</t>
  </si>
  <si>
    <t>PRW for Med-D Benefits</t>
  </si>
  <si>
    <t>1650037</t>
  </si>
  <si>
    <t>FAS158 Contra-PRW Exclud Med-D</t>
  </si>
  <si>
    <t>AR Factoring</t>
  </si>
  <si>
    <t>Prepaid Use Taxes Gen</t>
  </si>
  <si>
    <t>Prepaid Insurance EIS</t>
  </si>
  <si>
    <t>Pension Benefits - All functions</t>
  </si>
  <si>
    <t>Virginia T-RAC UnderRecovery</t>
  </si>
  <si>
    <t>9280000</t>
  </si>
  <si>
    <t>Regulatory Commission Exp</t>
  </si>
  <si>
    <t>9301000</t>
  </si>
  <si>
    <t>General Advertising Expenses</t>
  </si>
  <si>
    <t>9301001</t>
  </si>
  <si>
    <t>Newspaper Advertising Space</t>
  </si>
  <si>
    <t>9301002</t>
  </si>
  <si>
    <t>Radio Station Advertising Time</t>
  </si>
  <si>
    <t>9301003</t>
  </si>
  <si>
    <t>TV Station Advertising Time</t>
  </si>
  <si>
    <t>9301004</t>
  </si>
  <si>
    <t>Newspaper Advertising Prod Exp</t>
  </si>
  <si>
    <t>9301007</t>
  </si>
  <si>
    <t>Special Adv Space &amp; Prod Exp</t>
  </si>
  <si>
    <t>9301010</t>
  </si>
  <si>
    <t>Publicity</t>
  </si>
  <si>
    <t>9301012</t>
  </si>
  <si>
    <t>Public Opinion Surveys</t>
  </si>
  <si>
    <t>9301014</t>
  </si>
  <si>
    <t>Video Communications</t>
  </si>
  <si>
    <t>9301015</t>
  </si>
  <si>
    <t>Other Corporate Comm Exp</t>
  </si>
  <si>
    <t>9302000</t>
  </si>
  <si>
    <t>Misc General Expenses</t>
  </si>
  <si>
    <t>9302003</t>
  </si>
  <si>
    <t>Corporate &amp; Fiscal Expenses</t>
  </si>
  <si>
    <t>9302004</t>
  </si>
  <si>
    <t>Research, Develop&amp;Demonstr Exp</t>
  </si>
  <si>
    <t>9302006</t>
  </si>
  <si>
    <t>9302007</t>
  </si>
  <si>
    <t>Assoc Business Development Exp</t>
  </si>
  <si>
    <t>Apportionment Factor - Note 2</t>
  </si>
  <si>
    <t>Ohio Franchise Tax Rate</t>
  </si>
  <si>
    <t>Phase-out Factor Note 1</t>
  </si>
  <si>
    <t>VIRGINIA JURISDICTION</t>
  </si>
  <si>
    <t>WEST VA JURISDICTION</t>
  </si>
  <si>
    <t>TENNESSEE JURISDICTION</t>
  </si>
  <si>
    <t>APCo Worksheet J -  ATRR PROJECTED Calculation for PJM Projects Charged to Benefiting Zones</t>
  </si>
  <si>
    <t>RTEP ID: b0318 (Amos 765/138 kV Transformer)</t>
  </si>
  <si>
    <t>No</t>
  </si>
  <si>
    <t>RTEP ID: b1712.2 (Altavista-Leesville 138kV line)</t>
  </si>
  <si>
    <t>RTEP ID: b2020 (Rebuild Amos-Kanawha River 138 kV corridor)</t>
  </si>
  <si>
    <t>RTEP ID: b2021 (Kanawha River Gen Retirement - Upgrades)</t>
  </si>
  <si>
    <t>RTEP ID: b2017 (Rebuild Sporn-Waterford-Muskingum River 345 kV line)</t>
  </si>
  <si>
    <t>RTEP ID: b1660 (Install a 765/500 kV transformer at Cloverdale)</t>
  </si>
  <si>
    <t>RTEP ID: b1660.1 (Cloverdale: Establish 500 kV station and 500 to 765 kV tie)</t>
  </si>
  <si>
    <t>RTEP ID: b1663.2 (Jacksons Ferry 765 kV breakers, switches, bus work, and relays)</t>
  </si>
  <si>
    <t>RTEP ID: b1875 (138 kV Bradley to McClung upgrades)</t>
  </si>
  <si>
    <t>RTEP ID: b1797.1 (Reconductor portion of Cloverdale-Lexington 500 kV line)</t>
  </si>
  <si>
    <t>RTEP ID: b1712.1 (Altavista-Leesville 138kV line)</t>
  </si>
  <si>
    <t>RTEP ID: b2687.2 (Install a 300 MVAR shunt line reactor Broadford-Jacksons Ferry 765 kV line)</t>
  </si>
  <si>
    <t>RTEP ID: b2687.1 (Install a 450 MVAR SVC Jacksons Ferry 765kv Substation)</t>
  </si>
  <si>
    <t>RTEP ID: b2230 (Amos Station retire three 765kV reactors Amos-Hanging Rock)</t>
  </si>
  <si>
    <t>Prepayed Taxes</t>
  </si>
  <si>
    <t>Other prepayments - Gen</t>
  </si>
  <si>
    <t>Prepaid Coal</t>
  </si>
  <si>
    <t>Prefunded Pension Exp</t>
  </si>
  <si>
    <t>SFAS 158 Offset</t>
  </si>
  <si>
    <t>9280001</t>
  </si>
  <si>
    <t>Regulatory Commission Exp-Adm</t>
  </si>
  <si>
    <t>9280002</t>
  </si>
  <si>
    <t>Regulatory Commission Exp-Case</t>
  </si>
  <si>
    <t>9280005</t>
  </si>
  <si>
    <t>Reg Com Exp-FERC Trans Cases</t>
  </si>
  <si>
    <t>1650017</t>
  </si>
  <si>
    <t>Prepayment - Coal</t>
  </si>
  <si>
    <t>Prepaid Pension</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</si>
  <si>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</si>
  <si>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</si>
  <si>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</si>
  <si>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</si>
  <si>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</si>
  <si>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</si>
  <si>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</si>
  <si>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</si>
  <si>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APPALACHAIN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</si>
  <si>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</si>
  <si>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</si>
  <si>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</si>
  <si>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</si>
  <si>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</si>
  <si>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</si>
  <si>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</si>
  <si>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</si>
  <si>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</si>
  <si>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</si>
  <si>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</si>
  <si>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</si>
  <si>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</si>
  <si>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</si>
  <si>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</si>
  <si>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</si>
  <si>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</si>
  <si>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</si>
  <si>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</si>
  <si>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</si>
  <si>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</si>
  <si>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</si>
  <si>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</si>
  <si>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</si>
  <si>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</si>
  <si>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</si>
  <si>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</si>
  <si>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</si>
  <si>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</si>
  <si>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</si>
  <si>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</si>
  <si>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</si>
  <si>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</si>
  <si>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</si>
  <si>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</si>
  <si>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B/C,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</si>
  <si>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</si>
  <si>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</si>
  <si>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</si>
  <si>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</si>
  <si>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</si>
  <si>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</si>
  <si>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</si>
  <si>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</si>
  <si>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</si>
  <si>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</si>
  <si>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</si>
  <si>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</si>
  <si>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</si>
  <si>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</si>
  <si>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</si>
  <si>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</si>
  <si>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</si>
  <si>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</si>
  <si>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</si>
  <si>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</si>
  <si>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</si>
  <si>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</si>
  <si>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</si>
  <si>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2b)</t>
  </si>
  <si>
    <t>NOTE F</t>
  </si>
  <si>
    <t>TRANSMISSION FUNCTION BALANCES</t>
  </si>
  <si>
    <t>4a</t>
  </si>
  <si>
    <t>4b</t>
  </si>
  <si>
    <t>4c</t>
  </si>
  <si>
    <t>4d</t>
  </si>
  <si>
    <t>4e</t>
  </si>
  <si>
    <t>4f</t>
  </si>
  <si>
    <t>4g</t>
  </si>
  <si>
    <t>4h</t>
  </si>
  <si>
    <t>5c</t>
  </si>
  <si>
    <t>Total For Accounting Entires (Sum of Lines 4a through 5b)</t>
  </si>
  <si>
    <t>GENERAL NOTE:  ADIT Tax balances provided in the formula presented in Attachment H-14B are maintained on both a total company and transmission functional basis. Because both sets of numbers are presented in the formual,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</si>
  <si>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</si>
  <si>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</si>
  <si>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</si>
  <si>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</si>
  <si>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</si>
  <si>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</si>
  <si>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</si>
  <si>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</si>
  <si>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</si>
  <si>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Funcational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</si>
  <si>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</si>
  <si>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</si>
  <si>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Prepayed Taxes - Dist</t>
  </si>
  <si>
    <t>9280003</t>
  </si>
  <si>
    <t>Rate Case Amort</t>
  </si>
  <si>
    <t>RTEP ID: b2423 Install a 300 MVAR shunt reactor at AEP's Wyoming 765 kV station.</t>
  </si>
  <si>
    <t>CR Audit</t>
  </si>
  <si>
    <t>EFFECTIVE AS OF 1/1/2020</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</si>
  <si>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</si>
  <si>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</si>
  <si>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</si>
  <si>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</si>
  <si>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</si>
  <si>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</si>
  <si>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</si>
  <si>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</si>
  <si>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</si>
  <si>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</si>
  <si>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</si>
  <si>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</si>
  <si>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</si>
  <si>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</si>
  <si>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Note 2:  Kingsport Power Company does not have investment in plant accounts 357 or 358.  Therefore, there are no depreciation rates approved for these plant accounts.</t>
  </si>
  <si>
    <t>EFFECTIVE AS OF 4/1/2012</t>
  </si>
  <si>
    <t>EFFECTIVE AS OF 3/1/2019</t>
  </si>
  <si>
    <r>
      <t>190</t>
    </r>
    <r>
      <rPr>
        <sz val="9"/>
        <color rgb="FFFF0000"/>
        <rFont val="Arial"/>
        <family val="2"/>
      </rPr>
      <t>4</t>
    </r>
    <r>
      <rPr>
        <sz val="9"/>
        <rFont val="Arial"/>
        <family val="2"/>
      </rPr>
      <t>001</t>
    </r>
  </si>
  <si>
    <t>WS B - 2 Col B/C, ADIT item 2.91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</si>
  <si>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</si>
  <si>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</si>
  <si>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</si>
  <si>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5.47</t>
  </si>
  <si>
    <r>
      <t>282</t>
    </r>
    <r>
      <rPr>
        <sz val="9"/>
        <color rgb="FFFF0000"/>
        <rFont val="Arial"/>
        <family val="2"/>
      </rPr>
      <t>4</t>
    </r>
    <r>
      <rPr>
        <sz val="9"/>
        <rFont val="Arial"/>
        <family val="2"/>
      </rPr>
      <t>001</t>
    </r>
  </si>
  <si>
    <t>WS B - 1 Col B/C, ADIT Item 5.50</t>
  </si>
  <si>
    <r>
      <t>283</t>
    </r>
    <r>
      <rPr>
        <sz val="9"/>
        <color rgb="FFFF0000"/>
        <rFont val="Arial"/>
        <family val="2"/>
      </rPr>
      <t>1</t>
    </r>
    <r>
      <rPr>
        <sz val="9"/>
        <rFont val="Arial"/>
        <family val="2"/>
      </rPr>
      <t>001</t>
    </r>
  </si>
  <si>
    <t>WS B - 1 Col C, Items 10.04</t>
  </si>
  <si>
    <r>
      <t>283</t>
    </r>
    <r>
      <rPr>
        <sz val="9"/>
        <color rgb="FFFF0000"/>
        <rFont val="Arial"/>
        <family val="2"/>
      </rPr>
      <t>4</t>
    </r>
    <r>
      <rPr>
        <sz val="9"/>
        <rFont val="Arial"/>
        <family val="2"/>
      </rPr>
      <t>001</t>
    </r>
  </si>
  <si>
    <t>WS B - 1 Col C/D, Item 10.07</t>
  </si>
  <si>
    <t>WS B-1, Col N, ADIT 5.47</t>
  </si>
  <si>
    <t>WS B-1,  Col N, item 10.04</t>
  </si>
  <si>
    <t>53c</t>
  </si>
  <si>
    <t>For Year Ended December 31, 2024</t>
  </si>
  <si>
    <t>1/1/2024 Beginning  Balances</t>
  </si>
  <si>
    <t>12/31/2024 Ending Balance</t>
  </si>
  <si>
    <t>2022 Forecasted Revenue Requirement For Year 2022</t>
  </si>
  <si>
    <t>2022 Collections</t>
  </si>
  <si>
    <t>An over or under collection will be recovered prorata over 2022, held for 2023 and returned prorate over 2024</t>
  </si>
  <si>
    <t>State Publ Serv CommissionFees</t>
  </si>
  <si>
    <t>9301008</t>
  </si>
  <si>
    <t>Direct Mail and Handouts</t>
  </si>
  <si>
    <t>Assoc Bus Dev - Materials Sold</t>
  </si>
  <si>
    <t>9302017</t>
  </si>
  <si>
    <t>SellingPrice Normalization Exp</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</si>
  <si>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</si>
  <si>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</si>
  <si>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</si>
  <si>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</si>
  <si>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</si>
  <si>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</si>
  <si>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</si>
  <si>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</si>
  <si>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</si>
  <si>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</si>
  <si>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</si>
  <si>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</si>
  <si>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</si>
  <si>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</si>
  <si>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</si>
  <si>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</si>
  <si>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</si>
  <si>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</si>
  <si>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</si>
  <si>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</si>
  <si>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</si>
  <si>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</si>
  <si>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</si>
  <si>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</si>
  <si>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</si>
  <si>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</si>
  <si>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</si>
  <si>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</si>
  <si>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</si>
  <si>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</si>
  <si>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</si>
  <si>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</si>
  <si>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</si>
  <si>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</si>
  <si>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</si>
  <si>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</si>
  <si>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</si>
  <si>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</si>
  <si>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</si>
  <si>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</si>
  <si>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</si>
  <si>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</si>
  <si>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</si>
  <si>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</si>
  <si>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</si>
  <si>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</si>
  <si>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</si>
  <si>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</si>
  <si>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</si>
  <si>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</si>
  <si>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</si>
  <si>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</si>
  <si>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</si>
  <si>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</si>
  <si>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</si>
  <si>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</si>
  <si>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</si>
  <si>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</si>
  <si>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</si>
  <si>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</si>
  <si>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</si>
  <si>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</si>
  <si>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</si>
  <si>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</si>
  <si>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</si>
  <si>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</si>
  <si>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</si>
  <si>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North Carolina</t>
  </si>
  <si>
    <t xml:space="preserve">State Income Tax Rate - Kentucky </t>
  </si>
  <si>
    <t>State Income Tax Rate - Illinois</t>
  </si>
  <si>
    <t>State Income Tax Rate - Michigan</t>
  </si>
  <si>
    <t>State Income Tax Rate - West Virginia</t>
  </si>
  <si>
    <t>State Income Tax Rate - Tennessee</t>
  </si>
  <si>
    <t>State Income Tax Rate - Virginia</t>
  </si>
  <si>
    <t>Senior Unsecured Notes - Series I</t>
  </si>
  <si>
    <t>Senior Unsecured Notes - Series K</t>
  </si>
  <si>
    <t>Senior Unsecured Notes - Series L</t>
  </si>
  <si>
    <t>Senior Unsecured Notes - Series H</t>
  </si>
  <si>
    <t>Senior Unsecured Notes - Series N</t>
  </si>
  <si>
    <t>Senior Unsecured Notes - Series Q</t>
  </si>
  <si>
    <t>Senior Unsecured Notes - Series S</t>
  </si>
  <si>
    <t>Senior Unsecured Notes - Series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</si>
</sst>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0.000000"/>
    <numFmt numFmtId="178" formatCode="_(* #,##0.0000_);_(* \(#,##0.0000\);_(* &quot;-&quot;_);_(@_)"/>
    <numFmt numFmtId="179" formatCode="_(* #,##0.00000_);_(* \(#,##0.00000\);_(* &quot;-&quot;_);_(@_)"/>
    <numFmt numFmtId="180" formatCode="_(* #,##0.00000_);_(* \(#,##0.00000\);_(* &quot;-&quot;??_);_(@_)"/>
    <numFmt numFmtId="181" formatCode="#,##0.0000000"/>
    <numFmt numFmtId="182" formatCode="_(* #,##0.0000000_);_(* \(#,##0.0000000\);_(* &quot;-&quot;_);_(@_)"/>
    <numFmt numFmtId="183" formatCode="#,##0\ ;\(#,##0\)"/>
    <numFmt numFmtId="184" formatCode="_(* #,##0.0000_);_(* \(#,##0.0000\);_(* &quot;-&quot;??_);_(@_)"/>
    <numFmt numFmtId="185" formatCode="_(* #,##0.000_);_(* \(#,##0.000\);_(* &quot;-&quot;_);_(@_)"/>
    <numFmt numFmtId="186" formatCode="#,##0.000000"/>
    <numFmt numFmtId="187" formatCode="mmmm\ d\,\ yyyy"/>
    <numFmt numFmtId="188" formatCode="m/d/yy;@"/>
    <numFmt numFmtId="189" formatCode="0.000"/>
    <numFmt numFmtId="190" formatCode="0.000000_)"/>
    <numFmt numFmtId="191" formatCode="#,##0.000000_);\(#,##0.000000\)"/>
    <numFmt numFmtId="192" formatCode="0_);\(0\)"/>
    <numFmt numFmtId="193" formatCode="0.0"/>
    <numFmt numFmtId="194" formatCode="&quot;$&quot;#,##0.0000"/>
    <numFmt numFmtId="195" formatCode="[$-409]mmm\-yy;@"/>
    <numFmt numFmtId="196" formatCode="#,##0_);[Red]\(#,##0\);&quot; &quot;"/>
    <numFmt numFmtId="197" formatCode="_(* #,##0.00_);_(* \(#,##0.00\);_(* &quot;-&quot;_);_(@_)"/>
    <numFmt numFmtId="198" formatCode="_(* #,##0.000_);_(* \(#,##0.000\);_(* &quot;-&quot;??_);_(@_)"/>
    <numFmt numFmtId="199" formatCode="0.000000%"/>
  </numFmts>
  <fonts count="174">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0"/>
      <color indexed="12"/>
      <name val="Calibri"/>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right style="thin">
        <color indexed="64"/>
      </right>
      <top style="thin">
        <color indexed="64"/>
      </top>
      <bottom/>
      <diagonal/>
    </border>
  </borders>
  <cellStyleXfs count="370">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56" fillId="0" borderId="0" applyFont="0" applyFill="0" applyBorder="0" applyAlignment="0" applyProtection="0"/>
    <xf numFmtId="43" fontId="157"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56" fillId="0" borderId="0" applyFont="0" applyFill="0" applyBorder="0" applyAlignment="0" applyProtection="0"/>
    <xf numFmtId="43" fontId="12" fillId="0" borderId="0" applyFont="0" applyFill="0" applyBorder="0" applyAlignment="0" applyProtection="0"/>
    <xf numFmtId="43" fontId="12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3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56" fillId="0" borderId="0" applyFont="0" applyFill="0" applyBorder="0" applyAlignment="0" applyProtection="0"/>
    <xf numFmtId="44" fontId="161"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61"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56"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9" fillId="0" borderId="0"/>
    <xf numFmtId="3" fontId="12" fillId="0" borderId="0"/>
    <xf numFmtId="3" fontId="12" fillId="0" borderId="0"/>
    <xf numFmtId="3" fontId="129" fillId="0" borderId="0"/>
    <xf numFmtId="0" fontId="12" fillId="0" borderId="0"/>
    <xf numFmtId="3" fontId="12" fillId="0" borderId="0"/>
    <xf numFmtId="3" fontId="129" fillId="0" borderId="0"/>
    <xf numFmtId="3" fontId="12" fillId="0" borderId="0"/>
    <xf numFmtId="0" fontId="161" fillId="0" borderId="0"/>
    <xf numFmtId="3" fontId="129" fillId="0" borderId="0"/>
    <xf numFmtId="3" fontId="12" fillId="0" borderId="0"/>
    <xf numFmtId="3" fontId="129" fillId="0" borderId="0"/>
    <xf numFmtId="3" fontId="12" fillId="0" borderId="0"/>
    <xf numFmtId="0" fontId="12" fillId="0" borderId="0"/>
    <xf numFmtId="3" fontId="129" fillId="0" borderId="0"/>
    <xf numFmtId="3" fontId="12" fillId="0" borderId="0"/>
    <xf numFmtId="3" fontId="129" fillId="0" borderId="0"/>
    <xf numFmtId="3" fontId="12" fillId="0" borderId="0"/>
    <xf numFmtId="3" fontId="129" fillId="0" borderId="0"/>
    <xf numFmtId="3" fontId="12" fillId="0" borderId="0"/>
    <xf numFmtId="3" fontId="130" fillId="0" borderId="0"/>
    <xf numFmtId="3" fontId="12" fillId="0" borderId="0"/>
    <xf numFmtId="0" fontId="12" fillId="0" borderId="0"/>
    <xf numFmtId="0" fontId="128" fillId="0" borderId="0"/>
    <xf numFmtId="0" fontId="162" fillId="0" borderId="0"/>
    <xf numFmtId="0" fontId="12" fillId="0" borderId="0"/>
    <xf numFmtId="0" fontId="12" fillId="0" borderId="0"/>
    <xf numFmtId="0" fontId="162" fillId="0" borderId="0"/>
    <xf numFmtId="0"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2" fillId="0" borderId="0"/>
    <xf numFmtId="3" fontId="137" fillId="0" borderId="0"/>
    <xf numFmtId="3" fontId="12" fillId="0" borderId="0"/>
    <xf numFmtId="3" fontId="137" fillId="0" borderId="0"/>
    <xf numFmtId="3" fontId="12" fillId="0" borderId="0"/>
    <xf numFmtId="0" fontId="12" fillId="0" borderId="0"/>
    <xf numFmtId="0" fontId="12" fillId="0" borderId="0"/>
    <xf numFmtId="3" fontId="12" fillId="0" borderId="0"/>
    <xf numFmtId="0" fontId="12" fillId="0" borderId="0"/>
    <xf numFmtId="0" fontId="12" fillId="0" borderId="0"/>
    <xf numFmtId="0" fontId="161" fillId="0" borderId="0"/>
    <xf numFmtId="172" fontId="157" fillId="0" borderId="0" applyProtection="0"/>
    <xf numFmtId="0" fontId="2" fillId="0" borderId="0"/>
    <xf numFmtId="0" fontId="156" fillId="0" borderId="0"/>
    <xf numFmtId="0" fontId="12" fillId="0" borderId="0"/>
    <xf numFmtId="0" fontId="129" fillId="0" borderId="0"/>
    <xf numFmtId="0" fontId="12" fillId="0" borderId="0"/>
    <xf numFmtId="0" fontId="12" fillId="0" borderId="0"/>
    <xf numFmtId="0" fontId="130" fillId="0" borderId="0"/>
    <xf numFmtId="0" fontId="12" fillId="0" borderId="0"/>
    <xf numFmtId="0" fontId="12" fillId="0" borderId="0"/>
    <xf numFmtId="0" fontId="12" fillId="0" borderId="0"/>
    <xf numFmtId="0" fontId="134" fillId="0" borderId="0"/>
    <xf numFmtId="0" fontId="12" fillId="0" borderId="0"/>
    <xf numFmtId="0" fontId="137" fillId="0" borderId="0"/>
    <xf numFmtId="0" fontId="12" fillId="0" borderId="0"/>
    <xf numFmtId="0" fontId="12" fillId="0" borderId="0"/>
    <xf numFmtId="0" fontId="154"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1" fillId="0" borderId="0"/>
    <xf numFmtId="0" fontId="129" fillId="0" borderId="0"/>
    <xf numFmtId="0" fontId="12" fillId="0" borderId="0"/>
    <xf numFmtId="0" fontId="12" fillId="0" borderId="0"/>
    <xf numFmtId="0" fontId="130" fillId="0" borderId="0"/>
    <xf numFmtId="0" fontId="12" fillId="0" borderId="0"/>
    <xf numFmtId="0" fontId="137" fillId="0" borderId="0"/>
    <xf numFmtId="0" fontId="12" fillId="0" borderId="0"/>
    <xf numFmtId="0" fontId="161" fillId="0" borderId="0"/>
    <xf numFmtId="0" fontId="12" fillId="0" borderId="0"/>
    <xf numFmtId="0" fontId="161" fillId="0" borderId="0"/>
    <xf numFmtId="0" fontId="12" fillId="0" borderId="0"/>
    <xf numFmtId="0" fontId="161" fillId="0" borderId="0"/>
    <xf numFmtId="0" fontId="12" fillId="0" borderId="0"/>
    <xf numFmtId="0" fontId="3" fillId="0" borderId="0" applyProtection="0"/>
    <xf numFmtId="0" fontId="2" fillId="0" borderId="0"/>
    <xf numFmtId="0" fontId="130" fillId="0" borderId="0"/>
    <xf numFmtId="0" fontId="12" fillId="0" borderId="0"/>
    <xf numFmtId="0" fontId="12" fillId="0" borderId="0"/>
    <xf numFmtId="0" fontId="134" fillId="0" borderId="0"/>
    <xf numFmtId="0" fontId="12" fillId="0" borderId="0"/>
    <xf numFmtId="172" fontId="3" fillId="0" borderId="0" applyProtection="0"/>
    <xf numFmtId="0" fontId="2" fillId="0" borderId="0"/>
    <xf numFmtId="0" fontId="1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56"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56" fillId="0" borderId="0" applyFont="0" applyFill="0" applyBorder="0" applyAlignment="0" applyProtection="0"/>
    <xf numFmtId="9" fontId="16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61" fillId="0" borderId="0" applyFont="0" applyFill="0" applyBorder="0" applyAlignment="0" applyProtection="0"/>
    <xf numFmtId="9" fontId="1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570">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9" fillId="0" borderId="0" xfId="268" applyFont="1" applyFill="1" applyAlignment="1">
      <alignment horizontal="center"/>
    </xf>
    <xf numFmtId="0" fontId="15" fillId="0" borderId="0" xfId="268" applyFont="1" applyFill="1"/>
    <xf numFmtId="9" fontId="9" fillId="0" borderId="0" xfId="268" quotePrefix="1" applyNumberFormat="1" applyFont="1" applyFill="1" applyAlignment="1">
      <alignment horizontal="center"/>
    </xf>
    <xf numFmtId="0" fontId="17" fillId="0" borderId="0" xfId="268" applyFont="1" applyAlignment="1">
      <alignment horizontal="right"/>
    </xf>
    <xf numFmtId="0" fontId="17" fillId="0" borderId="0" xfId="268" applyFont="1" applyAlignment="1">
      <alignment horizontal="center"/>
    </xf>
    <xf numFmtId="0" fontId="17" fillId="0" borderId="0" xfId="268" applyFont="1" applyFill="1" applyAlignment="1">
      <alignment horizontal="center"/>
    </xf>
    <xf numFmtId="9" fontId="9" fillId="0" borderId="0" xfId="268" applyNumberFormat="1" applyFont="1" applyFill="1" applyAlignment="1">
      <alignment horizontal="center"/>
    </xf>
    <xf numFmtId="0" fontId="0" fillId="0" borderId="0" xfId="0" applyBorder="1"/>
    <xf numFmtId="0" fontId="5" fillId="0" borderId="0" xfId="0" applyFont="1" applyFill="1" applyAlignment="1"/>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8" fillId="0" borderId="0" xfId="0" applyFont="1"/>
    <xf numFmtId="0" fontId="12" fillId="0" borderId="0" xfId="268" applyFont="1" applyFill="1"/>
    <xf numFmtId="0" fontId="15" fillId="0" borderId="0" xfId="268" applyFont="1" applyFill="1" applyAlignment="1">
      <alignment horizontal="left"/>
    </xf>
    <xf numFmtId="3" fontId="12" fillId="0" borderId="0" xfId="0" applyNumberFormat="1" applyFont="1" applyFill="1"/>
    <xf numFmtId="0" fontId="5" fillId="0" borderId="0" xfId="268" applyFont="1" applyFill="1" applyAlignment="1">
      <alignment horizontal="right"/>
    </xf>
    <xf numFmtId="0" fontId="12" fillId="0" borderId="0" xfId="268" applyFont="1"/>
    <xf numFmtId="0" fontId="5" fillId="0" borderId="0" xfId="268" applyFont="1" applyFill="1"/>
    <xf numFmtId="0" fontId="9" fillId="0" borderId="0" xfId="268" applyFont="1" applyFill="1" applyBorder="1" applyAlignment="1">
      <alignment horizontal="left"/>
    </xf>
    <xf numFmtId="0" fontId="9" fillId="0" borderId="0" xfId="268" applyFont="1" applyFill="1" applyBorder="1"/>
    <xf numFmtId="0" fontId="12" fillId="0" borderId="0" xfId="268" applyFont="1" applyAlignment="1">
      <alignment horizontal="left"/>
    </xf>
    <xf numFmtId="0" fontId="6" fillId="0" borderId="0" xfId="268"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5" fontId="5" fillId="0" borderId="0" xfId="0" applyNumberFormat="1" applyFont="1" applyFill="1"/>
    <xf numFmtId="3" fontId="19" fillId="0" borderId="0" xfId="0" applyNumberFormat="1" applyFont="1" applyFill="1" applyAlignment="1"/>
    <xf numFmtId="41" fontId="27" fillId="0" borderId="0" xfId="268" applyNumberFormat="1" applyFont="1" applyFill="1" applyBorder="1"/>
    <xf numFmtId="0" fontId="26" fillId="0" borderId="0" xfId="268" applyFont="1" applyFill="1"/>
    <xf numFmtId="41" fontId="26" fillId="0" borderId="0" xfId="268" applyNumberFormat="1" applyFont="1" applyFill="1" applyBorder="1"/>
    <xf numFmtId="0" fontId="26" fillId="0" borderId="0" xfId="268" applyFont="1" applyFill="1" applyAlignment="1">
      <alignment horizontal="left"/>
    </xf>
    <xf numFmtId="0" fontId="26" fillId="0" borderId="0" xfId="268" applyFont="1" applyFill="1" applyAlignment="1">
      <alignment horizontal="center"/>
    </xf>
    <xf numFmtId="0" fontId="10" fillId="0" borderId="0" xfId="268" applyFont="1" applyFill="1" applyAlignment="1">
      <alignment horizontal="center"/>
    </xf>
    <xf numFmtId="173" fontId="26" fillId="0" borderId="0" xfId="268" applyNumberFormat="1" applyFont="1" applyFill="1"/>
    <xf numFmtId="173" fontId="26" fillId="0" borderId="0" xfId="268" applyNumberFormat="1" applyFont="1" applyFill="1" applyBorder="1" applyAlignment="1">
      <alignment vertical="top"/>
    </xf>
    <xf numFmtId="41" fontId="26" fillId="0" borderId="13" xfId="268" applyNumberFormat="1" applyFont="1" applyFill="1" applyBorder="1"/>
    <xf numFmtId="173" fontId="6" fillId="0" borderId="0" xfId="86" applyNumberFormat="1" applyFont="1" applyFill="1" applyAlignment="1">
      <alignment horizontal="center"/>
    </xf>
    <xf numFmtId="0" fontId="5" fillId="0" borderId="0" xfId="268" applyFont="1" applyFill="1" applyAlignment="1">
      <alignment horizontal="center"/>
    </xf>
    <xf numFmtId="0" fontId="30" fillId="0" borderId="0" xfId="268" applyFont="1" applyFill="1" applyBorder="1"/>
    <xf numFmtId="0" fontId="10" fillId="0" borderId="0" xfId="268" applyFont="1" applyAlignment="1">
      <alignment horizontal="center"/>
    </xf>
    <xf numFmtId="41" fontId="5" fillId="0" borderId="13" xfId="268" applyNumberFormat="1" applyFont="1" applyFill="1" applyBorder="1"/>
    <xf numFmtId="38" fontId="12" fillId="0" borderId="0" xfId="0" applyNumberFormat="1" applyFont="1" applyFill="1" applyBorder="1" applyAlignment="1"/>
    <xf numFmtId="43" fontId="5" fillId="0" borderId="0" xfId="268" applyNumberFormat="1" applyFont="1" applyFill="1"/>
    <xf numFmtId="3" fontId="5" fillId="0" borderId="0" xfId="0" applyNumberFormat="1" applyFont="1" applyFill="1" applyAlignment="1"/>
    <xf numFmtId="41" fontId="27" fillId="25" borderId="0" xfId="268" applyNumberFormat="1" applyFont="1" applyFill="1" applyBorder="1"/>
    <xf numFmtId="0" fontId="7" fillId="0" borderId="0" xfId="224" applyFont="1" applyFill="1" applyBorder="1" applyAlignment="1">
      <alignment horizontal="left"/>
    </xf>
    <xf numFmtId="0" fontId="12" fillId="0" borderId="0" xfId="224" applyFont="1" applyBorder="1" applyAlignment="1"/>
    <xf numFmtId="0" fontId="12" fillId="0" borderId="0" xfId="224" applyFont="1" applyBorder="1"/>
    <xf numFmtId="0" fontId="12" fillId="0" borderId="0" xfId="224" applyNumberFormat="1" applyFont="1" applyFill="1" applyBorder="1" applyAlignment="1">
      <alignment horizontal="left"/>
    </xf>
    <xf numFmtId="0" fontId="9" fillId="0" borderId="0" xfId="224" applyNumberFormat="1" applyFont="1" applyFill="1" applyBorder="1" applyAlignment="1">
      <alignment horizontal="left"/>
    </xf>
    <xf numFmtId="3" fontId="12" fillId="0" borderId="0" xfId="224" applyNumberFormat="1" applyFont="1" applyFill="1" applyBorder="1" applyAlignment="1"/>
    <xf numFmtId="0" fontId="12" fillId="0" borderId="0" xfId="224" applyFont="1" applyFill="1" applyBorder="1" applyAlignment="1"/>
    <xf numFmtId="0" fontId="12" fillId="0" borderId="0" xfId="224" applyNumberFormat="1" applyFont="1" applyFill="1" applyBorder="1" applyAlignment="1">
      <alignment horizontal="center"/>
    </xf>
    <xf numFmtId="173" fontId="12" fillId="0" borderId="0" xfId="91" applyNumberFormat="1" applyFont="1" applyFill="1" applyBorder="1" applyAlignment="1">
      <alignment horizontal="right"/>
    </xf>
    <xf numFmtId="0" fontId="8" fillId="0" borderId="0" xfId="224" applyFont="1" applyFill="1" applyBorder="1" applyAlignment="1"/>
    <xf numFmtId="0" fontId="12" fillId="0" borderId="0" xfId="224" applyFont="1" applyFill="1" applyBorder="1"/>
    <xf numFmtId="0" fontId="9" fillId="0" borderId="0" xfId="224" applyFont="1" applyBorder="1" applyAlignment="1"/>
    <xf numFmtId="0" fontId="9" fillId="0" borderId="0" xfId="224" applyNumberFormat="1" applyFont="1" applyFill="1" applyBorder="1" applyAlignment="1">
      <alignment horizontal="center"/>
    </xf>
    <xf numFmtId="164" fontId="12" fillId="0" borderId="0" xfId="290" applyNumberFormat="1" applyFont="1" applyFill="1" applyBorder="1" applyAlignment="1"/>
    <xf numFmtId="173" fontId="12" fillId="0" borderId="0" xfId="91" applyNumberFormat="1" applyFont="1" applyFill="1" applyBorder="1" applyAlignment="1">
      <alignment horizontal="left"/>
    </xf>
    <xf numFmtId="0" fontId="12" fillId="0" borderId="0" xfId="224" applyFont="1" applyFill="1" applyBorder="1" applyAlignment="1">
      <alignment horizontal="center"/>
    </xf>
    <xf numFmtId="3" fontId="12" fillId="0" borderId="0" xfId="224" applyNumberFormat="1" applyFont="1" applyFill="1" applyBorder="1" applyAlignment="1">
      <alignment horizontal="right"/>
    </xf>
    <xf numFmtId="3" fontId="12" fillId="0" borderId="0" xfId="224" applyNumberFormat="1" applyFont="1" applyFill="1" applyBorder="1" applyAlignment="1">
      <alignment horizontal="center"/>
    </xf>
    <xf numFmtId="0" fontId="0" fillId="0" borderId="0" xfId="0" applyAlignment="1">
      <alignment horizontal="center" wrapText="1"/>
    </xf>
    <xf numFmtId="0" fontId="19" fillId="0" borderId="0" xfId="268" applyFont="1" applyFill="1"/>
    <xf numFmtId="0" fontId="17" fillId="0" borderId="0" xfId="224" applyFont="1" applyFill="1" applyBorder="1" applyAlignment="1">
      <alignment horizontal="left"/>
    </xf>
    <xf numFmtId="0" fontId="9" fillId="0" borderId="0" xfId="224" applyFont="1" applyFill="1" applyBorder="1" applyAlignment="1">
      <alignment horizontal="left"/>
    </xf>
    <xf numFmtId="0" fontId="9" fillId="0" borderId="0" xfId="224" applyFont="1" applyFill="1" applyBorder="1" applyAlignment="1">
      <alignment horizontal="center"/>
    </xf>
    <xf numFmtId="173" fontId="12" fillId="0" borderId="14" xfId="91" applyNumberFormat="1" applyFont="1" applyFill="1" applyBorder="1" applyAlignment="1">
      <alignment horizontal="right"/>
    </xf>
    <xf numFmtId="0" fontId="9" fillId="0" borderId="0" xfId="224" applyFont="1" applyBorder="1" applyAlignment="1">
      <alignment horizontal="center"/>
    </xf>
    <xf numFmtId="0" fontId="12" fillId="0" borderId="0" xfId="268" applyFont="1" applyAlignment="1">
      <alignment horizontal="center"/>
    </xf>
    <xf numFmtId="0" fontId="9" fillId="0" borderId="0" xfId="224" applyFont="1" applyBorder="1"/>
    <xf numFmtId="3" fontId="10" fillId="0" borderId="0" xfId="0" applyNumberFormat="1" applyFont="1" applyFill="1" applyAlignment="1">
      <alignment horizontal="center"/>
    </xf>
    <xf numFmtId="173" fontId="2" fillId="0" borderId="0" xfId="86" applyNumberFormat="1"/>
    <xf numFmtId="0" fontId="12" fillId="0" borderId="0" xfId="0" applyFont="1" applyBorder="1"/>
    <xf numFmtId="0" fontId="12" fillId="0" borderId="0" xfId="0" applyFont="1" applyAlignment="1">
      <alignment horizontal="center"/>
    </xf>
    <xf numFmtId="173" fontId="2" fillId="0" borderId="0" xfId="86" applyNumberFormat="1" applyFill="1"/>
    <xf numFmtId="183" fontId="18" fillId="0" borderId="0" xfId="278" applyNumberFormat="1" applyFont="1"/>
    <xf numFmtId="0" fontId="71" fillId="0" borderId="0" xfId="278" applyFont="1"/>
    <xf numFmtId="183" fontId="18" fillId="0" borderId="0" xfId="278" applyNumberFormat="1" applyFont="1" applyAlignment="1">
      <alignment horizontal="center"/>
    </xf>
    <xf numFmtId="0" fontId="12" fillId="0" borderId="0" xfId="278" applyFont="1"/>
    <xf numFmtId="0" fontId="18" fillId="0" borderId="0" xfId="278" applyFont="1"/>
    <xf numFmtId="0" fontId="18" fillId="0" borderId="0" xfId="278" applyNumberFormat="1" applyFont="1" applyAlignment="1">
      <alignment horizontal="center"/>
    </xf>
    <xf numFmtId="0" fontId="18" fillId="0" borderId="0" xfId="278" applyNumberFormat="1" applyFont="1"/>
    <xf numFmtId="0" fontId="18" fillId="0" borderId="0" xfId="278" applyNumberFormat="1" applyFont="1" applyBorder="1" applyAlignment="1">
      <alignment horizontal="center"/>
    </xf>
    <xf numFmtId="183" fontId="72" fillId="0" borderId="0" xfId="278" applyNumberFormat="1" applyFont="1"/>
    <xf numFmtId="0" fontId="73" fillId="0" borderId="0" xfId="278" applyFont="1"/>
    <xf numFmtId="173" fontId="71" fillId="0" borderId="0" xfId="278" applyNumberFormat="1" applyFont="1"/>
    <xf numFmtId="0" fontId="74" fillId="0" borderId="0" xfId="278" applyFont="1"/>
    <xf numFmtId="183" fontId="12" fillId="0" borderId="0" xfId="278" applyNumberFormat="1" applyFont="1"/>
    <xf numFmtId="0" fontId="75" fillId="0" borderId="0" xfId="275" applyFont="1" applyFill="1" applyAlignment="1">
      <alignment horizontal="center"/>
    </xf>
    <xf numFmtId="0" fontId="75" fillId="0" borderId="0" xfId="275" applyFont="1" applyFill="1" applyAlignment="1">
      <alignment horizontal="left" indent="2"/>
    </xf>
    <xf numFmtId="39" fontId="75" fillId="0" borderId="0" xfId="275" applyNumberFormat="1" applyFont="1" applyFill="1"/>
    <xf numFmtId="0" fontId="71" fillId="0" borderId="0" xfId="278" applyFont="1" applyFill="1"/>
    <xf numFmtId="0" fontId="12" fillId="0" borderId="0" xfId="278" applyNumberFormat="1" applyFont="1"/>
    <xf numFmtId="43" fontId="71" fillId="0" borderId="0" xfId="86" applyFont="1"/>
    <xf numFmtId="173" fontId="76" fillId="0" borderId="0" xfId="278" applyNumberFormat="1" applyFont="1"/>
    <xf numFmtId="183" fontId="5" fillId="0" borderId="0" xfId="278" applyNumberFormat="1" applyFont="1"/>
    <xf numFmtId="43" fontId="76" fillId="0" borderId="0" xfId="86" applyFont="1"/>
    <xf numFmtId="43" fontId="5" fillId="0" borderId="0" xfId="86" applyFont="1"/>
    <xf numFmtId="173" fontId="76" fillId="0" borderId="0" xfId="86" applyNumberFormat="1" applyFont="1"/>
    <xf numFmtId="173" fontId="5" fillId="0" borderId="0" xfId="86" applyNumberFormat="1" applyFont="1"/>
    <xf numFmtId="173" fontId="71" fillId="0" borderId="14" xfId="86" applyNumberFormat="1" applyFont="1" applyBorder="1"/>
    <xf numFmtId="0" fontId="71" fillId="0" borderId="0" xfId="0" applyFont="1"/>
    <xf numFmtId="173" fontId="71" fillId="0" borderId="0" xfId="278" applyNumberFormat="1" applyFont="1" applyBorder="1"/>
    <xf numFmtId="10" fontId="5" fillId="0" borderId="14" xfId="0" applyNumberFormat="1" applyFont="1" applyFill="1" applyBorder="1" applyAlignment="1"/>
    <xf numFmtId="0" fontId="79" fillId="0" borderId="0" xfId="278" applyFont="1" applyAlignment="1">
      <alignment horizontal="center"/>
    </xf>
    <xf numFmtId="173" fontId="0" fillId="0" borderId="0" xfId="86" applyNumberFormat="1" applyFont="1" applyFill="1"/>
    <xf numFmtId="173" fontId="0" fillId="0" borderId="0" xfId="0" applyNumberFormat="1"/>
    <xf numFmtId="173" fontId="12" fillId="0" borderId="0" xfId="86" applyNumberFormat="1" applyFont="1" applyFill="1"/>
    <xf numFmtId="0" fontId="9" fillId="0" borderId="0" xfId="268" applyFont="1" applyAlignment="1">
      <alignment horizontal="center" wrapText="1"/>
    </xf>
    <xf numFmtId="38" fontId="12" fillId="0" borderId="0" xfId="0" applyNumberFormat="1" applyFont="1" applyFill="1" applyBorder="1" applyAlignment="1">
      <alignment horizontal="center"/>
    </xf>
    <xf numFmtId="0" fontId="2" fillId="0" borderId="0" xfId="268" applyFill="1" applyAlignment="1">
      <alignment horizontal="left"/>
    </xf>
    <xf numFmtId="0" fontId="2" fillId="0" borderId="0" xfId="268" applyFill="1"/>
    <xf numFmtId="0" fontId="80" fillId="0" borderId="0" xfId="268" applyFont="1" applyFill="1" applyBorder="1"/>
    <xf numFmtId="0" fontId="69" fillId="0" borderId="0" xfId="268" applyFont="1" applyFill="1" applyAlignment="1">
      <alignment horizontal="center"/>
    </xf>
    <xf numFmtId="38" fontId="12" fillId="0" borderId="15" xfId="0" applyNumberFormat="1" applyFont="1" applyFill="1" applyBorder="1"/>
    <xf numFmtId="38" fontId="12" fillId="0" borderId="0" xfId="0" applyNumberFormat="1" applyFont="1" applyFill="1" applyBorder="1"/>
    <xf numFmtId="0" fontId="81" fillId="0" borderId="0" xfId="224" applyNumberFormat="1" applyFont="1" applyFill="1" applyBorder="1" applyAlignment="1">
      <alignment horizontal="left"/>
    </xf>
    <xf numFmtId="38" fontId="12" fillId="0" borderId="0" xfId="224" applyNumberFormat="1" applyFont="1" applyFill="1" applyBorder="1" applyAlignment="1">
      <alignment horizontal="right"/>
    </xf>
    <xf numFmtId="0" fontId="12" fillId="0" borderId="0" xfId="224" applyNumberFormat="1" applyFont="1" applyFill="1" applyBorder="1" applyAlignment="1">
      <alignment horizontal="right"/>
    </xf>
    <xf numFmtId="38" fontId="12" fillId="0" borderId="0" xfId="0" applyNumberFormat="1" applyFont="1" applyBorder="1" applyAlignment="1">
      <alignment horizontal="right"/>
    </xf>
    <xf numFmtId="38" fontId="8" fillId="0" borderId="0" xfId="224" applyNumberFormat="1" applyFont="1" applyFill="1" applyBorder="1" applyAlignment="1"/>
    <xf numFmtId="173" fontId="8" fillId="0" borderId="14" xfId="86" applyNumberFormat="1" applyFont="1" applyFill="1" applyBorder="1" applyAlignment="1"/>
    <xf numFmtId="0" fontId="12" fillId="0" borderId="14" xfId="224" applyNumberFormat="1" applyFont="1" applyFill="1" applyBorder="1" applyAlignment="1">
      <alignment horizontal="left"/>
    </xf>
    <xf numFmtId="0" fontId="18" fillId="0" borderId="0" xfId="278" applyNumberFormat="1" applyFont="1" applyFill="1" applyAlignment="1">
      <alignment horizontal="center"/>
    </xf>
    <xf numFmtId="0" fontId="12" fillId="0" borderId="0" xfId="278" applyNumberFormat="1" applyFont="1" applyFill="1"/>
    <xf numFmtId="41" fontId="71" fillId="0" borderId="0" xfId="278" applyNumberFormat="1" applyFont="1" applyFill="1"/>
    <xf numFmtId="41" fontId="71" fillId="0" borderId="0" xfId="278" applyNumberFormat="1" applyFont="1" applyFill="1" applyBorder="1"/>
    <xf numFmtId="173" fontId="71" fillId="0" borderId="0" xfId="278" applyNumberFormat="1" applyFont="1" applyFill="1"/>
    <xf numFmtId="173" fontId="71" fillId="0" borderId="0" xfId="86" applyNumberFormat="1" applyFont="1" applyFill="1"/>
    <xf numFmtId="3" fontId="4" fillId="0" borderId="0" xfId="0" applyNumberFormat="1" applyFont="1" applyAlignment="1">
      <alignment horizontal="center"/>
    </xf>
    <xf numFmtId="0" fontId="9" fillId="0" borderId="0" xfId="0" applyFont="1" applyAlignment="1">
      <alignment horizontal="center"/>
    </xf>
    <xf numFmtId="173" fontId="0" fillId="0" borderId="0" xfId="86" applyNumberFormat="1" applyFont="1"/>
    <xf numFmtId="0" fontId="15" fillId="0" borderId="0" xfId="268" applyFont="1"/>
    <xf numFmtId="0" fontId="15" fillId="0" borderId="0" xfId="268" applyFont="1" applyAlignment="1">
      <alignment horizontal="left"/>
    </xf>
    <xf numFmtId="173" fontId="12" fillId="0" borderId="0" xfId="224" applyNumberFormat="1" applyFont="1" applyFill="1" applyBorder="1"/>
    <xf numFmtId="0" fontId="12" fillId="25" borderId="0" xfId="224" applyNumberFormat="1" applyFont="1" applyFill="1" applyBorder="1" applyAlignment="1">
      <alignment horizontal="center"/>
    </xf>
    <xf numFmtId="0" fontId="9" fillId="25" borderId="0" xfId="224" applyNumberFormat="1" applyFont="1" applyFill="1" applyBorder="1" applyAlignment="1">
      <alignment horizontal="left"/>
    </xf>
    <xf numFmtId="0" fontId="8" fillId="25" borderId="0" xfId="224" applyFont="1" applyFill="1" applyBorder="1" applyAlignment="1"/>
    <xf numFmtId="0" fontId="12" fillId="25" borderId="0" xfId="224" applyNumberFormat="1" applyFont="1" applyFill="1" applyBorder="1" applyAlignment="1">
      <alignment horizontal="left"/>
    </xf>
    <xf numFmtId="0" fontId="12" fillId="25" borderId="0" xfId="224" applyFont="1" applyFill="1" applyBorder="1"/>
    <xf numFmtId="173" fontId="12" fillId="25" borderId="0" xfId="91" applyNumberFormat="1" applyFont="1" applyFill="1" applyBorder="1" applyAlignment="1">
      <alignment horizontal="right"/>
    </xf>
    <xf numFmtId="0" fontId="0" fillId="25" borderId="0" xfId="0" applyFill="1" applyBorder="1"/>
    <xf numFmtId="164" fontId="12" fillId="25" borderId="0" xfId="290" applyNumberFormat="1" applyFont="1" applyFill="1" applyBorder="1" applyAlignment="1"/>
    <xf numFmtId="173" fontId="12" fillId="25" borderId="0" xfId="91" applyNumberFormat="1" applyFont="1" applyFill="1" applyBorder="1" applyAlignment="1">
      <alignment horizontal="left"/>
    </xf>
    <xf numFmtId="0" fontId="13" fillId="0" borderId="0" xfId="0" applyFont="1" applyBorder="1"/>
    <xf numFmtId="0" fontId="17" fillId="0" borderId="0" xfId="224" applyFont="1" applyFill="1" applyBorder="1" applyAlignment="1">
      <alignment horizontal="center"/>
    </xf>
    <xf numFmtId="0" fontId="13" fillId="0" borderId="0" xfId="224" applyNumberFormat="1" applyFont="1" applyFill="1" applyBorder="1" applyAlignment="1">
      <alignment horizontal="left"/>
    </xf>
    <xf numFmtId="173" fontId="13" fillId="0" borderId="0" xfId="91" applyNumberFormat="1" applyFont="1" applyFill="1" applyBorder="1" applyAlignment="1">
      <alignment horizontal="right"/>
    </xf>
    <xf numFmtId="0" fontId="14" fillId="0" borderId="0" xfId="268" applyFont="1" applyFill="1"/>
    <xf numFmtId="0" fontId="83" fillId="0" borderId="0" xfId="268" applyFont="1" applyFill="1"/>
    <xf numFmtId="9" fontId="10" fillId="0" borderId="0" xfId="268" quotePrefix="1" applyNumberFormat="1" applyFont="1" applyFill="1" applyAlignment="1">
      <alignment horizontal="center"/>
    </xf>
    <xf numFmtId="0" fontId="4" fillId="0" borderId="0" xfId="278" applyNumberFormat="1" applyFont="1" applyAlignment="1">
      <alignment horizontal="center"/>
    </xf>
    <xf numFmtId="0" fontId="4" fillId="0" borderId="0" xfId="278" applyNumberFormat="1" applyFont="1"/>
    <xf numFmtId="183" fontId="4" fillId="0" borderId="0" xfId="278" applyNumberFormat="1" applyFont="1" applyAlignment="1">
      <alignment horizontal="center"/>
    </xf>
    <xf numFmtId="0" fontId="9" fillId="0" borderId="0" xfId="278" applyFont="1"/>
    <xf numFmtId="0" fontId="4" fillId="0" borderId="11" xfId="278" applyNumberFormat="1" applyFont="1" applyBorder="1" applyAlignment="1">
      <alignment horizontal="center"/>
    </xf>
    <xf numFmtId="183" fontId="4" fillId="0" borderId="11" xfId="278" applyNumberFormat="1" applyFont="1" applyBorder="1" applyAlignment="1">
      <alignment horizontal="center"/>
    </xf>
    <xf numFmtId="0" fontId="74" fillId="0" borderId="11" xfId="278" applyFont="1" applyBorder="1" applyAlignment="1">
      <alignment horizontal="center"/>
    </xf>
    <xf numFmtId="0" fontId="9" fillId="0" borderId="0" xfId="278" applyFont="1" applyAlignment="1">
      <alignment horizontal="center"/>
    </xf>
    <xf numFmtId="0" fontId="84" fillId="0" borderId="0" xfId="278" applyFont="1" applyFill="1"/>
    <xf numFmtId="0" fontId="9" fillId="0" borderId="0" xfId="0" applyFont="1" applyAlignment="1">
      <alignment horizontal="left"/>
    </xf>
    <xf numFmtId="173" fontId="86" fillId="0" borderId="0" xfId="86" applyNumberFormat="1" applyFont="1" applyFill="1"/>
    <xf numFmtId="41" fontId="87" fillId="26" borderId="0" xfId="278" applyNumberFormat="1" applyFont="1" applyFill="1"/>
    <xf numFmtId="41" fontId="87" fillId="26" borderId="0" xfId="278" applyNumberFormat="1" applyFont="1" applyFill="1" applyBorder="1"/>
    <xf numFmtId="0" fontId="91" fillId="0" borderId="0" xfId="0" applyFont="1" applyBorder="1" applyAlignment="1">
      <alignment horizontal="center"/>
    </xf>
    <xf numFmtId="0" fontId="90" fillId="0" borderId="0" xfId="268" applyFont="1" applyFill="1" applyAlignment="1">
      <alignment horizontal="center"/>
    </xf>
    <xf numFmtId="164" fontId="0" fillId="0" borderId="0" xfId="286" applyNumberFormat="1" applyFont="1"/>
    <xf numFmtId="173" fontId="94" fillId="0" borderId="0" xfId="278" applyNumberFormat="1" applyFont="1" applyFill="1" applyBorder="1"/>
    <xf numFmtId="0" fontId="23" fillId="0" borderId="0" xfId="268" applyFont="1" applyFill="1" applyAlignment="1">
      <alignment horizontal="center"/>
    </xf>
    <xf numFmtId="37" fontId="12" fillId="0" borderId="15" xfId="0" applyNumberFormat="1" applyFont="1" applyFill="1" applyBorder="1"/>
    <xf numFmtId="37" fontId="12" fillId="0" borderId="0" xfId="224" applyNumberFormat="1" applyFont="1" applyFill="1" applyBorder="1" applyAlignment="1">
      <alignment horizontal="right"/>
    </xf>
    <xf numFmtId="37" fontId="8" fillId="0" borderId="0" xfId="224" applyNumberFormat="1" applyFont="1" applyFill="1" applyBorder="1" applyAlignment="1"/>
    <xf numFmtId="0" fontId="97" fillId="0" borderId="0" xfId="268" applyFont="1" applyFill="1" applyBorder="1"/>
    <xf numFmtId="0" fontId="12" fillId="0" borderId="0" xfId="0" applyFont="1" applyAlignment="1"/>
    <xf numFmtId="0" fontId="12" fillId="0" borderId="0" xfId="0" applyFont="1" applyAlignment="1">
      <alignment horizontal="center" wrapText="1"/>
    </xf>
    <xf numFmtId="0" fontId="32" fillId="0" borderId="0" xfId="0" applyFont="1"/>
    <xf numFmtId="173" fontId="0" fillId="0" borderId="14" xfId="0" applyNumberFormat="1" applyBorder="1"/>
    <xf numFmtId="9" fontId="0" fillId="0" borderId="0" xfId="286" applyFont="1"/>
    <xf numFmtId="0" fontId="99" fillId="0" borderId="0" xfId="0" applyFont="1" applyAlignment="1">
      <alignment horizontal="center" wrapText="1"/>
    </xf>
    <xf numFmtId="0" fontId="18" fillId="0" borderId="0" xfId="275" applyFont="1" applyFill="1" applyAlignment="1">
      <alignment horizontal="center"/>
    </xf>
    <xf numFmtId="0" fontId="32" fillId="0" borderId="0" xfId="268" applyFont="1" applyFill="1" applyAlignment="1">
      <alignment horizontal="left"/>
    </xf>
    <xf numFmtId="0" fontId="32" fillId="0" borderId="0" xfId="268" applyFont="1" applyFill="1"/>
    <xf numFmtId="0" fontId="101" fillId="0" borderId="0" xfId="268" applyFont="1" applyFill="1" applyAlignment="1">
      <alignment horizontal="center"/>
    </xf>
    <xf numFmtId="0" fontId="102" fillId="0" borderId="0" xfId="268" applyFont="1" applyFill="1" applyBorder="1"/>
    <xf numFmtId="187" fontId="103" fillId="0" borderId="0" xfId="224"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24" applyNumberFormat="1" applyFont="1" applyBorder="1" applyAlignment="1">
      <alignment horizontal="center"/>
    </xf>
    <xf numFmtId="0" fontId="104" fillId="0" borderId="0" xfId="278" applyFont="1" applyFill="1"/>
    <xf numFmtId="41" fontId="104" fillId="0" borderId="0" xfId="278" applyNumberFormat="1" applyFont="1" applyFill="1"/>
    <xf numFmtId="41" fontId="104" fillId="0" borderId="0" xfId="278" applyNumberFormat="1" applyFont="1" applyFill="1" applyBorder="1"/>
    <xf numFmtId="0" fontId="0" fillId="0" borderId="0" xfId="0" applyFill="1" applyAlignment="1"/>
    <xf numFmtId="0" fontId="6" fillId="0" borderId="0" xfId="268" applyFont="1" applyFill="1" applyBorder="1" applyAlignment="1">
      <alignment horizontal="center"/>
    </xf>
    <xf numFmtId="0" fontId="5" fillId="0" borderId="0" xfId="0" applyFont="1" applyBorder="1" applyAlignment="1">
      <alignment horizontal="center"/>
    </xf>
    <xf numFmtId="0" fontId="4" fillId="0" borderId="0" xfId="278" applyNumberFormat="1" applyFont="1" applyBorder="1" applyAlignment="1">
      <alignment horizontal="center"/>
    </xf>
    <xf numFmtId="0" fontId="12" fillId="0" borderId="0" xfId="278" applyFont="1" applyBorder="1"/>
    <xf numFmtId="0" fontId="4" fillId="0" borderId="11" xfId="278" applyNumberFormat="1" applyFont="1" applyBorder="1"/>
    <xf numFmtId="183" fontId="4" fillId="0" borderId="0" xfId="278" applyNumberFormat="1" applyFont="1" applyBorder="1" applyAlignment="1">
      <alignment horizontal="center"/>
    </xf>
    <xf numFmtId="0" fontId="12" fillId="0" borderId="0" xfId="278" applyFont="1" applyFill="1"/>
    <xf numFmtId="0" fontId="71" fillId="0" borderId="0" xfId="278" applyFont="1" applyAlignment="1">
      <alignment horizontal="center"/>
    </xf>
    <xf numFmtId="173" fontId="78" fillId="0" borderId="0" xfId="278" applyNumberFormat="1" applyFont="1" applyFill="1" applyBorder="1"/>
    <xf numFmtId="0" fontId="18" fillId="0" borderId="0" xfId="278" applyFont="1" applyFill="1"/>
    <xf numFmtId="3" fontId="78" fillId="0" borderId="0" xfId="278" applyNumberFormat="1" applyFont="1" applyFill="1" applyBorder="1"/>
    <xf numFmtId="173" fontId="78" fillId="0" borderId="0" xfId="278" applyNumberFormat="1" applyFont="1" applyFill="1"/>
    <xf numFmtId="0" fontId="0" fillId="0" borderId="0" xfId="0" applyBorder="1" applyAlignment="1">
      <alignment horizontal="center"/>
    </xf>
    <xf numFmtId="0" fontId="71" fillId="0" borderId="0" xfId="278" applyFont="1" applyFill="1" applyBorder="1"/>
    <xf numFmtId="173" fontId="71" fillId="0" borderId="0" xfId="278" applyNumberFormat="1" applyFont="1" applyFill="1" applyBorder="1"/>
    <xf numFmtId="0" fontId="22" fillId="0" borderId="0" xfId="268" applyFont="1" applyFill="1" applyBorder="1"/>
    <xf numFmtId="38" fontId="26" fillId="0" borderId="13" xfId="268" applyNumberFormat="1" applyFont="1" applyFill="1" applyBorder="1" applyAlignment="1">
      <alignment horizontal="right"/>
    </xf>
    <xf numFmtId="0" fontId="75" fillId="0" borderId="0" xfId="278" applyNumberFormat="1" applyFont="1" applyFill="1"/>
    <xf numFmtId="10" fontId="3" fillId="0" borderId="0" xfId="279" applyNumberFormat="1" applyProtection="1"/>
    <xf numFmtId="10" fontId="3" fillId="0" borderId="16" xfId="279" applyNumberFormat="1" applyBorder="1" applyProtection="1"/>
    <xf numFmtId="191" fontId="3" fillId="0" borderId="16" xfId="279" applyNumberFormat="1" applyBorder="1" applyProtection="1"/>
    <xf numFmtId="175" fontId="3" fillId="0" borderId="16" xfId="279" applyNumberFormat="1" applyBorder="1" applyProtection="1"/>
    <xf numFmtId="190" fontId="3" fillId="0" borderId="16" xfId="279" applyNumberFormat="1" applyBorder="1" applyProtection="1"/>
    <xf numFmtId="193" fontId="3" fillId="0" borderId="0" xfId="279" applyNumberFormat="1" applyProtection="1"/>
    <xf numFmtId="175" fontId="3" fillId="0" borderId="0" xfId="279" applyNumberFormat="1" applyProtection="1"/>
    <xf numFmtId="190" fontId="3" fillId="0" borderId="0" xfId="279" applyNumberFormat="1" applyProtection="1"/>
    <xf numFmtId="10" fontId="117" fillId="0" borderId="0" xfId="279" applyNumberFormat="1" applyFont="1" applyProtection="1"/>
    <xf numFmtId="173" fontId="120" fillId="0" borderId="0" xfId="0" applyNumberFormat="1" applyFont="1"/>
    <xf numFmtId="0" fontId="107" fillId="0" borderId="0" xfId="224" applyFont="1" applyFill="1" applyBorder="1" applyAlignment="1">
      <alignment horizontal="center"/>
    </xf>
    <xf numFmtId="0" fontId="99" fillId="0" borderId="0" xfId="224" applyFont="1" applyFill="1" applyBorder="1" applyAlignment="1">
      <alignment horizontal="left"/>
    </xf>
    <xf numFmtId="0" fontId="32" fillId="0" borderId="0" xfId="224" applyNumberFormat="1" applyFont="1" applyFill="1" applyBorder="1" applyAlignment="1">
      <alignment horizontal="center"/>
    </xf>
    <xf numFmtId="0" fontId="32" fillId="0" borderId="0" xfId="224" applyNumberFormat="1" applyFont="1" applyFill="1" applyBorder="1" applyAlignment="1">
      <alignment horizontal="left"/>
    </xf>
    <xf numFmtId="0" fontId="32" fillId="0" borderId="0" xfId="224" applyFont="1" applyFill="1" applyBorder="1" applyAlignment="1"/>
    <xf numFmtId="0" fontId="32" fillId="0" borderId="0" xfId="224" applyFont="1" applyFill="1" applyBorder="1" applyAlignment="1">
      <alignment horizontal="center"/>
    </xf>
    <xf numFmtId="0" fontId="32" fillId="0" borderId="0" xfId="224" applyFont="1" applyBorder="1"/>
    <xf numFmtId="0" fontId="32" fillId="0" borderId="0" xfId="224" applyFont="1" applyFill="1" applyBorder="1"/>
    <xf numFmtId="3" fontId="32" fillId="0" borderId="0" xfId="224" applyNumberFormat="1" applyFont="1" applyFill="1" applyBorder="1" applyAlignment="1"/>
    <xf numFmtId="0" fontId="107" fillId="0" borderId="0" xfId="224" applyFont="1" applyFill="1" applyBorder="1"/>
    <xf numFmtId="38" fontId="12" fillId="0" borderId="0" xfId="0" applyNumberFormat="1" applyFont="1" applyBorder="1"/>
    <xf numFmtId="0" fontId="32" fillId="0" borderId="0" xfId="268" applyFont="1" applyFill="1" applyBorder="1"/>
    <xf numFmtId="0" fontId="119" fillId="0" borderId="0" xfId="268" applyFont="1" applyFill="1" applyAlignment="1">
      <alignment horizontal="center"/>
    </xf>
    <xf numFmtId="0" fontId="12" fillId="0" borderId="0" xfId="268" applyFont="1" applyFill="1" applyBorder="1"/>
    <xf numFmtId="0" fontId="99" fillId="0" borderId="0" xfId="0" applyFont="1" applyAlignment="1">
      <alignment horizontal="center"/>
    </xf>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41" fontId="26" fillId="0" borderId="11" xfId="268" applyNumberFormat="1"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278" applyNumberFormat="1" applyFont="1" applyFill="1" applyBorder="1"/>
    <xf numFmtId="0" fontId="71" fillId="31" borderId="0" xfId="278" applyFont="1" applyFill="1" applyAlignment="1">
      <alignment horizontal="center"/>
    </xf>
    <xf numFmtId="0" fontId="12" fillId="0" borderId="0" xfId="268" applyFont="1" applyFill="1" applyAlignment="1">
      <alignment horizontal="center"/>
    </xf>
    <xf numFmtId="3" fontId="32" fillId="31" borderId="0" xfId="224" applyNumberFormat="1" applyFont="1" applyFill="1" applyBorder="1" applyAlignment="1"/>
    <xf numFmtId="0" fontId="0" fillId="31" borderId="0" xfId="0" applyFill="1"/>
    <xf numFmtId="0" fontId="74" fillId="0" borderId="0" xfId="278" applyFont="1" applyFill="1"/>
    <xf numFmtId="41" fontId="71" fillId="31" borderId="0" xfId="278" applyNumberFormat="1" applyFont="1" applyFill="1"/>
    <xf numFmtId="0" fontId="71" fillId="31" borderId="0" xfId="278" applyFont="1" applyFill="1"/>
    <xf numFmtId="41" fontId="87" fillId="32" borderId="0" xfId="278" applyNumberFormat="1" applyFont="1" applyFill="1"/>
    <xf numFmtId="41" fontId="87" fillId="32" borderId="0" xfId="278" applyNumberFormat="1" applyFont="1" applyFill="1" applyBorder="1"/>
    <xf numFmtId="41" fontId="71" fillId="31" borderId="0" xfId="278" applyNumberFormat="1" applyFont="1" applyFill="1" applyBorder="1"/>
    <xf numFmtId="10" fontId="3" fillId="0" borderId="0" xfId="279" applyNumberFormat="1" applyBorder="1" applyProtection="1"/>
    <xf numFmtId="191" fontId="3" fillId="0" borderId="0" xfId="279" applyNumberFormat="1" applyBorder="1" applyProtection="1"/>
    <xf numFmtId="190" fontId="3" fillId="0" borderId="0" xfId="279" applyNumberFormat="1" applyBorder="1" applyProtection="1"/>
    <xf numFmtId="175" fontId="3" fillId="0" borderId="0" xfId="279" applyNumberFormat="1" applyBorder="1" applyProtection="1"/>
    <xf numFmtId="172" fontId="3" fillId="0" borderId="0" xfId="277" applyFont="1" applyAlignment="1" applyProtection="1"/>
    <xf numFmtId="172" fontId="5" fillId="0" borderId="0" xfId="277" applyFont="1" applyAlignment="1" applyProtection="1"/>
    <xf numFmtId="0" fontId="0" fillId="0" borderId="0" xfId="0" applyBorder="1" applyProtection="1"/>
    <xf numFmtId="0" fontId="6" fillId="0" borderId="0" xfId="277" applyNumberFormat="1" applyFont="1" applyBorder="1" applyAlignment="1" applyProtection="1">
      <alignment horizontal="left"/>
    </xf>
    <xf numFmtId="14" fontId="6" fillId="0" borderId="0" xfId="277" applyNumberFormat="1" applyFont="1" applyBorder="1" applyAlignment="1" applyProtection="1"/>
    <xf numFmtId="172" fontId="6" fillId="0" borderId="0" xfId="277" applyFont="1" applyFill="1" applyAlignment="1" applyProtection="1"/>
    <xf numFmtId="172" fontId="5" fillId="0" borderId="0" xfId="277" applyFont="1" applyFill="1" applyAlignment="1" applyProtection="1"/>
    <xf numFmtId="0" fontId="5" fillId="0" borderId="0" xfId="277"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77" applyNumberFormat="1" applyFont="1" applyProtection="1"/>
    <xf numFmtId="3" fontId="5" fillId="0" borderId="0" xfId="277" applyNumberFormat="1" applyFont="1" applyAlignment="1" applyProtection="1"/>
    <xf numFmtId="3" fontId="5" fillId="0" borderId="0" xfId="0" applyNumberFormat="1" applyFont="1" applyAlignment="1" applyProtection="1">
      <alignment horizontal="center"/>
    </xf>
    <xf numFmtId="0" fontId="3" fillId="0" borderId="0" xfId="277" applyNumberFormat="1" applyFont="1" applyAlignment="1" applyProtection="1">
      <alignment horizontal="center"/>
    </xf>
    <xf numFmtId="0" fontId="5" fillId="0" borderId="0" xfId="277" applyNumberFormat="1" applyFont="1" applyAlignment="1" applyProtection="1">
      <alignment horizontal="center"/>
    </xf>
    <xf numFmtId="49" fontId="5" fillId="0" borderId="0" xfId="277"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77" applyNumberFormat="1" applyFont="1" applyProtection="1"/>
    <xf numFmtId="39" fontId="5" fillId="0" borderId="0" xfId="86" applyNumberFormat="1" applyFont="1" applyAlignment="1" applyProtection="1">
      <alignment horizontal="center"/>
    </xf>
    <xf numFmtId="0" fontId="3" fillId="0" borderId="6" xfId="277" applyNumberFormat="1" applyFont="1" applyBorder="1" applyAlignment="1" applyProtection="1">
      <alignment horizontal="center"/>
    </xf>
    <xf numFmtId="0" fontId="5" fillId="0" borderId="0" xfId="277" applyNumberFormat="1" applyFont="1" applyBorder="1" applyAlignment="1" applyProtection="1">
      <alignment horizontal="center"/>
    </xf>
    <xf numFmtId="0" fontId="5" fillId="0" borderId="6" xfId="277" applyNumberFormat="1" applyFont="1" applyBorder="1" applyAlignment="1" applyProtection="1">
      <alignment horizontal="center"/>
    </xf>
    <xf numFmtId="0" fontId="5" fillId="0" borderId="0" xfId="0" applyNumberFormat="1" applyFont="1" applyProtection="1"/>
    <xf numFmtId="0" fontId="5" fillId="0" borderId="0" xfId="277" applyNumberFormat="1" applyFont="1" applyFill="1" applyProtection="1"/>
    <xf numFmtId="3" fontId="5" fillId="0" borderId="0" xfId="277" applyNumberFormat="1" applyFont="1" applyProtection="1"/>
    <xf numFmtId="0" fontId="5" fillId="0" borderId="0" xfId="277" applyNumberFormat="1" applyFont="1" applyAlignment="1" applyProtection="1">
      <alignment horizontal="left"/>
    </xf>
    <xf numFmtId="170" fontId="5" fillId="0" borderId="0" xfId="277" applyNumberFormat="1" applyFont="1" applyProtection="1"/>
    <xf numFmtId="3" fontId="5" fillId="0" borderId="0" xfId="277" applyNumberFormat="1" applyFont="1" applyFill="1" applyAlignment="1" applyProtection="1">
      <alignment horizontal="left"/>
    </xf>
    <xf numFmtId="3" fontId="5" fillId="0" borderId="0" xfId="277" applyNumberFormat="1" applyFont="1" applyFill="1" applyAlignment="1" applyProtection="1"/>
    <xf numFmtId="0" fontId="5" fillId="0" borderId="6" xfId="277" applyNumberFormat="1" applyFont="1" applyBorder="1" applyAlignment="1" applyProtection="1">
      <alignment horizontal="centerContinuous"/>
    </xf>
    <xf numFmtId="0" fontId="5" fillId="0" borderId="0" xfId="0" applyNumberFormat="1" applyFont="1" applyAlignment="1" applyProtection="1"/>
    <xf numFmtId="41" fontId="5" fillId="0" borderId="0" xfId="277" applyNumberFormat="1" applyFont="1" applyFill="1" applyBorder="1" applyAlignment="1" applyProtection="1"/>
    <xf numFmtId="3" fontId="5" fillId="0" borderId="0" xfId="277" applyNumberFormat="1" applyFont="1" applyFill="1" applyAlignment="1" applyProtection="1">
      <alignment horizontal="center"/>
    </xf>
    <xf numFmtId="165" fontId="5" fillId="0" borderId="0" xfId="277" applyNumberFormat="1" applyFont="1" applyFill="1" applyAlignment="1" applyProtection="1">
      <alignment horizontal="right"/>
    </xf>
    <xf numFmtId="42" fontId="5" fillId="0" borderId="0" xfId="277" applyNumberFormat="1" applyFont="1" applyBorder="1" applyAlignment="1" applyProtection="1"/>
    <xf numFmtId="172" fontId="5" fillId="0" borderId="11" xfId="277" applyFont="1" applyBorder="1" applyAlignment="1" applyProtection="1"/>
    <xf numFmtId="172" fontId="5" fillId="0" borderId="0" xfId="277" applyFont="1" applyBorder="1" applyAlignment="1" applyProtection="1"/>
    <xf numFmtId="0" fontId="3" fillId="0" borderId="0" xfId="277" applyNumberFormat="1" applyFont="1" applyFill="1" applyAlignment="1" applyProtection="1">
      <alignment horizontal="center"/>
    </xf>
    <xf numFmtId="0" fontId="5" fillId="0" borderId="0" xfId="277"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77" applyNumberFormat="1" applyFont="1" applyAlignment="1" applyProtection="1">
      <alignment horizontal="left"/>
    </xf>
    <xf numFmtId="3" fontId="5" fillId="0" borderId="0" xfId="277" applyNumberFormat="1" applyFont="1" applyAlignment="1" applyProtection="1">
      <alignment horizontal="center"/>
    </xf>
    <xf numFmtId="174" fontId="5" fillId="0" borderId="14" xfId="277" applyNumberFormat="1" applyFont="1" applyBorder="1" applyAlignment="1" applyProtection="1"/>
    <xf numFmtId="42" fontId="5" fillId="0" borderId="0" xfId="277" applyNumberFormat="1" applyFont="1" applyAlignment="1" applyProtection="1"/>
    <xf numFmtId="172" fontId="77" fillId="0" borderId="0" xfId="277" applyFont="1" applyAlignment="1" applyProtection="1">
      <alignment horizontal="center" wrapText="1"/>
    </xf>
    <xf numFmtId="0" fontId="5" fillId="0" borderId="0" xfId="0" applyNumberFormat="1" applyFont="1" applyFill="1" applyAlignment="1" applyProtection="1"/>
    <xf numFmtId="41" fontId="5" fillId="0" borderId="0" xfId="277" applyNumberFormat="1" applyFont="1" applyFill="1" applyAlignment="1" applyProtection="1"/>
    <xf numFmtId="42" fontId="5" fillId="0" borderId="0" xfId="277" applyNumberFormat="1" applyFont="1" applyFill="1" applyAlignment="1" applyProtection="1"/>
    <xf numFmtId="43" fontId="5" fillId="0" borderId="0" xfId="86" applyFont="1" applyProtection="1"/>
    <xf numFmtId="0" fontId="5" fillId="0" borderId="0" xfId="277" applyNumberFormat="1" applyFont="1" applyFill="1" applyAlignment="1" applyProtection="1"/>
    <xf numFmtId="171" fontId="5" fillId="0" borderId="0" xfId="277" applyNumberFormat="1" applyFont="1" applyProtection="1"/>
    <xf numFmtId="10" fontId="5" fillId="0" borderId="0" xfId="277" applyNumberFormat="1" applyFont="1" applyAlignment="1" applyProtection="1"/>
    <xf numFmtId="10" fontId="5" fillId="0" borderId="0" xfId="277" applyNumberFormat="1" applyFont="1" applyProtection="1"/>
    <xf numFmtId="0" fontId="32" fillId="0" borderId="0" xfId="0" applyFont="1" applyProtection="1"/>
    <xf numFmtId="10" fontId="5" fillId="0" borderId="0" xfId="286" applyNumberFormat="1" applyFont="1" applyAlignment="1" applyProtection="1"/>
    <xf numFmtId="0" fontId="5" fillId="0" borderId="0" xfId="0" applyNumberFormat="1" applyFont="1" applyFill="1" applyProtection="1"/>
    <xf numFmtId="43" fontId="5" fillId="0" borderId="0" xfId="86" applyFont="1" applyAlignment="1" applyProtection="1"/>
    <xf numFmtId="41" fontId="5" fillId="0" borderId="0" xfId="277" applyNumberFormat="1" applyFont="1" applyAlignment="1" applyProtection="1">
      <alignment horizontal="center"/>
    </xf>
    <xf numFmtId="41" fontId="5" fillId="0" borderId="14" xfId="277" applyNumberFormat="1" applyFont="1" applyBorder="1" applyAlignment="1" applyProtection="1">
      <alignment horizontal="center"/>
    </xf>
    <xf numFmtId="41" fontId="5" fillId="0" borderId="0" xfId="277" applyNumberFormat="1" applyFont="1" applyFill="1" applyAlignment="1" applyProtection="1">
      <alignment horizontal="right"/>
    </xf>
    <xf numFmtId="0" fontId="32" fillId="0" borderId="0" xfId="0" applyFont="1" applyAlignment="1" applyProtection="1">
      <alignment horizontal="center"/>
    </xf>
    <xf numFmtId="49" fontId="5" fillId="0" borderId="0" xfId="277" applyNumberFormat="1" applyFont="1" applyAlignment="1" applyProtection="1">
      <alignment horizontal="left"/>
    </xf>
    <xf numFmtId="0" fontId="3" fillId="0" borderId="0" xfId="277" applyNumberFormat="1" applyFont="1" applyAlignment="1" applyProtection="1">
      <alignment horizontal="center" vertical="center"/>
    </xf>
    <xf numFmtId="3" fontId="6" fillId="0" borderId="0" xfId="277" applyNumberFormat="1" applyFont="1" applyAlignment="1" applyProtection="1">
      <alignment horizontal="center"/>
    </xf>
    <xf numFmtId="172" fontId="6" fillId="0" borderId="0" xfId="277" applyFont="1" applyAlignment="1" applyProtection="1">
      <alignment horizontal="center"/>
    </xf>
    <xf numFmtId="49" fontId="6" fillId="0" borderId="0" xfId="277" applyNumberFormat="1" applyFont="1" applyAlignment="1" applyProtection="1">
      <alignment horizontal="center"/>
    </xf>
    <xf numFmtId="0" fontId="10" fillId="0" borderId="0" xfId="277" applyNumberFormat="1" applyFont="1" applyAlignment="1" applyProtection="1">
      <alignment horizontal="center"/>
    </xf>
    <xf numFmtId="172" fontId="10" fillId="0" borderId="0" xfId="277" applyFont="1" applyBorder="1" applyAlignment="1" applyProtection="1">
      <alignment horizontal="center"/>
    </xf>
    <xf numFmtId="3" fontId="6" fillId="0" borderId="0" xfId="277" applyNumberFormat="1" applyFont="1" applyAlignment="1" applyProtection="1"/>
    <xf numFmtId="3" fontId="5" fillId="0" borderId="0" xfId="277" applyNumberFormat="1" applyFont="1" applyFill="1" applyBorder="1" applyAlignment="1" applyProtection="1">
      <alignment horizontal="center"/>
    </xf>
    <xf numFmtId="0" fontId="5" fillId="0" borderId="0" xfId="277" applyNumberFormat="1" applyFont="1" applyBorder="1" applyAlignment="1" applyProtection="1"/>
    <xf numFmtId="173" fontId="5" fillId="0" borderId="0" xfId="86" applyNumberFormat="1" applyFont="1" applyFill="1" applyAlignment="1" applyProtection="1"/>
    <xf numFmtId="0" fontId="5" fillId="0" borderId="0" xfId="277" applyNumberFormat="1" applyFont="1" applyBorder="1" applyAlignment="1" applyProtection="1">
      <alignment vertical="center"/>
    </xf>
    <xf numFmtId="3" fontId="5" fillId="0" borderId="0" xfId="277" applyNumberFormat="1" applyFont="1" applyFill="1" applyAlignment="1" applyProtection="1">
      <alignment vertical="center" wrapText="1"/>
    </xf>
    <xf numFmtId="3" fontId="5" fillId="0" borderId="0" xfId="277" applyNumberFormat="1" applyFont="1" applyFill="1" applyAlignment="1" applyProtection="1">
      <alignment horizontal="center" vertical="center"/>
    </xf>
    <xf numFmtId="3" fontId="5" fillId="0" borderId="0" xfId="277" applyNumberFormat="1" applyFont="1" applyFill="1" applyAlignment="1" applyProtection="1">
      <alignment vertical="center"/>
    </xf>
    <xf numFmtId="41" fontId="5" fillId="0" borderId="0" xfId="277" applyNumberFormat="1" applyFont="1" applyFill="1" applyAlignment="1" applyProtection="1">
      <alignment vertical="center"/>
    </xf>
    <xf numFmtId="0" fontId="5" fillId="0" borderId="0" xfId="277" applyNumberFormat="1" applyFont="1" applyFill="1" applyBorder="1" applyAlignment="1" applyProtection="1"/>
    <xf numFmtId="41" fontId="5" fillId="0" borderId="6" xfId="277" applyNumberFormat="1" applyFont="1" applyFill="1" applyBorder="1" applyAlignment="1" applyProtection="1"/>
    <xf numFmtId="0" fontId="32" fillId="0" borderId="0" xfId="0" applyFont="1" applyAlignment="1" applyProtection="1"/>
    <xf numFmtId="177" fontId="6" fillId="0" borderId="0" xfId="277" applyNumberFormat="1" applyFont="1" applyFill="1" applyAlignment="1" applyProtection="1">
      <alignment horizontal="right"/>
    </xf>
    <xf numFmtId="180" fontId="6" fillId="0" borderId="0" xfId="86" applyNumberFormat="1" applyFont="1" applyFill="1" applyAlignment="1" applyProtection="1"/>
    <xf numFmtId="182" fontId="5" fillId="0" borderId="0" xfId="277" applyNumberFormat="1" applyFont="1" applyFill="1" applyAlignment="1" applyProtection="1"/>
    <xf numFmtId="181" fontId="5" fillId="0" borderId="0" xfId="277" applyNumberFormat="1" applyFont="1" applyFill="1" applyAlignment="1" applyProtection="1"/>
    <xf numFmtId="165" fontId="5" fillId="0" borderId="0" xfId="277" applyNumberFormat="1" applyFont="1" applyFill="1" applyAlignment="1" applyProtection="1"/>
    <xf numFmtId="0" fontId="5" fillId="0" borderId="0" xfId="277" applyNumberFormat="1" applyFont="1" applyFill="1" applyAlignment="1" applyProtection="1">
      <alignment horizontal="center" vertical="center"/>
    </xf>
    <xf numFmtId="164" fontId="5" fillId="0" borderId="0" xfId="277" applyNumberFormat="1" applyFont="1" applyFill="1" applyAlignment="1" applyProtection="1">
      <alignment horizontal="center"/>
    </xf>
    <xf numFmtId="176" fontId="5" fillId="0" borderId="0" xfId="86" applyNumberFormat="1" applyFont="1" applyFill="1" applyAlignment="1" applyProtection="1">
      <alignment horizontal="center"/>
    </xf>
    <xf numFmtId="41" fontId="5" fillId="0" borderId="0" xfId="277" applyNumberFormat="1" applyFont="1" applyAlignment="1" applyProtection="1"/>
    <xf numFmtId="165" fontId="5" fillId="0" borderId="0" xfId="277" applyNumberFormat="1" applyFont="1" applyAlignment="1" applyProtection="1"/>
    <xf numFmtId="3" fontId="6" fillId="0" borderId="0" xfId="277" applyNumberFormat="1" applyFont="1" applyFill="1" applyAlignment="1" applyProtection="1">
      <alignment horizontal="right"/>
    </xf>
    <xf numFmtId="180" fontId="5" fillId="0" borderId="0" xfId="86" applyNumberFormat="1" applyFont="1" applyFill="1" applyAlignment="1" applyProtection="1"/>
    <xf numFmtId="0" fontId="0" fillId="0" borderId="0" xfId="0" applyFill="1" applyProtection="1"/>
    <xf numFmtId="0" fontId="32" fillId="0" borderId="0" xfId="0" applyFont="1" applyFill="1" applyProtection="1"/>
    <xf numFmtId="10" fontId="5" fillId="0" borderId="0" xfId="286" applyNumberFormat="1" applyFont="1" applyFill="1" applyAlignment="1" applyProtection="1"/>
    <xf numFmtId="41" fontId="5" fillId="0" borderId="0" xfId="277" applyNumberFormat="1" applyFont="1" applyAlignment="1" applyProtection="1">
      <alignment horizontal="center" vertical="center"/>
    </xf>
    <xf numFmtId="41" fontId="5" fillId="0" borderId="6" xfId="277" applyNumberFormat="1" applyFont="1" applyBorder="1" applyAlignment="1" applyProtection="1"/>
    <xf numFmtId="164" fontId="5" fillId="0" borderId="0" xfId="277" applyNumberFormat="1" applyFont="1" applyAlignment="1" applyProtection="1">
      <alignment horizontal="center"/>
    </xf>
    <xf numFmtId="0" fontId="89" fillId="0" borderId="0" xfId="277" applyNumberFormat="1" applyFont="1" applyAlignment="1" applyProtection="1">
      <alignment horizontal="center"/>
    </xf>
    <xf numFmtId="3" fontId="5" fillId="0" borderId="0" xfId="277" applyNumberFormat="1" applyFont="1" applyFill="1" applyAlignment="1" applyProtection="1">
      <alignment horizontal="right"/>
    </xf>
    <xf numFmtId="172" fontId="5" fillId="0" borderId="0" xfId="277" applyFont="1" applyAlignment="1" applyProtection="1">
      <alignment horizontal="center"/>
    </xf>
    <xf numFmtId="172" fontId="5" fillId="0" borderId="0" xfId="277" applyFont="1" applyFill="1" applyAlignment="1" applyProtection="1">
      <alignment horizontal="center"/>
    </xf>
    <xf numFmtId="0" fontId="0" fillId="0" borderId="0" xfId="0" applyAlignment="1" applyProtection="1">
      <alignment horizontal="center"/>
    </xf>
    <xf numFmtId="0" fontId="6" fillId="0" borderId="0" xfId="277" applyNumberFormat="1" applyFont="1" applyAlignment="1" applyProtection="1">
      <alignment horizontal="center"/>
    </xf>
    <xf numFmtId="3" fontId="10" fillId="0" borderId="0" xfId="277" applyNumberFormat="1" applyFont="1" applyAlignment="1" applyProtection="1">
      <alignment horizontal="center"/>
    </xf>
    <xf numFmtId="3" fontId="6" fillId="0" borderId="0" xfId="277" applyNumberFormat="1" applyFont="1" applyFill="1" applyAlignment="1" applyProtection="1"/>
    <xf numFmtId="3" fontId="10" fillId="0" borderId="0" xfId="277" applyNumberFormat="1" applyFont="1" applyFill="1" applyAlignment="1" applyProtection="1"/>
    <xf numFmtId="3" fontId="10" fillId="0" borderId="0" xfId="277" applyNumberFormat="1" applyFont="1" applyAlignment="1" applyProtection="1"/>
    <xf numFmtId="0" fontId="32" fillId="0" borderId="0" xfId="0" applyFont="1" applyBorder="1" applyProtection="1"/>
    <xf numFmtId="43" fontId="12" fillId="0" borderId="0" xfId="86" applyNumberFormat="1" applyFont="1" applyAlignment="1" applyProtection="1"/>
    <xf numFmtId="3" fontId="98" fillId="0" borderId="0" xfId="277" applyNumberFormat="1" applyFont="1" applyFill="1" applyAlignment="1" applyProtection="1">
      <alignment horizontal="right"/>
    </xf>
    <xf numFmtId="41" fontId="5" fillId="0" borderId="0" xfId="277" applyNumberFormat="1" applyFont="1" applyBorder="1" applyAlignment="1" applyProtection="1"/>
    <xf numFmtId="3" fontId="5" fillId="0" borderId="0" xfId="277" applyNumberFormat="1" applyFont="1" applyAlignment="1" applyProtection="1">
      <alignment vertical="center" wrapText="1"/>
    </xf>
    <xf numFmtId="3" fontId="5" fillId="0" borderId="0" xfId="277" applyNumberFormat="1" applyFont="1" applyAlignment="1" applyProtection="1">
      <alignment horizontal="center" vertical="center"/>
    </xf>
    <xf numFmtId="3" fontId="5" fillId="0" borderId="0" xfId="277" applyNumberFormat="1" applyFont="1" applyAlignment="1" applyProtection="1">
      <alignment vertical="center"/>
    </xf>
    <xf numFmtId="41" fontId="5" fillId="0" borderId="0" xfId="277" applyNumberFormat="1" applyFont="1" applyAlignment="1" applyProtection="1">
      <alignment vertical="center"/>
    </xf>
    <xf numFmtId="166" fontId="5" fillId="0" borderId="0" xfId="277" applyNumberFormat="1" applyFont="1" applyAlignment="1" applyProtection="1"/>
    <xf numFmtId="167" fontId="5" fillId="0" borderId="0" xfId="277" applyNumberFormat="1" applyFont="1" applyAlignment="1" applyProtection="1"/>
    <xf numFmtId="172" fontId="23" fillId="0" borderId="0" xfId="277" applyFont="1" applyAlignment="1" applyProtection="1"/>
    <xf numFmtId="164" fontId="5" fillId="0" borderId="0" xfId="277" applyNumberFormat="1" applyFont="1" applyBorder="1" applyAlignment="1" applyProtection="1">
      <alignment horizontal="left"/>
    </xf>
    <xf numFmtId="168" fontId="5" fillId="0" borderId="0" xfId="277" applyNumberFormat="1" applyFont="1" applyAlignment="1" applyProtection="1"/>
    <xf numFmtId="10" fontId="5" fillId="0" borderId="0" xfId="277" applyNumberFormat="1" applyFont="1" applyFill="1" applyAlignment="1" applyProtection="1">
      <alignment horizontal="right"/>
    </xf>
    <xf numFmtId="10" fontId="32" fillId="0" borderId="0" xfId="286" applyNumberFormat="1" applyFont="1" applyProtection="1"/>
    <xf numFmtId="3" fontId="23" fillId="0" borderId="0" xfId="277" applyNumberFormat="1" applyFont="1" applyAlignment="1" applyProtection="1"/>
    <xf numFmtId="167" fontId="5" fillId="0" borderId="0" xfId="277" applyNumberFormat="1" applyFont="1" applyFill="1" applyAlignment="1" applyProtection="1"/>
    <xf numFmtId="166" fontId="5" fillId="0" borderId="0" xfId="277" applyNumberFormat="1" applyFont="1" applyAlignment="1" applyProtection="1">
      <alignment horizontal="center"/>
    </xf>
    <xf numFmtId="185" fontId="23" fillId="0" borderId="0" xfId="277" applyNumberFormat="1" applyFont="1" applyAlignment="1" applyProtection="1">
      <alignment horizontal="center"/>
    </xf>
    <xf numFmtId="186" fontId="5" fillId="0" borderId="0" xfId="277" applyNumberFormat="1" applyFont="1" applyAlignment="1" applyProtection="1"/>
    <xf numFmtId="164" fontId="5" fillId="0" borderId="0" xfId="277" applyNumberFormat="1" applyFont="1" applyFill="1" applyBorder="1" applyAlignment="1" applyProtection="1">
      <alignment horizontal="left"/>
    </xf>
    <xf numFmtId="178" fontId="5" fillId="0" borderId="0" xfId="277" applyNumberFormat="1" applyFont="1" applyFill="1" applyAlignment="1" applyProtection="1">
      <alignment horizontal="right"/>
    </xf>
    <xf numFmtId="184" fontId="5" fillId="0" borderId="0" xfId="86" applyNumberFormat="1" applyFont="1" applyAlignment="1" applyProtection="1">
      <alignment horizontal="center"/>
    </xf>
    <xf numFmtId="41" fontId="23" fillId="0" borderId="0" xfId="277" applyNumberFormat="1" applyFont="1" applyAlignment="1" applyProtection="1"/>
    <xf numFmtId="43" fontId="23" fillId="0" borderId="0" xfId="86" applyFont="1" applyAlignment="1" applyProtection="1"/>
    <xf numFmtId="178" fontId="5" fillId="0" borderId="0" xfId="277" applyNumberFormat="1" applyFont="1" applyAlignment="1" applyProtection="1">
      <alignment horizontal="center"/>
    </xf>
    <xf numFmtId="10" fontId="5" fillId="0" borderId="0" xfId="277" applyNumberFormat="1" applyFont="1" applyFill="1" applyAlignment="1" applyProtection="1">
      <alignment horizontal="left"/>
    </xf>
    <xf numFmtId="185" fontId="5" fillId="0" borderId="0" xfId="277" applyNumberFormat="1" applyFont="1" applyAlignment="1" applyProtection="1">
      <alignment horizontal="center"/>
    </xf>
    <xf numFmtId="168" fontId="5" fillId="0" borderId="0" xfId="277" applyNumberFormat="1" applyFont="1" applyFill="1" applyAlignment="1" applyProtection="1">
      <alignment horizontal="left"/>
    </xf>
    <xf numFmtId="41" fontId="5" fillId="0" borderId="0" xfId="277" applyNumberFormat="1" applyFont="1" applyAlignment="1" applyProtection="1">
      <alignment horizontal="right"/>
    </xf>
    <xf numFmtId="41" fontId="5" fillId="0" borderId="11" xfId="277" applyNumberFormat="1" applyFont="1" applyBorder="1" applyAlignment="1" applyProtection="1"/>
    <xf numFmtId="178" fontId="5" fillId="0" borderId="0" xfId="277" applyNumberFormat="1" applyFont="1" applyAlignment="1" applyProtection="1"/>
    <xf numFmtId="172" fontId="23" fillId="0" borderId="0" xfId="277" applyFont="1" applyFill="1" applyAlignment="1" applyProtection="1"/>
    <xf numFmtId="164" fontId="5" fillId="0" borderId="0" xfId="277" applyNumberFormat="1" applyFont="1" applyFill="1" applyBorder="1" applyAlignment="1" applyProtection="1">
      <alignment horizontal="left" vertical="center"/>
    </xf>
    <xf numFmtId="41" fontId="5" fillId="0" borderId="0" xfId="277" applyNumberFormat="1" applyFont="1" applyFill="1" applyAlignment="1" applyProtection="1">
      <alignment horizontal="center" vertical="center"/>
    </xf>
    <xf numFmtId="179" fontId="5" fillId="0" borderId="0" xfId="277" applyNumberFormat="1" applyFont="1" applyAlignment="1" applyProtection="1"/>
    <xf numFmtId="173" fontId="5" fillId="0" borderId="14" xfId="86" applyNumberFormat="1" applyFont="1" applyBorder="1" applyAlignment="1" applyProtection="1"/>
    <xf numFmtId="0" fontId="5" fillId="0" borderId="0" xfId="277" applyNumberFormat="1" applyFont="1" applyFill="1" applyBorder="1" applyAlignment="1" applyProtection="1">
      <alignment horizontal="left"/>
    </xf>
    <xf numFmtId="0" fontId="6" fillId="0" borderId="0" xfId="277" applyNumberFormat="1" applyFont="1" applyAlignment="1" applyProtection="1"/>
    <xf numFmtId="0" fontId="5" fillId="0" borderId="0" xfId="0" applyFont="1" applyFill="1" applyAlignment="1" applyProtection="1">
      <alignment horizontal="left"/>
    </xf>
    <xf numFmtId="0" fontId="5" fillId="0" borderId="0" xfId="277" applyNumberFormat="1" applyFont="1" applyFill="1" applyBorder="1" applyProtection="1"/>
    <xf numFmtId="3" fontId="5" fillId="0" borderId="0" xfId="277" applyNumberFormat="1" applyFont="1" applyFill="1" applyBorder="1" applyAlignment="1" applyProtection="1"/>
    <xf numFmtId="172" fontId="5" fillId="0" borderId="0" xfId="277" applyFont="1" applyFill="1" applyBorder="1" applyAlignment="1" applyProtection="1"/>
    <xf numFmtId="172" fontId="5" fillId="0" borderId="0" xfId="277" applyFont="1" applyFill="1" applyBorder="1" applyAlignment="1" applyProtection="1">
      <alignment horizontal="center"/>
    </xf>
    <xf numFmtId="173" fontId="5" fillId="0" borderId="6" xfId="86" applyNumberFormat="1" applyFont="1" applyBorder="1" applyAlignment="1" applyProtection="1"/>
    <xf numFmtId="3" fontId="5" fillId="0" borderId="0" xfId="277" applyNumberFormat="1" applyFont="1" applyFill="1" applyBorder="1" applyAlignment="1" applyProtection="1">
      <alignment horizontal="left"/>
    </xf>
    <xf numFmtId="0" fontId="5" fillId="0" borderId="0" xfId="277" applyNumberFormat="1" applyFont="1" applyFill="1" applyBorder="1" applyAlignment="1" applyProtection="1">
      <alignment horizontal="center"/>
    </xf>
    <xf numFmtId="49" fontId="5" fillId="0" borderId="0" xfId="277" applyNumberFormat="1" applyFont="1" applyFill="1" applyBorder="1" applyProtection="1"/>
    <xf numFmtId="49" fontId="5" fillId="0" borderId="0" xfId="277" applyNumberFormat="1" applyFont="1" applyFill="1" applyBorder="1" applyAlignment="1" applyProtection="1"/>
    <xf numFmtId="49" fontId="5" fillId="0" borderId="0" xfId="277" applyNumberFormat="1" applyFont="1" applyFill="1" applyBorder="1" applyAlignment="1" applyProtection="1">
      <alignment horizontal="center"/>
    </xf>
    <xf numFmtId="3" fontId="6" fillId="0" borderId="0" xfId="277" applyNumberFormat="1" applyFont="1" applyFill="1" applyBorder="1" applyAlignment="1" applyProtection="1"/>
    <xf numFmtId="165" fontId="6" fillId="0" borderId="0" xfId="277" applyNumberFormat="1" applyFont="1" applyFill="1" applyBorder="1" applyAlignment="1" applyProtection="1">
      <alignment horizontal="right"/>
    </xf>
    <xf numFmtId="0" fontId="6" fillId="0" borderId="0" xfId="277" applyNumberFormat="1" applyFont="1" applyFill="1" applyAlignment="1" applyProtection="1"/>
    <xf numFmtId="3" fontId="5" fillId="0" borderId="0" xfId="277" applyNumberFormat="1" applyFont="1" applyFill="1" applyProtection="1"/>
    <xf numFmtId="3" fontId="5" fillId="0" borderId="0" xfId="277" applyNumberFormat="1" applyFont="1" applyFill="1" applyAlignment="1" applyProtection="1">
      <alignment horizontal="center" wrapText="1"/>
    </xf>
    <xf numFmtId="4" fontId="5" fillId="0" borderId="0" xfId="277" applyNumberFormat="1" applyFont="1" applyAlignment="1" applyProtection="1"/>
    <xf numFmtId="173" fontId="5" fillId="0" borderId="6" xfId="86" applyNumberFormat="1" applyFont="1" applyFill="1" applyBorder="1" applyAlignment="1" applyProtection="1"/>
    <xf numFmtId="3" fontId="6" fillId="0" borderId="0" xfId="277" applyNumberFormat="1" applyFont="1" applyFill="1" applyAlignment="1" applyProtection="1">
      <alignment horizontal="center"/>
    </xf>
    <xf numFmtId="172" fontId="6" fillId="0" borderId="0" xfId="277" applyFont="1" applyAlignment="1" applyProtection="1">
      <alignment horizontal="right"/>
    </xf>
    <xf numFmtId="165" fontId="6" fillId="0" borderId="0" xfId="277" applyNumberFormat="1" applyFont="1" applyAlignment="1" applyProtection="1"/>
    <xf numFmtId="166" fontId="6" fillId="0" borderId="0" xfId="277" applyNumberFormat="1" applyFont="1" applyFill="1" applyProtection="1"/>
    <xf numFmtId="3" fontId="5" fillId="0" borderId="6" xfId="277" applyNumberFormat="1" applyFont="1" applyFill="1" applyBorder="1" applyAlignment="1" applyProtection="1">
      <alignment horizontal="center"/>
    </xf>
    <xf numFmtId="0" fontId="14" fillId="0" borderId="0" xfId="277" applyNumberFormat="1" applyFont="1" applyFill="1" applyBorder="1" applyAlignment="1" applyProtection="1">
      <alignment horizontal="left"/>
    </xf>
    <xf numFmtId="0" fontId="5" fillId="0" borderId="0" xfId="277" applyNumberFormat="1" applyFont="1" applyFill="1" applyAlignment="1" applyProtection="1">
      <alignment horizontal="left"/>
    </xf>
    <xf numFmtId="3" fontId="23" fillId="0" borderId="0" xfId="277" applyNumberFormat="1" applyFont="1" applyFill="1" applyAlignment="1" applyProtection="1"/>
    <xf numFmtId="180" fontId="5" fillId="0" borderId="0" xfId="86" applyNumberFormat="1" applyFont="1" applyFill="1" applyAlignment="1" applyProtection="1">
      <alignment horizontal="center"/>
    </xf>
    <xf numFmtId="0" fontId="5" fillId="0" borderId="6" xfId="277" applyNumberFormat="1" applyFont="1" applyFill="1" applyBorder="1" applyAlignment="1" applyProtection="1">
      <alignment horizontal="center"/>
    </xf>
    <xf numFmtId="180" fontId="5" fillId="0" borderId="6" xfId="86" applyNumberFormat="1" applyFont="1" applyFill="1" applyBorder="1" applyAlignment="1" applyProtection="1">
      <alignment horizontal="center"/>
    </xf>
    <xf numFmtId="10" fontId="5" fillId="0" borderId="0" xfId="277" applyNumberFormat="1" applyFont="1" applyFill="1" applyAlignment="1" applyProtection="1"/>
    <xf numFmtId="184" fontId="5" fillId="0" borderId="0" xfId="86" applyNumberFormat="1" applyFont="1" applyFill="1" applyAlignment="1" applyProtection="1"/>
    <xf numFmtId="169" fontId="5" fillId="0" borderId="15" xfId="277" applyNumberFormat="1" applyFont="1" applyFill="1" applyBorder="1" applyAlignment="1" applyProtection="1"/>
    <xf numFmtId="169" fontId="5" fillId="0" borderId="0" xfId="277" applyNumberFormat="1" applyFont="1" applyFill="1" applyBorder="1" applyAlignment="1" applyProtection="1"/>
    <xf numFmtId="169" fontId="5" fillId="0" borderId="6" xfId="277" applyNumberFormat="1" applyFont="1" applyFill="1" applyBorder="1" applyAlignment="1" applyProtection="1"/>
    <xf numFmtId="180" fontId="22" fillId="0" borderId="0" xfId="86" applyNumberFormat="1" applyFont="1" applyFill="1" applyProtection="1"/>
    <xf numFmtId="169" fontId="6" fillId="0" borderId="0" xfId="277" applyNumberFormat="1" applyFont="1" applyFill="1" applyAlignment="1" applyProtection="1"/>
    <xf numFmtId="172" fontId="5" fillId="0" borderId="0" xfId="277" applyNumberFormat="1" applyFont="1" applyAlignment="1" applyProtection="1"/>
    <xf numFmtId="172" fontId="10" fillId="0" borderId="0" xfId="277" applyFont="1" applyAlignment="1" applyProtection="1">
      <alignment horizontal="center"/>
    </xf>
    <xf numFmtId="172" fontId="3" fillId="0" borderId="0" xfId="277" applyFont="1" applyFill="1" applyAlignment="1" applyProtection="1">
      <alignment horizontal="center"/>
    </xf>
    <xf numFmtId="172" fontId="3" fillId="0" borderId="0" xfId="277" applyFont="1" applyFill="1" applyAlignment="1" applyProtection="1"/>
    <xf numFmtId="10" fontId="5" fillId="0" borderId="0" xfId="277"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277" applyNumberFormat="1" applyFont="1" applyFill="1" applyAlignment="1" applyProtection="1"/>
    <xf numFmtId="0" fontId="119" fillId="0" borderId="0" xfId="277" applyNumberFormat="1" applyFont="1" applyFill="1" applyAlignment="1" applyProtection="1"/>
    <xf numFmtId="0" fontId="26" fillId="0" borderId="0" xfId="277" applyNumberFormat="1" applyFont="1" applyFill="1" applyProtection="1"/>
    <xf numFmtId="172" fontId="26" fillId="0" borderId="0" xfId="277" applyFont="1" applyFill="1" applyAlignment="1" applyProtection="1"/>
    <xf numFmtId="0" fontId="26" fillId="0" borderId="0" xfId="0" applyFont="1" applyAlignment="1" applyProtection="1">
      <alignment vertical="top" wrapText="1"/>
    </xf>
    <xf numFmtId="172" fontId="26" fillId="0" borderId="0" xfId="277" applyFont="1" applyFill="1" applyAlignment="1" applyProtection="1">
      <alignment wrapText="1"/>
    </xf>
    <xf numFmtId="172" fontId="119" fillId="0" borderId="0" xfId="277" applyFont="1" applyFill="1" applyAlignment="1" applyProtection="1"/>
    <xf numFmtId="0" fontId="3" fillId="0" borderId="0" xfId="277" applyNumberFormat="1" applyFont="1" applyFill="1" applyProtection="1"/>
    <xf numFmtId="0" fontId="88" fillId="0" borderId="0" xfId="277" applyNumberFormat="1" applyFont="1" applyFill="1" applyAlignment="1" applyProtection="1">
      <alignment horizontal="center"/>
    </xf>
    <xf numFmtId="0" fontId="0" fillId="0" borderId="0" xfId="0" applyAlignment="1" applyProtection="1">
      <alignment wrapText="1"/>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81" applyFont="1" applyProtection="1"/>
    <xf numFmtId="0" fontId="10" fillId="0" borderId="0" xfId="281" applyFont="1" applyAlignment="1" applyProtection="1">
      <alignment horizontal="center"/>
    </xf>
    <xf numFmtId="0" fontId="26" fillId="0" borderId="0" xfId="0" applyFont="1" applyProtection="1"/>
    <xf numFmtId="0" fontId="5" fillId="0" borderId="0" xfId="281" applyFont="1" applyProtection="1"/>
    <xf numFmtId="0" fontId="82" fillId="0" borderId="0" xfId="281" applyFont="1" applyProtection="1"/>
    <xf numFmtId="0" fontId="10" fillId="0" borderId="0" xfId="281" applyFont="1" applyBorder="1" applyAlignment="1" applyProtection="1">
      <alignment horizontal="center"/>
    </xf>
    <xf numFmtId="0" fontId="6" fillId="0" borderId="0" xfId="281" applyFont="1" applyFill="1" applyProtection="1"/>
    <xf numFmtId="0" fontId="26" fillId="0" borderId="0" xfId="281" applyFont="1" applyAlignment="1" applyProtection="1">
      <alignment horizontal="center"/>
    </xf>
    <xf numFmtId="0" fontId="9" fillId="0" borderId="0" xfId="281" applyFont="1" applyFill="1" applyAlignment="1" applyProtection="1">
      <alignment horizontal="center"/>
    </xf>
    <xf numFmtId="0" fontId="9" fillId="0" borderId="0" xfId="281" applyFont="1" applyFill="1" applyProtection="1"/>
    <xf numFmtId="0" fontId="12" fillId="0" borderId="0" xfId="281" applyFont="1" applyProtection="1"/>
    <xf numFmtId="173" fontId="12" fillId="0" borderId="0" xfId="281" applyNumberFormat="1" applyFont="1" applyFill="1" applyProtection="1"/>
    <xf numFmtId="0" fontId="12" fillId="0" borderId="0" xfId="0" applyFont="1" applyAlignment="1" applyProtection="1">
      <alignment horizontal="center"/>
    </xf>
    <xf numFmtId="0" fontId="108" fillId="0" borderId="0" xfId="0" applyFont="1" applyProtection="1"/>
    <xf numFmtId="0" fontId="99" fillId="0" borderId="0" xfId="281" applyFont="1" applyFill="1" applyAlignment="1" applyProtection="1">
      <alignment horizontal="center"/>
    </xf>
    <xf numFmtId="0" fontId="99" fillId="0" borderId="0" xfId="281" applyFont="1" applyFill="1" applyProtection="1"/>
    <xf numFmtId="0" fontId="107" fillId="0" borderId="0" xfId="0" applyFont="1" applyProtection="1"/>
    <xf numFmtId="0" fontId="107" fillId="0" borderId="0" xfId="281" applyFont="1" applyProtection="1"/>
    <xf numFmtId="172" fontId="12" fillId="0" borderId="0" xfId="281" applyNumberFormat="1" applyFont="1" applyFill="1" applyAlignment="1" applyProtection="1">
      <alignment horizontal="center"/>
    </xf>
    <xf numFmtId="0" fontId="12" fillId="0" borderId="0" xfId="281" applyFont="1" applyFill="1" applyProtection="1"/>
    <xf numFmtId="0" fontId="9" fillId="0" borderId="0" xfId="281" applyFont="1" applyProtection="1"/>
    <xf numFmtId="0" fontId="99" fillId="0" borderId="0" xfId="281" applyFont="1" applyProtection="1"/>
    <xf numFmtId="43" fontId="12" fillId="0" borderId="0" xfId="123" applyFont="1" applyFill="1" applyProtection="1"/>
    <xf numFmtId="43" fontId="107" fillId="0" borderId="0" xfId="123" applyFont="1" applyFill="1" applyProtection="1"/>
    <xf numFmtId="0" fontId="12" fillId="0" borderId="0" xfId="0" applyFont="1" applyFill="1" applyProtection="1"/>
    <xf numFmtId="173" fontId="12" fillId="0" borderId="13" xfId="0" applyNumberFormat="1" applyFont="1" applyBorder="1" applyProtection="1"/>
    <xf numFmtId="173" fontId="12" fillId="0" borderId="0" xfId="281" applyNumberFormat="1" applyFont="1" applyProtection="1"/>
    <xf numFmtId="173" fontId="12" fillId="0" borderId="0" xfId="281" applyNumberFormat="1" applyFont="1" applyBorder="1" applyProtection="1"/>
    <xf numFmtId="173" fontId="12" fillId="0" borderId="13" xfId="281" applyNumberFormat="1" applyFont="1" applyBorder="1" applyProtection="1"/>
    <xf numFmtId="0" fontId="12" fillId="0" borderId="0" xfId="0" applyFont="1" applyAlignment="1" applyProtection="1">
      <alignment vertical="top" wrapText="1"/>
    </xf>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86"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277" applyNumberFormat="1" applyFont="1" applyFill="1" applyBorder="1" applyAlignment="1" applyProtection="1"/>
    <xf numFmtId="3" fontId="12" fillId="0" borderId="0" xfId="277" applyNumberFormat="1" applyFont="1" applyAlignment="1" applyProtection="1"/>
    <xf numFmtId="10" fontId="2" fillId="0" borderId="0" xfId="286" applyNumberFormat="1" applyAlignment="1" applyProtection="1">
      <alignment horizontal="right"/>
    </xf>
    <xf numFmtId="172" fontId="12" fillId="0" borderId="0" xfId="277" applyFont="1" applyAlignment="1" applyProtection="1"/>
    <xf numFmtId="172" fontId="12" fillId="0" borderId="0" xfId="277" applyFont="1" applyBorder="1" applyAlignment="1" applyProtection="1"/>
    <xf numFmtId="3" fontId="12" fillId="0" borderId="0" xfId="277" applyNumberFormat="1" applyFont="1" applyFill="1" applyAlignment="1" applyProtection="1"/>
    <xf numFmtId="10" fontId="12" fillId="0" borderId="0" xfId="286" applyNumberFormat="1" applyFont="1" applyFill="1" applyAlignment="1" applyProtection="1">
      <alignment horizontal="right"/>
    </xf>
    <xf numFmtId="3" fontId="9" fillId="0" borderId="0" xfId="277" applyNumberFormat="1" applyFont="1" applyAlignment="1" applyProtection="1"/>
    <xf numFmtId="10" fontId="12" fillId="0" borderId="0" xfId="277" applyNumberFormat="1" applyFont="1" applyFill="1" applyAlignment="1" applyProtection="1">
      <alignment horizontal="right"/>
    </xf>
    <xf numFmtId="3" fontId="13" fillId="0" borderId="0" xfId="277" applyNumberFormat="1" applyFont="1" applyAlignment="1" applyProtection="1">
      <alignment horizontal="center"/>
    </xf>
    <xf numFmtId="10" fontId="13" fillId="0" borderId="0" xfId="277" applyNumberFormat="1" applyFont="1" applyFill="1" applyAlignment="1" applyProtection="1">
      <alignment horizontal="center"/>
    </xf>
    <xf numFmtId="0" fontId="12"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86" applyNumberFormat="1" applyFont="1" applyAlignment="1" applyProtection="1"/>
    <xf numFmtId="166" fontId="12" fillId="0" borderId="0" xfId="277" applyNumberFormat="1" applyFont="1" applyAlignment="1" applyProtection="1">
      <alignment horizontal="center"/>
    </xf>
    <xf numFmtId="166" fontId="12" fillId="0" borderId="0" xfId="277" applyNumberFormat="1" applyFont="1" applyBorder="1" applyAlignment="1" applyProtection="1">
      <alignment horizontal="center"/>
    </xf>
    <xf numFmtId="41" fontId="12" fillId="0" borderId="0" xfId="277" applyNumberFormat="1" applyFont="1" applyAlignment="1" applyProtection="1"/>
    <xf numFmtId="41" fontId="12" fillId="0" borderId="0" xfId="277" applyNumberFormat="1" applyFont="1" applyAlignment="1" applyProtection="1">
      <alignment horizontal="center"/>
    </xf>
    <xf numFmtId="41" fontId="12" fillId="0" borderId="0" xfId="277" applyNumberFormat="1" applyFont="1" applyBorder="1" applyAlignment="1" applyProtection="1">
      <alignment horizontal="center"/>
    </xf>
    <xf numFmtId="0" fontId="12" fillId="0" borderId="0" xfId="277" applyNumberFormat="1" applyFont="1" applyBorder="1" applyAlignment="1" applyProtection="1">
      <alignment horizontal="right"/>
    </xf>
    <xf numFmtId="164" fontId="13" fillId="0" borderId="0" xfId="286" applyNumberFormat="1" applyFont="1" applyAlignment="1" applyProtection="1"/>
    <xf numFmtId="0" fontId="12" fillId="0" borderId="0" xfId="277" applyNumberFormat="1" applyFont="1" applyBorder="1" applyAlignment="1" applyProtection="1"/>
    <xf numFmtId="3" fontId="12" fillId="0" borderId="0" xfId="277" applyNumberFormat="1" applyFont="1" applyAlignment="1" applyProtection="1">
      <alignment horizontal="right"/>
    </xf>
    <xf numFmtId="172" fontId="2" fillId="0" borderId="17" xfId="277" applyFont="1" applyBorder="1" applyAlignment="1" applyProtection="1"/>
    <xf numFmtId="0" fontId="2" fillId="0" borderId="0" xfId="277" applyNumberFormat="1" applyFont="1" applyBorder="1" applyAlignment="1" applyProtection="1">
      <alignment horizontal="center"/>
    </xf>
    <xf numFmtId="172" fontId="2" fillId="0" borderId="0" xfId="277" applyFont="1" applyBorder="1" applyAlignment="1" applyProtection="1"/>
    <xf numFmtId="3" fontId="2" fillId="0" borderId="18" xfId="277" applyNumberFormat="1" applyFont="1" applyBorder="1" applyAlignment="1" applyProtection="1"/>
    <xf numFmtId="10" fontId="12" fillId="0" borderId="0" xfId="277" applyNumberFormat="1" applyFont="1" applyFill="1" applyAlignment="1" applyProtection="1">
      <alignment horizontal="left"/>
    </xf>
    <xf numFmtId="41" fontId="12" fillId="0" borderId="0" xfId="277"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277" applyNumberFormat="1" applyFont="1" applyFill="1" applyAlignment="1" applyProtection="1"/>
    <xf numFmtId="166" fontId="2" fillId="0" borderId="19" xfId="277" applyNumberFormat="1" applyFont="1" applyBorder="1" applyAlignment="1" applyProtection="1">
      <alignment horizontal="center"/>
    </xf>
    <xf numFmtId="0" fontId="2" fillId="0" borderId="6" xfId="277" applyNumberFormat="1" applyFont="1" applyBorder="1" applyAlignment="1" applyProtection="1">
      <alignment horizontal="center"/>
    </xf>
    <xf numFmtId="174" fontId="2" fillId="0" borderId="20" xfId="0" applyNumberFormat="1" applyFont="1" applyBorder="1" applyProtection="1"/>
    <xf numFmtId="41" fontId="2" fillId="0" borderId="0" xfId="277" applyNumberFormat="1" applyFont="1" applyBorder="1" applyAlignment="1" applyProtection="1"/>
    <xf numFmtId="0" fontId="12" fillId="31" borderId="0" xfId="277" applyNumberFormat="1" applyFont="1" applyFill="1" applyBorder="1" applyAlignment="1" applyProtection="1"/>
    <xf numFmtId="41" fontId="12" fillId="0" borderId="0" xfId="277" applyNumberFormat="1" applyFont="1" applyFill="1" applyAlignment="1" applyProtection="1">
      <alignment horizontal="left"/>
    </xf>
    <xf numFmtId="41" fontId="2" fillId="0" borderId="0" xfId="277" applyNumberFormat="1" applyFont="1" applyFill="1" applyBorder="1" applyAlignment="1" applyProtection="1">
      <alignment horizontal="right"/>
    </xf>
    <xf numFmtId="167" fontId="12" fillId="0" borderId="0" xfId="277" applyNumberFormat="1" applyFont="1" applyAlignment="1" applyProtection="1"/>
    <xf numFmtId="164" fontId="12" fillId="0" borderId="0" xfId="277" applyNumberFormat="1" applyFont="1" applyFill="1" applyBorder="1" applyAlignment="1" applyProtection="1">
      <alignment horizontal="left"/>
    </xf>
    <xf numFmtId="164" fontId="12" fillId="0" borderId="0" xfId="277" applyNumberFormat="1" applyFont="1" applyBorder="1" applyAlignment="1" applyProtection="1">
      <alignment horizontal="left"/>
    </xf>
    <xf numFmtId="3" fontId="12" fillId="0" borderId="0" xfId="277" applyNumberFormat="1" applyFont="1" applyAlignment="1" applyProtection="1">
      <alignment vertical="center" wrapText="1"/>
    </xf>
    <xf numFmtId="41" fontId="12" fillId="0" borderId="0" xfId="277" applyNumberFormat="1" applyFont="1" applyBorder="1" applyAlignment="1" applyProtection="1">
      <alignment vertical="center"/>
    </xf>
    <xf numFmtId="41" fontId="12" fillId="0" borderId="0" xfId="277" applyNumberFormat="1" applyFont="1" applyBorder="1" applyAlignment="1" applyProtection="1">
      <alignment horizontal="center" vertical="center"/>
    </xf>
    <xf numFmtId="41" fontId="12" fillId="0" borderId="0" xfId="277"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77" applyNumberFormat="1" applyFont="1" applyFill="1" applyBorder="1" applyAlignment="1" applyProtection="1"/>
    <xf numFmtId="41" fontId="12" fillId="0" borderId="11" xfId="277" applyNumberFormat="1" applyFont="1" applyFill="1" applyBorder="1" applyAlignment="1" applyProtection="1"/>
    <xf numFmtId="3" fontId="12" fillId="0" borderId="0" xfId="277" applyNumberFormat="1" applyFont="1" applyFill="1" applyBorder="1" applyAlignment="1" applyProtection="1"/>
    <xf numFmtId="41" fontId="12" fillId="0" borderId="0" xfId="277" applyNumberFormat="1" applyFont="1" applyFill="1" applyBorder="1" applyAlignment="1" applyProtection="1">
      <alignment horizontal="center"/>
    </xf>
    <xf numFmtId="0" fontId="12" fillId="0" borderId="0" xfId="277" applyNumberFormat="1" applyFont="1" applyFill="1" applyBorder="1" applyProtection="1"/>
    <xf numFmtId="41" fontId="13" fillId="0" borderId="0" xfId="277" applyNumberFormat="1" applyFont="1" applyFill="1" applyBorder="1" applyAlignment="1" applyProtection="1"/>
    <xf numFmtId="3" fontId="12" fillId="0" borderId="0" xfId="277" applyNumberFormat="1" applyFont="1" applyFill="1" applyBorder="1" applyAlignment="1" applyProtection="1">
      <alignment horizontal="center"/>
    </xf>
    <xf numFmtId="0" fontId="12" fillId="0" borderId="0" xfId="0" applyFont="1" applyFill="1" applyBorder="1" applyProtection="1"/>
    <xf numFmtId="0" fontId="12" fillId="0" borderId="0" xfId="277" applyNumberFormat="1" applyFont="1" applyFill="1" applyBorder="1" applyAlignment="1" applyProtection="1">
      <alignment horizontal="center"/>
    </xf>
    <xf numFmtId="10" fontId="12" fillId="0" borderId="0" xfId="277" applyNumberFormat="1" applyFont="1" applyFill="1" applyBorder="1" applyAlignment="1" applyProtection="1"/>
    <xf numFmtId="169" fontId="12" fillId="0" borderId="0" xfId="277" applyNumberFormat="1" applyFont="1" applyFill="1" applyBorder="1" applyAlignment="1" applyProtection="1"/>
    <xf numFmtId="172" fontId="12" fillId="0" borderId="0" xfId="277" applyFont="1" applyFill="1" applyBorder="1" applyAlignment="1" applyProtection="1"/>
    <xf numFmtId="169" fontId="9" fillId="0" borderId="0" xfId="277"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86" applyNumberFormat="1" applyFont="1" applyFill="1" applyBorder="1" applyProtection="1"/>
    <xf numFmtId="41" fontId="13" fillId="0" borderId="0" xfId="0" applyNumberFormat="1" applyFont="1" applyProtection="1"/>
    <xf numFmtId="180" fontId="12" fillId="0" borderId="0" xfId="86"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86" applyNumberFormat="1" applyFont="1" applyFill="1" applyProtection="1"/>
    <xf numFmtId="173" fontId="12" fillId="0" borderId="0" xfId="86" applyNumberFormat="1" applyFont="1" applyBorder="1" applyProtection="1"/>
    <xf numFmtId="43" fontId="12" fillId="0" borderId="0" xfId="86"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5" xfId="0" applyFont="1" applyBorder="1" applyProtection="1"/>
    <xf numFmtId="0" fontId="12" fillId="0" borderId="15" xfId="0"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7" xfId="0" applyFont="1" applyBorder="1" applyProtection="1"/>
    <xf numFmtId="0" fontId="9" fillId="0" borderId="0" xfId="0" applyFont="1" applyFill="1" applyProtection="1"/>
    <xf numFmtId="173" fontId="12" fillId="0" borderId="20"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5"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6"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6" xfId="86" applyNumberFormat="1" applyFont="1" applyBorder="1" applyAlignment="1" applyProtection="1">
      <alignment horizontal="center" wrapText="1"/>
    </xf>
    <xf numFmtId="173" fontId="9" fillId="0" borderId="25" xfId="86" applyNumberFormat="1" applyFont="1" applyBorder="1" applyAlignment="1" applyProtection="1">
      <alignment horizontal="center" wrapText="1"/>
    </xf>
    <xf numFmtId="0" fontId="9" fillId="0" borderId="27"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28" xfId="0" applyFont="1" applyBorder="1" applyAlignment="1" applyProtection="1">
      <alignment horizontal="center"/>
    </xf>
    <xf numFmtId="0" fontId="9" fillId="0" borderId="6" xfId="0" applyFont="1" applyBorder="1" applyAlignment="1" applyProtection="1">
      <alignment horizontal="center"/>
    </xf>
    <xf numFmtId="173" fontId="9" fillId="0" borderId="28" xfId="86" applyNumberFormat="1" applyFont="1" applyBorder="1" applyAlignment="1" applyProtection="1">
      <alignment horizontal="center"/>
    </xf>
    <xf numFmtId="173" fontId="9" fillId="0" borderId="20" xfId="86" applyNumberFormat="1" applyFont="1" applyBorder="1" applyAlignment="1" applyProtection="1">
      <alignment horizontal="center"/>
    </xf>
    <xf numFmtId="0" fontId="9" fillId="0" borderId="28" xfId="0" applyFont="1" applyFill="1" applyBorder="1" applyAlignment="1" applyProtection="1">
      <alignment horizontal="center"/>
    </xf>
    <xf numFmtId="0" fontId="9" fillId="0" borderId="27" xfId="0" applyFont="1" applyFill="1" applyBorder="1" applyAlignment="1" applyProtection="1">
      <alignment horizontal="center"/>
    </xf>
    <xf numFmtId="0" fontId="12" fillId="0" borderId="27" xfId="0" applyNumberFormat="1" applyFont="1" applyBorder="1" applyAlignment="1" applyProtection="1">
      <alignment horizontal="center"/>
    </xf>
    <xf numFmtId="173" fontId="12" fillId="0" borderId="27" xfId="86" applyNumberFormat="1" applyFont="1" applyBorder="1" applyProtection="1"/>
    <xf numFmtId="173" fontId="12" fillId="0" borderId="27" xfId="86" applyNumberFormat="1" applyFont="1" applyFill="1" applyBorder="1" applyProtection="1"/>
    <xf numFmtId="173" fontId="12" fillId="0" borderId="18" xfId="86" applyNumberFormat="1" applyFont="1" applyFill="1" applyBorder="1" applyProtection="1"/>
    <xf numFmtId="174" fontId="12" fillId="0" borderId="27" xfId="0" applyNumberFormat="1" applyFont="1" applyBorder="1" applyProtection="1"/>
    <xf numFmtId="174" fontId="8" fillId="29" borderId="26" xfId="0" applyNumberFormat="1" applyFont="1" applyFill="1" applyBorder="1" applyProtection="1"/>
    <xf numFmtId="174" fontId="12" fillId="28" borderId="26" xfId="0" applyNumberFormat="1" applyFont="1" applyFill="1" applyBorder="1" applyProtection="1"/>
    <xf numFmtId="173" fontId="12" fillId="0" borderId="27" xfId="0" applyNumberFormat="1" applyFont="1" applyBorder="1" applyProtection="1"/>
    <xf numFmtId="173" fontId="12" fillId="0" borderId="18" xfId="86"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4" fontId="12" fillId="28" borderId="27" xfId="0" applyNumberFormat="1" applyFont="1" applyFill="1" applyBorder="1" applyAlignment="1" applyProtection="1">
      <alignment wrapText="1"/>
    </xf>
    <xf numFmtId="0" fontId="12" fillId="0" borderId="28" xfId="0" applyNumberFormat="1" applyFont="1" applyBorder="1" applyAlignment="1" applyProtection="1">
      <alignment horizontal="center"/>
    </xf>
    <xf numFmtId="173" fontId="12" fillId="0" borderId="6" xfId="0" applyNumberFormat="1" applyFont="1" applyBorder="1" applyProtection="1"/>
    <xf numFmtId="173" fontId="12" fillId="0" borderId="28" xfId="0" applyNumberFormat="1" applyFont="1" applyBorder="1" applyProtection="1"/>
    <xf numFmtId="173" fontId="12" fillId="0" borderId="28" xfId="86" applyNumberFormat="1" applyFont="1" applyBorder="1" applyProtection="1"/>
    <xf numFmtId="174" fontId="12" fillId="0" borderId="28" xfId="0"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0" fontId="0" fillId="33" borderId="0" xfId="0" applyFill="1" applyProtection="1"/>
    <xf numFmtId="10" fontId="0" fillId="0" borderId="0" xfId="286" applyNumberFormat="1" applyFont="1" applyAlignment="1" applyProtection="1">
      <alignment horizontal="right"/>
    </xf>
    <xf numFmtId="172" fontId="12" fillId="0" borderId="21" xfId="277" applyFont="1" applyBorder="1" applyAlignment="1" applyProtection="1"/>
    <xf numFmtId="172" fontId="12" fillId="0" borderId="15" xfId="277" applyFont="1" applyBorder="1" applyAlignment="1" applyProtection="1"/>
    <xf numFmtId="3" fontId="12" fillId="0" borderId="25" xfId="277" applyNumberFormat="1" applyFont="1" applyBorder="1" applyAlignment="1" applyProtection="1"/>
    <xf numFmtId="172" fontId="12" fillId="0" borderId="17" xfId="277" applyFont="1" applyBorder="1" applyAlignment="1" applyProtection="1"/>
    <xf numFmtId="3" fontId="12" fillId="0" borderId="18" xfId="277" applyNumberFormat="1" applyFont="1" applyBorder="1" applyAlignment="1" applyProtection="1"/>
    <xf numFmtId="0" fontId="12" fillId="0" borderId="0" xfId="277"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5" xfId="0" applyNumberFormat="1" applyFont="1" applyBorder="1" applyProtection="1"/>
    <xf numFmtId="166" fontId="12" fillId="0" borderId="19" xfId="277" applyNumberFormat="1" applyFont="1" applyBorder="1" applyAlignment="1" applyProtection="1">
      <alignment horizontal="center"/>
    </xf>
    <xf numFmtId="0" fontId="12" fillId="0" borderId="6" xfId="277" applyNumberFormat="1" applyFont="1" applyBorder="1" applyAlignment="1" applyProtection="1">
      <alignment horizontal="center"/>
    </xf>
    <xf numFmtId="173" fontId="12" fillId="0" borderId="6" xfId="277" quotePrefix="1" applyNumberFormat="1" applyFont="1" applyBorder="1" applyAlignment="1" applyProtection="1">
      <alignment horizontal="center"/>
    </xf>
    <xf numFmtId="41" fontId="12" fillId="0" borderId="0" xfId="277" applyNumberFormat="1" applyFont="1" applyFill="1" applyBorder="1" applyAlignment="1" applyProtection="1">
      <alignment horizontal="right"/>
    </xf>
    <xf numFmtId="10" fontId="12" fillId="0" borderId="0" xfId="286" applyNumberFormat="1" applyFont="1" applyFill="1" applyBorder="1" applyAlignment="1" applyProtection="1"/>
    <xf numFmtId="0" fontId="126" fillId="27" borderId="0" xfId="0" applyFont="1" applyFill="1" applyBorder="1" applyProtection="1"/>
    <xf numFmtId="0" fontId="9" fillId="0" borderId="21" xfId="0" applyFont="1" applyFill="1" applyBorder="1" applyAlignment="1" applyProtection="1">
      <alignment horizontal="center"/>
    </xf>
    <xf numFmtId="173" fontId="12" fillId="0" borderId="17" xfId="86" applyNumberFormat="1" applyFont="1" applyBorder="1" applyProtection="1"/>
    <xf numFmtId="173" fontId="9" fillId="0" borderId="0" xfId="86" applyNumberFormat="1" applyFont="1" applyBorder="1" applyProtection="1"/>
    <xf numFmtId="173" fontId="12" fillId="0" borderId="18" xfId="0" applyNumberFormat="1" applyFont="1" applyBorder="1" applyProtection="1"/>
    <xf numFmtId="173" fontId="9" fillId="0" borderId="11" xfId="86" applyNumberFormat="1" applyFont="1" applyBorder="1" applyProtection="1"/>
    <xf numFmtId="173" fontId="12" fillId="0" borderId="29" xfId="0" applyNumberFormat="1" applyFont="1" applyBorder="1" applyProtection="1"/>
    <xf numFmtId="173" fontId="9" fillId="0" borderId="6" xfId="86" applyNumberFormat="1" applyFont="1" applyFill="1" applyBorder="1" applyAlignment="1" applyProtection="1">
      <alignment horizontal="left"/>
    </xf>
    <xf numFmtId="173" fontId="9" fillId="0" borderId="20" xfId="86" applyNumberFormat="1" applyFont="1" applyFill="1" applyBorder="1" applyAlignment="1" applyProtection="1">
      <alignment horizontal="left"/>
    </xf>
    <xf numFmtId="173" fontId="12" fillId="0" borderId="26" xfId="0" applyNumberFormat="1" applyFont="1" applyBorder="1" applyProtection="1"/>
    <xf numFmtId="174" fontId="12" fillId="0" borderId="26" xfId="0" applyNumberFormat="1" applyFont="1" applyBorder="1" applyProtection="1"/>
    <xf numFmtId="0" fontId="9" fillId="0" borderId="0" xfId="277" applyNumberFormat="1" applyFont="1" applyFill="1" applyBorder="1" applyAlignment="1" applyProtection="1">
      <alignment vertical="center"/>
    </xf>
    <xf numFmtId="0" fontId="106" fillId="0" borderId="0" xfId="0" applyFont="1" applyProtection="1"/>
    <xf numFmtId="0" fontId="9" fillId="0" borderId="0" xfId="277" applyNumberFormat="1" applyFont="1" applyFill="1" applyBorder="1" applyAlignment="1" applyProtection="1">
      <alignment vertical="top"/>
    </xf>
    <xf numFmtId="0" fontId="22" fillId="0" borderId="0" xfId="0" applyFont="1" applyAlignment="1" applyProtection="1"/>
    <xf numFmtId="0" fontId="110" fillId="0" borderId="0" xfId="279" applyFont="1" applyAlignment="1" applyProtection="1"/>
    <xf numFmtId="0" fontId="3" fillId="0" borderId="0" xfId="279" applyProtection="1"/>
    <xf numFmtId="0" fontId="111" fillId="0" borderId="0" xfId="279" applyFont="1" applyProtection="1"/>
    <xf numFmtId="0" fontId="112" fillId="0" borderId="0" xfId="279" applyFont="1" applyAlignment="1" applyProtection="1">
      <alignment horizontal="center"/>
    </xf>
    <xf numFmtId="0" fontId="113" fillId="0" borderId="0" xfId="279" applyFont="1" applyProtection="1"/>
    <xf numFmtId="175" fontId="112" fillId="0" borderId="0" xfId="279" applyNumberFormat="1" applyFont="1" applyAlignment="1" applyProtection="1">
      <alignment horizontal="center"/>
    </xf>
    <xf numFmtId="0" fontId="112" fillId="0" borderId="0" xfId="279" applyFont="1" applyProtection="1"/>
    <xf numFmtId="175" fontId="112" fillId="0" borderId="0" xfId="279" quotePrefix="1" applyNumberFormat="1" applyFont="1" applyAlignment="1" applyProtection="1">
      <alignment horizontal="center"/>
    </xf>
    <xf numFmtId="192" fontId="112" fillId="0" borderId="0" xfId="279" quotePrefix="1" applyNumberFormat="1" applyFont="1" applyAlignment="1" applyProtection="1">
      <alignment horizontal="center"/>
    </xf>
    <xf numFmtId="0" fontId="114" fillId="0" borderId="0" xfId="279" applyFont="1" applyProtection="1"/>
    <xf numFmtId="0" fontId="115" fillId="0" borderId="16" xfId="279" applyFont="1" applyBorder="1" applyProtection="1"/>
    <xf numFmtId="0" fontId="111" fillId="0" borderId="16" xfId="279" applyFont="1" applyBorder="1" applyProtection="1"/>
    <xf numFmtId="0" fontId="3" fillId="0" borderId="0" xfId="279" applyFont="1" applyBorder="1" applyAlignment="1" applyProtection="1">
      <alignment horizontal="left"/>
    </xf>
    <xf numFmtId="0" fontId="111" fillId="0" borderId="0" xfId="279" applyFont="1" applyBorder="1" applyProtection="1"/>
    <xf numFmtId="0" fontId="3" fillId="0" borderId="0" xfId="279" applyFont="1" applyBorder="1" applyProtection="1"/>
    <xf numFmtId="0" fontId="116" fillId="0" borderId="0" xfId="279" applyFont="1" applyProtection="1"/>
    <xf numFmtId="175" fontId="3" fillId="0" borderId="0" xfId="279" quotePrefix="1" applyNumberFormat="1" applyAlignment="1" applyProtection="1">
      <alignment horizontal="right"/>
    </xf>
    <xf numFmtId="0" fontId="116" fillId="0" borderId="0" xfId="279" applyFont="1" applyAlignment="1" applyProtection="1">
      <alignment horizontal="right"/>
    </xf>
    <xf numFmtId="0" fontId="117" fillId="0" borderId="0" xfId="279" applyFont="1" applyProtection="1"/>
    <xf numFmtId="0" fontId="118" fillId="0" borderId="0" xfId="279" applyFont="1" applyProtection="1"/>
    <xf numFmtId="0" fontId="42" fillId="0" borderId="0" xfId="279" applyFont="1" applyProtection="1"/>
    <xf numFmtId="0" fontId="123" fillId="0" borderId="0" xfId="0" applyFont="1" applyFill="1" applyAlignment="1" applyProtection="1">
      <alignment horizontal="left"/>
    </xf>
    <xf numFmtId="0" fontId="123" fillId="0" borderId="0" xfId="0" applyFont="1" applyFill="1" applyProtection="1"/>
    <xf numFmtId="0" fontId="123" fillId="0" borderId="26" xfId="0" applyFont="1" applyFill="1" applyBorder="1" applyAlignment="1" applyProtection="1">
      <alignment horizontal="center" wrapText="1"/>
    </xf>
    <xf numFmtId="0" fontId="123" fillId="0" borderId="27" xfId="0" applyFont="1" applyFill="1" applyBorder="1" applyAlignment="1" applyProtection="1">
      <alignment horizontal="center" wrapText="1"/>
    </xf>
    <xf numFmtId="0" fontId="123" fillId="0" borderId="27"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8"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5" fontId="123" fillId="0" borderId="0" xfId="289"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90" applyNumberFormat="1" applyFont="1" applyFill="1" applyProtection="1"/>
    <xf numFmtId="175" fontId="123" fillId="0" borderId="0" xfId="0" applyNumberFormat="1" applyFont="1" applyFill="1" applyProtection="1"/>
    <xf numFmtId="0" fontId="123" fillId="0" borderId="0" xfId="0" applyNumberFormat="1" applyFont="1" applyFill="1" applyProtection="1"/>
    <xf numFmtId="173" fontId="123" fillId="0" borderId="11" xfId="90" applyNumberFormat="1" applyFont="1" applyFill="1" applyBorder="1" applyProtection="1"/>
    <xf numFmtId="173" fontId="124" fillId="0" borderId="0" xfId="90" applyNumberFormat="1" applyFont="1" applyFill="1" applyProtection="1"/>
    <xf numFmtId="173" fontId="124" fillId="0" borderId="0" xfId="90" applyNumberFormat="1" applyFont="1" applyFill="1" applyAlignment="1" applyProtection="1">
      <alignment horizontal="center"/>
    </xf>
    <xf numFmtId="0" fontId="125" fillId="0" borderId="0" xfId="0" applyFont="1" applyFill="1" applyProtection="1"/>
    <xf numFmtId="194" fontId="5" fillId="0" borderId="0" xfId="0" applyNumberFormat="1" applyFont="1" applyFill="1" applyProtection="1"/>
    <xf numFmtId="173" fontId="5" fillId="0" borderId="0" xfId="90" applyNumberFormat="1" applyFont="1" applyFill="1" applyProtection="1"/>
    <xf numFmtId="173" fontId="5" fillId="0" borderId="0" xfId="125" applyNumberFormat="1" applyFont="1" applyFill="1" applyProtection="1"/>
    <xf numFmtId="0" fontId="0" fillId="0" borderId="0" xfId="0" applyFill="1" applyAlignment="1" applyProtection="1">
      <alignment horizontal="left"/>
    </xf>
    <xf numFmtId="0" fontId="19" fillId="34" borderId="0" xfId="86" applyNumberFormat="1" applyFont="1" applyFill="1" applyAlignment="1" applyProtection="1">
      <protection locked="0"/>
    </xf>
    <xf numFmtId="41" fontId="19" fillId="34" borderId="0" xfId="277" applyNumberFormat="1" applyFont="1" applyFill="1" applyAlignment="1" applyProtection="1">
      <protection locked="0"/>
    </xf>
    <xf numFmtId="41" fontId="19" fillId="34" borderId="6" xfId="277" applyNumberFormat="1" applyFont="1" applyFill="1" applyBorder="1" applyAlignment="1" applyProtection="1">
      <protection locked="0"/>
    </xf>
    <xf numFmtId="173" fontId="8" fillId="34" borderId="0" xfId="91" applyNumberFormat="1" applyFont="1" applyFill="1" applyBorder="1" applyAlignment="1" applyProtection="1">
      <alignment horizontal="right"/>
      <protection locked="0"/>
    </xf>
    <xf numFmtId="0" fontId="32" fillId="34" borderId="0" xfId="224" applyFont="1" applyFill="1" applyBorder="1" applyProtection="1">
      <protection locked="0"/>
    </xf>
    <xf numFmtId="173" fontId="8" fillId="34" borderId="11" xfId="91" applyNumberFormat="1" applyFont="1" applyFill="1" applyBorder="1" applyAlignment="1" applyProtection="1">
      <alignment horizontal="right"/>
      <protection locked="0"/>
    </xf>
    <xf numFmtId="41" fontId="8" fillId="34" borderId="0" xfId="268" applyNumberFormat="1" applyFont="1" applyFill="1" applyProtection="1">
      <protection locked="0"/>
    </xf>
    <xf numFmtId="37" fontId="8" fillId="34" borderId="0" xfId="0" applyNumberFormat="1" applyFont="1" applyFill="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38" fontId="63" fillId="0" borderId="15" xfId="0" applyNumberFormat="1" applyFont="1" applyFill="1" applyBorder="1"/>
    <xf numFmtId="173" fontId="0" fillId="0" borderId="0" xfId="0" applyNumberFormat="1" applyFill="1" applyProtection="1"/>
    <xf numFmtId="173" fontId="8" fillId="0" borderId="0" xfId="86" applyNumberFormat="1" applyFont="1" applyFill="1" applyProtection="1"/>
    <xf numFmtId="173" fontId="0" fillId="0" borderId="11" xfId="0" applyNumberFormat="1" applyFill="1" applyBorder="1" applyProtection="1"/>
    <xf numFmtId="173" fontId="8" fillId="34" borderId="0" xfId="123" applyNumberFormat="1" applyFont="1" applyFill="1" applyProtection="1">
      <protection locked="0"/>
    </xf>
    <xf numFmtId="0" fontId="19" fillId="34" borderId="0" xfId="268"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268" applyNumberFormat="1" applyFont="1" applyFill="1" applyBorder="1" applyProtection="1">
      <protection locked="0"/>
    </xf>
    <xf numFmtId="41" fontId="78" fillId="34" borderId="11" xfId="278" applyNumberFormat="1" applyFont="1" applyFill="1" applyBorder="1" applyProtection="1">
      <protection locked="0"/>
    </xf>
    <xf numFmtId="173" fontId="78" fillId="34" borderId="0" xfId="278" applyNumberFormat="1" applyFont="1" applyFill="1" applyBorder="1" applyProtection="1">
      <protection locked="0"/>
    </xf>
    <xf numFmtId="0" fontId="71" fillId="34" borderId="0" xfId="278" applyFont="1" applyFill="1" applyAlignment="1" applyProtection="1">
      <alignment horizontal="center"/>
      <protection locked="0"/>
    </xf>
    <xf numFmtId="0" fontId="8" fillId="34" borderId="0" xfId="86" applyNumberFormat="1" applyFont="1" applyFill="1" applyAlignment="1" applyProtection="1">
      <protection locked="0"/>
    </xf>
    <xf numFmtId="173" fontId="2" fillId="34" borderId="6" xfId="277" applyNumberFormat="1" applyFont="1" applyFill="1" applyBorder="1" applyAlignment="1" applyProtection="1">
      <alignment horizontal="center"/>
      <protection locked="0"/>
    </xf>
    <xf numFmtId="0" fontId="19" fillId="34" borderId="0" xfId="86" applyNumberFormat="1" applyFont="1" applyFill="1" applyAlignment="1" applyProtection="1">
      <alignment horizontal="left"/>
      <protection locked="0"/>
    </xf>
    <xf numFmtId="173" fontId="163" fillId="34" borderId="18" xfId="86" applyNumberFormat="1" applyFont="1" applyFill="1" applyBorder="1" applyAlignment="1" applyProtection="1">
      <alignment horizontal="right"/>
      <protection locked="0"/>
    </xf>
    <xf numFmtId="0" fontId="163" fillId="34" borderId="18" xfId="0" applyFont="1" applyFill="1" applyBorder="1" applyAlignment="1" applyProtection="1">
      <alignment horizontal="right"/>
      <protection locked="0"/>
    </xf>
    <xf numFmtId="173" fontId="8" fillId="34" borderId="18" xfId="86"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6" xfId="0" applyNumberFormat="1" applyFont="1" applyFill="1" applyBorder="1" applyProtection="1">
      <protection locked="0"/>
    </xf>
    <xf numFmtId="174" fontId="8" fillId="34" borderId="27" xfId="0" applyNumberFormat="1" applyFont="1" applyFill="1" applyBorder="1" applyProtection="1">
      <protection locked="0"/>
    </xf>
    <xf numFmtId="174" fontId="8" fillId="34" borderId="28"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173" fontId="8" fillId="34" borderId="0" xfId="90" applyNumberFormat="1" applyFont="1" applyFill="1" applyBorder="1" applyProtection="1">
      <protection locked="0"/>
    </xf>
    <xf numFmtId="173" fontId="20" fillId="34" borderId="0" xfId="86" applyNumberFormat="1" applyFont="1" applyFill="1" applyProtection="1">
      <protection locked="0"/>
    </xf>
    <xf numFmtId="188"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8" xfId="0" applyNumberFormat="1" applyFont="1" applyFill="1" applyBorder="1" applyAlignment="1" applyProtection="1">
      <alignment horizontal="center"/>
      <protection locked="0"/>
    </xf>
    <xf numFmtId="175" fontId="123" fillId="34" borderId="0" xfId="289" applyNumberFormat="1" applyFont="1" applyFill="1" applyProtection="1">
      <protection locked="0"/>
    </xf>
    <xf numFmtId="196" fontId="164" fillId="31" borderId="0" xfId="0" applyNumberFormat="1" applyFont="1" applyFill="1" applyAlignment="1">
      <alignment horizontal="right"/>
    </xf>
    <xf numFmtId="173" fontId="8" fillId="0" borderId="0" xfId="123" applyNumberFormat="1" applyFont="1" applyFill="1" applyProtection="1">
      <protection locked="0"/>
    </xf>
    <xf numFmtId="0" fontId="131" fillId="0" borderId="0" xfId="0" applyFont="1" applyAlignment="1">
      <alignment vertical="center"/>
    </xf>
    <xf numFmtId="0" fontId="81" fillId="0" borderId="0" xfId="224" applyNumberFormat="1" applyFont="1" applyFill="1" applyBorder="1" applyAlignment="1">
      <alignment horizontal="center"/>
    </xf>
    <xf numFmtId="173" fontId="78" fillId="0" borderId="0" xfId="278" applyNumberFormat="1" applyFont="1" applyFill="1" applyBorder="1" applyProtection="1">
      <protection locked="0"/>
    </xf>
    <xf numFmtId="0" fontId="71" fillId="0" borderId="0" xfId="278" applyFont="1" applyFill="1" applyAlignment="1" applyProtection="1">
      <alignment horizontal="center"/>
      <protection locked="0"/>
    </xf>
    <xf numFmtId="0" fontId="132" fillId="0" borderId="0" xfId="0" applyNumberFormat="1" applyFont="1" applyAlignment="1">
      <alignment horizontal="center"/>
    </xf>
    <xf numFmtId="172" fontId="12" fillId="0" borderId="0" xfId="274" applyFont="1" applyAlignment="1"/>
    <xf numFmtId="173" fontId="12" fillId="0" borderId="0" xfId="0" applyNumberFormat="1" applyFont="1" applyAlignment="1"/>
    <xf numFmtId="0" fontId="12" fillId="0" borderId="0" xfId="280" applyFont="1"/>
    <xf numFmtId="0" fontId="12" fillId="0" borderId="0" xfId="0" applyNumberFormat="1" applyFont="1" applyAlignment="1">
      <alignment horizontal="center"/>
    </xf>
    <xf numFmtId="0" fontId="12" fillId="0" borderId="14" xfId="0" applyNumberFormat="1" applyFont="1" applyBorder="1" applyAlignment="1">
      <alignment horizontal="center"/>
    </xf>
    <xf numFmtId="173" fontId="8" fillId="34" borderId="31" xfId="91" applyNumberFormat="1" applyFont="1" applyFill="1" applyBorder="1" applyAlignment="1">
      <alignment horizontal="right"/>
    </xf>
    <xf numFmtId="173" fontId="8" fillId="34" borderId="0" xfId="91" applyNumberFormat="1" applyFont="1" applyFill="1" applyBorder="1" applyAlignment="1">
      <alignment horizontal="right"/>
    </xf>
    <xf numFmtId="0" fontId="12" fillId="0" borderId="32" xfId="0" applyNumberFormat="1" applyFont="1" applyBorder="1" applyAlignment="1">
      <alignment horizontal="center"/>
    </xf>
    <xf numFmtId="0" fontId="12" fillId="0" borderId="33" xfId="0" applyNumberFormat="1" applyFont="1" applyBorder="1" applyAlignment="1">
      <alignment horizontal="center"/>
    </xf>
    <xf numFmtId="3" fontId="12" fillId="0" borderId="34" xfId="224" applyNumberFormat="1" applyFont="1" applyFill="1" applyBorder="1" applyAlignment="1">
      <alignment horizontal="center" wrapText="1"/>
    </xf>
    <xf numFmtId="3" fontId="12" fillId="0" borderId="11" xfId="224" applyNumberFormat="1" applyFont="1" applyFill="1" applyBorder="1" applyAlignment="1">
      <alignment horizontal="center" wrapText="1"/>
    </xf>
    <xf numFmtId="3" fontId="12" fillId="0" borderId="32" xfId="224" applyNumberFormat="1" applyFont="1" applyFill="1" applyBorder="1" applyAlignment="1">
      <alignment horizontal="center" wrapText="1"/>
    </xf>
    <xf numFmtId="0" fontId="9" fillId="0" borderId="0" xfId="280" applyFont="1" applyBorder="1" applyAlignment="1">
      <alignment horizontal="center"/>
    </xf>
    <xf numFmtId="0" fontId="9" fillId="0" borderId="31" xfId="280" applyFont="1" applyBorder="1" applyAlignment="1">
      <alignment horizontal="center"/>
    </xf>
    <xf numFmtId="0" fontId="9" fillId="0" borderId="33" xfId="280" applyFont="1" applyBorder="1" applyAlignment="1">
      <alignment horizontal="center"/>
    </xf>
    <xf numFmtId="0" fontId="9" fillId="0" borderId="31" xfId="280" applyFont="1" applyBorder="1" applyAlignment="1">
      <alignment horizontal="center" wrapText="1"/>
    </xf>
    <xf numFmtId="0" fontId="9" fillId="0" borderId="0" xfId="280" applyFont="1" applyBorder="1" applyAlignment="1">
      <alignment horizontal="center" wrapText="1"/>
    </xf>
    <xf numFmtId="0" fontId="9" fillId="0" borderId="33" xfId="280" applyFont="1" applyBorder="1" applyAlignment="1">
      <alignment horizontal="center" wrapText="1"/>
    </xf>
    <xf numFmtId="0" fontId="12" fillId="0" borderId="33" xfId="0" applyNumberFormat="1" applyFont="1" applyBorder="1" applyAlignment="1">
      <alignment horizontal="center" wrapText="1"/>
    </xf>
    <xf numFmtId="0" fontId="12" fillId="0" borderId="35" xfId="0" applyFont="1" applyBorder="1" applyAlignment="1"/>
    <xf numFmtId="0" fontId="12" fillId="0" borderId="2" xfId="0" applyFont="1" applyBorder="1" applyAlignment="1"/>
    <xf numFmtId="0" fontId="12" fillId="0" borderId="36" xfId="0" applyFont="1" applyBorder="1" applyAlignment="1"/>
    <xf numFmtId="0" fontId="9" fillId="0" borderId="2" xfId="280" applyFont="1" applyBorder="1" applyAlignment="1">
      <alignment horizontal="centerContinuous" wrapText="1"/>
    </xf>
    <xf numFmtId="0" fontId="12" fillId="0" borderId="36" xfId="0" applyNumberFormat="1" applyFont="1" applyBorder="1" applyAlignment="1">
      <alignment horizontal="center"/>
    </xf>
    <xf numFmtId="37" fontId="12" fillId="0" borderId="0" xfId="280" applyNumberFormat="1" applyFont="1"/>
    <xf numFmtId="173" fontId="12" fillId="0" borderId="14" xfId="91" applyNumberFormat="1" applyFont="1" applyBorder="1"/>
    <xf numFmtId="0" fontId="12" fillId="0" borderId="37" xfId="280" applyFont="1" applyBorder="1" applyAlignment="1">
      <alignment horizontal="right"/>
    </xf>
    <xf numFmtId="0" fontId="12" fillId="0" borderId="38" xfId="0" applyNumberFormat="1" applyFont="1" applyBorder="1" applyAlignment="1">
      <alignment horizontal="center"/>
    </xf>
    <xf numFmtId="0" fontId="12" fillId="0" borderId="34" xfId="280" applyFont="1" applyBorder="1"/>
    <xf numFmtId="0" fontId="12" fillId="0" borderId="31" xfId="280" applyFont="1" applyBorder="1"/>
    <xf numFmtId="0" fontId="12" fillId="0" borderId="31" xfId="280" quotePrefix="1" applyFont="1" applyBorder="1" applyAlignment="1">
      <alignment horizontal="left"/>
    </xf>
    <xf numFmtId="3" fontId="24" fillId="0" borderId="34" xfId="224" applyNumberFormat="1" applyFont="1" applyFill="1" applyBorder="1" applyAlignment="1">
      <alignment horizontal="center" wrapText="1"/>
    </xf>
    <xf numFmtId="3" fontId="24" fillId="0" borderId="11" xfId="224" applyNumberFormat="1" applyFont="1" applyFill="1" applyBorder="1" applyAlignment="1">
      <alignment horizontal="center" wrapText="1"/>
    </xf>
    <xf numFmtId="0" fontId="9" fillId="0" borderId="31" xfId="267" applyFont="1" applyFill="1" applyBorder="1" applyAlignment="1">
      <alignment horizontal="center" wrapText="1"/>
    </xf>
    <xf numFmtId="0" fontId="9" fillId="0" borderId="35" xfId="280" applyFont="1" applyBorder="1" applyAlignment="1">
      <alignment horizontal="center" wrapText="1"/>
    </xf>
    <xf numFmtId="0" fontId="12" fillId="0" borderId="36" xfId="0" applyNumberFormat="1" applyFont="1" applyBorder="1" applyAlignment="1">
      <alignment horizontal="center" wrapText="1"/>
    </xf>
    <xf numFmtId="0" fontId="9" fillId="0" borderId="0" xfId="280" applyFont="1" applyAlignment="1">
      <alignment horizontal="centerContinuous"/>
    </xf>
    <xf numFmtId="0" fontId="12" fillId="0" borderId="0" xfId="202" applyFont="1"/>
    <xf numFmtId="0" fontId="9" fillId="0" borderId="0" xfId="280" applyFont="1" applyAlignment="1">
      <alignment horizontal="center"/>
    </xf>
    <xf numFmtId="0" fontId="12" fillId="0" borderId="0" xfId="280" applyFont="1" applyFill="1" applyAlignment="1">
      <alignment horizontal="left"/>
    </xf>
    <xf numFmtId="0" fontId="12" fillId="0" borderId="0" xfId="224" applyFont="1" applyFill="1" applyBorder="1" applyAlignment="1">
      <alignment horizontal="left"/>
    </xf>
    <xf numFmtId="0" fontId="17" fillId="0" borderId="0" xfId="224" applyFont="1" applyBorder="1" applyAlignment="1">
      <alignment horizontal="center" vertical="center"/>
    </xf>
    <xf numFmtId="0" fontId="17" fillId="0" borderId="0" xfId="268" applyFont="1" applyAlignment="1">
      <alignment horizontal="center" vertical="center" wrapText="1"/>
    </xf>
    <xf numFmtId="0" fontId="17" fillId="0" borderId="0" xfId="224" quotePrefix="1" applyFont="1" applyBorder="1" applyAlignment="1">
      <alignment horizontal="center" vertical="center" wrapText="1"/>
    </xf>
    <xf numFmtId="0" fontId="17" fillId="0" borderId="0" xfId="224"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3" fillId="0" borderId="0" xfId="86" applyNumberFormat="1" applyFont="1" applyFill="1" applyAlignment="1" applyProtection="1">
      <alignment horizontal="left"/>
      <protection locked="0"/>
    </xf>
    <xf numFmtId="173" fontId="63" fillId="0" borderId="11" xfId="86"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96" fillId="0" borderId="0" xfId="280" applyFont="1" applyAlignment="1">
      <alignment horizontal="centerContinuous"/>
    </xf>
    <xf numFmtId="0" fontId="15" fillId="0" borderId="0" xfId="280" applyFont="1" applyFill="1" applyAlignment="1">
      <alignment horizontal="left"/>
    </xf>
    <xf numFmtId="0" fontId="96" fillId="0" borderId="0" xfId="280" applyFont="1" applyAlignment="1">
      <alignment horizontal="center"/>
    </xf>
    <xf numFmtId="0" fontId="9" fillId="0" borderId="39" xfId="280" applyFont="1" applyBorder="1" applyAlignment="1">
      <alignment horizontal="center" wrapText="1"/>
    </xf>
    <xf numFmtId="0" fontId="9" fillId="0" borderId="10" xfId="280" applyFont="1" applyBorder="1" applyAlignment="1">
      <alignment horizontal="center"/>
    </xf>
    <xf numFmtId="3" fontId="24" fillId="0" borderId="32" xfId="224" applyNumberFormat="1" applyFont="1" applyFill="1" applyBorder="1" applyAlignment="1">
      <alignment horizontal="center" wrapText="1"/>
    </xf>
    <xf numFmtId="3" fontId="24" fillId="0" borderId="40" xfId="224" applyNumberFormat="1" applyFont="1" applyFill="1" applyBorder="1" applyAlignment="1">
      <alignment wrapText="1"/>
    </xf>
    <xf numFmtId="173" fontId="8" fillId="30" borderId="0" xfId="114" applyNumberFormat="1" applyFont="1" applyFill="1" applyAlignment="1" applyProtection="1">
      <protection locked="0"/>
    </xf>
    <xf numFmtId="41" fontId="12" fillId="0" borderId="10" xfId="280" applyNumberFormat="1" applyFont="1" applyFill="1" applyBorder="1"/>
    <xf numFmtId="3" fontId="24" fillId="0" borderId="40" xfId="224" applyNumberFormat="1" applyFont="1" applyFill="1" applyBorder="1" applyAlignment="1">
      <alignment horizontal="center" wrapText="1"/>
    </xf>
    <xf numFmtId="0" fontId="15" fillId="0" borderId="0" xfId="280" applyFont="1"/>
    <xf numFmtId="37" fontId="15" fillId="0" borderId="0" xfId="280" applyNumberFormat="1" applyFont="1"/>
    <xf numFmtId="172" fontId="15" fillId="0" borderId="0" xfId="274" applyFont="1" applyAlignment="1"/>
    <xf numFmtId="0" fontId="12" fillId="0" borderId="0" xfId="270" applyFont="1" applyFill="1" applyAlignment="1" applyProtection="1">
      <alignment vertical="top"/>
    </xf>
    <xf numFmtId="0" fontId="133" fillId="0" borderId="0" xfId="0" applyNumberFormat="1" applyFont="1" applyAlignment="1">
      <alignment horizontal="center"/>
    </xf>
    <xf numFmtId="0" fontId="95" fillId="0" borderId="0" xfId="271"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271" applyFont="1" applyFill="1" applyAlignment="1" applyProtection="1">
      <alignment horizontal="left"/>
    </xf>
    <xf numFmtId="173" fontId="12" fillId="0" borderId="0" xfId="90" applyNumberFormat="1" applyFont="1" applyFill="1" applyProtection="1"/>
    <xf numFmtId="0" fontId="12" fillId="0" borderId="0" xfId="271" applyFont="1" applyFill="1" applyProtection="1"/>
    <xf numFmtId="0" fontId="12" fillId="0" borderId="0" xfId="196"/>
    <xf numFmtId="0" fontId="12" fillId="0" borderId="0" xfId="271" applyFont="1" applyFill="1" applyAlignment="1" applyProtection="1">
      <alignment horizontal="left"/>
    </xf>
    <xf numFmtId="173" fontId="8" fillId="34" borderId="0" xfId="90" applyNumberFormat="1" applyFont="1" applyFill="1" applyProtection="1">
      <protection locked="0"/>
    </xf>
    <xf numFmtId="0" fontId="12" fillId="0" borderId="0" xfId="270" applyFont="1" applyFill="1" applyAlignment="1" applyProtection="1">
      <alignment horizontal="left"/>
    </xf>
    <xf numFmtId="173" fontId="8" fillId="0" borderId="0" xfId="90" applyNumberFormat="1" applyFont="1" applyFill="1" applyProtection="1">
      <protection locked="0"/>
    </xf>
    <xf numFmtId="0" fontId="12" fillId="0" borderId="0" xfId="196" applyProtection="1"/>
    <xf numFmtId="10" fontId="12" fillId="0" borderId="0" xfId="289" applyNumberFormat="1" applyFont="1" applyFill="1" applyBorder="1" applyProtection="1"/>
    <xf numFmtId="173" fontId="8" fillId="30" borderId="6" xfId="90" applyNumberFormat="1" applyFont="1" applyFill="1" applyBorder="1" applyAlignment="1" applyProtection="1">
      <protection locked="0"/>
    </xf>
    <xf numFmtId="10" fontId="9" fillId="0" borderId="0" xfId="289" applyNumberFormat="1" applyFont="1" applyFill="1" applyBorder="1" applyProtection="1"/>
    <xf numFmtId="0" fontId="9" fillId="0" borderId="0" xfId="271" applyFont="1" applyFill="1" applyProtection="1"/>
    <xf numFmtId="173" fontId="12" fillId="0" borderId="0" xfId="289" applyNumberFormat="1" applyFont="1" applyFill="1" applyBorder="1" applyProtection="1"/>
    <xf numFmtId="10" fontId="9" fillId="0" borderId="41" xfId="289" applyNumberFormat="1" applyFont="1" applyFill="1" applyBorder="1" applyProtection="1"/>
    <xf numFmtId="0" fontId="105" fillId="0" borderId="0" xfId="196" applyFont="1" applyAlignment="1" applyProtection="1">
      <alignment horizontal="center"/>
    </xf>
    <xf numFmtId="0" fontId="15" fillId="0" borderId="0" xfId="271" applyFont="1" applyFill="1" applyProtection="1"/>
    <xf numFmtId="0" fontId="15" fillId="0" borderId="0" xfId="271" applyFont="1" applyProtection="1"/>
    <xf numFmtId="41" fontId="9" fillId="0" borderId="0" xfId="271" applyNumberFormat="1" applyFont="1" applyFill="1" applyBorder="1" applyAlignment="1" applyProtection="1">
      <alignment horizontal="center" wrapText="1"/>
    </xf>
    <xf numFmtId="0" fontId="9" fillId="0" borderId="0" xfId="271" applyFont="1" applyFill="1" applyAlignment="1" applyProtection="1">
      <alignment horizontal="center" wrapText="1"/>
    </xf>
    <xf numFmtId="0" fontId="8" fillId="34" borderId="0" xfId="271" applyFont="1" applyFill="1" applyProtection="1">
      <protection locked="0"/>
    </xf>
    <xf numFmtId="173" fontId="15" fillId="0" borderId="0" xfId="271" applyNumberFormat="1" applyFont="1" applyFill="1" applyProtection="1"/>
    <xf numFmtId="0" fontId="85" fillId="34" borderId="0" xfId="271" applyFont="1" applyFill="1" applyProtection="1">
      <protection locked="0"/>
    </xf>
    <xf numFmtId="0" fontId="12" fillId="0" borderId="11" xfId="0" applyFont="1" applyBorder="1" applyProtection="1"/>
    <xf numFmtId="0" fontId="15" fillId="0" borderId="11" xfId="271" applyFont="1" applyFill="1" applyBorder="1" applyProtection="1"/>
    <xf numFmtId="0" fontId="12" fillId="31" borderId="0" xfId="271" applyFont="1" applyFill="1" applyAlignment="1" applyProtection="1">
      <alignment horizontal="left"/>
    </xf>
    <xf numFmtId="41" fontId="12" fillId="0" borderId="0" xfId="289" applyNumberFormat="1" applyFont="1" applyFill="1" applyBorder="1" applyProtection="1"/>
    <xf numFmtId="173" fontId="15" fillId="0" borderId="0" xfId="271" applyNumberFormat="1" applyFont="1" applyProtection="1"/>
    <xf numFmtId="184" fontId="12" fillId="0" borderId="0" xfId="90" applyNumberFormat="1" applyFont="1" applyFill="1" applyBorder="1" applyProtection="1"/>
    <xf numFmtId="10" fontId="15" fillId="0" borderId="0" xfId="289" applyNumberFormat="1" applyFont="1" applyFill="1" applyProtection="1"/>
    <xf numFmtId="173" fontId="12" fillId="0" borderId="0" xfId="90" applyNumberFormat="1" applyFont="1" applyFill="1" applyBorder="1" applyProtection="1"/>
    <xf numFmtId="173" fontId="9" fillId="0" borderId="41" xfId="90" applyNumberFormat="1" applyFont="1" applyFill="1" applyBorder="1" applyProtection="1"/>
    <xf numFmtId="0" fontId="95" fillId="0" borderId="0" xfId="271" applyFont="1" applyFill="1" applyAlignment="1" applyProtection="1">
      <alignment horizontal="left"/>
    </xf>
    <xf numFmtId="0" fontId="15" fillId="0" borderId="0" xfId="271" applyFont="1" applyFill="1" applyAlignment="1" applyProtection="1">
      <alignment horizontal="left"/>
    </xf>
    <xf numFmtId="0" fontId="17" fillId="0" borderId="0" xfId="271" applyFont="1" applyFill="1" applyAlignment="1" applyProtection="1">
      <alignment horizontal="left"/>
    </xf>
    <xf numFmtId="0" fontId="17" fillId="0" borderId="0" xfId="271" applyFont="1" applyFill="1" applyAlignment="1" applyProtection="1">
      <alignment horizontal="center" wrapText="1"/>
    </xf>
    <xf numFmtId="0" fontId="12" fillId="0" borderId="0" xfId="271" applyFill="1" applyProtection="1"/>
    <xf numFmtId="164" fontId="8" fillId="34" borderId="0" xfId="289" applyNumberFormat="1" applyFont="1" applyFill="1" applyAlignment="1" applyProtection="1">
      <alignment horizontal="right" wrapText="1"/>
      <protection locked="0"/>
    </xf>
    <xf numFmtId="44" fontId="8" fillId="34" borderId="0" xfId="125" applyFont="1" applyFill="1" applyAlignment="1" applyProtection="1">
      <alignment horizontal="right" wrapText="1"/>
      <protection locked="0"/>
    </xf>
    <xf numFmtId="41" fontId="8" fillId="0" borderId="0" xfId="271" applyNumberFormat="1" applyFont="1" applyFill="1" applyBorder="1" applyProtection="1"/>
    <xf numFmtId="173" fontId="12" fillId="0" borderId="0" xfId="90" applyNumberFormat="1" applyFill="1" applyProtection="1"/>
    <xf numFmtId="41" fontId="12" fillId="0" borderId="0" xfId="0" applyNumberFormat="1" applyFont="1" applyFill="1" applyProtection="1"/>
    <xf numFmtId="41" fontId="12" fillId="0" borderId="0" xfId="271" applyNumberFormat="1" applyFill="1" applyBorder="1" applyProtection="1"/>
    <xf numFmtId="41" fontId="96" fillId="0" borderId="0" xfId="271" applyNumberFormat="1" applyFont="1" applyFill="1" applyProtection="1"/>
    <xf numFmtId="41" fontId="12" fillId="0" borderId="12" xfId="271" applyNumberFormat="1" applyFont="1" applyFill="1" applyBorder="1" applyProtection="1"/>
    <xf numFmtId="41" fontId="9" fillId="0" borderId="39" xfId="271" applyNumberFormat="1" applyFont="1" applyFill="1" applyBorder="1" applyProtection="1"/>
    <xf numFmtId="0" fontId="9" fillId="0" borderId="0" xfId="271"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2"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2" xfId="0" applyNumberFormat="1" applyFont="1" applyFill="1" applyBorder="1" applyAlignment="1"/>
    <xf numFmtId="37" fontId="0" fillId="0" borderId="43"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4"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2"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165" fillId="0" borderId="43" xfId="0" applyNumberFormat="1" applyFont="1" applyFill="1" applyBorder="1" applyAlignment="1"/>
    <xf numFmtId="37" fontId="165" fillId="0" borderId="0" xfId="0" applyNumberFormat="1" applyFont="1" applyFill="1" applyAlignment="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6" fillId="0" borderId="0" xfId="277" applyNumberFormat="1" applyFont="1" applyFill="1" applyAlignment="1" applyProtection="1">
      <alignment horizontal="center"/>
    </xf>
    <xf numFmtId="172" fontId="167" fillId="0" borderId="0" xfId="277" applyFont="1" applyFill="1" applyAlignment="1" applyProtection="1"/>
    <xf numFmtId="197" fontId="8" fillId="34" borderId="0" xfId="268" applyNumberFormat="1" applyFont="1" applyFill="1" applyProtection="1">
      <protection locked="0"/>
    </xf>
    <xf numFmtId="0" fontId="168" fillId="0" borderId="0" xfId="0" applyFont="1" applyFill="1" applyAlignment="1">
      <alignment horizontal="left"/>
    </xf>
    <xf numFmtId="10" fontId="71" fillId="34" borderId="0" xfId="286" applyNumberFormat="1" applyFont="1" applyFill="1" applyAlignment="1" applyProtection="1">
      <alignment horizontal="center"/>
      <protection locked="0"/>
    </xf>
    <xf numFmtId="10" fontId="71" fillId="34" borderId="0" xfId="278" applyNumberFormat="1" applyFont="1" applyFill="1" applyAlignment="1" applyProtection="1">
      <alignment horizontal="center"/>
      <protection locked="0"/>
    </xf>
    <xf numFmtId="173" fontId="18" fillId="0" borderId="0" xfId="278" applyNumberFormat="1" applyFont="1"/>
    <xf numFmtId="0" fontId="18" fillId="0" borderId="0" xfId="278" applyNumberFormat="1" applyFont="1" applyAlignment="1">
      <alignment horizontal="center" vertical="center"/>
    </xf>
    <xf numFmtId="0" fontId="18" fillId="0" borderId="0" xfId="278" applyNumberFormat="1" applyFont="1" applyAlignment="1">
      <alignment vertical="center"/>
    </xf>
    <xf numFmtId="0" fontId="71" fillId="0" borderId="0" xfId="278" applyFont="1" applyFill="1" applyAlignment="1">
      <alignment horizontal="center"/>
    </xf>
    <xf numFmtId="0" fontId="169" fillId="0" borderId="0" xfId="278" applyFont="1" applyFill="1" applyAlignment="1">
      <alignment horizontal="right"/>
    </xf>
    <xf numFmtId="173" fontId="169" fillId="0" borderId="0" xfId="278" applyNumberFormat="1" applyFont="1" applyFill="1"/>
    <xf numFmtId="0" fontId="18" fillId="0" borderId="0" xfId="278" applyFont="1" applyAlignment="1">
      <alignment horizontal="left" indent="2"/>
    </xf>
    <xf numFmtId="173" fontId="170" fillId="0" borderId="0" xfId="278" applyNumberFormat="1" applyFont="1" applyBorder="1"/>
    <xf numFmtId="173" fontId="170" fillId="0" borderId="0" xfId="278" applyNumberFormat="1" applyFont="1"/>
    <xf numFmtId="0" fontId="138" fillId="0" borderId="0" xfId="278" applyNumberFormat="1" applyFont="1" applyAlignment="1">
      <alignment horizontal="center"/>
    </xf>
    <xf numFmtId="0" fontId="138" fillId="0" borderId="0" xfId="278" applyNumberFormat="1" applyFont="1"/>
    <xf numFmtId="0" fontId="139" fillId="0" borderId="0" xfId="278" applyFont="1"/>
    <xf numFmtId="0" fontId="138" fillId="0" borderId="0" xfId="278" applyFont="1" applyFill="1" applyBorder="1"/>
    <xf numFmtId="0" fontId="138" fillId="0" borderId="0" xfId="278" applyFont="1"/>
    <xf numFmtId="173" fontId="138" fillId="0" borderId="0" xfId="278" applyNumberFormat="1" applyFont="1" applyBorder="1"/>
    <xf numFmtId="173" fontId="138" fillId="0" borderId="0" xfId="278" applyNumberFormat="1" applyFont="1" applyFill="1" applyBorder="1"/>
    <xf numFmtId="0" fontId="5" fillId="0" borderId="0" xfId="277" applyNumberFormat="1" applyFont="1" applyFill="1" applyAlignment="1" applyProtection="1">
      <alignment horizontal="left" wrapText="1"/>
    </xf>
    <xf numFmtId="0" fontId="171" fillId="0" borderId="11" xfId="278" applyNumberFormat="1" applyFont="1" applyFill="1" applyBorder="1" applyAlignment="1">
      <alignment horizontal="center"/>
    </xf>
    <xf numFmtId="0" fontId="171" fillId="0" borderId="2" xfId="278" applyNumberFormat="1" applyFont="1" applyFill="1" applyBorder="1" applyAlignment="1">
      <alignment horizontal="center"/>
    </xf>
    <xf numFmtId="0" fontId="74" fillId="0" borderId="0" xfId="278" applyFont="1" applyFill="1" applyAlignment="1">
      <alignment horizontal="center" vertical="center"/>
    </xf>
    <xf numFmtId="0" fontId="18" fillId="0" borderId="11" xfId="278" applyNumberFormat="1" applyFont="1" applyBorder="1" applyAlignment="1">
      <alignment horizontal="center"/>
    </xf>
    <xf numFmtId="0" fontId="18" fillId="0" borderId="11" xfId="278" applyNumberFormat="1" applyFont="1" applyBorder="1"/>
    <xf numFmtId="0" fontId="18" fillId="0" borderId="11" xfId="278" applyFont="1" applyBorder="1"/>
    <xf numFmtId="173" fontId="78" fillId="0" borderId="11" xfId="278" applyNumberFormat="1" applyFont="1" applyFill="1" applyBorder="1" applyProtection="1">
      <protection locked="0"/>
    </xf>
    <xf numFmtId="173" fontId="71" fillId="0" borderId="11" xfId="278" applyNumberFormat="1" applyFont="1" applyFill="1" applyBorder="1"/>
    <xf numFmtId="0" fontId="71" fillId="0" borderId="11" xfId="278" applyFont="1" applyFill="1" applyBorder="1" applyAlignment="1" applyProtection="1">
      <alignment horizontal="center"/>
      <protection locked="0"/>
    </xf>
    <xf numFmtId="173" fontId="71" fillId="0" borderId="11" xfId="86" applyNumberFormat="1" applyFont="1" applyFill="1" applyBorder="1" applyAlignment="1" applyProtection="1">
      <alignment horizontal="center"/>
      <protection locked="0"/>
    </xf>
    <xf numFmtId="0" fontId="140" fillId="0" borderId="0" xfId="277" applyNumberFormat="1" applyFont="1" applyFill="1" applyAlignment="1" applyProtection="1">
      <alignment horizontal="center"/>
    </xf>
    <xf numFmtId="172" fontId="166" fillId="0" borderId="0" xfId="277" applyFont="1" applyFill="1" applyAlignment="1" applyProtection="1"/>
    <xf numFmtId="0" fontId="8" fillId="34" borderId="0" xfId="91" applyNumberFormat="1" applyFont="1" applyFill="1" applyBorder="1" applyAlignment="1" applyProtection="1">
      <alignment horizontal="center"/>
      <protection locked="0"/>
    </xf>
    <xf numFmtId="41" fontId="8" fillId="34" borderId="0" xfId="270" applyNumberFormat="1" applyFont="1" applyFill="1"/>
    <xf numFmtId="172" fontId="6" fillId="0" borderId="0" xfId="277" applyFont="1" applyFill="1" applyAlignment="1" applyProtection="1">
      <alignment horizontal="center"/>
    </xf>
    <xf numFmtId="3" fontId="6" fillId="0" borderId="0" xfId="277" applyNumberFormat="1" applyFont="1" applyFill="1" applyAlignment="1" applyProtection="1">
      <alignment horizontal="center" vertical="center"/>
    </xf>
    <xf numFmtId="0" fontId="3" fillId="0" borderId="0" xfId="277" applyNumberFormat="1" applyFont="1" applyFill="1" applyBorder="1" applyAlignment="1" applyProtection="1">
      <alignment horizontal="center"/>
    </xf>
    <xf numFmtId="3" fontId="14" fillId="0" borderId="0" xfId="277" applyNumberFormat="1" applyFont="1" applyFill="1" applyAlignment="1" applyProtection="1">
      <alignment horizontal="center"/>
    </xf>
    <xf numFmtId="0" fontId="3" fillId="0" borderId="6" xfId="277" applyNumberFormat="1" applyFont="1" applyFill="1" applyBorder="1" applyAlignment="1" applyProtection="1">
      <alignment horizontal="center"/>
    </xf>
    <xf numFmtId="0" fontId="5" fillId="0" borderId="0" xfId="277" applyNumberFormat="1" applyFont="1" applyFill="1" applyBorder="1" applyAlignment="1" applyProtection="1">
      <alignment vertical="center"/>
    </xf>
    <xf numFmtId="41" fontId="5" fillId="0" borderId="38" xfId="277"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281" applyFont="1" applyFill="1" applyAlignment="1" applyProtection="1">
      <alignment horizontal="center"/>
    </xf>
    <xf numFmtId="38" fontId="8" fillId="0" borderId="0" xfId="0" applyNumberFormat="1" applyFont="1" applyFill="1" applyBorder="1" applyProtection="1">
      <protection locked="0"/>
    </xf>
    <xf numFmtId="0" fontId="6" fillId="0" borderId="0" xfId="269" applyFont="1" applyFill="1" applyBorder="1"/>
    <xf numFmtId="0" fontId="73" fillId="0" borderId="0" xfId="278" applyFont="1" applyFill="1" applyAlignment="1">
      <alignment vertical="center" wrapText="1"/>
    </xf>
    <xf numFmtId="0" fontId="6" fillId="0" borderId="0" xfId="268" quotePrefix="1" applyFont="1" applyFill="1" applyBorder="1" applyAlignment="1">
      <alignment horizontal="center"/>
    </xf>
    <xf numFmtId="0" fontId="4" fillId="0" borderId="11" xfId="278" applyNumberFormat="1" applyFont="1" applyFill="1" applyBorder="1" applyAlignment="1">
      <alignment horizontal="center" wrapText="1"/>
    </xf>
    <xf numFmtId="0" fontId="4" fillId="0" borderId="11" xfId="278" applyNumberFormat="1" applyFont="1" applyFill="1" applyBorder="1" applyAlignment="1">
      <alignment horizontal="center" vertical="center"/>
    </xf>
    <xf numFmtId="183" fontId="4" fillId="0" borderId="11" xfId="278" applyNumberFormat="1" applyFont="1" applyFill="1" applyBorder="1" applyAlignment="1">
      <alignment horizontal="center" vertical="center" wrapText="1"/>
    </xf>
    <xf numFmtId="0" fontId="4" fillId="0" borderId="11" xfId="278" applyNumberFormat="1" applyFont="1" applyFill="1" applyBorder="1" applyAlignment="1">
      <alignment horizontal="center" vertical="center" wrapText="1"/>
    </xf>
    <xf numFmtId="183" fontId="4" fillId="0" borderId="11" xfId="278" applyNumberFormat="1" applyFont="1" applyFill="1" applyBorder="1" applyAlignment="1">
      <alignment horizontal="center" vertical="center"/>
    </xf>
    <xf numFmtId="0" fontId="12" fillId="0" borderId="0" xfId="0" applyFont="1" applyFill="1" applyAlignment="1">
      <alignment vertical="center"/>
    </xf>
    <xf numFmtId="173" fontId="74" fillId="0" borderId="0" xfId="278" applyNumberFormat="1" applyFont="1" applyFill="1" applyBorder="1" applyAlignment="1">
      <alignment vertical="center"/>
    </xf>
    <xf numFmtId="0" fontId="4" fillId="0" borderId="0" xfId="278" applyFont="1" applyFill="1" applyAlignment="1">
      <alignment horizontal="right" vertical="center"/>
    </xf>
    <xf numFmtId="0" fontId="71" fillId="0" borderId="0" xfId="278" applyFont="1" applyFill="1" applyAlignment="1">
      <alignment wrapText="1"/>
    </xf>
    <xf numFmtId="0" fontId="12" fillId="0" borderId="0" xfId="272" applyFont="1" applyFill="1" applyAlignment="1" applyProtection="1">
      <alignment horizontal="left"/>
    </xf>
    <xf numFmtId="0" fontId="12" fillId="0" borderId="0" xfId="196" applyFont="1" applyFill="1" applyAlignment="1" applyProtection="1">
      <alignment wrapText="1"/>
    </xf>
    <xf numFmtId="0" fontId="12" fillId="0" borderId="0" xfId="196" applyFont="1" applyFill="1" applyProtection="1"/>
    <xf numFmtId="173" fontId="71" fillId="0" borderId="0" xfId="86" applyNumberFormat="1" applyFont="1" applyFill="1" applyAlignment="1" applyProtection="1">
      <alignment horizontal="center"/>
      <protection locked="0"/>
    </xf>
    <xf numFmtId="0" fontId="111" fillId="0" borderId="0" xfId="279" applyFont="1" applyProtection="1">
      <protection locked="0"/>
    </xf>
    <xf numFmtId="0" fontId="77" fillId="0" borderId="0" xfId="279" applyFont="1"/>
    <xf numFmtId="0" fontId="112" fillId="0" borderId="0" xfId="279" applyFont="1" applyAlignment="1">
      <alignment horizontal="center"/>
    </xf>
    <xf numFmtId="0" fontId="113" fillId="0" borderId="0" xfId="279" applyFont="1" applyProtection="1">
      <protection locked="0"/>
    </xf>
    <xf numFmtId="175" fontId="112" fillId="0" borderId="0" xfId="279" applyNumberFormat="1" applyFont="1" applyAlignment="1">
      <alignment horizontal="center"/>
    </xf>
    <xf numFmtId="0" fontId="112" fillId="0" borderId="0" xfId="279" applyFont="1"/>
    <xf numFmtId="0" fontId="3" fillId="0" borderId="0" xfId="279"/>
    <xf numFmtId="175" fontId="3" fillId="0" borderId="0" xfId="279" applyNumberFormat="1"/>
    <xf numFmtId="0" fontId="114" fillId="0" borderId="0" xfId="279" applyFont="1" applyProtection="1">
      <protection locked="0"/>
    </xf>
    <xf numFmtId="175" fontId="111" fillId="0" borderId="0" xfId="279" applyNumberFormat="1" applyFont="1" applyProtection="1">
      <protection locked="0"/>
    </xf>
    <xf numFmtId="0" fontId="115" fillId="0" borderId="16" xfId="279" applyFont="1" applyBorder="1"/>
    <xf numFmtId="0" fontId="111" fillId="0" borderId="16" xfId="279" applyFont="1" applyBorder="1" applyProtection="1">
      <protection locked="0"/>
    </xf>
    <xf numFmtId="0" fontId="111" fillId="0" borderId="0" xfId="279" applyFont="1" applyBorder="1" applyProtection="1">
      <protection locked="0"/>
    </xf>
    <xf numFmtId="0" fontId="3" fillId="0" borderId="0" xfId="279" applyFont="1" applyBorder="1"/>
    <xf numFmtId="0" fontId="116" fillId="0" borderId="0" xfId="279" applyFont="1" applyProtection="1">
      <protection locked="0"/>
    </xf>
    <xf numFmtId="0" fontId="117" fillId="0" borderId="0" xfId="279" applyFont="1"/>
    <xf numFmtId="0" fontId="118" fillId="0" borderId="0" xfId="279" applyFont="1"/>
    <xf numFmtId="0" fontId="5" fillId="0" borderId="0" xfId="276" applyFont="1"/>
    <xf numFmtId="0" fontId="12" fillId="0" borderId="0" xfId="276"/>
    <xf numFmtId="0" fontId="12" fillId="0" borderId="0" xfId="276" applyAlignment="1">
      <alignment horizontal="center"/>
    </xf>
    <xf numFmtId="0" fontId="142" fillId="0" borderId="0" xfId="279" applyFont="1" applyAlignment="1">
      <alignment horizontal="center"/>
    </xf>
    <xf numFmtId="0" fontId="12" fillId="0" borderId="0" xfId="178" applyAlignment="1">
      <alignment wrapText="1"/>
    </xf>
    <xf numFmtId="10" fontId="3" fillId="0" borderId="0" xfId="279" applyNumberFormat="1" applyAlignment="1" applyProtection="1">
      <alignment horizontal="center"/>
    </xf>
    <xf numFmtId="0" fontId="115" fillId="0" borderId="0" xfId="279" applyFont="1" applyBorder="1"/>
    <xf numFmtId="0" fontId="3" fillId="0" borderId="0" xfId="279" applyAlignment="1">
      <alignment horizontal="center"/>
    </xf>
    <xf numFmtId="10" fontId="3" fillId="0" borderId="0" xfId="279" applyNumberFormat="1" applyAlignment="1" applyProtection="1">
      <alignment horizontal="right"/>
    </xf>
    <xf numFmtId="193" fontId="77" fillId="0" borderId="0" xfId="279" applyNumberFormat="1" applyFont="1" applyProtection="1"/>
    <xf numFmtId="10" fontId="77" fillId="0" borderId="0" xfId="279" applyNumberFormat="1" applyFont="1" applyProtection="1"/>
    <xf numFmtId="0" fontId="3" fillId="0" borderId="0" xfId="279" applyAlignment="1"/>
    <xf numFmtId="0" fontId="3" fillId="0" borderId="0" xfId="279" applyFont="1" applyFill="1" applyBorder="1"/>
    <xf numFmtId="193" fontId="3" fillId="0" borderId="0" xfId="279" applyNumberFormat="1" applyBorder="1" applyProtection="1"/>
    <xf numFmtId="0" fontId="115" fillId="0" borderId="30" xfId="279" applyFont="1" applyBorder="1"/>
    <xf numFmtId="0" fontId="111" fillId="0" borderId="30" xfId="279" applyFont="1" applyBorder="1" applyProtection="1">
      <protection locked="0"/>
    </xf>
    <xf numFmtId="10" fontId="3" fillId="0" borderId="30" xfId="279" applyNumberFormat="1" applyBorder="1" applyProtection="1"/>
    <xf numFmtId="0" fontId="6" fillId="0" borderId="0" xfId="0" applyFont="1" applyAlignment="1"/>
    <xf numFmtId="0" fontId="5" fillId="0" borderId="0" xfId="0" applyFont="1" applyAlignment="1">
      <alignment horizontal="left" indent="1"/>
    </xf>
    <xf numFmtId="0" fontId="6" fillId="0" borderId="0" xfId="196" applyFont="1" applyAlignment="1">
      <alignment horizontal="right"/>
    </xf>
    <xf numFmtId="0" fontId="12" fillId="0" borderId="45" xfId="0" applyNumberFormat="1" applyFont="1" applyBorder="1" applyAlignment="1">
      <alignment horizontal="center"/>
    </xf>
    <xf numFmtId="0" fontId="12" fillId="0" borderId="46" xfId="280"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24" applyFont="1" applyBorder="1" applyAlignment="1">
      <alignment horizontal="center"/>
    </xf>
    <xf numFmtId="0" fontId="145" fillId="0" borderId="0" xfId="0" applyFont="1" applyAlignment="1">
      <alignment horizontal="center"/>
    </xf>
    <xf numFmtId="0" fontId="146" fillId="0" borderId="0" xfId="224" applyFont="1" applyBorder="1" applyAlignment="1"/>
    <xf numFmtId="0" fontId="140" fillId="0" borderId="0" xfId="224" applyFont="1" applyBorder="1" applyAlignment="1">
      <alignment horizontal="left"/>
    </xf>
    <xf numFmtId="0" fontId="140" fillId="0" borderId="0" xfId="224"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89" fontId="148" fillId="0" borderId="0" xfId="116"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7" fillId="0" borderId="0" xfId="0" applyFont="1" applyAlignment="1">
      <alignment horizontal="center" wrapText="1"/>
    </xf>
    <xf numFmtId="43" fontId="147" fillId="0" borderId="0" xfId="116" applyFont="1" applyAlignment="1">
      <alignment horizontal="center" wrapText="1"/>
    </xf>
    <xf numFmtId="173" fontId="145" fillId="0" borderId="0" xfId="116" applyNumberFormat="1" applyFont="1"/>
    <xf numFmtId="173" fontId="145" fillId="34" borderId="0" xfId="116" applyNumberFormat="1" applyFont="1" applyFill="1" applyProtection="1">
      <protection locked="0"/>
    </xf>
    <xf numFmtId="173" fontId="147" fillId="0" borderId="0" xfId="116" applyNumberFormat="1" applyFont="1" applyAlignment="1">
      <alignment horizontal="center" wrapText="1"/>
    </xf>
    <xf numFmtId="173" fontId="147" fillId="0" borderId="0" xfId="116" applyNumberFormat="1" applyFont="1"/>
    <xf numFmtId="173" fontId="147" fillId="0" borderId="0" xfId="116" applyNumberFormat="1" applyFont="1" applyAlignment="1">
      <alignment horizontal="center"/>
    </xf>
    <xf numFmtId="173" fontId="145" fillId="0" borderId="11" xfId="0" applyNumberFormat="1" applyFont="1" applyBorder="1"/>
    <xf numFmtId="0" fontId="5" fillId="0" borderId="0" xfId="277" applyNumberFormat="1" applyFont="1" applyFill="1" applyAlignment="1" applyProtection="1">
      <alignment horizontal="left" indent="4"/>
    </xf>
    <xf numFmtId="41" fontId="19" fillId="0" borderId="0" xfId="277" applyNumberFormat="1" applyFont="1" applyFill="1" applyAlignment="1" applyProtection="1">
      <protection locked="0"/>
    </xf>
    <xf numFmtId="173" fontId="8" fillId="34" borderId="0" xfId="114" applyNumberFormat="1" applyFont="1" applyFill="1" applyAlignment="1" applyProtection="1">
      <protection locked="0"/>
    </xf>
    <xf numFmtId="0" fontId="12" fillId="34" borderId="0" xfId="224" applyFont="1" applyFill="1" applyBorder="1" applyProtection="1">
      <protection locked="0"/>
    </xf>
    <xf numFmtId="0" fontId="19" fillId="34" borderId="0" xfId="270" applyFont="1" applyFill="1" applyAlignment="1" applyProtection="1">
      <alignment horizontal="center"/>
      <protection locked="0"/>
    </xf>
    <xf numFmtId="41" fontId="19" fillId="34" borderId="0" xfId="270" applyNumberFormat="1" applyFont="1" applyFill="1" applyBorder="1" applyProtection="1">
      <protection locked="0"/>
    </xf>
    <xf numFmtId="10" fontId="71" fillId="0" borderId="0" xfId="289" applyNumberFormat="1" applyFont="1" applyFill="1"/>
    <xf numFmtId="164" fontId="71" fillId="0" borderId="0" xfId="289" applyNumberFormat="1" applyFont="1" applyFill="1"/>
    <xf numFmtId="10" fontId="78" fillId="34" borderId="11" xfId="289" applyNumberFormat="1" applyFont="1" applyFill="1" applyBorder="1" applyProtection="1">
      <protection locked="0"/>
    </xf>
    <xf numFmtId="10" fontId="12" fillId="0" borderId="0" xfId="289" applyNumberFormat="1" applyFont="1" applyFill="1"/>
    <xf numFmtId="10" fontId="71" fillId="0" borderId="11" xfId="289" applyNumberFormat="1" applyFont="1" applyFill="1" applyBorder="1"/>
    <xf numFmtId="173" fontId="71" fillId="0" borderId="0" xfId="90" applyNumberFormat="1" applyFont="1" applyFill="1"/>
    <xf numFmtId="10" fontId="71" fillId="0" borderId="0" xfId="289" applyNumberFormat="1" applyFont="1" applyFill="1" applyBorder="1"/>
    <xf numFmtId="9" fontId="71" fillId="0" borderId="0" xfId="289" applyFont="1" applyFill="1"/>
    <xf numFmtId="10" fontId="71" fillId="31" borderId="0" xfId="289" applyNumberFormat="1" applyFont="1" applyFill="1" applyBorder="1"/>
    <xf numFmtId="10" fontId="71" fillId="31" borderId="0" xfId="289" applyNumberFormat="1" applyFont="1" applyFill="1"/>
    <xf numFmtId="10" fontId="71" fillId="31" borderId="11" xfId="289" applyNumberFormat="1" applyFont="1" applyFill="1" applyBorder="1"/>
    <xf numFmtId="173" fontId="71" fillId="31" borderId="0" xfId="90" applyNumberFormat="1" applyFont="1" applyFill="1"/>
    <xf numFmtId="175" fontId="123" fillId="31" borderId="0" xfId="289" applyNumberFormat="1" applyFont="1" applyFill="1" applyProtection="1">
      <protection locked="0"/>
    </xf>
    <xf numFmtId="173" fontId="12" fillId="0" borderId="0" xfId="90" applyNumberFormat="1" applyFont="1" applyProtection="1"/>
    <xf numFmtId="173" fontId="12" fillId="0" borderId="0" xfId="90" applyNumberFormat="1" applyFont="1" applyBorder="1" applyProtection="1"/>
    <xf numFmtId="0" fontId="19" fillId="34" borderId="0" xfId="90" applyNumberFormat="1" applyFont="1" applyFill="1" applyAlignment="1" applyProtection="1">
      <alignment horizontal="left"/>
      <protection locked="0"/>
    </xf>
    <xf numFmtId="173" fontId="9" fillId="0" borderId="25" xfId="90" applyNumberFormat="1" applyFont="1" applyBorder="1" applyProtection="1"/>
    <xf numFmtId="0" fontId="5" fillId="0" borderId="0" xfId="90" applyNumberFormat="1" applyFont="1" applyFill="1" applyAlignment="1" applyProtection="1">
      <alignment horizontal="left"/>
    </xf>
    <xf numFmtId="0" fontId="5" fillId="0" borderId="0" xfId="90" applyNumberFormat="1" applyFont="1" applyFill="1" applyBorder="1" applyAlignment="1" applyProtection="1">
      <alignment horizontal="left"/>
    </xf>
    <xf numFmtId="0" fontId="6" fillId="0" borderId="0" xfId="90" applyNumberFormat="1" applyFont="1" applyFill="1" applyBorder="1" applyAlignment="1" applyProtection="1">
      <alignment horizontal="left"/>
    </xf>
    <xf numFmtId="173" fontId="9" fillId="0" borderId="29" xfId="90" applyNumberFormat="1" applyFont="1" applyBorder="1" applyProtection="1"/>
    <xf numFmtId="173" fontId="9" fillId="0" borderId="19" xfId="90" applyNumberFormat="1" applyFont="1" applyBorder="1" applyProtection="1"/>
    <xf numFmtId="173" fontId="12" fillId="0" borderId="6" xfId="90" applyNumberFormat="1" applyFont="1" applyBorder="1" applyProtection="1"/>
    <xf numFmtId="173" fontId="12" fillId="0" borderId="20" xfId="90" applyNumberFormat="1" applyFont="1" applyBorder="1" applyProtection="1"/>
    <xf numFmtId="173" fontId="163" fillId="34" borderId="18" xfId="90" applyNumberFormat="1" applyFont="1" applyFill="1" applyBorder="1" applyAlignment="1" applyProtection="1">
      <alignment horizontal="right"/>
      <protection locked="0"/>
    </xf>
    <xf numFmtId="173" fontId="8" fillId="34" borderId="18" xfId="90" applyNumberFormat="1" applyFont="1" applyFill="1" applyBorder="1" applyAlignment="1" applyProtection="1">
      <alignment horizontal="right"/>
      <protection locked="0"/>
    </xf>
    <xf numFmtId="173" fontId="9" fillId="0" borderId="0" xfId="90" applyNumberFormat="1" applyFont="1" applyBorder="1" applyAlignment="1" applyProtection="1">
      <alignment horizontal="center" wrapText="1"/>
    </xf>
    <xf numFmtId="173" fontId="9" fillId="0" borderId="26" xfId="90" applyNumberFormat="1" applyFont="1" applyBorder="1" applyAlignment="1" applyProtection="1">
      <alignment horizontal="center" wrapText="1"/>
    </xf>
    <xf numFmtId="173" fontId="9" fillId="0" borderId="25" xfId="90" applyNumberFormat="1" applyFont="1" applyBorder="1" applyAlignment="1" applyProtection="1">
      <alignment horizontal="center" wrapText="1"/>
    </xf>
    <xf numFmtId="173" fontId="9" fillId="28" borderId="26" xfId="90" applyNumberFormat="1" applyFont="1" applyFill="1" applyBorder="1" applyAlignment="1" applyProtection="1">
      <alignment horizontal="center" wrapText="1"/>
    </xf>
    <xf numFmtId="173" fontId="9" fillId="0" borderId="28" xfId="90" applyNumberFormat="1" applyFont="1" applyBorder="1" applyAlignment="1" applyProtection="1">
      <alignment horizontal="center"/>
    </xf>
    <xf numFmtId="173" fontId="9" fillId="0" borderId="20" xfId="90" applyNumberFormat="1" applyFont="1" applyBorder="1" applyAlignment="1" applyProtection="1">
      <alignment horizontal="center"/>
    </xf>
    <xf numFmtId="173" fontId="9" fillId="28" borderId="28" xfId="90" applyNumberFormat="1" applyFont="1" applyFill="1" applyBorder="1" applyAlignment="1" applyProtection="1">
      <alignment horizontal="center"/>
    </xf>
    <xf numFmtId="173" fontId="12" fillId="0" borderId="27" xfId="90" applyNumberFormat="1" applyFont="1" applyBorder="1" applyProtection="1"/>
    <xf numFmtId="173" fontId="12" fillId="0" borderId="27" xfId="99" applyNumberFormat="1" applyFont="1" applyFill="1" applyBorder="1" applyProtection="1"/>
    <xf numFmtId="173" fontId="12" fillId="0" borderId="18" xfId="99" applyNumberFormat="1" applyFont="1" applyFill="1" applyBorder="1" applyProtection="1"/>
    <xf numFmtId="173" fontId="12" fillId="0" borderId="18" xfId="90" applyNumberFormat="1" applyFont="1" applyBorder="1" applyProtection="1"/>
    <xf numFmtId="0" fontId="12" fillId="36" borderId="27" xfId="0" applyNumberFormat="1" applyFont="1" applyFill="1" applyBorder="1" applyAlignment="1" applyProtection="1">
      <alignment horizontal="center"/>
    </xf>
    <xf numFmtId="173" fontId="12" fillId="31" borderId="0" xfId="0" applyNumberFormat="1" applyFont="1" applyFill="1" applyBorder="1" applyProtection="1"/>
    <xf numFmtId="173" fontId="12" fillId="31" borderId="27" xfId="0" applyNumberFormat="1" applyFont="1" applyFill="1" applyBorder="1" applyProtection="1"/>
    <xf numFmtId="173" fontId="12" fillId="31" borderId="27" xfId="90" applyNumberFormat="1" applyFont="1" applyFill="1" applyBorder="1" applyProtection="1"/>
    <xf numFmtId="173" fontId="12" fillId="31" borderId="18" xfId="90" applyNumberFormat="1" applyFont="1" applyFill="1" applyBorder="1" applyProtection="1"/>
    <xf numFmtId="173" fontId="12" fillId="0" borderId="27" xfId="90" applyNumberFormat="1" applyFont="1" applyFill="1" applyBorder="1" applyProtection="1"/>
    <xf numFmtId="173" fontId="12" fillId="0" borderId="28" xfId="90" applyNumberFormat="1" applyFont="1" applyBorder="1" applyProtection="1"/>
    <xf numFmtId="173" fontId="12" fillId="0" borderId="0" xfId="90" applyNumberFormat="1" applyProtection="1"/>
    <xf numFmtId="174" fontId="163" fillId="34" borderId="27" xfId="0" applyNumberFormat="1" applyFont="1" applyFill="1" applyBorder="1" applyProtection="1">
      <protection locked="0"/>
    </xf>
    <xf numFmtId="174" fontId="165" fillId="28" borderId="27" xfId="0" applyNumberFormat="1" applyFont="1" applyFill="1" applyBorder="1" applyProtection="1"/>
    <xf numFmtId="174" fontId="12" fillId="31" borderId="27" xfId="0" applyNumberFormat="1" applyFont="1" applyFill="1" applyBorder="1" applyProtection="1"/>
    <xf numFmtId="173" fontId="12" fillId="0" borderId="26" xfId="90" applyNumberFormat="1" applyFont="1" applyBorder="1" applyProtection="1"/>
    <xf numFmtId="173" fontId="9" fillId="0" borderId="27" xfId="90" applyNumberFormat="1" applyFont="1" applyBorder="1" applyAlignment="1" applyProtection="1">
      <alignment horizontal="center"/>
    </xf>
    <xf numFmtId="174" fontId="12" fillId="0" borderId="17" xfId="0" applyNumberFormat="1" applyFont="1" applyBorder="1" applyProtection="1"/>
    <xf numFmtId="174" fontId="8" fillId="34" borderId="0" xfId="0" applyNumberFormat="1" applyFont="1" applyFill="1" applyBorder="1" applyProtection="1">
      <protection locked="0"/>
    </xf>
    <xf numFmtId="174" fontId="12" fillId="28" borderId="15" xfId="0" applyNumberFormat="1" applyFont="1" applyFill="1" applyBorder="1" applyProtection="1"/>
    <xf numFmtId="174" fontId="12" fillId="28" borderId="25" xfId="0" applyNumberFormat="1" applyFont="1" applyFill="1" applyBorder="1" applyProtection="1"/>
    <xf numFmtId="174" fontId="12" fillId="28" borderId="0" xfId="0" applyNumberFormat="1" applyFont="1" applyFill="1" applyBorder="1" applyProtection="1"/>
    <xf numFmtId="174" fontId="12" fillId="28" borderId="18" xfId="0" applyNumberFormat="1" applyFont="1" applyFill="1" applyBorder="1" applyProtection="1"/>
    <xf numFmtId="174" fontId="8" fillId="34" borderId="21" xfId="0" applyNumberFormat="1" applyFont="1" applyFill="1" applyBorder="1" applyProtection="1">
      <protection locked="0"/>
    </xf>
    <xf numFmtId="174" fontId="8" fillId="34" borderId="25" xfId="0" applyNumberFormat="1" applyFont="1" applyFill="1" applyBorder="1" applyProtection="1">
      <protection locked="0"/>
    </xf>
    <xf numFmtId="174" fontId="165" fillId="34" borderId="27" xfId="0" applyNumberFormat="1" applyFont="1" applyFill="1" applyBorder="1" applyProtection="1">
      <protection locked="0"/>
    </xf>
    <xf numFmtId="173" fontId="9" fillId="28" borderId="27" xfId="90" applyNumberFormat="1" applyFont="1" applyFill="1" applyBorder="1" applyAlignment="1" applyProtection="1">
      <alignment horizontal="center"/>
    </xf>
    <xf numFmtId="0" fontId="12" fillId="31" borderId="27" xfId="0" applyNumberFormat="1" applyFont="1" applyFill="1" applyBorder="1" applyAlignment="1" applyProtection="1">
      <alignment horizontal="center"/>
    </xf>
    <xf numFmtId="0" fontId="163" fillId="34" borderId="18" xfId="90" applyNumberFormat="1" applyFont="1" applyFill="1" applyBorder="1" applyAlignment="1" applyProtection="1">
      <alignment horizontal="right"/>
      <protection locked="0"/>
    </xf>
    <xf numFmtId="173" fontId="12" fillId="31" borderId="28" xfId="0" applyNumberFormat="1" applyFont="1" applyFill="1" applyBorder="1" applyProtection="1"/>
    <xf numFmtId="10" fontId="5" fillId="36" borderId="0" xfId="277" applyNumberFormat="1" applyFont="1" applyFill="1" applyAlignment="1" applyProtection="1"/>
    <xf numFmtId="173" fontId="18" fillId="0" borderId="11" xfId="278" applyNumberFormat="1" applyFont="1" applyFill="1" applyBorder="1" applyAlignment="1">
      <alignment vertical="center"/>
    </xf>
    <xf numFmtId="43" fontId="12" fillId="31" borderId="18" xfId="90" applyNumberFormat="1" applyFont="1" applyFill="1" applyBorder="1" applyProtection="1"/>
    <xf numFmtId="173" fontId="12" fillId="31" borderId="28" xfId="90" applyNumberFormat="1" applyFont="1" applyFill="1" applyBorder="1" applyProtection="1"/>
    <xf numFmtId="173" fontId="12" fillId="31" borderId="20" xfId="90" applyNumberFormat="1" applyFont="1" applyFill="1" applyBorder="1" applyProtection="1"/>
    <xf numFmtId="43" fontId="12" fillId="31" borderId="20" xfId="90" applyNumberFormat="1" applyFont="1" applyFill="1" applyBorder="1" applyProtection="1"/>
    <xf numFmtId="173" fontId="12" fillId="31" borderId="19" xfId="0" applyNumberFormat="1" applyFont="1" applyFill="1" applyBorder="1" applyProtection="1"/>
    <xf numFmtId="173" fontId="12" fillId="31" borderId="6" xfId="0" applyNumberFormat="1" applyFont="1" applyFill="1" applyBorder="1" applyProtection="1"/>
    <xf numFmtId="0" fontId="0" fillId="0" borderId="33" xfId="0" applyBorder="1"/>
    <xf numFmtId="173" fontId="8" fillId="34" borderId="31" xfId="91" applyNumberFormat="1" applyFont="1" applyFill="1" applyBorder="1" applyAlignment="1">
      <alignment horizontal="right"/>
    </xf>
    <xf numFmtId="173" fontId="8" fillId="34" borderId="34" xfId="91" applyNumberFormat="1" applyFont="1" applyFill="1" applyBorder="1" applyAlignment="1">
      <alignment horizontal="right"/>
    </xf>
    <xf numFmtId="173" fontId="8" fillId="34" borderId="0" xfId="91" applyNumberFormat="1" applyFont="1" applyFill="1" applyBorder="1" applyAlignment="1">
      <alignment horizontal="right"/>
    </xf>
    <xf numFmtId="173" fontId="8" fillId="34" borderId="0" xfId="91" applyNumberFormat="1" applyFont="1" applyFill="1" applyBorder="1" applyAlignment="1" applyProtection="1">
      <alignment horizontal="right"/>
      <protection locked="0"/>
    </xf>
    <xf numFmtId="10" fontId="167" fillId="34" borderId="0" xfId="286" applyNumberFormat="1" applyFont="1" applyFill="1" applyAlignment="1" applyProtection="1">
      <protection locked="0"/>
    </xf>
    <xf numFmtId="173" fontId="8" fillId="34" borderId="11" xfId="91" applyNumberFormat="1" applyFont="1" applyFill="1" applyBorder="1" applyAlignment="1">
      <alignment horizontal="right"/>
    </xf>
    <xf numFmtId="173" fontId="8" fillId="0" borderId="0" xfId="91" applyNumberFormat="1" applyFont="1" applyFill="1" applyBorder="1" applyAlignment="1">
      <alignment horizontal="right"/>
    </xf>
    <xf numFmtId="0" fontId="123" fillId="0" borderId="0" xfId="0" applyNumberFormat="1" applyFont="1" applyFill="1" applyAlignment="1" applyProtection="1">
      <alignment horizontal="center"/>
    </xf>
    <xf numFmtId="164" fontId="145" fillId="27" borderId="0" xfId="289" applyNumberFormat="1" applyFont="1" applyFill="1" applyProtection="1">
      <protection locked="0"/>
    </xf>
    <xf numFmtId="173" fontId="8" fillId="34" borderId="0" xfId="114" applyNumberFormat="1" applyFont="1" applyFill="1" applyBorder="1" applyAlignment="1" applyProtection="1">
      <protection locked="0"/>
    </xf>
    <xf numFmtId="173" fontId="8" fillId="30" borderId="11" xfId="114" applyNumberFormat="1" applyFont="1" applyFill="1" applyBorder="1" applyAlignment="1" applyProtection="1">
      <protection locked="0"/>
    </xf>
    <xf numFmtId="10" fontId="19" fillId="30" borderId="0" xfId="0" applyNumberFormat="1" applyFont="1" applyFill="1" applyBorder="1" applyAlignment="1" applyProtection="1">
      <protection locked="0"/>
    </xf>
    <xf numFmtId="10" fontId="19" fillId="30" borderId="11" xfId="0" applyNumberFormat="1" applyFont="1" applyFill="1" applyBorder="1" applyAlignment="1" applyProtection="1">
      <protection locked="0"/>
    </xf>
    <xf numFmtId="0" fontId="5" fillId="27" borderId="0" xfId="0" applyFont="1" applyFill="1"/>
    <xf numFmtId="0" fontId="5" fillId="0" borderId="0" xfId="270" applyFont="1" applyFill="1" applyAlignment="1">
      <alignment horizontal="left"/>
    </xf>
    <xf numFmtId="0" fontId="6" fillId="0" borderId="0" xfId="270" applyFont="1" applyFill="1" applyBorder="1"/>
    <xf numFmtId="0" fontId="29" fillId="0" borderId="0" xfId="270" applyFont="1" applyFill="1" applyBorder="1"/>
    <xf numFmtId="0" fontId="5" fillId="0" borderId="0" xfId="270" applyFont="1" applyFill="1" applyAlignment="1">
      <alignment horizontal="center"/>
    </xf>
    <xf numFmtId="0" fontId="28" fillId="0" borderId="0" xfId="270" applyFont="1" applyFill="1" applyAlignment="1">
      <alignment horizontal="left"/>
    </xf>
    <xf numFmtId="0" fontId="5" fillId="0" borderId="0" xfId="270" applyFont="1" applyFill="1"/>
    <xf numFmtId="0" fontId="6" fillId="0" borderId="0" xfId="270" applyFont="1" applyFill="1" applyAlignment="1">
      <alignment horizontal="center"/>
    </xf>
    <xf numFmtId="0" fontId="78" fillId="30" borderId="0" xfId="278" applyNumberFormat="1" applyFont="1" applyFill="1" applyBorder="1" applyProtection="1">
      <protection locked="0"/>
    </xf>
    <xf numFmtId="9" fontId="5" fillId="0" borderId="0" xfId="0" applyNumberFormat="1" applyFont="1" applyFill="1" applyProtection="1"/>
    <xf numFmtId="0" fontId="12" fillId="0" borderId="27" xfId="0" applyNumberFormat="1" applyFont="1" applyFill="1" applyBorder="1" applyAlignment="1" applyProtection="1">
      <alignment horizontal="center"/>
    </xf>
    <xf numFmtId="174" fontId="8" fillId="34" borderId="27" xfId="0" applyNumberFormat="1" applyFont="1" applyFill="1" applyBorder="1" applyProtection="1">
      <protection locked="0"/>
    </xf>
    <xf numFmtId="173" fontId="12" fillId="31" borderId="18" xfId="90" applyNumberFormat="1" applyFont="1" applyFill="1" applyBorder="1" applyProtection="1"/>
    <xf numFmtId="0" fontId="115" fillId="0" borderId="16" xfId="0" applyFont="1" applyBorder="1"/>
    <xf numFmtId="0" fontId="111" fillId="0" borderId="16" xfId="0" applyFont="1" applyBorder="1" applyProtection="1">
      <protection locked="0"/>
    </xf>
    <xf numFmtId="10" fontId="0" fillId="0" borderId="16" xfId="0" applyNumberFormat="1" applyBorder="1" applyProtection="1"/>
    <xf numFmtId="191" fontId="0" fillId="0" borderId="16" xfId="0" applyNumberFormat="1" applyBorder="1" applyProtection="1"/>
    <xf numFmtId="175" fontId="0" fillId="0" borderId="16" xfId="0" applyNumberFormat="1" applyBorder="1" applyProtection="1"/>
    <xf numFmtId="175" fontId="0" fillId="0" borderId="16" xfId="0" applyNumberFormat="1" applyBorder="1" applyAlignment="1" applyProtection="1">
      <alignment horizontal="center"/>
    </xf>
    <xf numFmtId="0" fontId="115" fillId="0" borderId="30" xfId="0" applyFont="1" applyBorder="1"/>
    <xf numFmtId="0" fontId="111" fillId="0" borderId="30" xfId="0" applyFont="1" applyBorder="1" applyProtection="1">
      <protection locked="0"/>
    </xf>
    <xf numFmtId="10" fontId="0" fillId="0" borderId="30" xfId="0" applyNumberFormat="1" applyBorder="1" applyProtection="1"/>
    <xf numFmtId="191" fontId="0" fillId="0" borderId="30" xfId="0" applyNumberFormat="1" applyBorder="1" applyProtection="1"/>
    <xf numFmtId="175" fontId="0" fillId="0" borderId="30" xfId="0" applyNumberFormat="1" applyBorder="1" applyProtection="1"/>
    <xf numFmtId="0" fontId="24" fillId="0" borderId="0" xfId="228" applyFont="1"/>
    <xf numFmtId="172" fontId="157" fillId="0" borderId="0" xfId="229"/>
    <xf numFmtId="0" fontId="12" fillId="0" borderId="0" xfId="228" applyFont="1" applyAlignment="1">
      <alignment horizontal="right"/>
    </xf>
    <xf numFmtId="14" fontId="24" fillId="0" borderId="0" xfId="228" applyNumberFormat="1" applyFont="1"/>
    <xf numFmtId="0" fontId="24" fillId="0" borderId="0" xfId="178" applyFont="1"/>
    <xf numFmtId="9" fontId="24" fillId="0" borderId="0" xfId="288" applyFont="1"/>
    <xf numFmtId="41" fontId="24" fillId="0" borderId="0" xfId="228" applyNumberFormat="1" applyFont="1"/>
    <xf numFmtId="172" fontId="24" fillId="0" borderId="0" xfId="229" applyFont="1" applyAlignment="1"/>
    <xf numFmtId="0" fontId="24" fillId="0" borderId="0" xfId="228" applyFont="1" applyAlignment="1">
      <alignment horizontal="center"/>
    </xf>
    <xf numFmtId="0" fontId="25" fillId="0" borderId="0" xfId="228" applyFont="1"/>
    <xf numFmtId="172" fontId="157" fillId="0" borderId="0" xfId="229" applyAlignment="1"/>
    <xf numFmtId="0" fontId="24" fillId="0" borderId="11" xfId="228" applyFont="1" applyBorder="1"/>
    <xf numFmtId="0" fontId="25" fillId="0" borderId="11" xfId="228" applyFont="1" applyBorder="1" applyAlignment="1">
      <alignment horizontal="center"/>
    </xf>
    <xf numFmtId="0" fontId="25" fillId="0" borderId="11" xfId="228" applyFont="1" applyBorder="1" applyAlignment="1">
      <alignment horizontal="center" wrapText="1"/>
    </xf>
    <xf numFmtId="0" fontId="25" fillId="0" borderId="11" xfId="228" applyFont="1" applyFill="1" applyBorder="1" applyAlignment="1">
      <alignment horizontal="center" wrapText="1"/>
    </xf>
    <xf numFmtId="0" fontId="25" fillId="0" borderId="0" xfId="228" applyFont="1" applyAlignment="1">
      <alignment horizontal="center"/>
    </xf>
    <xf numFmtId="0" fontId="24" fillId="0" borderId="0" xfId="228" applyFont="1" applyFill="1"/>
    <xf numFmtId="0" fontId="25" fillId="0" borderId="0" xfId="228" applyFont="1" applyFill="1" applyBorder="1" applyAlignment="1">
      <alignment horizontal="center" wrapText="1"/>
    </xf>
    <xf numFmtId="0" fontId="25" fillId="0" borderId="0" xfId="228" applyFont="1" applyAlignment="1">
      <alignment horizontal="left"/>
    </xf>
    <xf numFmtId="0" fontId="24" fillId="37" borderId="0" xfId="228" applyFont="1" applyFill="1"/>
    <xf numFmtId="49" fontId="24" fillId="0" borderId="0" xfId="228" applyNumberFormat="1" applyFont="1" applyFill="1" applyAlignment="1">
      <alignment horizontal="center"/>
    </xf>
    <xf numFmtId="0" fontId="24" fillId="0" borderId="0" xfId="228" applyFont="1" applyBorder="1"/>
    <xf numFmtId="0" fontId="24" fillId="0" borderId="0" xfId="228" applyFont="1" applyFill="1" applyBorder="1" applyAlignment="1">
      <alignment horizontal="center"/>
    </xf>
    <xf numFmtId="173" fontId="24" fillId="38" borderId="0" xfId="122" applyNumberFormat="1" applyFont="1" applyFill="1" applyBorder="1"/>
    <xf numFmtId="41" fontId="24" fillId="34" borderId="0" xfId="270" applyNumberFormat="1" applyFont="1" applyFill="1" applyBorder="1" applyProtection="1">
      <protection locked="0"/>
    </xf>
    <xf numFmtId="172" fontId="24" fillId="0" borderId="0" xfId="229" applyFont="1" applyBorder="1"/>
    <xf numFmtId="41" fontId="24" fillId="0" borderId="0" xfId="228" applyNumberFormat="1" applyFont="1" applyFill="1" applyBorder="1" applyAlignment="1">
      <alignment horizontal="center"/>
    </xf>
    <xf numFmtId="0" fontId="25" fillId="0" borderId="0" xfId="228" applyFont="1" applyBorder="1"/>
    <xf numFmtId="0" fontId="24" fillId="0" borderId="0" xfId="178" applyFont="1" applyBorder="1"/>
    <xf numFmtId="41" fontId="24" fillId="0" borderId="0" xfId="228" applyNumberFormat="1" applyFont="1" applyBorder="1" applyAlignment="1">
      <alignment horizontal="center"/>
    </xf>
    <xf numFmtId="41" fontId="24" fillId="34" borderId="40" xfId="270" applyNumberFormat="1" applyFont="1" applyFill="1" applyBorder="1" applyProtection="1">
      <protection locked="0"/>
    </xf>
    <xf numFmtId="173" fontId="24" fillId="0" borderId="0" xfId="88" applyNumberFormat="1" applyFont="1" applyBorder="1" applyAlignment="1">
      <alignment horizontal="center"/>
    </xf>
    <xf numFmtId="49" fontId="24" fillId="0" borderId="0" xfId="228" applyNumberFormat="1" applyFont="1" applyAlignment="1">
      <alignment horizontal="center"/>
    </xf>
    <xf numFmtId="41" fontId="24" fillId="34" borderId="33" xfId="270" applyNumberFormat="1" applyFont="1" applyFill="1" applyBorder="1" applyAlignment="1" applyProtection="1">
      <alignment vertical="top"/>
      <protection locked="0"/>
    </xf>
    <xf numFmtId="172" fontId="157" fillId="0" borderId="0" xfId="229" applyFont="1"/>
    <xf numFmtId="172" fontId="158" fillId="0" borderId="0" xfId="229" applyFont="1"/>
    <xf numFmtId="0" fontId="24" fillId="0" borderId="0" xfId="178" applyFont="1" applyFill="1"/>
    <xf numFmtId="172" fontId="24" fillId="0" borderId="0" xfId="178" applyNumberFormat="1" applyFont="1" applyFill="1" applyBorder="1"/>
    <xf numFmtId="0" fontId="24" fillId="0" borderId="0" xfId="228" applyFont="1" applyFill="1" applyAlignment="1">
      <alignment horizontal="center"/>
    </xf>
    <xf numFmtId="0" fontId="24" fillId="0" borderId="0" xfId="228" applyFont="1" applyAlignment="1">
      <alignment wrapText="1"/>
    </xf>
    <xf numFmtId="173" fontId="24" fillId="0" borderId="0" xfId="122" applyNumberFormat="1" applyFont="1" applyFill="1" applyBorder="1"/>
    <xf numFmtId="173" fontId="24" fillId="0" borderId="0" xfId="122" applyNumberFormat="1" applyFont="1" applyBorder="1" applyAlignment="1">
      <alignment wrapText="1"/>
    </xf>
    <xf numFmtId="0" fontId="24" fillId="0" borderId="0" xfId="228" applyFont="1" applyAlignment="1">
      <alignment horizontal="left"/>
    </xf>
    <xf numFmtId="1" fontId="24" fillId="0" borderId="14" xfId="88" applyNumberFormat="1" applyFont="1" applyBorder="1" applyAlignment="1"/>
    <xf numFmtId="173" fontId="24" fillId="0" borderId="14" xfId="88" applyNumberFormat="1" applyFont="1" applyFill="1" applyBorder="1" applyAlignment="1"/>
    <xf numFmtId="173" fontId="24" fillId="0" borderId="0" xfId="122" applyNumberFormat="1" applyFont="1" applyAlignment="1">
      <alignment wrapText="1"/>
    </xf>
    <xf numFmtId="1" fontId="24" fillId="0" borderId="0" xfId="88" applyNumberFormat="1" applyFont="1" applyBorder="1" applyAlignment="1"/>
    <xf numFmtId="176" fontId="24" fillId="0" borderId="0" xfId="88" applyNumberFormat="1" applyFont="1" applyBorder="1" applyAlignment="1"/>
    <xf numFmtId="173" fontId="24" fillId="0" borderId="0" xfId="88" applyNumberFormat="1" applyFont="1" applyBorder="1" applyAlignment="1"/>
    <xf numFmtId="0" fontId="24" fillId="0" borderId="0" xfId="178" applyFont="1" applyFill="1" applyBorder="1"/>
    <xf numFmtId="172" fontId="24" fillId="0" borderId="0" xfId="229" applyFont="1" applyFill="1" applyAlignment="1"/>
    <xf numFmtId="0" fontId="24" fillId="0" borderId="0" xfId="228" applyFont="1" applyAlignment="1">
      <alignment horizontal="left" vertical="center"/>
    </xf>
    <xf numFmtId="0" fontId="24" fillId="0" borderId="0" xfId="228" applyFont="1" applyAlignment="1">
      <alignment vertical="top" wrapText="1"/>
    </xf>
    <xf numFmtId="0" fontId="24" fillId="0" borderId="0" xfId="228" applyFont="1" applyAlignment="1"/>
    <xf numFmtId="173" fontId="24" fillId="0" borderId="0" xfId="228" applyNumberFormat="1" applyFont="1"/>
    <xf numFmtId="0" fontId="24" fillId="0" borderId="0" xfId="228" applyFont="1" applyAlignment="1">
      <alignment vertical="top"/>
    </xf>
    <xf numFmtId="0" fontId="24" fillId="0" borderId="0" xfId="228" applyFont="1" applyFill="1" applyAlignment="1">
      <alignment vertical="top" wrapText="1"/>
    </xf>
    <xf numFmtId="0" fontId="24" fillId="0" borderId="0" xfId="228" applyFont="1" applyFill="1" applyAlignment="1">
      <alignment horizontal="left"/>
    </xf>
    <xf numFmtId="0" fontId="25" fillId="0" borderId="0" xfId="228" applyFont="1" applyAlignment="1">
      <alignment horizontal="left" vertical="center"/>
    </xf>
    <xf numFmtId="173" fontId="24" fillId="0" borderId="0" xfId="228" applyNumberFormat="1" applyFont="1" applyAlignment="1">
      <alignment horizontal="left" vertical="center"/>
    </xf>
    <xf numFmtId="173" fontId="12" fillId="0" borderId="0" xfId="90" applyNumberFormat="1"/>
    <xf numFmtId="173" fontId="12" fillId="0" borderId="0" xfId="90" applyNumberFormat="1" applyFill="1"/>
    <xf numFmtId="173" fontId="12" fillId="0" borderId="0" xfId="90" applyNumberFormat="1" applyFont="1" applyFill="1"/>
    <xf numFmtId="173" fontId="152" fillId="34" borderId="0" xfId="117" applyNumberFormat="1" applyFont="1" applyFill="1" applyProtection="1">
      <protection locked="0"/>
    </xf>
    <xf numFmtId="41" fontId="148" fillId="0" borderId="0" xfId="273" applyNumberFormat="1" applyFont="1" applyFill="1" applyBorder="1"/>
    <xf numFmtId="3" fontId="19" fillId="30" borderId="0" xfId="277" applyNumberFormat="1" applyFont="1" applyFill="1" applyAlignment="1" applyProtection="1">
      <protection locked="0"/>
    </xf>
    <xf numFmtId="3" fontId="19" fillId="30" borderId="6" xfId="277" applyNumberFormat="1" applyFont="1" applyFill="1" applyBorder="1" applyAlignment="1" applyProtection="1">
      <protection locked="0"/>
    </xf>
    <xf numFmtId="10" fontId="145" fillId="0" borderId="0" xfId="313" applyNumberFormat="1" applyFont="1"/>
    <xf numFmtId="173" fontId="145" fillId="0" borderId="0" xfId="117" applyNumberFormat="1" applyFont="1"/>
    <xf numFmtId="164" fontId="145" fillId="27" borderId="11" xfId="289" applyNumberFormat="1" applyFont="1" applyFill="1" applyBorder="1" applyProtection="1">
      <protection locked="0"/>
    </xf>
    <xf numFmtId="173" fontId="145" fillId="0" borderId="11" xfId="117" applyNumberFormat="1" applyFont="1" applyBorder="1"/>
    <xf numFmtId="195" fontId="160" fillId="30" borderId="0" xfId="270" applyNumberFormat="1" applyFont="1" applyFill="1"/>
    <xf numFmtId="1" fontId="63" fillId="30" borderId="0" xfId="227" applyNumberFormat="1" applyFont="1" applyFill="1" applyAlignment="1" applyProtection="1">
      <alignment horizontal="left"/>
      <protection locked="0"/>
    </xf>
    <xf numFmtId="0" fontId="5" fillId="0" borderId="0" xfId="278" applyFont="1"/>
    <xf numFmtId="173" fontId="145" fillId="34" borderId="11" xfId="116" applyNumberFormat="1" applyFont="1" applyFill="1" applyBorder="1" applyProtection="1">
      <protection locked="0"/>
    </xf>
    <xf numFmtId="0" fontId="5" fillId="0" borderId="0" xfId="0" applyFont="1" applyAlignment="1">
      <alignment horizontal="center"/>
    </xf>
    <xf numFmtId="0" fontId="0" fillId="0" borderId="0" xfId="0" applyAlignment="1">
      <alignment horizontal="center"/>
    </xf>
    <xf numFmtId="0" fontId="77" fillId="0" borderId="30" xfId="279" applyFont="1" applyBorder="1" applyAlignment="1" applyProtection="1">
      <alignment horizontal="center"/>
    </xf>
    <xf numFmtId="0" fontId="77" fillId="0" borderId="30" xfId="279" applyFont="1" applyBorder="1" applyAlignment="1">
      <alignment horizontal="center"/>
    </xf>
    <xf numFmtId="44" fontId="110" fillId="0" borderId="0" xfId="125" applyFont="1" applyAlignment="1" applyProtection="1"/>
    <xf numFmtId="0" fontId="5" fillId="0" borderId="0" xfId="276" applyFont="1" applyProtection="1"/>
    <xf numFmtId="0" fontId="12" fillId="0" borderId="0" xfId="276" applyProtection="1"/>
    <xf numFmtId="0" fontId="12" fillId="0" borderId="0" xfId="276" applyAlignment="1" applyProtection="1">
      <alignment horizontal="center"/>
    </xf>
    <xf numFmtId="0" fontId="12" fillId="0" borderId="0" xfId="178"/>
    <xf numFmtId="10" fontId="0" fillId="0" borderId="16" xfId="0" applyNumberFormat="1" applyBorder="1" applyAlignment="1" applyProtection="1">
      <alignment horizontal="center"/>
    </xf>
    <xf numFmtId="0" fontId="115" fillId="0" borderId="0" xfId="0" applyFont="1" applyBorder="1"/>
    <xf numFmtId="0" fontId="111" fillId="0" borderId="0" xfId="0" applyFont="1" applyBorder="1" applyProtection="1">
      <protection locked="0"/>
    </xf>
    <xf numFmtId="0" fontId="172" fillId="0" borderId="0" xfId="0" applyFont="1" applyBorder="1" applyAlignment="1">
      <alignment horizontal="center"/>
    </xf>
    <xf numFmtId="176" fontId="5" fillId="0" borderId="0" xfId="90" applyNumberFormat="1" applyFont="1" applyAlignment="1">
      <alignment horizontal="center"/>
    </xf>
    <xf numFmtId="10" fontId="5" fillId="0" borderId="0" xfId="232" applyNumberFormat="1" applyFont="1" applyFill="1" applyAlignment="1">
      <alignment horizontal="right"/>
    </xf>
    <xf numFmtId="10" fontId="5" fillId="0" borderId="0" xfId="232" applyNumberFormat="1" applyFont="1" applyFill="1" applyAlignment="1">
      <alignment horizontal="center"/>
    </xf>
    <xf numFmtId="0" fontId="25" fillId="0" borderId="0" xfId="228" applyFont="1" applyBorder="1" applyAlignment="1">
      <alignment horizontal="center" wrapText="1"/>
    </xf>
    <xf numFmtId="0" fontId="24" fillId="0" borderId="0" xfId="227" applyFont="1"/>
    <xf numFmtId="0" fontId="25" fillId="0" borderId="49" xfId="228" applyFont="1" applyBorder="1" applyAlignment="1">
      <alignment horizontal="center" wrapText="1"/>
    </xf>
    <xf numFmtId="41" fontId="24" fillId="34" borderId="50" xfId="270" applyNumberFormat="1" applyFont="1" applyFill="1" applyBorder="1" applyProtection="1">
      <protection locked="0"/>
    </xf>
    <xf numFmtId="173" fontId="24" fillId="38" borderId="50" xfId="122" applyNumberFormat="1" applyFont="1" applyFill="1" applyBorder="1"/>
    <xf numFmtId="173" fontId="24" fillId="0" borderId="51" xfId="122" applyNumberFormat="1" applyFont="1" applyFill="1" applyBorder="1"/>
    <xf numFmtId="41" fontId="24" fillId="34" borderId="52" xfId="270" applyNumberFormat="1" applyFont="1" applyFill="1" applyBorder="1" applyProtection="1">
      <protection locked="0"/>
    </xf>
    <xf numFmtId="0" fontId="24" fillId="0" borderId="0" xfId="227" applyFont="1" applyBorder="1"/>
    <xf numFmtId="173" fontId="24" fillId="38" borderId="53" xfId="122" applyNumberFormat="1" applyFont="1" applyFill="1" applyBorder="1"/>
    <xf numFmtId="173" fontId="24" fillId="38" borderId="52" xfId="122" applyNumberFormat="1" applyFont="1" applyFill="1" applyBorder="1"/>
    <xf numFmtId="173" fontId="24" fillId="0" borderId="52" xfId="122" applyNumberFormat="1" applyFont="1" applyFill="1" applyBorder="1"/>
    <xf numFmtId="173" fontId="24" fillId="0" borderId="53" xfId="122" applyNumberFormat="1" applyFont="1" applyFill="1" applyBorder="1"/>
    <xf numFmtId="41" fontId="24" fillId="34" borderId="54" xfId="270" applyNumberFormat="1" applyFont="1" applyFill="1" applyBorder="1" applyProtection="1">
      <protection locked="0"/>
    </xf>
    <xf numFmtId="1" fontId="24" fillId="0" borderId="55" xfId="88" applyNumberFormat="1" applyFont="1" applyBorder="1" applyAlignment="1"/>
    <xf numFmtId="173" fontId="24" fillId="0" borderId="55" xfId="88" applyNumberFormat="1" applyFont="1" applyFill="1" applyBorder="1" applyAlignment="1"/>
    <xf numFmtId="173" fontId="24" fillId="0" borderId="56" xfId="88" applyNumberFormat="1" applyFont="1" applyBorder="1" applyAlignment="1">
      <alignment horizontal="center"/>
    </xf>
    <xf numFmtId="0" fontId="24" fillId="0" borderId="0" xfId="227" applyFont="1" applyFill="1"/>
    <xf numFmtId="0" fontId="24" fillId="0" borderId="0" xfId="227" applyFont="1" applyAlignment="1">
      <alignment horizontal="left" vertical="center"/>
    </xf>
    <xf numFmtId="0" fontId="24" fillId="0" borderId="0" xfId="227" applyFont="1" applyAlignment="1">
      <alignment horizontal="left"/>
    </xf>
    <xf numFmtId="0" fontId="24" fillId="0" borderId="0" xfId="227" applyFont="1" applyAlignment="1">
      <alignment horizontal="center"/>
    </xf>
    <xf numFmtId="0" fontId="12" fillId="30" borderId="0" xfId="224" applyFont="1" applyFill="1" applyBorder="1" applyProtection="1">
      <protection locked="0"/>
    </xf>
    <xf numFmtId="0" fontId="8" fillId="30" borderId="0" xfId="91" applyNumberFormat="1" applyFont="1" applyFill="1" applyBorder="1" applyAlignment="1" applyProtection="1">
      <alignment horizontal="center"/>
      <protection locked="0"/>
    </xf>
    <xf numFmtId="0" fontId="123" fillId="0" borderId="0" xfId="0" applyFont="1"/>
    <xf numFmtId="5" fontId="78" fillId="34" borderId="11" xfId="278" applyNumberFormat="1" applyFont="1" applyFill="1" applyBorder="1" applyProtection="1">
      <protection locked="0"/>
    </xf>
    <xf numFmtId="3" fontId="63" fillId="30" borderId="0" xfId="0" applyNumberFormat="1" applyFont="1" applyFill="1" applyProtection="1">
      <protection locked="0"/>
    </xf>
    <xf numFmtId="3" fontId="127" fillId="30" borderId="0" xfId="0" applyNumberFormat="1" applyFont="1" applyFill="1" applyProtection="1">
      <protection locked="0"/>
    </xf>
    <xf numFmtId="1" fontId="63" fillId="30" borderId="0" xfId="0" applyNumberFormat="1" applyFont="1" applyFill="1" applyAlignment="1" applyProtection="1">
      <alignment horizontal="left"/>
      <protection locked="0"/>
    </xf>
    <xf numFmtId="3" fontId="63" fillId="30" borderId="0" xfId="0" quotePrefix="1" applyNumberFormat="1" applyFont="1" applyFill="1" applyProtection="1">
      <protection locked="0"/>
    </xf>
    <xf numFmtId="0" fontId="63" fillId="30" borderId="0" xfId="0" applyFont="1" applyFill="1" applyAlignment="1" applyProtection="1">
      <alignment horizontal="left"/>
      <protection locked="0"/>
    </xf>
    <xf numFmtId="0" fontId="19" fillId="30" borderId="0" xfId="270" applyFont="1" applyFill="1" applyAlignment="1" applyProtection="1">
      <alignment horizontal="center"/>
      <protection locked="0"/>
    </xf>
    <xf numFmtId="3" fontId="19" fillId="30" borderId="0" xfId="0" applyNumberFormat="1" applyFont="1" applyFill="1" applyProtection="1">
      <protection locked="0"/>
    </xf>
    <xf numFmtId="173" fontId="8" fillId="30" borderId="57" xfId="114" applyNumberFormat="1" applyFont="1" applyFill="1" applyBorder="1" applyAlignment="1" applyProtection="1">
      <protection locked="0"/>
    </xf>
    <xf numFmtId="41" fontId="2" fillId="0" borderId="0" xfId="268" applyNumberFormat="1"/>
    <xf numFmtId="0" fontId="2" fillId="0" borderId="0" xfId="268"/>
    <xf numFmtId="0" fontId="19" fillId="30" borderId="0" xfId="268" applyFont="1" applyFill="1" applyAlignment="1" applyProtection="1">
      <alignment horizontal="center"/>
      <protection locked="0"/>
    </xf>
    <xf numFmtId="0" fontId="19" fillId="30" borderId="0" xfId="268" quotePrefix="1" applyFont="1" applyFill="1" applyAlignment="1" applyProtection="1">
      <alignment horizontal="center"/>
      <protection locked="0"/>
    </xf>
    <xf numFmtId="173" fontId="8" fillId="34" borderId="58" xfId="91" applyNumberFormat="1" applyFont="1" applyFill="1" applyBorder="1" applyAlignment="1">
      <alignment horizontal="right"/>
    </xf>
    <xf numFmtId="173" fontId="12" fillId="0" borderId="46" xfId="91" applyNumberFormat="1" applyFont="1" applyBorder="1"/>
    <xf numFmtId="0" fontId="12" fillId="0" borderId="33" xfId="0" applyFont="1" applyBorder="1"/>
    <xf numFmtId="41" fontId="148" fillId="0" borderId="0" xfId="273" applyNumberFormat="1" applyFont="1"/>
    <xf numFmtId="41" fontId="19" fillId="0" borderId="0" xfId="268" applyNumberFormat="1" applyFont="1" applyFill="1" applyBorder="1" applyProtection="1">
      <protection locked="0"/>
    </xf>
    <xf numFmtId="2" fontId="2" fillId="0" borderId="0" xfId="363" applyNumberFormat="1" applyFont="1"/>
    <xf numFmtId="172" fontId="2" fillId="0" borderId="0" xfId="363" applyFont="1"/>
    <xf numFmtId="172" fontId="5" fillId="0" borderId="0" xfId="363" applyFont="1" applyAlignment="1">
      <alignment horizontal="right"/>
    </xf>
    <xf numFmtId="172" fontId="24" fillId="0" borderId="0" xfId="364" applyFont="1" applyAlignment="1">
      <alignment horizontal="right"/>
    </xf>
    <xf numFmtId="173" fontId="2" fillId="0" borderId="0" xfId="365" applyNumberFormat="1" applyFont="1"/>
    <xf numFmtId="172" fontId="2" fillId="0" borderId="0" xfId="363" applyFont="1" applyAlignment="1">
      <alignment horizontal="right"/>
    </xf>
    <xf numFmtId="172" fontId="2" fillId="0" borderId="0" xfId="364" applyFont="1" applyAlignment="1">
      <alignment horizontal="right"/>
    </xf>
    <xf numFmtId="2" fontId="2" fillId="0" borderId="0" xfId="363" applyNumberFormat="1" applyFont="1" applyAlignment="1">
      <alignment horizontal="center"/>
    </xf>
    <xf numFmtId="172" fontId="2" fillId="0" borderId="0" xfId="363" applyFont="1" applyAlignment="1">
      <alignment horizontal="center"/>
    </xf>
    <xf numFmtId="172" fontId="2" fillId="0" borderId="0" xfId="363" applyFont="1" applyAlignment="1">
      <alignment wrapText="1"/>
    </xf>
    <xf numFmtId="172" fontId="2" fillId="0" borderId="0" xfId="363" applyFont="1" applyAlignment="1">
      <alignment horizontal="center" wrapText="1"/>
    </xf>
    <xf numFmtId="172" fontId="3" fillId="0" borderId="0" xfId="363"/>
    <xf numFmtId="2" fontId="9" fillId="0" borderId="0" xfId="363" applyNumberFormat="1" applyFont="1"/>
    <xf numFmtId="173" fontId="2" fillId="0" borderId="0" xfId="365" applyNumberFormat="1" applyFont="1" applyFill="1"/>
    <xf numFmtId="1" fontId="2" fillId="0" borderId="0" xfId="363" applyNumberFormat="1" applyFont="1" applyAlignment="1">
      <alignment horizontal="center"/>
    </xf>
    <xf numFmtId="49" fontId="2" fillId="0" borderId="0" xfId="365" applyNumberFormat="1" applyFont="1"/>
    <xf numFmtId="170" fontId="2" fillId="0" borderId="0" xfId="363" applyNumberFormat="1" applyFont="1"/>
    <xf numFmtId="170" fontId="2" fillId="0" borderId="11" xfId="363" applyNumberFormat="1" applyFont="1" applyBorder="1"/>
    <xf numFmtId="172" fontId="3" fillId="0" borderId="0" xfId="363" applyAlignment="1">
      <alignment horizontal="center"/>
    </xf>
    <xf numFmtId="9" fontId="2" fillId="0" borderId="0" xfId="366" applyFont="1" applyFill="1" applyAlignment="1">
      <alignment horizontal="center"/>
    </xf>
    <xf numFmtId="10" fontId="2" fillId="0" borderId="0" xfId="366" applyNumberFormat="1" applyFont="1" applyFill="1" applyAlignment="1"/>
    <xf numFmtId="9" fontId="2" fillId="0" borderId="0" xfId="366" applyFont="1" applyFill="1"/>
    <xf numFmtId="9" fontId="2" fillId="0" borderId="0" xfId="365" applyNumberFormat="1" applyFont="1" applyFill="1" applyAlignment="1">
      <alignment horizontal="center"/>
    </xf>
    <xf numFmtId="9" fontId="2" fillId="0" borderId="0" xfId="363" applyNumberFormat="1" applyFont="1" applyAlignment="1">
      <alignment horizontal="center"/>
    </xf>
    <xf numFmtId="173" fontId="2" fillId="0" borderId="11" xfId="365" applyNumberFormat="1" applyFont="1" applyBorder="1"/>
    <xf numFmtId="9" fontId="3" fillId="0" borderId="0" xfId="363" applyNumberFormat="1" applyAlignment="1">
      <alignment horizontal="center"/>
    </xf>
    <xf numFmtId="43" fontId="2" fillId="0" borderId="0" xfId="365" applyFont="1" applyFill="1"/>
    <xf numFmtId="10" fontId="2" fillId="0" borderId="0" xfId="366" applyNumberFormat="1" applyFont="1" applyFill="1"/>
    <xf numFmtId="43" fontId="2" fillId="0" borderId="49" xfId="365" applyFont="1" applyBorder="1"/>
    <xf numFmtId="173" fontId="2" fillId="0" borderId="49" xfId="365" applyNumberFormat="1" applyFont="1" applyFill="1" applyBorder="1"/>
    <xf numFmtId="173" fontId="2" fillId="0" borderId="0" xfId="365" applyNumberFormat="1" applyFont="1" applyFill="1" applyBorder="1"/>
    <xf numFmtId="9" fontId="2" fillId="0" borderId="0" xfId="365" applyNumberFormat="1" applyFont="1" applyFill="1" applyBorder="1" applyAlignment="1">
      <alignment horizontal="center"/>
    </xf>
    <xf numFmtId="10" fontId="2" fillId="0" borderId="0" xfId="366" applyNumberFormat="1" applyFont="1"/>
    <xf numFmtId="1" fontId="9" fillId="0" borderId="0" xfId="363" applyNumberFormat="1" applyFont="1" applyAlignment="1">
      <alignment horizontal="left"/>
    </xf>
    <xf numFmtId="43" fontId="2" fillId="0" borderId="0" xfId="365" applyFont="1"/>
    <xf numFmtId="198" fontId="2" fillId="0" borderId="0" xfId="365" applyNumberFormat="1" applyFont="1" applyFill="1"/>
    <xf numFmtId="173" fontId="2" fillId="0" borderId="0" xfId="365" applyNumberFormat="1" applyFont="1" applyBorder="1"/>
    <xf numFmtId="173" fontId="2" fillId="0" borderId="49" xfId="365" applyNumberFormat="1" applyFont="1" applyBorder="1"/>
    <xf numFmtId="10" fontId="2" fillId="0" borderId="0" xfId="365" applyNumberFormat="1" applyFont="1" applyFill="1" applyBorder="1" applyAlignment="1">
      <alignment horizontal="center"/>
    </xf>
    <xf numFmtId="2" fontId="3" fillId="0" borderId="0" xfId="363" applyNumberFormat="1"/>
    <xf numFmtId="9" fontId="2" fillId="0" borderId="0" xfId="366" applyFont="1"/>
    <xf numFmtId="2" fontId="2" fillId="0" borderId="0" xfId="363" applyNumberFormat="1" applyFont="1" applyAlignment="1">
      <alignment horizontal="left" wrapText="1"/>
    </xf>
    <xf numFmtId="0" fontId="1" fillId="0" borderId="0" xfId="367"/>
    <xf numFmtId="170" fontId="2" fillId="0" borderId="0" xfId="363" applyNumberFormat="1" applyFont="1" applyAlignment="1">
      <alignment horizontal="center"/>
    </xf>
    <xf numFmtId="170" fontId="2" fillId="0" borderId="0" xfId="363" applyNumberFormat="1" applyFont="1" applyAlignment="1">
      <alignment horizontal="center" wrapText="1"/>
    </xf>
    <xf numFmtId="170" fontId="2" fillId="0" borderId="0" xfId="365" applyNumberFormat="1" applyFont="1"/>
    <xf numFmtId="199" fontId="1" fillId="0" borderId="0" xfId="368" applyNumberFormat="1" applyFont="1"/>
    <xf numFmtId="199" fontId="1" fillId="0" borderId="11" xfId="368" applyNumberFormat="1" applyFont="1" applyBorder="1"/>
    <xf numFmtId="173" fontId="1" fillId="0" borderId="0" xfId="369" applyNumberFormat="1" applyFont="1"/>
    <xf numFmtId="170" fontId="1" fillId="0" borderId="0" xfId="367" applyNumberFormat="1"/>
    <xf numFmtId="176" fontId="1" fillId="0" borderId="0" xfId="369" applyNumberFormat="1" applyFont="1"/>
    <xf numFmtId="176" fontId="2" fillId="0" borderId="0" xfId="366" applyNumberFormat="1" applyFont="1" applyFill="1"/>
    <xf numFmtId="10" fontId="2" fillId="0" borderId="0" xfId="366" applyNumberFormat="1" applyFont="1" applyFill="1" applyAlignment="1">
      <alignment horizontal="center" wrapText="1"/>
    </xf>
    <xf numFmtId="170" fontId="2" fillId="0" borderId="49" xfId="365" applyNumberFormat="1" applyFont="1" applyBorder="1"/>
    <xf numFmtId="170" fontId="2" fillId="0" borderId="0" xfId="365" applyNumberFormat="1" applyFont="1" applyBorder="1"/>
    <xf numFmtId="170" fontId="3" fillId="0" borderId="0" xfId="363" applyNumberFormat="1"/>
    <xf numFmtId="3" fontId="155" fillId="0" borderId="0" xfId="277" applyNumberFormat="1" applyFont="1" applyFill="1" applyAlignment="1" applyProtection="1">
      <alignment horizontal="center"/>
    </xf>
    <xf numFmtId="172" fontId="5" fillId="0" borderId="0" xfId="277" applyFont="1" applyAlignment="1" applyProtection="1">
      <alignment horizontal="left" wrapText="1"/>
    </xf>
    <xf numFmtId="0" fontId="5" fillId="0" borderId="0" xfId="277" applyNumberFormat="1" applyFont="1" applyFill="1" applyAlignment="1" applyProtection="1">
      <alignment horizontal="left" wrapText="1"/>
    </xf>
    <xf numFmtId="0" fontId="5" fillId="0" borderId="0" xfId="0" applyFont="1" applyAlignment="1" applyProtection="1">
      <alignment wrapText="1"/>
    </xf>
    <xf numFmtId="0" fontId="12" fillId="0" borderId="0" xfId="0" applyFont="1" applyAlignment="1" applyProtection="1">
      <alignment wrapText="1"/>
    </xf>
    <xf numFmtId="0" fontId="5" fillId="0" borderId="0" xfId="277" applyNumberFormat="1" applyFont="1" applyFill="1" applyAlignment="1" applyProtection="1">
      <alignment horizontal="left" vertical="top" wrapText="1"/>
    </xf>
    <xf numFmtId="172" fontId="5" fillId="0" borderId="0" xfId="277" applyFont="1" applyFill="1" applyAlignment="1" applyProtection="1">
      <alignment horizontal="left" wrapText="1"/>
    </xf>
    <xf numFmtId="172" fontId="5" fillId="0" borderId="0" xfId="277"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0" fontId="5" fillId="0" borderId="0" xfId="0" applyFont="1" applyFill="1" applyAlignment="1" applyProtection="1">
      <alignment horizontal="left" vertical="top" wrapText="1"/>
    </xf>
    <xf numFmtId="172" fontId="77" fillId="0" borderId="0" xfId="277" applyFont="1" applyAlignment="1" applyProtection="1">
      <alignment horizontal="left" wrapText="1"/>
    </xf>
    <xf numFmtId="49" fontId="5" fillId="0" borderId="0" xfId="277" applyNumberFormat="1" applyFont="1" applyAlignment="1" applyProtection="1">
      <alignment horizontal="center"/>
    </xf>
    <xf numFmtId="0" fontId="32" fillId="0" borderId="0" xfId="0" applyFont="1" applyAlignment="1" applyProtection="1">
      <alignment horizontal="center"/>
    </xf>
    <xf numFmtId="0" fontId="10" fillId="0" borderId="0" xfId="277"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77" applyFont="1" applyBorder="1" applyAlignment="1" applyProtection="1">
      <alignment horizontal="center"/>
    </xf>
    <xf numFmtId="172" fontId="26" fillId="0" borderId="0" xfId="277" applyFont="1" applyFill="1" applyAlignment="1" applyProtection="1">
      <alignment vertical="top" wrapText="1"/>
    </xf>
    <xf numFmtId="0" fontId="26" fillId="0" borderId="0" xfId="0" applyFont="1" applyAlignment="1" applyProtection="1">
      <alignment vertical="top" wrapText="1"/>
    </xf>
    <xf numFmtId="172" fontId="119" fillId="0" borderId="0" xfId="277" applyFont="1" applyFill="1" applyAlignment="1" applyProtection="1">
      <alignment wrapText="1"/>
    </xf>
    <xf numFmtId="0" fontId="32" fillId="0" borderId="0" xfId="0" applyFont="1" applyAlignment="1" applyProtection="1">
      <alignment wrapText="1"/>
    </xf>
    <xf numFmtId="0" fontId="26" fillId="0" borderId="0" xfId="277" applyNumberFormat="1" applyFont="1" applyFill="1" applyAlignment="1" applyProtection="1">
      <alignment horizontal="left" wrapText="1"/>
    </xf>
    <xf numFmtId="172" fontId="5" fillId="0" borderId="0" xfId="277" applyFont="1" applyAlignment="1" applyProtection="1">
      <alignment horizontal="left"/>
    </xf>
    <xf numFmtId="172" fontId="140" fillId="0" borderId="0" xfId="277" applyFont="1" applyFill="1" applyAlignment="1" applyProtection="1">
      <alignment vertical="top" wrapText="1"/>
    </xf>
    <xf numFmtId="0" fontId="135" fillId="0" borderId="0" xfId="0" applyFont="1" applyFill="1" applyAlignment="1" applyProtection="1">
      <alignment vertical="top" wrapText="1"/>
    </xf>
    <xf numFmtId="172" fontId="26" fillId="0" borderId="0" xfId="277" applyFont="1" applyFill="1" applyAlignment="1" applyProtection="1">
      <alignment wrapText="1"/>
    </xf>
    <xf numFmtId="3" fontId="5" fillId="0" borderId="0" xfId="277" applyNumberFormat="1" applyFont="1" applyAlignment="1" applyProtection="1">
      <alignment horizontal="left" wrapText="1"/>
    </xf>
    <xf numFmtId="0" fontId="12" fillId="0" borderId="0" xfId="0" applyFont="1" applyAlignment="1" applyProtection="1">
      <alignment horizontal="left" wrapText="1"/>
    </xf>
    <xf numFmtId="0" fontId="5" fillId="0" borderId="0" xfId="0" applyFont="1" applyAlignment="1">
      <alignment horizontal="center"/>
    </xf>
    <xf numFmtId="0" fontId="5" fillId="0" borderId="0" xfId="224" applyFont="1" applyBorder="1" applyAlignment="1">
      <alignment horizontal="center"/>
    </xf>
    <xf numFmtId="0" fontId="9" fillId="0" borderId="47" xfId="280" applyFont="1" applyBorder="1" applyAlignment="1">
      <alignment horizontal="center" wrapText="1"/>
    </xf>
    <xf numFmtId="0" fontId="9" fillId="0" borderId="13" xfId="280" applyFont="1" applyBorder="1" applyAlignment="1">
      <alignment horizontal="center" wrapText="1"/>
    </xf>
    <xf numFmtId="0" fontId="9" fillId="0" borderId="48" xfId="280" applyFont="1" applyBorder="1" applyAlignment="1">
      <alignment horizontal="center" wrapText="1"/>
    </xf>
    <xf numFmtId="0" fontId="9" fillId="0" borderId="47" xfId="202" applyFont="1" applyBorder="1" applyAlignment="1">
      <alignment horizontal="center"/>
    </xf>
    <xf numFmtId="0" fontId="9" fillId="0" borderId="13" xfId="202" applyFont="1" applyBorder="1" applyAlignment="1">
      <alignment horizontal="center"/>
    </xf>
    <xf numFmtId="0" fontId="9" fillId="0" borderId="48" xfId="202" applyFont="1" applyBorder="1" applyAlignment="1">
      <alignment horizontal="center"/>
    </xf>
    <xf numFmtId="3" fontId="5" fillId="0" borderId="0" xfId="224" applyNumberFormat="1" applyFont="1" applyBorder="1" applyAlignment="1">
      <alignment horizontal="center"/>
    </xf>
    <xf numFmtId="0" fontId="12" fillId="0" borderId="0" xfId="224" applyFont="1" applyFill="1" applyBorder="1" applyAlignment="1">
      <alignment horizontal="left" wrapText="1"/>
    </xf>
    <xf numFmtId="0" fontId="17" fillId="0" borderId="0" xfId="268"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24" quotePrefix="1" applyFont="1" applyBorder="1" applyAlignment="1">
      <alignment horizontal="center" wrapText="1"/>
    </xf>
    <xf numFmtId="41" fontId="24" fillId="34" borderId="33" xfId="270" applyNumberFormat="1" applyFont="1" applyFill="1" applyBorder="1" applyAlignment="1" applyProtection="1">
      <alignment vertical="center"/>
      <protection locked="0"/>
    </xf>
    <xf numFmtId="0" fontId="24" fillId="0" borderId="0" xfId="228" applyFont="1" applyAlignment="1">
      <alignment horizontal="center" wrapText="1"/>
    </xf>
    <xf numFmtId="0" fontId="24" fillId="0" borderId="11" xfId="228" applyFont="1" applyBorder="1" applyAlignment="1">
      <alignment horizontal="center"/>
    </xf>
    <xf numFmtId="172" fontId="24" fillId="0" borderId="11" xfId="229" applyFont="1" applyBorder="1" applyAlignment="1">
      <alignment horizontal="center"/>
    </xf>
    <xf numFmtId="0" fontId="24" fillId="0" borderId="11" xfId="228" applyFont="1" applyBorder="1" applyAlignment="1">
      <alignment horizontal="center" wrapText="1"/>
    </xf>
    <xf numFmtId="0" fontId="25" fillId="0" borderId="0" xfId="228" applyFont="1" applyBorder="1" applyAlignment="1">
      <alignment horizontal="center" wrapText="1"/>
    </xf>
    <xf numFmtId="41" fontId="24" fillId="34" borderId="33" xfId="270" applyNumberFormat="1" applyFont="1" applyFill="1" applyBorder="1" applyAlignment="1" applyProtection="1">
      <alignment horizontal="left" vertical="center" wrapText="1"/>
      <protection locked="0"/>
    </xf>
    <xf numFmtId="0" fontId="24" fillId="0" borderId="0" xfId="228" applyFont="1" applyAlignment="1">
      <alignment horizontal="left" wrapText="1"/>
    </xf>
    <xf numFmtId="0" fontId="24" fillId="0" borderId="0" xfId="228" applyFont="1" applyAlignment="1">
      <alignment horizontal="left" vertical="top" wrapText="1"/>
    </xf>
    <xf numFmtId="0" fontId="24" fillId="0" borderId="0" xfId="228" applyFont="1" applyFill="1" applyAlignment="1">
      <alignment horizontal="left" vertical="top" wrapText="1"/>
    </xf>
    <xf numFmtId="0" fontId="24" fillId="0" borderId="0" xfId="228" applyFont="1" applyFill="1" applyAlignment="1">
      <alignment horizontal="left" wrapText="1"/>
    </xf>
    <xf numFmtId="172" fontId="2" fillId="0" borderId="0" xfId="363" applyFont="1" applyAlignment="1">
      <alignment horizontal="left" wrapText="1"/>
    </xf>
    <xf numFmtId="2" fontId="2" fillId="0" borderId="0" xfId="363" applyNumberFormat="1" applyFont="1" applyAlignment="1">
      <alignment horizontal="left" wrapText="1"/>
    </xf>
    <xf numFmtId="41" fontId="9" fillId="0" borderId="11" xfId="268" applyNumberFormat="1" applyFont="1" applyBorder="1" applyAlignment="1" applyProtection="1">
      <alignment horizontal="center"/>
      <protection locked="0"/>
    </xf>
    <xf numFmtId="172" fontId="2" fillId="0" borderId="0" xfId="363" applyFont="1" applyAlignment="1">
      <alignment horizontal="center" wrapText="1"/>
    </xf>
    <xf numFmtId="10" fontId="2" fillId="0" borderId="0" xfId="366" applyNumberFormat="1" applyFont="1" applyFill="1" applyAlignment="1">
      <alignment horizontal="center" wrapText="1"/>
    </xf>
    <xf numFmtId="172" fontId="2" fillId="0" borderId="0" xfId="363" applyFont="1" applyAlignment="1">
      <alignment horizontal="left" vertical="top" wrapText="1"/>
    </xf>
    <xf numFmtId="0" fontId="12" fillId="0" borderId="0" xfId="224" applyNumberFormat="1" applyFont="1" applyFill="1" applyBorder="1" applyAlignment="1">
      <alignment horizontal="left" wrapText="1"/>
    </xf>
    <xf numFmtId="0" fontId="81" fillId="0" borderId="0" xfId="268" applyFont="1" applyFill="1" applyAlignment="1">
      <alignment horizontal="center"/>
    </xf>
    <xf numFmtId="0" fontId="81" fillId="0" borderId="0" xfId="224" applyNumberFormat="1" applyFont="1" applyFill="1" applyBorder="1" applyAlignment="1">
      <alignment horizontal="center"/>
    </xf>
    <xf numFmtId="0" fontId="17" fillId="0" borderId="0" xfId="268"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24" applyFont="1" applyBorder="1" applyAlignment="1" applyProtection="1">
      <alignment horizontal="center"/>
    </xf>
    <xf numFmtId="3" fontId="5" fillId="0" borderId="0" xfId="0" applyNumberFormat="1" applyFont="1" applyAlignment="1" applyProtection="1">
      <alignment horizontal="center"/>
    </xf>
    <xf numFmtId="172" fontId="12" fillId="0" borderId="0" xfId="277" applyFont="1" applyFill="1" applyAlignment="1" applyProtection="1">
      <alignment horizontal="left" vertical="top" wrapText="1"/>
    </xf>
    <xf numFmtId="0" fontId="9" fillId="0" borderId="0" xfId="281" applyFont="1" applyFill="1" applyAlignment="1" applyProtection="1">
      <alignment wrapText="1"/>
    </xf>
    <xf numFmtId="3" fontId="4" fillId="0" borderId="0" xfId="0" applyNumberFormat="1" applyFont="1" applyAlignment="1" applyProtection="1">
      <alignment horizontal="center"/>
    </xf>
    <xf numFmtId="0" fontId="10" fillId="0" borderId="0" xfId="281"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278" applyFont="1" applyBorder="1" applyAlignment="1">
      <alignment horizontal="center"/>
    </xf>
    <xf numFmtId="0" fontId="71" fillId="0" borderId="0" xfId="278" applyFont="1" applyFill="1" applyAlignment="1">
      <alignment horizontal="left" wrapText="1"/>
    </xf>
    <xf numFmtId="0" fontId="71" fillId="0" borderId="0" xfId="278" applyFont="1" applyFill="1" applyAlignment="1">
      <alignment wrapText="1"/>
    </xf>
    <xf numFmtId="0" fontId="4" fillId="0" borderId="0" xfId="224" applyFont="1" applyBorder="1" applyAlignment="1">
      <alignment horizontal="center"/>
    </xf>
    <xf numFmtId="0" fontId="4" fillId="0" borderId="0" xfId="0" applyFont="1" applyAlignment="1">
      <alignment horizontal="center"/>
    </xf>
    <xf numFmtId="0" fontId="4" fillId="0" borderId="0" xfId="0" applyFont="1" applyFill="1" applyAlignment="1" applyProtection="1">
      <alignment wrapText="1"/>
    </xf>
    <xf numFmtId="0" fontId="0" fillId="0" borderId="0" xfId="0" applyAlignment="1" applyProtection="1">
      <alignment wrapText="1"/>
    </xf>
    <xf numFmtId="0" fontId="0" fillId="0" borderId="0" xfId="0" applyNumberFormat="1" applyAlignment="1" applyProtection="1">
      <alignment horizontal="left" wrapText="1"/>
    </xf>
    <xf numFmtId="0" fontId="69" fillId="34" borderId="0" xfId="0" applyFont="1" applyFill="1" applyAlignment="1" applyProtection="1">
      <alignment horizontal="left" vertical="top"/>
      <protection locked="0"/>
    </xf>
    <xf numFmtId="173" fontId="100" fillId="0" borderId="0" xfId="90" applyNumberFormat="1" applyFont="1" applyBorder="1" applyAlignment="1" applyProtection="1">
      <alignment horizontal="center"/>
    </xf>
    <xf numFmtId="172" fontId="2" fillId="0" borderId="21" xfId="277" applyFont="1" applyBorder="1" applyAlignment="1" applyProtection="1">
      <alignment wrapText="1"/>
    </xf>
    <xf numFmtId="0" fontId="2" fillId="0" borderId="15" xfId="0" applyFont="1" applyBorder="1" applyAlignment="1" applyProtection="1">
      <alignment wrapText="1"/>
    </xf>
    <xf numFmtId="0" fontId="2" fillId="0" borderId="25"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12" fillId="0" borderId="0" xfId="0" applyFont="1" applyFill="1" applyBorder="1" applyAlignment="1" applyProtection="1">
      <alignment wrapText="1"/>
    </xf>
    <xf numFmtId="173" fontId="100" fillId="0" borderId="0" xfId="86" applyNumberFormat="1" applyFont="1" applyBorder="1" applyAlignment="1" applyProtection="1">
      <alignment horizontal="center"/>
    </xf>
    <xf numFmtId="0" fontId="12" fillId="0" borderId="0" xfId="271" applyFont="1" applyFill="1" applyAlignment="1" applyProtection="1">
      <alignment horizontal="left" wrapText="1"/>
    </xf>
    <xf numFmtId="0" fontId="12" fillId="0" borderId="0" xfId="196" applyFont="1" applyFill="1" applyAlignment="1" applyProtection="1">
      <alignment wrapText="1"/>
    </xf>
    <xf numFmtId="0" fontId="93" fillId="0" borderId="0" xfId="271"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271" applyNumberFormat="1" applyFont="1" applyFill="1" applyBorder="1" applyAlignment="1" applyProtection="1">
      <alignment horizontal="center" wrapText="1"/>
    </xf>
    <xf numFmtId="0" fontId="9" fillId="0" borderId="47" xfId="0" applyFont="1" applyBorder="1" applyAlignment="1">
      <alignment horizontal="center"/>
    </xf>
    <xf numFmtId="0" fontId="9" fillId="0" borderId="13" xfId="0" applyFont="1" applyBorder="1" applyAlignment="1">
      <alignment horizontal="center"/>
    </xf>
    <xf numFmtId="0" fontId="9" fillId="0" borderId="48" xfId="0" applyFont="1" applyBorder="1" applyAlignment="1">
      <alignment horizontal="center"/>
    </xf>
    <xf numFmtId="0" fontId="99" fillId="0" borderId="0" xfId="0" applyFont="1" applyAlignment="1">
      <alignment horizontal="center" wrapText="1"/>
    </xf>
    <xf numFmtId="0" fontId="9" fillId="0" borderId="0" xfId="0" applyFont="1" applyAlignment="1">
      <alignment horizontal="center" wrapText="1"/>
    </xf>
    <xf numFmtId="0" fontId="20"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153"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xf>
    <xf numFmtId="0" fontId="147" fillId="0" borderId="0" xfId="0" applyFont="1" applyAlignment="1">
      <alignment horizontal="center" wrapText="1"/>
    </xf>
    <xf numFmtId="173" fontId="147" fillId="0" borderId="0" xfId="116" applyNumberFormat="1" applyFont="1" applyAlignment="1">
      <alignment horizontal="center" wrapText="1"/>
    </xf>
    <xf numFmtId="0" fontId="140" fillId="0" borderId="0" xfId="0" applyFont="1" applyAlignment="1">
      <alignment horizontal="center"/>
    </xf>
    <xf numFmtId="0" fontId="140" fillId="0" borderId="0" xfId="224" applyFont="1" applyBorder="1" applyAlignment="1">
      <alignment horizontal="center"/>
    </xf>
    <xf numFmtId="0" fontId="145" fillId="0" borderId="0" xfId="0" applyFont="1" applyAlignment="1">
      <alignment horizontal="center"/>
    </xf>
    <xf numFmtId="0" fontId="140" fillId="0" borderId="0" xfId="224" applyFont="1" applyFill="1" applyBorder="1" applyAlignment="1">
      <alignment horizontal="center"/>
    </xf>
    <xf numFmtId="3" fontId="140" fillId="0" borderId="0" xfId="0" applyNumberFormat="1" applyFont="1" applyAlignment="1">
      <alignment horizontal="center"/>
    </xf>
    <xf numFmtId="0" fontId="110" fillId="0" borderId="0" xfId="279" applyFont="1" applyAlignment="1" applyProtection="1">
      <alignment horizontal="center"/>
    </xf>
    <xf numFmtId="3" fontId="110" fillId="0" borderId="0" xfId="279" applyNumberFormat="1" applyFont="1" applyAlignment="1" applyProtection="1">
      <alignment horizontal="center"/>
    </xf>
    <xf numFmtId="44" fontId="110" fillId="0" borderId="0" xfId="125" applyFont="1" applyAlignment="1" applyProtection="1">
      <alignment horizontal="center"/>
    </xf>
    <xf numFmtId="0" fontId="77" fillId="0" borderId="30" xfId="279" applyFont="1" applyBorder="1" applyAlignment="1" applyProtection="1">
      <alignment horizontal="center"/>
    </xf>
    <xf numFmtId="0" fontId="3" fillId="0" borderId="0" xfId="279" applyFont="1" applyAlignment="1" applyProtection="1">
      <alignment horizontal="left" wrapText="1"/>
    </xf>
    <xf numFmtId="0" fontId="5" fillId="0" borderId="0" xfId="276" applyFont="1" applyAlignment="1" applyProtection="1">
      <alignment vertical="top" wrapText="1"/>
    </xf>
    <xf numFmtId="0" fontId="3" fillId="0" borderId="0" xfId="0" applyFont="1" applyAlignment="1" applyProtection="1">
      <alignment vertical="top" wrapText="1"/>
    </xf>
    <xf numFmtId="0" fontId="110" fillId="0" borderId="0" xfId="279" applyFont="1" applyAlignment="1">
      <alignment horizontal="center"/>
    </xf>
    <xf numFmtId="0" fontId="5" fillId="0" borderId="0" xfId="178" applyFont="1" applyAlignment="1">
      <alignment wrapText="1"/>
    </xf>
    <xf numFmtId="44" fontId="110" fillId="0" borderId="0" xfId="125" applyFont="1" applyAlignment="1">
      <alignment horizontal="center"/>
    </xf>
    <xf numFmtId="0" fontId="77" fillId="0" borderId="30" xfId="279" applyFont="1" applyBorder="1" applyAlignment="1">
      <alignment horizontal="center"/>
    </xf>
    <xf numFmtId="0" fontId="77" fillId="0" borderId="0" xfId="178" applyFont="1" applyAlignment="1">
      <alignment vertical="top" wrapText="1"/>
    </xf>
    <xf numFmtId="0" fontId="12" fillId="0" borderId="0" xfId="178" applyAlignment="1">
      <alignment vertical="top" wrapText="1"/>
    </xf>
    <xf numFmtId="0" fontId="5" fillId="0" borderId="0" xfId="276" applyFont="1" applyAlignment="1">
      <alignment vertical="top" wrapText="1"/>
    </xf>
    <xf numFmtId="0" fontId="141" fillId="0" borderId="0" xfId="279" applyFont="1" applyAlignment="1">
      <alignment horizontal="center"/>
    </xf>
    <xf numFmtId="0" fontId="3" fillId="0" borderId="0" xfId="279" applyAlignment="1">
      <alignment wrapText="1"/>
    </xf>
    <xf numFmtId="0" fontId="5" fillId="0" borderId="0" xfId="178" applyFont="1" applyAlignment="1">
      <alignment vertical="top" wrapText="1"/>
    </xf>
    <xf numFmtId="0" fontId="6" fillId="0" borderId="0" xfId="0" applyFont="1" applyFill="1" applyAlignment="1" applyProtection="1">
      <alignment horizontal="center"/>
    </xf>
    <xf numFmtId="0" fontId="77" fillId="0" borderId="0" xfId="0" applyFont="1" applyAlignment="1" applyProtection="1">
      <alignment horizontal="center"/>
    </xf>
    <xf numFmtId="0" fontId="123" fillId="0" borderId="0" xfId="0" applyFont="1" applyFill="1" applyAlignment="1" applyProtection="1">
      <alignment horizontal="center" wrapText="1"/>
    </xf>
  </cellXfs>
  <cellStyles count="37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xfId="365" xr:uid="{EC4EEC25-2AFD-49CC-AE35-131F8A73C815}"/>
    <cellStyle name="Comma 12 2" xfId="89" xr:uid="{00000000-0005-0000-0000-000058000000}"/>
    <cellStyle name="Comma 13" xfId="369" xr:uid="{656F06C9-EE45-4F25-AE2F-D924DE0368DA}"/>
    <cellStyle name="Comma 2" xfId="90" xr:uid="{00000000-0005-0000-0000-000059000000}"/>
    <cellStyle name="Comma 2 2" xfId="91" xr:uid="{00000000-0005-0000-0000-00005A000000}"/>
    <cellStyle name="Comma 3" xfId="92" xr:uid="{00000000-0005-0000-0000-00005B000000}"/>
    <cellStyle name="Comma 3 10" xfId="93" xr:uid="{00000000-0005-0000-0000-00005C000000}"/>
    <cellStyle name="Comma 3 2" xfId="94" xr:uid="{00000000-0005-0000-0000-00005D000000}"/>
    <cellStyle name="Comma 3 3" xfId="95" xr:uid="{00000000-0005-0000-0000-00005E000000}"/>
    <cellStyle name="Comma 3 3 2" xfId="96" xr:uid="{00000000-0005-0000-0000-00005F000000}"/>
    <cellStyle name="Comma 3 3 3" xfId="97" xr:uid="{00000000-0005-0000-0000-000060000000}"/>
    <cellStyle name="Comma 3 4" xfId="98" xr:uid="{00000000-0005-0000-0000-000061000000}"/>
    <cellStyle name="Comma 3 4 2" xfId="99" xr:uid="{00000000-0005-0000-0000-000062000000}"/>
    <cellStyle name="Comma 3 4 3" xfId="100" xr:uid="{00000000-0005-0000-0000-000063000000}"/>
    <cellStyle name="Comma 3 5" xfId="101" xr:uid="{00000000-0005-0000-0000-000064000000}"/>
    <cellStyle name="Comma 3 6" xfId="102" xr:uid="{00000000-0005-0000-0000-000065000000}"/>
    <cellStyle name="Comma 3 6 2" xfId="103" xr:uid="{00000000-0005-0000-0000-000066000000}"/>
    <cellStyle name="Comma 3 7" xfId="104" xr:uid="{00000000-0005-0000-0000-000067000000}"/>
    <cellStyle name="Comma 3 7 2" xfId="105" xr:uid="{00000000-0005-0000-0000-000068000000}"/>
    <cellStyle name="Comma 3 8" xfId="106" xr:uid="{00000000-0005-0000-0000-000069000000}"/>
    <cellStyle name="Comma 3 9" xfId="107" xr:uid="{00000000-0005-0000-0000-00006A000000}"/>
    <cellStyle name="Comma 3 9 2" xfId="108" xr:uid="{00000000-0005-0000-0000-00006B000000}"/>
    <cellStyle name="Comma 4" xfId="109" xr:uid="{00000000-0005-0000-0000-00006C000000}"/>
    <cellStyle name="Comma 4 2" xfId="110" xr:uid="{00000000-0005-0000-0000-00006D000000}"/>
    <cellStyle name="Comma 5" xfId="111" xr:uid="{00000000-0005-0000-0000-00006E000000}"/>
    <cellStyle name="Comma 5 2" xfId="112" xr:uid="{00000000-0005-0000-0000-00006F000000}"/>
    <cellStyle name="Comma 6" xfId="113" xr:uid="{00000000-0005-0000-0000-000070000000}"/>
    <cellStyle name="Comma 6 2" xfId="114" xr:uid="{00000000-0005-0000-0000-000071000000}"/>
    <cellStyle name="Comma 6 3" xfId="115" xr:uid="{00000000-0005-0000-0000-000072000000}"/>
    <cellStyle name="Comma 7" xfId="116" xr:uid="{00000000-0005-0000-0000-000073000000}"/>
    <cellStyle name="Comma 7 2" xfId="117" xr:uid="{00000000-0005-0000-0000-000074000000}"/>
    <cellStyle name="Comma 7 3" xfId="118" xr:uid="{00000000-0005-0000-0000-000075000000}"/>
    <cellStyle name="Comma 8" xfId="119" xr:uid="{00000000-0005-0000-0000-000076000000}"/>
    <cellStyle name="Comma 9" xfId="120" xr:uid="{00000000-0005-0000-0000-000077000000}"/>
    <cellStyle name="Comma 9 2" xfId="121" xr:uid="{00000000-0005-0000-0000-000078000000}"/>
    <cellStyle name="Comma 9 3" xfId="122" xr:uid="{00000000-0005-0000-0000-000079000000}"/>
    <cellStyle name="Comma_spp calc - revsd rev crd" xfId="123" xr:uid="{00000000-0005-0000-0000-00007A000000}"/>
    <cellStyle name="Comma0" xfId="124" xr:uid="{00000000-0005-0000-0000-00007B000000}"/>
    <cellStyle name="Currency 2" xfId="125" xr:uid="{00000000-0005-0000-0000-00007C000000}"/>
    <cellStyle name="Currency 2 2" xfId="126" xr:uid="{00000000-0005-0000-0000-00007D000000}"/>
    <cellStyle name="Currency 3" xfId="127" xr:uid="{00000000-0005-0000-0000-00007E000000}"/>
    <cellStyle name="Currency 3 2" xfId="128" xr:uid="{00000000-0005-0000-0000-00007F000000}"/>
    <cellStyle name="Currency 3 3" xfId="129" xr:uid="{00000000-0005-0000-0000-000080000000}"/>
    <cellStyle name="Currency 3 3 2" xfId="130" xr:uid="{00000000-0005-0000-0000-000081000000}"/>
    <cellStyle name="Currency 3 3 3" xfId="131" xr:uid="{00000000-0005-0000-0000-000082000000}"/>
    <cellStyle name="Currency 3 4" xfId="132" xr:uid="{00000000-0005-0000-0000-000083000000}"/>
    <cellStyle name="Currency 3 4 2" xfId="133" xr:uid="{00000000-0005-0000-0000-000084000000}"/>
    <cellStyle name="Currency 3 4 3" xfId="134" xr:uid="{00000000-0005-0000-0000-000085000000}"/>
    <cellStyle name="Currency 3 5" xfId="135" xr:uid="{00000000-0005-0000-0000-000086000000}"/>
    <cellStyle name="Currency 3 6" xfId="136" xr:uid="{00000000-0005-0000-0000-000087000000}"/>
    <cellStyle name="Currency 3 6 2" xfId="137" xr:uid="{00000000-0005-0000-0000-000088000000}"/>
    <cellStyle name="Currency 3 7" xfId="138" xr:uid="{00000000-0005-0000-0000-000089000000}"/>
    <cellStyle name="Currency 3 8" xfId="139" xr:uid="{00000000-0005-0000-0000-00008A000000}"/>
    <cellStyle name="Currency 3 8 2" xfId="140" xr:uid="{00000000-0005-0000-0000-00008B000000}"/>
    <cellStyle name="Currency 3 9" xfId="141" xr:uid="{00000000-0005-0000-0000-00008C000000}"/>
    <cellStyle name="Currency 4" xfId="142" xr:uid="{00000000-0005-0000-0000-00008D000000}"/>
    <cellStyle name="Currency 4 2" xfId="143" xr:uid="{00000000-0005-0000-0000-00008E000000}"/>
    <cellStyle name="Currency 5" xfId="144" xr:uid="{00000000-0005-0000-0000-00008F000000}"/>
    <cellStyle name="Currency 5 2" xfId="145" xr:uid="{00000000-0005-0000-0000-000090000000}"/>
    <cellStyle name="Currency 6" xfId="146" xr:uid="{00000000-0005-0000-0000-000091000000}"/>
    <cellStyle name="Currency 7" xfId="147" xr:uid="{00000000-0005-0000-0000-000092000000}"/>
    <cellStyle name="Currency 8" xfId="148" xr:uid="{00000000-0005-0000-0000-000093000000}"/>
    <cellStyle name="Currency 8 2" xfId="149" xr:uid="{00000000-0005-0000-0000-000094000000}"/>
    <cellStyle name="Currency 9" xfId="150" xr:uid="{00000000-0005-0000-0000-000095000000}"/>
    <cellStyle name="Currency0" xfId="151" xr:uid="{00000000-0005-0000-0000-000096000000}"/>
    <cellStyle name="Date" xfId="152" xr:uid="{00000000-0005-0000-0000-000097000000}"/>
    <cellStyle name="Explanatory Text" xfId="153" builtinId="53" customBuiltin="1"/>
    <cellStyle name="Explanatory Text 2" xfId="154" xr:uid="{00000000-0005-0000-0000-000099000000}"/>
    <cellStyle name="Fixed" xfId="155" xr:uid="{00000000-0005-0000-0000-00009A000000}"/>
    <cellStyle name="Good" xfId="156" builtinId="26" customBuiltin="1"/>
    <cellStyle name="Good 2" xfId="157" xr:uid="{00000000-0005-0000-0000-00009C000000}"/>
    <cellStyle name="Heading 1" xfId="158" builtinId="16" customBuiltin="1"/>
    <cellStyle name="Heading 1 2" xfId="159" xr:uid="{00000000-0005-0000-0000-00009E000000}"/>
    <cellStyle name="Heading 2" xfId="160" builtinId="17" customBuiltin="1"/>
    <cellStyle name="Heading 2 2" xfId="161" xr:uid="{00000000-0005-0000-0000-0000A0000000}"/>
    <cellStyle name="Heading 3" xfId="162" builtinId="18" customBuiltin="1"/>
    <cellStyle name="Heading 3 2" xfId="163" xr:uid="{00000000-0005-0000-0000-0000A2000000}"/>
    <cellStyle name="Heading 4" xfId="164" builtinId="19" customBuiltin="1"/>
    <cellStyle name="Heading 4 2" xfId="165" xr:uid="{00000000-0005-0000-0000-0000A4000000}"/>
    <cellStyle name="Heading1" xfId="166" xr:uid="{00000000-0005-0000-0000-0000A5000000}"/>
    <cellStyle name="Heading2" xfId="167" xr:uid="{00000000-0005-0000-0000-0000A6000000}"/>
    <cellStyle name="Input" xfId="168" builtinId="20" customBuiltin="1"/>
    <cellStyle name="Input 2" xfId="169" xr:uid="{00000000-0005-0000-0000-0000A8000000}"/>
    <cellStyle name="Linked Cell" xfId="170" builtinId="24" customBuiltin="1"/>
    <cellStyle name="Linked Cell 2" xfId="171" xr:uid="{00000000-0005-0000-0000-0000AA000000}"/>
    <cellStyle name="Neutral" xfId="172" builtinId="28" customBuiltin="1"/>
    <cellStyle name="Neutral 2" xfId="173" xr:uid="{00000000-0005-0000-0000-0000AC000000}"/>
    <cellStyle name="Normal" xfId="0" builtinId="0"/>
    <cellStyle name="Normal 10" xfId="174" xr:uid="{00000000-0005-0000-0000-0000AE000000}"/>
    <cellStyle name="Normal 10 2" xfId="175" xr:uid="{00000000-0005-0000-0000-0000AF000000}"/>
    <cellStyle name="Normal 10 3" xfId="176" xr:uid="{00000000-0005-0000-0000-0000B0000000}"/>
    <cellStyle name="Normal 11" xfId="177" xr:uid="{00000000-0005-0000-0000-0000B1000000}"/>
    <cellStyle name="Normal 11 2" xfId="178" xr:uid="{00000000-0005-0000-0000-0000B2000000}"/>
    <cellStyle name="Normal 11 3" xfId="179" xr:uid="{00000000-0005-0000-0000-0000B3000000}"/>
    <cellStyle name="Normal 12" xfId="180" xr:uid="{00000000-0005-0000-0000-0000B4000000}"/>
    <cellStyle name="Normal 12 2" xfId="181" xr:uid="{00000000-0005-0000-0000-0000B5000000}"/>
    <cellStyle name="Normal 12 4" xfId="182" xr:uid="{00000000-0005-0000-0000-0000B6000000}"/>
    <cellStyle name="Normal 13" xfId="183" xr:uid="{00000000-0005-0000-0000-0000B7000000}"/>
    <cellStyle name="Normal 13 2" xfId="184" xr:uid="{00000000-0005-0000-0000-0000B8000000}"/>
    <cellStyle name="Normal 14" xfId="185" xr:uid="{00000000-0005-0000-0000-0000B9000000}"/>
    <cellStyle name="Normal 14 2" xfId="186" xr:uid="{00000000-0005-0000-0000-0000BA000000}"/>
    <cellStyle name="Normal 15" xfId="187" xr:uid="{00000000-0005-0000-0000-0000BB000000}"/>
    <cellStyle name="Normal 16" xfId="188" xr:uid="{00000000-0005-0000-0000-0000BC000000}"/>
    <cellStyle name="Normal 16 2" xfId="189" xr:uid="{00000000-0005-0000-0000-0000BD000000}"/>
    <cellStyle name="Normal 17" xfId="190" xr:uid="{00000000-0005-0000-0000-0000BE000000}"/>
    <cellStyle name="Normal 17 2" xfId="191" xr:uid="{00000000-0005-0000-0000-0000BF000000}"/>
    <cellStyle name="Normal 18" xfId="192" xr:uid="{00000000-0005-0000-0000-0000C0000000}"/>
    <cellStyle name="Normal 18 2" xfId="193" xr:uid="{00000000-0005-0000-0000-0000C1000000}"/>
    <cellStyle name="Normal 19" xfId="194" xr:uid="{00000000-0005-0000-0000-0000C2000000}"/>
    <cellStyle name="Normal 19 2" xfId="195" xr:uid="{00000000-0005-0000-0000-0000C3000000}"/>
    <cellStyle name="Normal 2" xfId="196" xr:uid="{00000000-0005-0000-0000-0000C4000000}"/>
    <cellStyle name="Normal 2 2" xfId="197" xr:uid="{00000000-0005-0000-0000-0000C5000000}"/>
    <cellStyle name="Normal 2 2 2" xfId="198" xr:uid="{00000000-0005-0000-0000-0000C6000000}"/>
    <cellStyle name="Normal 2 2 3" xfId="199" xr:uid="{00000000-0005-0000-0000-0000C7000000}"/>
    <cellStyle name="Normal 2 2 4" xfId="200" xr:uid="{00000000-0005-0000-0000-0000C8000000}"/>
    <cellStyle name="Normal 2 3" xfId="201" xr:uid="{00000000-0005-0000-0000-0000C9000000}"/>
    <cellStyle name="Normal 2 5" xfId="202" xr:uid="{00000000-0005-0000-0000-0000CA000000}"/>
    <cellStyle name="Normal 2 5 2" xfId="203" xr:uid="{00000000-0005-0000-0000-0000CB000000}"/>
    <cellStyle name="Normal 20" xfId="204" xr:uid="{00000000-0005-0000-0000-0000CC000000}"/>
    <cellStyle name="Normal 20 2" xfId="205" xr:uid="{00000000-0005-0000-0000-0000CD000000}"/>
    <cellStyle name="Normal 21" xfId="206" xr:uid="{00000000-0005-0000-0000-0000CE000000}"/>
    <cellStyle name="Normal 21 2" xfId="207" xr:uid="{00000000-0005-0000-0000-0000CF000000}"/>
    <cellStyle name="Normal 22" xfId="208" xr:uid="{00000000-0005-0000-0000-0000D0000000}"/>
    <cellStyle name="Normal 22 2" xfId="209" xr:uid="{00000000-0005-0000-0000-0000D1000000}"/>
    <cellStyle name="Normal 23" xfId="210" xr:uid="{00000000-0005-0000-0000-0000D2000000}"/>
    <cellStyle name="Normal 23 2" xfId="211" xr:uid="{00000000-0005-0000-0000-0000D3000000}"/>
    <cellStyle name="Normal 24" xfId="212" xr:uid="{00000000-0005-0000-0000-0000D4000000}"/>
    <cellStyle name="Normal 24 2" xfId="213" xr:uid="{00000000-0005-0000-0000-0000D5000000}"/>
    <cellStyle name="Normal 25" xfId="214" xr:uid="{00000000-0005-0000-0000-0000D6000000}"/>
    <cellStyle name="Normal 25 2" xfId="215" xr:uid="{00000000-0005-0000-0000-0000D7000000}"/>
    <cellStyle name="Normal 26" xfId="216" xr:uid="{00000000-0005-0000-0000-0000D8000000}"/>
    <cellStyle name="Normal 26 2" xfId="217" xr:uid="{00000000-0005-0000-0000-0000D9000000}"/>
    <cellStyle name="Normal 27" xfId="218" xr:uid="{00000000-0005-0000-0000-0000DA000000}"/>
    <cellStyle name="Normal 28" xfId="219" xr:uid="{00000000-0005-0000-0000-0000DB000000}"/>
    <cellStyle name="Normal 28 2" xfId="220" xr:uid="{00000000-0005-0000-0000-0000DC000000}"/>
    <cellStyle name="Normal 29" xfId="221" xr:uid="{00000000-0005-0000-0000-0000DD000000}"/>
    <cellStyle name="Normal 29 2" xfId="222" xr:uid="{00000000-0005-0000-0000-0000DE000000}"/>
    <cellStyle name="Normal 3" xfId="223" xr:uid="{00000000-0005-0000-0000-0000DF000000}"/>
    <cellStyle name="Normal 3 2" xfId="224" xr:uid="{00000000-0005-0000-0000-0000E0000000}"/>
    <cellStyle name="Normal 3 3" xfId="225" xr:uid="{00000000-0005-0000-0000-0000E1000000}"/>
    <cellStyle name="Normal 3_Attach O, GG, Support -New Method 2-14-11" xfId="226" xr:uid="{00000000-0005-0000-0000-0000E2000000}"/>
    <cellStyle name="Normal 31" xfId="227" xr:uid="{00000000-0005-0000-0000-0000E3000000}"/>
    <cellStyle name="Normal 31 2" xfId="228" xr:uid="{00000000-0005-0000-0000-0000E4000000}"/>
    <cellStyle name="Normal 31 2 2" xfId="364" xr:uid="{9261FC07-0395-46C0-850B-513C1154844D}"/>
    <cellStyle name="Normal 33" xfId="229" xr:uid="{00000000-0005-0000-0000-0000E5000000}"/>
    <cellStyle name="Normal 33 2" xfId="363" xr:uid="{76E7FD4F-94DC-448B-8741-C8FE2CCF5533}"/>
    <cellStyle name="Normal 34" xfId="367" xr:uid="{A4F9F21B-BC17-48AB-A287-3CB2E48346F0}"/>
    <cellStyle name="Normal 4" xfId="230" xr:uid="{00000000-0005-0000-0000-0000E6000000}"/>
    <cellStyle name="Normal 4 10" xfId="231" xr:uid="{00000000-0005-0000-0000-0000E7000000}"/>
    <cellStyle name="Normal 4 2" xfId="232" xr:uid="{00000000-0005-0000-0000-0000E8000000}"/>
    <cellStyle name="Normal 4 3" xfId="233" xr:uid="{00000000-0005-0000-0000-0000E9000000}"/>
    <cellStyle name="Normal 4 3 2" xfId="234" xr:uid="{00000000-0005-0000-0000-0000EA000000}"/>
    <cellStyle name="Normal 4 3 3" xfId="235" xr:uid="{00000000-0005-0000-0000-0000EB000000}"/>
    <cellStyle name="Normal 4 4" xfId="236" xr:uid="{00000000-0005-0000-0000-0000EC000000}"/>
    <cellStyle name="Normal 4 4 2" xfId="237" xr:uid="{00000000-0005-0000-0000-0000ED000000}"/>
    <cellStyle name="Normal 4 4 3" xfId="238" xr:uid="{00000000-0005-0000-0000-0000EE000000}"/>
    <cellStyle name="Normal 4 5" xfId="239" xr:uid="{00000000-0005-0000-0000-0000EF000000}"/>
    <cellStyle name="Normal 4 6" xfId="240" xr:uid="{00000000-0005-0000-0000-0000F0000000}"/>
    <cellStyle name="Normal 4 6 2" xfId="241" xr:uid="{00000000-0005-0000-0000-0000F1000000}"/>
    <cellStyle name="Normal 4 7" xfId="242" xr:uid="{00000000-0005-0000-0000-0000F2000000}"/>
    <cellStyle name="Normal 4 7 2" xfId="243" xr:uid="{00000000-0005-0000-0000-0000F3000000}"/>
    <cellStyle name="Normal 4 8" xfId="244" xr:uid="{00000000-0005-0000-0000-0000F4000000}"/>
    <cellStyle name="Normal 4 9" xfId="245" xr:uid="{00000000-0005-0000-0000-0000F5000000}"/>
    <cellStyle name="Normal 4 9 2" xfId="246" xr:uid="{00000000-0005-0000-0000-0000F6000000}"/>
    <cellStyle name="Normal 4_PBOP Exhibit 1" xfId="247" xr:uid="{00000000-0005-0000-0000-0000F7000000}"/>
    <cellStyle name="Normal 5" xfId="248" xr:uid="{00000000-0005-0000-0000-0000F8000000}"/>
    <cellStyle name="Normal 5 2" xfId="249" xr:uid="{00000000-0005-0000-0000-0000F9000000}"/>
    <cellStyle name="Normal 5 2 2" xfId="250" xr:uid="{00000000-0005-0000-0000-0000FA000000}"/>
    <cellStyle name="Normal 5 3" xfId="251" xr:uid="{00000000-0005-0000-0000-0000FB000000}"/>
    <cellStyle name="Normal 5 4" xfId="252" xr:uid="{00000000-0005-0000-0000-0000FC000000}"/>
    <cellStyle name="Normal 6" xfId="253" xr:uid="{00000000-0005-0000-0000-0000FD000000}"/>
    <cellStyle name="Normal 6 2" xfId="254" xr:uid="{00000000-0005-0000-0000-0000FE000000}"/>
    <cellStyle name="Normal 6 2 2" xfId="255" xr:uid="{00000000-0005-0000-0000-0000FF000000}"/>
    <cellStyle name="Normal 6 2 3" xfId="256" xr:uid="{00000000-0005-0000-0000-000000010000}"/>
    <cellStyle name="Normal 6 3" xfId="257" xr:uid="{00000000-0005-0000-0000-000001010000}"/>
    <cellStyle name="Normal 6 3 2" xfId="258" xr:uid="{00000000-0005-0000-0000-000002010000}"/>
    <cellStyle name="Normal 6 4" xfId="259" xr:uid="{00000000-0005-0000-0000-000003010000}"/>
    <cellStyle name="Normal 6 4 2" xfId="260" xr:uid="{00000000-0005-0000-0000-000004010000}"/>
    <cellStyle name="Normal 7" xfId="261" xr:uid="{00000000-0005-0000-0000-000005010000}"/>
    <cellStyle name="Normal 7 2" xfId="262" xr:uid="{00000000-0005-0000-0000-000006010000}"/>
    <cellStyle name="Normal 8" xfId="263" xr:uid="{00000000-0005-0000-0000-000007010000}"/>
    <cellStyle name="Normal 8 2" xfId="264" xr:uid="{00000000-0005-0000-0000-000008010000}"/>
    <cellStyle name="Normal 9" xfId="265" xr:uid="{00000000-0005-0000-0000-000009010000}"/>
    <cellStyle name="Normal 9 2" xfId="266" xr:uid="{00000000-0005-0000-0000-00000A010000}"/>
    <cellStyle name="Normal_21 Exh B" xfId="267" xr:uid="{00000000-0005-0000-0000-00000B010000}"/>
    <cellStyle name="Normal_ADITAnalysisID090805" xfId="268" xr:uid="{00000000-0005-0000-0000-00000C010000}"/>
    <cellStyle name="Normal_ADITAnalysisID090805 2" xfId="269" xr:uid="{00000000-0005-0000-0000-00000D010000}"/>
    <cellStyle name="Normal_ADITAnalysisID090805 2 2" xfId="270" xr:uid="{00000000-0005-0000-0000-00000E010000}"/>
    <cellStyle name="Normal_ADITAnalysisID090805 2 2 2" xfId="271" xr:uid="{00000000-0005-0000-0000-00000F010000}"/>
    <cellStyle name="Normal_ADITAnalysisID090805 3" xfId="272" xr:uid="{00000000-0005-0000-0000-000010010000}"/>
    <cellStyle name="Normal_ADITAnalysisID090805 4 2" xfId="273" xr:uid="{00000000-0005-0000-0000-000011010000}"/>
    <cellStyle name="Normal_ATC Projected 2008 Monthly Plant Balances for Attachment O 2 (2)" xfId="274" xr:uid="{00000000-0005-0000-0000-000012010000}"/>
    <cellStyle name="Normal_AU Period 2 Rev 4-27-00" xfId="275" xr:uid="{00000000-0005-0000-0000-000013010000}"/>
    <cellStyle name="Normal_DeprRateAuth East Dave Davis 2" xfId="276" xr:uid="{00000000-0005-0000-0000-000014010000}"/>
    <cellStyle name="Normal_FN1 Ratebase Draft SPP template (6-11-04) v2" xfId="277" xr:uid="{00000000-0005-0000-0000-000015010000}"/>
    <cellStyle name="Normal_I&amp;M-AK-1" xfId="278" xr:uid="{00000000-0005-0000-0000-000016010000}"/>
    <cellStyle name="Normal_Revised 1-21-10  Deprec Summary" xfId="279" xr:uid="{00000000-0005-0000-0000-000017010000}"/>
    <cellStyle name="Normal_Schedule O Info for Mike" xfId="280" xr:uid="{00000000-0005-0000-0000-000018010000}"/>
    <cellStyle name="Normal_spp calc - revsd rev crd" xfId="281" xr:uid="{00000000-0005-0000-0000-000019010000}"/>
    <cellStyle name="Note" xfId="282" builtinId="10" customBuiltin="1"/>
    <cellStyle name="Note 2" xfId="283" xr:uid="{00000000-0005-0000-0000-00001B010000}"/>
    <cellStyle name="Output" xfId="284" builtinId="21" customBuiltin="1"/>
    <cellStyle name="Output 2" xfId="285" xr:uid="{00000000-0005-0000-0000-00001D010000}"/>
    <cellStyle name="Percent" xfId="286" builtinId="5"/>
    <cellStyle name="Percent 10" xfId="287" xr:uid="{00000000-0005-0000-0000-00001F010000}"/>
    <cellStyle name="Percent 11" xfId="288" xr:uid="{00000000-0005-0000-0000-000020010000}"/>
    <cellStyle name="Percent 12" xfId="366" xr:uid="{61EB2BBC-ECA4-412F-9051-802708DA5300}"/>
    <cellStyle name="Percent 13" xfId="368" xr:uid="{BFA30CE9-6704-47E3-9503-FC9EE2458918}"/>
    <cellStyle name="Percent 2" xfId="289" xr:uid="{00000000-0005-0000-0000-000021010000}"/>
    <cellStyle name="Percent 2 2" xfId="290" xr:uid="{00000000-0005-0000-0000-000022010000}"/>
    <cellStyle name="Percent 3" xfId="291" xr:uid="{00000000-0005-0000-0000-000023010000}"/>
    <cellStyle name="Percent 3 2" xfId="292" xr:uid="{00000000-0005-0000-0000-000024010000}"/>
    <cellStyle name="Percent 3 3" xfId="293" xr:uid="{00000000-0005-0000-0000-000025010000}"/>
    <cellStyle name="Percent 3 3 2" xfId="294" xr:uid="{00000000-0005-0000-0000-000026010000}"/>
    <cellStyle name="Percent 3 3 3" xfId="295" xr:uid="{00000000-0005-0000-0000-000027010000}"/>
    <cellStyle name="Percent 3 4" xfId="296" xr:uid="{00000000-0005-0000-0000-000028010000}"/>
    <cellStyle name="Percent 3 4 2" xfId="297" xr:uid="{00000000-0005-0000-0000-000029010000}"/>
    <cellStyle name="Percent 3 4 3" xfId="298" xr:uid="{00000000-0005-0000-0000-00002A010000}"/>
    <cellStyle name="Percent 3 5" xfId="299" xr:uid="{00000000-0005-0000-0000-00002B010000}"/>
    <cellStyle name="Percent 3 6" xfId="300" xr:uid="{00000000-0005-0000-0000-00002C010000}"/>
    <cellStyle name="Percent 3 6 2" xfId="301" xr:uid="{00000000-0005-0000-0000-00002D010000}"/>
    <cellStyle name="Percent 3 7" xfId="302" xr:uid="{00000000-0005-0000-0000-00002E010000}"/>
    <cellStyle name="Percent 3 8" xfId="303" xr:uid="{00000000-0005-0000-0000-00002F010000}"/>
    <cellStyle name="Percent 3 8 2" xfId="304" xr:uid="{00000000-0005-0000-0000-000030010000}"/>
    <cellStyle name="Percent 3 9" xfId="305" xr:uid="{00000000-0005-0000-0000-000031010000}"/>
    <cellStyle name="Percent 4" xfId="306" xr:uid="{00000000-0005-0000-0000-000032010000}"/>
    <cellStyle name="Percent 4 2" xfId="307" xr:uid="{00000000-0005-0000-0000-000033010000}"/>
    <cellStyle name="Percent 4 3" xfId="308" xr:uid="{00000000-0005-0000-0000-000034010000}"/>
    <cellStyle name="Percent 5" xfId="309" xr:uid="{00000000-0005-0000-0000-000035010000}"/>
    <cellStyle name="Percent 5 2" xfId="310" xr:uid="{00000000-0005-0000-0000-000036010000}"/>
    <cellStyle name="Percent 6" xfId="311" xr:uid="{00000000-0005-0000-0000-000037010000}"/>
    <cellStyle name="Percent 7" xfId="312" xr:uid="{00000000-0005-0000-0000-000038010000}"/>
    <cellStyle name="Percent 7 2" xfId="313" xr:uid="{00000000-0005-0000-0000-000039010000}"/>
    <cellStyle name="Percent 7 3" xfId="314" xr:uid="{00000000-0005-0000-0000-00003A010000}"/>
    <cellStyle name="Percent 8" xfId="315" xr:uid="{00000000-0005-0000-0000-00003B010000}"/>
    <cellStyle name="Percent 9" xfId="316" xr:uid="{00000000-0005-0000-0000-00003C010000}"/>
    <cellStyle name="Percent 9 2" xfId="317" xr:uid="{00000000-0005-0000-0000-00003D010000}"/>
    <cellStyle name="PSChar" xfId="318" xr:uid="{00000000-0005-0000-0000-00003E010000}"/>
    <cellStyle name="PSDate" xfId="319" xr:uid="{00000000-0005-0000-0000-00003F010000}"/>
    <cellStyle name="PSDec" xfId="320" xr:uid="{00000000-0005-0000-0000-000040010000}"/>
    <cellStyle name="PSdesc" xfId="321" xr:uid="{00000000-0005-0000-0000-000041010000}"/>
    <cellStyle name="PSHeading" xfId="322" xr:uid="{00000000-0005-0000-0000-000042010000}"/>
    <cellStyle name="PSInt" xfId="323" xr:uid="{00000000-0005-0000-0000-000043010000}"/>
    <cellStyle name="PSSpacer" xfId="324" xr:uid="{00000000-0005-0000-0000-000044010000}"/>
    <cellStyle name="PStest" xfId="325" xr:uid="{00000000-0005-0000-0000-000045010000}"/>
    <cellStyle name="R00A" xfId="326" xr:uid="{00000000-0005-0000-0000-000046010000}"/>
    <cellStyle name="R00B" xfId="327" xr:uid="{00000000-0005-0000-0000-000047010000}"/>
    <cellStyle name="R00L" xfId="328" xr:uid="{00000000-0005-0000-0000-000048010000}"/>
    <cellStyle name="R01A" xfId="329" xr:uid="{00000000-0005-0000-0000-000049010000}"/>
    <cellStyle name="R01B" xfId="330" xr:uid="{00000000-0005-0000-0000-00004A010000}"/>
    <cellStyle name="R01H" xfId="331" xr:uid="{00000000-0005-0000-0000-00004B010000}"/>
    <cellStyle name="R01L" xfId="332" xr:uid="{00000000-0005-0000-0000-00004C010000}"/>
    <cellStyle name="R02A" xfId="333" xr:uid="{00000000-0005-0000-0000-00004D010000}"/>
    <cellStyle name="R02B" xfId="334" xr:uid="{00000000-0005-0000-0000-00004E010000}"/>
    <cellStyle name="R02H" xfId="335" xr:uid="{00000000-0005-0000-0000-00004F010000}"/>
    <cellStyle name="R02L" xfId="336" xr:uid="{00000000-0005-0000-0000-000050010000}"/>
    <cellStyle name="R03A" xfId="337" xr:uid="{00000000-0005-0000-0000-000051010000}"/>
    <cellStyle name="R03B" xfId="338" xr:uid="{00000000-0005-0000-0000-000052010000}"/>
    <cellStyle name="R03H" xfId="339" xr:uid="{00000000-0005-0000-0000-000053010000}"/>
    <cellStyle name="R03L" xfId="340" xr:uid="{00000000-0005-0000-0000-000054010000}"/>
    <cellStyle name="R04A" xfId="341" xr:uid="{00000000-0005-0000-0000-000055010000}"/>
    <cellStyle name="R04B" xfId="342" xr:uid="{00000000-0005-0000-0000-000056010000}"/>
    <cellStyle name="R04H" xfId="343" xr:uid="{00000000-0005-0000-0000-000057010000}"/>
    <cellStyle name="R04L" xfId="344" xr:uid="{00000000-0005-0000-0000-000058010000}"/>
    <cellStyle name="R05A" xfId="345" xr:uid="{00000000-0005-0000-0000-000059010000}"/>
    <cellStyle name="R05B" xfId="346" xr:uid="{00000000-0005-0000-0000-00005A010000}"/>
    <cellStyle name="R05H" xfId="347" xr:uid="{00000000-0005-0000-0000-00005B010000}"/>
    <cellStyle name="R05L" xfId="348" xr:uid="{00000000-0005-0000-0000-00005C010000}"/>
    <cellStyle name="R06A" xfId="349" xr:uid="{00000000-0005-0000-0000-00005D010000}"/>
    <cellStyle name="R06B" xfId="350" xr:uid="{00000000-0005-0000-0000-00005E010000}"/>
    <cellStyle name="R06H" xfId="351" xr:uid="{00000000-0005-0000-0000-00005F010000}"/>
    <cellStyle name="R06L" xfId="352" xr:uid="{00000000-0005-0000-0000-000060010000}"/>
    <cellStyle name="R07A" xfId="353" xr:uid="{00000000-0005-0000-0000-000061010000}"/>
    <cellStyle name="R07B" xfId="354" xr:uid="{00000000-0005-0000-0000-000062010000}"/>
    <cellStyle name="R07H" xfId="355" xr:uid="{00000000-0005-0000-0000-000063010000}"/>
    <cellStyle name="R07L" xfId="356" xr:uid="{00000000-0005-0000-0000-000064010000}"/>
    <cellStyle name="Title" xfId="357" builtinId="15" customBuiltin="1"/>
    <cellStyle name="Title 2" xfId="358" xr:uid="{00000000-0005-0000-0000-000066010000}"/>
    <cellStyle name="Total" xfId="359" builtinId="25" customBuiltin="1"/>
    <cellStyle name="Total 2" xfId="360" xr:uid="{00000000-0005-0000-0000-000068010000}"/>
    <cellStyle name="Warning Text" xfId="361" builtinId="11" customBuiltin="1"/>
    <cellStyle name="Warning Text 2" xfId="362" xr:uid="{00000000-0005-0000-0000-00006A010000}"/>
  </cellStyles>
  <dxfs count="154">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374"/>
  <sheetViews>
    <sheetView tabSelected="1" view="pageBreakPreview" zoomScale="85" zoomScaleNormal="85" zoomScaleSheetLayoutView="85" zoomScalePageLayoutView="50" workbookViewId="0">
      <selection activeCell="D8" sqref="D8"/>
    </sheetView>
  </sheetViews>
  <sheetFormatPr defaultColWidth="11.42578125" defaultRowHeight="12.75" customHeight="1"/>
  <cols>
    <col min="1" max="1" width="4.7109375" customWidth="1"/>
    <col min="2" max="2" width="7.85546875" customWidth="1"/>
    <col min="3" max="3" width="1.85546875" customWidth="1"/>
    <col min="4" max="4" width="70.140625" customWidth="1"/>
    <col min="5" max="5" width="25.7109375" customWidth="1"/>
    <col min="6" max="6" width="22.28515625" customWidth="1"/>
    <col min="7" max="7" width="24.140625" customWidth="1"/>
    <col min="8" max="8" width="16.140625" customWidth="1"/>
    <col min="9" max="9" width="11.28515625" customWidth="1"/>
    <col min="10" max="10" width="21.5703125" bestFit="1" customWidth="1"/>
    <col min="11" max="11" width="4.7109375" customWidth="1"/>
    <col min="12" max="12" width="23" customWidth="1"/>
    <col min="13" max="17" width="11.42578125" customWidth="1"/>
  </cols>
  <sheetData>
    <row r="1" spans="1:12" ht="15.75">
      <c r="A1" s="808" t="s">
        <v>114</v>
      </c>
      <c r="B1" s="269"/>
      <c r="C1" s="270"/>
      <c r="D1" s="270"/>
      <c r="E1" s="270"/>
      <c r="F1" s="270"/>
      <c r="G1" s="270"/>
      <c r="H1" s="270"/>
      <c r="I1" s="270"/>
      <c r="J1" s="270"/>
      <c r="K1" s="270"/>
      <c r="L1" s="270"/>
    </row>
    <row r="2" spans="1:12" ht="15.75">
      <c r="A2" s="808" t="s">
        <v>114</v>
      </c>
      <c r="B2" s="269"/>
      <c r="C2" s="270"/>
      <c r="D2" s="270"/>
      <c r="E2" s="270"/>
      <c r="F2" s="270"/>
      <c r="G2" s="270"/>
      <c r="H2" s="270"/>
      <c r="I2" s="270"/>
      <c r="J2" s="270"/>
      <c r="K2" s="270"/>
      <c r="L2" s="270"/>
    </row>
    <row r="3" spans="1:12" ht="15.75">
      <c r="A3" s="270"/>
      <c r="B3" s="269"/>
      <c r="C3" s="270"/>
      <c r="D3" s="271"/>
      <c r="E3" s="272"/>
      <c r="F3" s="272"/>
      <c r="G3" s="273"/>
      <c r="H3" s="270"/>
      <c r="I3" s="274"/>
      <c r="J3" s="274"/>
      <c r="K3" s="274"/>
      <c r="L3" s="275"/>
    </row>
    <row r="4" spans="1:12" ht="15">
      <c r="A4" s="270"/>
      <c r="B4" s="269"/>
      <c r="C4" s="270"/>
      <c r="D4" s="270"/>
      <c r="E4" s="270"/>
      <c r="F4" s="270"/>
      <c r="G4" s="270"/>
      <c r="H4" s="270"/>
      <c r="I4" s="270"/>
      <c r="J4" s="270" t="s">
        <v>826</v>
      </c>
      <c r="K4" s="270"/>
      <c r="L4" s="762">
        <v>2024</v>
      </c>
    </row>
    <row r="5" spans="1:12" ht="15">
      <c r="A5" s="270"/>
      <c r="B5" s="269"/>
      <c r="C5" s="270"/>
      <c r="D5" s="276"/>
      <c r="E5" s="276"/>
      <c r="F5" s="277" t="s">
        <v>385</v>
      </c>
      <c r="G5" s="278"/>
      <c r="H5" s="278"/>
      <c r="I5" s="270"/>
      <c r="J5" s="276"/>
      <c r="K5" s="279"/>
      <c r="L5" s="279"/>
    </row>
    <row r="6" spans="1:12" ht="15">
      <c r="A6" s="270"/>
      <c r="B6" s="269"/>
      <c r="C6" s="270"/>
      <c r="D6" s="276"/>
      <c r="E6" s="280"/>
      <c r="F6" s="277" t="s">
        <v>386</v>
      </c>
      <c r="G6" s="278"/>
      <c r="H6" s="278"/>
      <c r="I6" s="270"/>
      <c r="J6" s="280"/>
      <c r="K6" s="279"/>
      <c r="L6" s="279"/>
    </row>
    <row r="7" spans="1:12" ht="15">
      <c r="A7" s="270"/>
      <c r="B7" s="269"/>
      <c r="C7" s="270"/>
      <c r="D7" s="279"/>
      <c r="E7" s="279"/>
      <c r="F7" s="281" t="str">
        <f>"Utilizing  Actual/Projected FERC Form 1 Data"</f>
        <v>Utilizing  Actual/Projected FERC Form 1 Data</v>
      </c>
      <c r="G7" s="278"/>
      <c r="H7" s="278"/>
      <c r="I7" s="270"/>
      <c r="J7" s="279"/>
      <c r="K7" s="279"/>
      <c r="L7" s="279"/>
    </row>
    <row r="8" spans="1:12" ht="15">
      <c r="A8" s="270"/>
      <c r="B8" s="282"/>
      <c r="C8" s="283"/>
      <c r="D8" s="279"/>
      <c r="E8" s="270"/>
      <c r="F8" s="270"/>
      <c r="G8" s="270"/>
      <c r="H8" s="284"/>
      <c r="I8" s="284"/>
      <c r="J8" s="284"/>
      <c r="K8" s="284"/>
      <c r="L8" s="279"/>
    </row>
    <row r="9" spans="1:12" ht="15.75">
      <c r="A9" s="270"/>
      <c r="B9" s="282"/>
      <c r="C9" s="283"/>
      <c r="D9" s="285"/>
      <c r="E9" s="279"/>
      <c r="F9" s="286" t="s">
        <v>870</v>
      </c>
      <c r="G9" s="287"/>
      <c r="H9" s="279"/>
      <c r="I9" s="279"/>
      <c r="J9" s="279"/>
      <c r="K9" s="279"/>
      <c r="L9" s="285"/>
    </row>
    <row r="10" spans="1:12" ht="15">
      <c r="A10" s="270"/>
      <c r="B10" s="282"/>
      <c r="C10" s="283"/>
      <c r="D10" s="279"/>
      <c r="E10" s="279"/>
      <c r="F10" s="288"/>
      <c r="G10" s="287"/>
      <c r="H10" s="279"/>
      <c r="I10" s="279"/>
      <c r="J10" s="279"/>
      <c r="K10" s="279"/>
      <c r="L10" s="285"/>
    </row>
    <row r="11" spans="1:12" ht="15">
      <c r="A11" s="270"/>
      <c r="B11" s="282" t="s">
        <v>169</v>
      </c>
      <c r="C11" s="283"/>
      <c r="D11" s="279"/>
      <c r="E11" s="279"/>
      <c r="F11" s="279"/>
      <c r="G11" s="287"/>
      <c r="H11" s="279"/>
      <c r="I11" s="279"/>
      <c r="J11" s="279"/>
      <c r="K11" s="279"/>
      <c r="L11" s="283" t="s">
        <v>115</v>
      </c>
    </row>
    <row r="12" spans="1:12" ht="15.75" thickBot="1">
      <c r="A12" s="270"/>
      <c r="B12" s="289" t="s">
        <v>117</v>
      </c>
      <c r="C12" s="290"/>
      <c r="D12" s="279"/>
      <c r="E12" s="290"/>
      <c r="F12" s="279"/>
      <c r="G12" s="279"/>
      <c r="H12" s="279"/>
      <c r="I12" s="279"/>
      <c r="J12" s="279"/>
      <c r="K12" s="279"/>
      <c r="L12" s="291" t="s">
        <v>170</v>
      </c>
    </row>
    <row r="13" spans="1:12" ht="15">
      <c r="A13" s="270"/>
      <c r="B13" s="282">
        <f>1</f>
        <v>1</v>
      </c>
      <c r="C13" s="283"/>
      <c r="D13" s="292" t="s">
        <v>111</v>
      </c>
      <c r="E13" s="293" t="str">
        <f>"(ln "&amp;B213&amp;")"</f>
        <v>(ln 130)</v>
      </c>
      <c r="F13" s="293"/>
      <c r="G13" s="294"/>
      <c r="H13" s="295"/>
      <c r="I13" s="279"/>
      <c r="J13" s="279"/>
      <c r="K13" s="279"/>
      <c r="L13" s="296">
        <f>+L213</f>
        <v>528866071.91909486</v>
      </c>
    </row>
    <row r="14" spans="1:12" ht="15.75" thickBot="1">
      <c r="A14" s="270"/>
      <c r="B14" s="282"/>
      <c r="C14" s="283"/>
      <c r="D14" s="270"/>
      <c r="E14" s="297"/>
      <c r="F14" s="298"/>
      <c r="G14" s="291" t="s">
        <v>118</v>
      </c>
      <c r="H14" s="280"/>
      <c r="I14" s="299" t="s">
        <v>119</v>
      </c>
      <c r="J14" s="299"/>
      <c r="K14" s="279"/>
      <c r="L14" s="294"/>
    </row>
    <row r="15" spans="1:12" ht="15">
      <c r="A15" s="270"/>
      <c r="B15" s="282">
        <f>+B13+1</f>
        <v>2</v>
      </c>
      <c r="C15" s="283"/>
      <c r="D15" s="300" t="s">
        <v>168</v>
      </c>
      <c r="E15" s="297" t="s">
        <v>619</v>
      </c>
      <c r="F15" s="298"/>
      <c r="G15" s="301">
        <f>+'WS E Rev Credits'!K31</f>
        <v>7762202.9773377925</v>
      </c>
      <c r="H15" s="298"/>
      <c r="I15" s="302" t="s">
        <v>129</v>
      </c>
      <c r="J15" s="303">
        <v>1</v>
      </c>
      <c r="K15" s="280"/>
      <c r="L15" s="304">
        <f>+J15*G15</f>
        <v>7762202.9773377925</v>
      </c>
    </row>
    <row r="16" spans="1:12" ht="15">
      <c r="A16" s="270"/>
      <c r="B16" s="282"/>
      <c r="C16" s="283"/>
      <c r="D16" s="300"/>
      <c r="E16" s="270"/>
      <c r="F16" s="280"/>
      <c r="G16" s="270"/>
      <c r="H16" s="270"/>
      <c r="I16" s="270"/>
      <c r="J16" s="270"/>
      <c r="K16" s="270"/>
      <c r="L16" s="305"/>
    </row>
    <row r="17" spans="1:12" ht="15">
      <c r="A17" s="270"/>
      <c r="B17" s="282"/>
      <c r="C17" s="283"/>
      <c r="D17" s="300"/>
      <c r="E17" s="270"/>
      <c r="F17" s="280"/>
      <c r="G17" s="270"/>
      <c r="H17" s="270"/>
      <c r="I17" s="270"/>
      <c r="J17" s="270"/>
      <c r="K17" s="270"/>
      <c r="L17" s="306"/>
    </row>
    <row r="18" spans="1:12" ht="15">
      <c r="A18" s="270"/>
      <c r="B18" s="282">
        <f>+B15+1</f>
        <v>3</v>
      </c>
      <c r="C18" s="283"/>
      <c r="D18" s="300" t="s">
        <v>534</v>
      </c>
      <c r="E18" s="270" t="s">
        <v>620</v>
      </c>
      <c r="F18" s="280"/>
      <c r="G18" s="270"/>
      <c r="H18" s="270"/>
      <c r="I18" s="270"/>
      <c r="J18" s="270"/>
      <c r="K18" s="270"/>
      <c r="L18" s="304">
        <f>'WS E Rev Credits'!K39</f>
        <v>0</v>
      </c>
    </row>
    <row r="19" spans="1:12" ht="15">
      <c r="A19" s="270"/>
      <c r="B19" s="282"/>
      <c r="C19" s="283"/>
      <c r="D19" s="300"/>
      <c r="E19" s="270"/>
      <c r="F19" s="280"/>
      <c r="G19" s="270"/>
      <c r="H19" s="270"/>
      <c r="I19" s="270"/>
      <c r="J19" s="270"/>
      <c r="K19" s="270"/>
      <c r="L19" s="306"/>
    </row>
    <row r="20" spans="1:12" ht="15.75" thickBot="1">
      <c r="A20" s="270"/>
      <c r="B20" s="307">
        <f>+B18+1</f>
        <v>4</v>
      </c>
      <c r="C20" s="308"/>
      <c r="D20" s="309" t="s">
        <v>464</v>
      </c>
      <c r="E20" s="310" t="str">
        <f>"(ln "&amp;B13&amp;" less  ln " &amp;B15&amp;" plus ln "&amp;B18&amp;")"</f>
        <v>(ln 1 less  ln 2 plus ln 3)</v>
      </c>
      <c r="F20" s="279"/>
      <c r="G20" s="270"/>
      <c r="H20" s="280"/>
      <c r="I20" s="311"/>
      <c r="J20" s="280"/>
      <c r="K20" s="280"/>
      <c r="L20" s="312">
        <f>+L13-L15+L18</f>
        <v>521103868.94175708</v>
      </c>
    </row>
    <row r="21" spans="1:12" ht="15.75" thickTop="1">
      <c r="A21" s="270"/>
      <c r="B21" s="307"/>
      <c r="C21" s="308"/>
      <c r="D21" s="309"/>
      <c r="E21" s="310"/>
      <c r="F21" s="279"/>
      <c r="G21" s="270"/>
      <c r="H21" s="280"/>
      <c r="I21" s="311"/>
      <c r="J21" s="280"/>
      <c r="K21" s="280"/>
      <c r="L21" s="304"/>
    </row>
    <row r="22" spans="1:12" ht="15">
      <c r="A22" s="270"/>
      <c r="B22" s="307"/>
      <c r="C22" s="308"/>
      <c r="D22" s="309"/>
      <c r="E22" s="310"/>
      <c r="F22" s="279"/>
      <c r="G22" s="270"/>
      <c r="H22" s="280"/>
      <c r="I22" s="311"/>
      <c r="J22" s="280"/>
      <c r="K22" s="280"/>
      <c r="L22" s="304"/>
    </row>
    <row r="23" spans="1:12" ht="15">
      <c r="A23" s="270"/>
      <c r="B23" s="307"/>
      <c r="C23" s="308"/>
      <c r="D23" s="300"/>
      <c r="E23" s="310"/>
      <c r="F23" s="279"/>
      <c r="G23" s="270"/>
      <c r="H23" s="280"/>
      <c r="I23" s="311"/>
      <c r="J23" s="280"/>
      <c r="K23" s="280"/>
      <c r="L23" s="313"/>
    </row>
    <row r="24" spans="1:12" ht="15" customHeight="1">
      <c r="A24" s="270"/>
      <c r="B24" s="1442"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42"/>
      <c r="D24" s="1442"/>
      <c r="E24" s="1442"/>
      <c r="F24" s="1442"/>
      <c r="G24" s="1442"/>
      <c r="H24" s="1442"/>
      <c r="I24" s="1442"/>
      <c r="J24" s="270"/>
      <c r="K24" s="270"/>
      <c r="L24" s="270"/>
    </row>
    <row r="25" spans="1:12" ht="35.25" customHeight="1">
      <c r="A25" s="270"/>
      <c r="B25" s="1442"/>
      <c r="C25" s="1442"/>
      <c r="D25" s="1442"/>
      <c r="E25" s="1442"/>
      <c r="F25" s="1442"/>
      <c r="G25" s="1442"/>
      <c r="H25" s="1442"/>
      <c r="I25" s="1442"/>
      <c r="J25" s="270"/>
      <c r="K25" s="270"/>
      <c r="L25" s="270"/>
    </row>
    <row r="26" spans="1:12" ht="15" customHeight="1">
      <c r="A26" s="270"/>
      <c r="B26" s="314"/>
      <c r="C26" s="314"/>
      <c r="D26" s="314"/>
      <c r="E26" s="314"/>
      <c r="F26" s="314"/>
      <c r="G26" s="314"/>
      <c r="H26" s="314"/>
      <c r="I26" s="314"/>
      <c r="J26" s="270"/>
      <c r="K26" s="270"/>
      <c r="L26" s="270"/>
    </row>
    <row r="27" spans="1:12" ht="15">
      <c r="A27" s="270"/>
      <c r="B27" s="282">
        <f>+B20+1</f>
        <v>5</v>
      </c>
      <c r="C27" s="308"/>
      <c r="D27" s="315" t="s">
        <v>535</v>
      </c>
      <c r="E27" s="297"/>
      <c r="F27" s="298"/>
      <c r="G27" s="316">
        <f>+'WS J PROJECTED RTEP RR'!M26</f>
        <v>28118028.103649396</v>
      </c>
      <c r="H27" s="298"/>
      <c r="I27" s="302" t="s">
        <v>129</v>
      </c>
      <c r="J27" s="303">
        <v>1</v>
      </c>
      <c r="K27" s="293"/>
      <c r="L27" s="317">
        <f>+J27*G27</f>
        <v>28118028.103649396</v>
      </c>
    </row>
    <row r="28" spans="1:12" ht="15">
      <c r="A28" s="270"/>
      <c r="B28" s="282"/>
      <c r="C28" s="308"/>
      <c r="D28" s="315"/>
      <c r="E28" s="310"/>
      <c r="F28" s="298"/>
      <c r="G28" s="316"/>
      <c r="H28" s="298"/>
      <c r="I28" s="298"/>
      <c r="J28" s="303"/>
      <c r="K28" s="293"/>
      <c r="L28" s="317"/>
    </row>
    <row r="29" spans="1:12" ht="15">
      <c r="A29" s="270"/>
      <c r="B29" s="307">
        <f>+B27+1</f>
        <v>6</v>
      </c>
      <c r="C29" s="308"/>
      <c r="D29" s="315" t="s">
        <v>373</v>
      </c>
      <c r="E29" s="297"/>
      <c r="F29" s="279"/>
      <c r="G29" s="318"/>
      <c r="H29" s="279"/>
      <c r="I29" s="270"/>
      <c r="J29" s="279"/>
      <c r="K29" s="279"/>
      <c r="L29" s="270"/>
    </row>
    <row r="30" spans="1:12" ht="15">
      <c r="A30" s="270"/>
      <c r="B30" s="282">
        <f>B29+1</f>
        <v>7</v>
      </c>
      <c r="C30" s="308"/>
      <c r="D30" s="319" t="s">
        <v>250</v>
      </c>
      <c r="E30" s="293" t="str">
        <f>"( (ln "&amp;B13&amp;" - ln "&amp;B168&amp;")/((ln "&amp;$B$91&amp;") x 100) )"</f>
        <v>( (ln 1 - ln 95)/((ln 42) x 100) )</v>
      </c>
      <c r="F30" s="283"/>
      <c r="G30" s="283"/>
      <c r="H30" s="283"/>
      <c r="I30" s="320"/>
      <c r="J30" s="320"/>
      <c r="K30" s="320"/>
      <c r="L30" s="321">
        <f>(L13-L168)/L$91</f>
        <v>0.13771457026662695</v>
      </c>
    </row>
    <row r="31" spans="1:12" ht="15">
      <c r="A31" s="270"/>
      <c r="B31" s="282">
        <f>B30+1</f>
        <v>8</v>
      </c>
      <c r="C31" s="308"/>
      <c r="D31" s="319" t="s">
        <v>251</v>
      </c>
      <c r="E31" s="293" t="str">
        <f>"(ln "&amp;B30&amp;" / 12)"</f>
        <v>(ln 7 / 12)</v>
      </c>
      <c r="F31" s="283"/>
      <c r="G31" s="283"/>
      <c r="H31" s="283"/>
      <c r="I31" s="320"/>
      <c r="J31" s="320"/>
      <c r="K31" s="320"/>
      <c r="L31" s="322">
        <f>L30/12</f>
        <v>1.1476214188885579E-2</v>
      </c>
    </row>
    <row r="32" spans="1:12" ht="15">
      <c r="A32" s="270"/>
      <c r="B32" s="282"/>
      <c r="C32" s="308"/>
      <c r="D32" s="319"/>
      <c r="E32" s="293"/>
      <c r="F32" s="283"/>
      <c r="G32" s="283"/>
      <c r="H32" s="283"/>
      <c r="I32" s="320"/>
      <c r="J32" s="320"/>
      <c r="K32" s="320"/>
      <c r="L32" s="322"/>
    </row>
    <row r="33" spans="1:12" ht="15">
      <c r="A33" s="270"/>
      <c r="B33" s="282">
        <f>B31+1</f>
        <v>9</v>
      </c>
      <c r="C33" s="308"/>
      <c r="D33" s="315" t="str">
        <f>"NET PLANT CARRYING CHARGE ON LINE "&amp;B30&amp;" , w/o depreciation or ROE incentives (Note B)"</f>
        <v>NET PLANT CARRYING CHARGE ON LINE 7 , w/o depreciation or ROE incentives (Note B)</v>
      </c>
      <c r="E33" s="293"/>
      <c r="F33" s="283"/>
      <c r="G33" s="283"/>
      <c r="H33" s="283"/>
      <c r="I33" s="320"/>
      <c r="J33" s="320"/>
      <c r="K33" s="320"/>
      <c r="L33" s="322"/>
    </row>
    <row r="34" spans="1:12" ht="15">
      <c r="A34" s="270"/>
      <c r="B34" s="282">
        <f>B33+1</f>
        <v>10</v>
      </c>
      <c r="C34" s="308"/>
      <c r="D34" s="319" t="s">
        <v>250</v>
      </c>
      <c r="E34" s="293" t="str">
        <f>"( (ln "&amp;B13&amp;" - ln "&amp;B168&amp;" - ln "&amp;B174&amp;" ) /((ln "&amp;$B$91&amp;") x 100) )"</f>
        <v>( (ln 1 - ln 95 - ln 100 ) /((ln 42) x 100) )</v>
      </c>
      <c r="F34" s="283"/>
      <c r="G34" s="283"/>
      <c r="H34" s="283"/>
      <c r="I34" s="320"/>
      <c r="J34" s="320"/>
      <c r="K34" s="320"/>
      <c r="L34" s="321">
        <f>(L13-L168-L174)/L91</f>
        <v>0.10987714662923057</v>
      </c>
    </row>
    <row r="35" spans="1:12" ht="15">
      <c r="A35" s="270"/>
      <c r="B35" s="282"/>
      <c r="C35" s="308"/>
      <c r="D35" s="319"/>
      <c r="E35" s="293"/>
      <c r="F35" s="283"/>
      <c r="G35" s="283"/>
      <c r="H35" s="283"/>
      <c r="I35" s="320"/>
      <c r="J35" s="320"/>
      <c r="K35" s="320"/>
      <c r="L35" s="322"/>
    </row>
    <row r="36" spans="1:12" ht="15">
      <c r="A36" s="270"/>
      <c r="B36" s="282">
        <f>B34+1</f>
        <v>11</v>
      </c>
      <c r="C36" s="308"/>
      <c r="D36" s="315" t="str">
        <f>"NET PLANT CARRYING CHARGE ON LINE "&amp;B34&amp;", w/o Return, income taxes or ROE incentives (Note B)"</f>
        <v>NET PLANT CARRYING CHARGE ON LINE 10, w/o Return, income taxes or ROE incentives (Note B)</v>
      </c>
      <c r="E36" s="293"/>
      <c r="F36" s="323"/>
      <c r="G36" s="323"/>
      <c r="H36" s="323"/>
      <c r="I36" s="323"/>
      <c r="J36" s="323"/>
      <c r="K36" s="323"/>
      <c r="L36" s="323"/>
    </row>
    <row r="37" spans="1:12" ht="15">
      <c r="A37" s="270"/>
      <c r="B37" s="282">
        <f>B36+1</f>
        <v>12</v>
      </c>
      <c r="C37" s="308"/>
      <c r="D37" s="276" t="s">
        <v>250</v>
      </c>
      <c r="E37" s="293" t="str">
        <f>"( (ln "&amp;B13&amp;" - ln "&amp;B168&amp;" - ln "&amp;B174&amp;" - ln "&amp;B203&amp;" - ln "&amp;B205&amp;") /((ln "&amp;$B$91&amp;") x 100) )"</f>
        <v>( (ln 1 - ln 95 - ln 100 - ln 125 - ln 126) /((ln 42) x 100) )</v>
      </c>
      <c r="F37" s="323"/>
      <c r="G37" s="323"/>
      <c r="H37" s="323"/>
      <c r="I37" s="323"/>
      <c r="J37" s="323"/>
      <c r="K37" s="323"/>
      <c r="L37" s="324">
        <f>(L13-L168-L174-L203-L205)/L91</f>
        <v>3.2167657260867774E-2</v>
      </c>
    </row>
    <row r="38" spans="1:12" ht="15">
      <c r="A38" s="270"/>
      <c r="B38" s="282"/>
      <c r="C38" s="308"/>
      <c r="D38" s="276"/>
      <c r="E38" s="293"/>
      <c r="F38" s="283"/>
      <c r="G38" s="283"/>
      <c r="H38" s="283"/>
      <c r="I38" s="320"/>
      <c r="J38" s="320"/>
      <c r="K38" s="320"/>
      <c r="L38" s="321"/>
    </row>
    <row r="39" spans="1:12" ht="15">
      <c r="A39" s="270"/>
      <c r="B39" s="282">
        <f>B37+1</f>
        <v>13</v>
      </c>
      <c r="C39" s="283"/>
      <c r="D39" s="325" t="s">
        <v>591</v>
      </c>
      <c r="E39" s="293"/>
      <c r="F39" s="283"/>
      <c r="G39" s="283"/>
      <c r="H39" s="283"/>
      <c r="I39" s="320"/>
      <c r="J39" s="320"/>
      <c r="K39" s="320"/>
      <c r="L39" s="326"/>
    </row>
    <row r="40" spans="1:12" ht="15">
      <c r="A40" s="270"/>
      <c r="B40" s="282"/>
      <c r="C40" s="283"/>
      <c r="D40" s="270"/>
      <c r="E40" s="293"/>
      <c r="F40" s="283"/>
      <c r="G40" s="283"/>
      <c r="H40" s="283"/>
      <c r="I40" s="320"/>
      <c r="J40" s="320"/>
      <c r="K40" s="320"/>
      <c r="L40" s="321"/>
    </row>
    <row r="41" spans="1:12" ht="15">
      <c r="A41" s="270"/>
      <c r="B41" s="270"/>
      <c r="C41" s="283"/>
      <c r="D41" s="270"/>
      <c r="E41" s="293"/>
      <c r="F41" s="283"/>
      <c r="G41" s="283"/>
      <c r="H41" s="283"/>
      <c r="I41" s="320"/>
      <c r="J41" s="320"/>
      <c r="K41" s="320"/>
      <c r="L41" s="321"/>
    </row>
    <row r="42" spans="1:12" ht="15.75">
      <c r="A42" s="270"/>
      <c r="B42" s="282">
        <f>+B39+1</f>
        <v>14</v>
      </c>
      <c r="C42" s="283"/>
      <c r="D42" s="1448" t="s">
        <v>432</v>
      </c>
      <c r="E42" s="1448"/>
      <c r="F42" s="1448"/>
      <c r="G42" s="1448"/>
      <c r="H42" s="1448"/>
      <c r="I42" s="1448"/>
      <c r="J42" s="1448"/>
      <c r="K42" s="1448"/>
      <c r="L42" s="1448"/>
    </row>
    <row r="43" spans="1:12" ht="15">
      <c r="A43" s="270"/>
      <c r="B43" s="282"/>
      <c r="C43" s="283"/>
      <c r="D43" s="270"/>
      <c r="E43" s="293"/>
      <c r="F43" s="283"/>
      <c r="G43" s="283"/>
      <c r="H43" s="283"/>
      <c r="I43" s="320"/>
      <c r="J43" s="320"/>
      <c r="K43" s="320"/>
      <c r="L43" s="321"/>
    </row>
    <row r="44" spans="1:12" ht="15">
      <c r="A44" s="270"/>
      <c r="B44" s="282">
        <f>+B42+1</f>
        <v>15</v>
      </c>
      <c r="C44" s="283"/>
      <c r="D44" s="292" t="s">
        <v>434</v>
      </c>
      <c r="E44" s="293" t="str">
        <f>"Line "&amp;B146&amp;" Below"</f>
        <v>Line 75 Below</v>
      </c>
      <c r="F44" s="283"/>
      <c r="G44" s="270"/>
      <c r="H44" s="283"/>
      <c r="I44" s="320"/>
      <c r="J44" s="320"/>
      <c r="K44" s="320"/>
      <c r="L44" s="327">
        <f>+G146</f>
        <v>15729607.898989998</v>
      </c>
    </row>
    <row r="45" spans="1:12" ht="15">
      <c r="A45" s="270"/>
      <c r="B45" s="282">
        <f>+B44+1</f>
        <v>16</v>
      </c>
      <c r="C45" s="283"/>
      <c r="D45" s="292" t="s">
        <v>472</v>
      </c>
      <c r="E45" s="279"/>
      <c r="F45" s="283"/>
      <c r="G45" s="270"/>
      <c r="H45" s="283"/>
      <c r="I45" s="320"/>
      <c r="J45" s="320"/>
      <c r="K45" s="320"/>
      <c r="L45" s="763">
        <f>'WS F Misc Exp'!D28</f>
        <v>9410664.1922369488</v>
      </c>
    </row>
    <row r="46" spans="1:12" ht="15">
      <c r="A46" s="270"/>
      <c r="B46" s="282">
        <f>+B45+1</f>
        <v>17</v>
      </c>
      <c r="C46" s="283"/>
      <c r="D46" s="292" t="s">
        <v>473</v>
      </c>
      <c r="E46" s="279"/>
      <c r="F46" s="283"/>
      <c r="G46" s="270"/>
      <c r="H46" s="283"/>
      <c r="I46" s="320"/>
      <c r="J46" s="320"/>
      <c r="K46" s="320"/>
      <c r="L46" s="763">
        <f>'WS F Misc Exp'!D32</f>
        <v>2699093.7716291365</v>
      </c>
    </row>
    <row r="47" spans="1:12" ht="15">
      <c r="A47" s="270"/>
      <c r="B47" s="282"/>
      <c r="C47" s="283"/>
      <c r="D47" s="270"/>
      <c r="E47" s="279"/>
      <c r="F47" s="283"/>
      <c r="G47" s="270"/>
      <c r="H47" s="283"/>
      <c r="I47" s="320"/>
      <c r="J47" s="320"/>
      <c r="K47" s="320"/>
      <c r="L47" s="283"/>
    </row>
    <row r="48" spans="1:12" ht="15.75" thickBot="1">
      <c r="A48" s="270"/>
      <c r="B48" s="282">
        <f>+B46+1</f>
        <v>18</v>
      </c>
      <c r="C48" s="283"/>
      <c r="D48" s="292" t="s">
        <v>433</v>
      </c>
      <c r="E48" s="295" t="str">
        <f>"(Line "&amp;B44&amp;" - Line "&amp;B45&amp;" - Line "&amp;B46&amp;")"</f>
        <v>(Line 15 - Line 16 - Line 17)</v>
      </c>
      <c r="F48" s="283"/>
      <c r="G48" s="270"/>
      <c r="H48" s="283"/>
      <c r="I48" s="320"/>
      <c r="J48" s="320"/>
      <c r="K48" s="320"/>
      <c r="L48" s="328">
        <f>+L44-L45-L46</f>
        <v>3619849.9351239125</v>
      </c>
    </row>
    <row r="49" spans="1:12" ht="15.75" thickTop="1">
      <c r="A49" s="270"/>
      <c r="B49" s="282"/>
      <c r="C49" s="283"/>
      <c r="D49" s="270"/>
      <c r="E49" s="293"/>
      <c r="F49" s="283"/>
      <c r="G49" s="283"/>
      <c r="H49" s="283"/>
      <c r="I49" s="320"/>
      <c r="J49" s="320"/>
      <c r="K49" s="320"/>
      <c r="L49" s="321"/>
    </row>
    <row r="50" spans="1:12" ht="15">
      <c r="A50" s="270"/>
      <c r="B50" s="282"/>
      <c r="C50" s="283"/>
      <c r="D50" s="270"/>
      <c r="E50" s="293"/>
      <c r="F50" s="283"/>
      <c r="G50" s="283"/>
      <c r="H50" s="283"/>
      <c r="I50" s="320"/>
      <c r="J50" s="320"/>
      <c r="K50" s="320"/>
      <c r="L50" s="321"/>
    </row>
    <row r="51" spans="1:12" ht="15">
      <c r="A51" s="270"/>
      <c r="B51" s="282"/>
      <c r="C51" s="283"/>
      <c r="D51" s="270"/>
      <c r="E51" s="293"/>
      <c r="F51" s="283"/>
      <c r="G51" s="283"/>
      <c r="H51" s="283"/>
      <c r="I51" s="320"/>
      <c r="J51" s="320"/>
      <c r="K51" s="320"/>
      <c r="L51" s="321"/>
    </row>
    <row r="52" spans="1:12" ht="15">
      <c r="A52" s="270"/>
      <c r="B52" s="269"/>
      <c r="C52" s="270"/>
      <c r="D52" s="276"/>
      <c r="E52" s="276"/>
      <c r="F52" s="270"/>
      <c r="G52" s="295"/>
      <c r="H52" s="276"/>
      <c r="I52" s="276"/>
      <c r="J52" s="276"/>
      <c r="K52" s="276"/>
      <c r="L52" s="276"/>
    </row>
    <row r="53" spans="1:12" ht="15">
      <c r="A53" s="270"/>
      <c r="B53" s="269"/>
      <c r="C53" s="270"/>
      <c r="D53" s="276"/>
      <c r="E53" s="276"/>
      <c r="F53" s="283"/>
      <c r="G53" s="295"/>
      <c r="H53" s="276"/>
      <c r="I53" s="276"/>
      <c r="J53" s="276"/>
      <c r="K53" s="276"/>
      <c r="L53" s="276"/>
    </row>
    <row r="54" spans="1:12" ht="15">
      <c r="A54" s="270"/>
      <c r="B54" s="269"/>
      <c r="C54" s="270"/>
      <c r="D54" s="276"/>
      <c r="E54" s="276"/>
      <c r="F54" s="283" t="str">
        <f>F5</f>
        <v xml:space="preserve">AEP East Companies </v>
      </c>
      <c r="G54" s="295"/>
      <c r="H54" s="276"/>
      <c r="I54" s="276"/>
      <c r="J54" s="276"/>
      <c r="K54" s="276"/>
      <c r="L54" s="276"/>
    </row>
    <row r="55" spans="1:12" ht="15">
      <c r="A55" s="270"/>
      <c r="B55" s="269"/>
      <c r="C55" s="270"/>
      <c r="D55" s="276"/>
      <c r="E55" s="280"/>
      <c r="F55" s="283" t="str">
        <f>F6</f>
        <v>Transmission Cost of Service Formula Rate</v>
      </c>
      <c r="G55" s="280"/>
      <c r="H55" s="280"/>
      <c r="I55" s="280"/>
      <c r="J55" s="280"/>
      <c r="K55" s="280"/>
      <c r="L55" s="280"/>
    </row>
    <row r="56" spans="1:12" ht="15">
      <c r="A56" s="270"/>
      <c r="B56" s="269"/>
      <c r="C56" s="270"/>
      <c r="D56" s="276"/>
      <c r="E56" s="280"/>
      <c r="F56" s="311" t="str">
        <f>F7</f>
        <v>Utilizing  Actual/Projected FERC Form 1 Data</v>
      </c>
      <c r="G56" s="280"/>
      <c r="H56" s="280"/>
      <c r="I56" s="280"/>
      <c r="J56" s="280"/>
      <c r="K56" s="280"/>
      <c r="L56" s="280"/>
    </row>
    <row r="57" spans="1:12" ht="15">
      <c r="A57" s="270"/>
      <c r="B57" s="269"/>
      <c r="C57" s="270"/>
      <c r="D57" s="276"/>
      <c r="E57" s="280"/>
      <c r="F57" s="283"/>
      <c r="G57" s="280"/>
      <c r="H57" s="280"/>
      <c r="I57" s="280"/>
      <c r="J57" s="280"/>
      <c r="K57" s="280"/>
      <c r="L57" s="280"/>
    </row>
    <row r="58" spans="1:12" ht="15">
      <c r="A58" s="270"/>
      <c r="B58" s="269"/>
      <c r="C58" s="270"/>
      <c r="D58" s="276"/>
      <c r="E58" s="280"/>
      <c r="F58" s="283" t="str">
        <f>F9</f>
        <v>Appalachian Power Company</v>
      </c>
      <c r="G58" s="280"/>
      <c r="H58" s="280"/>
      <c r="I58" s="280"/>
      <c r="J58" s="280"/>
      <c r="K58" s="280"/>
      <c r="L58" s="280"/>
    </row>
    <row r="59" spans="1:12" ht="15">
      <c r="A59" s="270"/>
      <c r="B59" s="269"/>
      <c r="C59" s="270"/>
      <c r="D59" s="276"/>
      <c r="E59" s="311"/>
      <c r="F59" s="311"/>
      <c r="G59" s="311"/>
      <c r="H59" s="311"/>
      <c r="I59" s="311"/>
      <c r="J59" s="311"/>
      <c r="K59" s="311"/>
      <c r="L59" s="280"/>
    </row>
    <row r="60" spans="1:12" ht="15">
      <c r="A60" s="270"/>
      <c r="B60" s="269"/>
      <c r="C60" s="270"/>
      <c r="D60" s="283" t="s">
        <v>121</v>
      </c>
      <c r="E60" s="283" t="s">
        <v>122</v>
      </c>
      <c r="F60" s="283"/>
      <c r="G60" s="283" t="s">
        <v>123</v>
      </c>
      <c r="H60" s="280" t="s">
        <v>114</v>
      </c>
      <c r="I60" s="1443" t="s">
        <v>124</v>
      </c>
      <c r="J60" s="1444"/>
      <c r="K60" s="280"/>
      <c r="L60" s="284" t="s">
        <v>125</v>
      </c>
    </row>
    <row r="61" spans="1:12" ht="15">
      <c r="A61" s="270"/>
      <c r="B61" s="270"/>
      <c r="C61" s="270"/>
      <c r="D61" s="323"/>
      <c r="E61" s="323"/>
      <c r="F61" s="323"/>
      <c r="G61" s="327"/>
      <c r="H61" s="280"/>
      <c r="I61" s="280"/>
      <c r="J61" s="331"/>
      <c r="K61" s="280"/>
      <c r="L61" s="270"/>
    </row>
    <row r="62" spans="1:12" ht="15.75">
      <c r="A62" s="270"/>
      <c r="B62" s="332"/>
      <c r="C62" s="283"/>
      <c r="D62" s="323"/>
      <c r="E62" s="333" t="s">
        <v>95</v>
      </c>
      <c r="F62" s="334"/>
      <c r="G62" s="280"/>
      <c r="H62" s="280"/>
      <c r="I62" s="280"/>
      <c r="J62" s="283"/>
      <c r="K62" s="280"/>
      <c r="L62" s="335" t="s">
        <v>118</v>
      </c>
    </row>
    <row r="63" spans="1:12" ht="15.75">
      <c r="A63" s="270"/>
      <c r="B63" s="270"/>
      <c r="C63" s="290"/>
      <c r="D63" s="336" t="s">
        <v>94</v>
      </c>
      <c r="E63" s="337" t="s">
        <v>112</v>
      </c>
      <c r="F63" s="280"/>
      <c r="G63" s="336" t="s">
        <v>81</v>
      </c>
      <c r="H63" s="338"/>
      <c r="I63" s="1445" t="s">
        <v>119</v>
      </c>
      <c r="J63" s="1446"/>
      <c r="K63" s="338"/>
      <c r="L63" s="336" t="s">
        <v>115</v>
      </c>
    </row>
    <row r="64" spans="1:12" ht="15">
      <c r="A64" s="270"/>
      <c r="B64" s="1009" t="str">
        <f>B11</f>
        <v>Line</v>
      </c>
      <c r="C64" s="308"/>
      <c r="D64" s="319"/>
      <c r="E64" s="298"/>
      <c r="F64" s="298"/>
      <c r="G64" s="1010" t="s">
        <v>354</v>
      </c>
      <c r="H64" s="298"/>
      <c r="I64" s="298"/>
      <c r="J64" s="298"/>
      <c r="K64" s="298"/>
      <c r="L64" s="298"/>
    </row>
    <row r="65" spans="1:12" ht="15.75" thickBot="1">
      <c r="A65" s="270"/>
      <c r="B65" s="1011" t="str">
        <f>B12</f>
        <v>No.</v>
      </c>
      <c r="C65" s="308"/>
      <c r="D65" s="319" t="s">
        <v>82</v>
      </c>
      <c r="E65" s="339"/>
      <c r="F65" s="339"/>
      <c r="G65" s="298"/>
      <c r="H65" s="298"/>
      <c r="I65" s="302"/>
      <c r="J65" s="298"/>
      <c r="K65" s="298"/>
      <c r="L65" s="298"/>
    </row>
    <row r="66" spans="1:12" ht="15">
      <c r="A66" s="270"/>
      <c r="B66" s="307">
        <f>+B48+1</f>
        <v>19</v>
      </c>
      <c r="C66" s="308"/>
      <c r="D66" s="347" t="s">
        <v>126</v>
      </c>
      <c r="E66" s="298" t="str">
        <f>"(Worksheet A ln "&amp;'WS A - RB Support'!A23&amp;"."&amp;'WS A - RB Support'!C8&amp;")"</f>
        <v>(Worksheet A ln 14.(b))</v>
      </c>
      <c r="F66" s="298"/>
      <c r="G66" s="316">
        <f>'WS A - RB Support'!C23</f>
        <v>7169748796.6125736</v>
      </c>
      <c r="H66" s="316"/>
      <c r="I66" s="302" t="s">
        <v>127</v>
      </c>
      <c r="J66" s="303">
        <v>0</v>
      </c>
      <c r="K66" s="298"/>
      <c r="L66" s="341">
        <f>+J66*G66</f>
        <v>0</v>
      </c>
    </row>
    <row r="67" spans="1:12" ht="15">
      <c r="A67" s="270"/>
      <c r="B67" s="307">
        <f>+B66+1</f>
        <v>20</v>
      </c>
      <c r="C67" s="308"/>
      <c r="D67" s="347" t="s">
        <v>377</v>
      </c>
      <c r="E67" s="298" t="str">
        <f>"(Worksheet A ln "&amp;'WS A - RB Support'!A23&amp;"."&amp;'WS A - RB Support'!D8&amp;")"</f>
        <v>(Worksheet A ln 14.(c))</v>
      </c>
      <c r="F67" s="298"/>
      <c r="G67" s="341">
        <f>-'WS A - RB Support'!D23</f>
        <v>-117054711.59999998</v>
      </c>
      <c r="H67" s="316"/>
      <c r="I67" s="302" t="s">
        <v>127</v>
      </c>
      <c r="J67" s="303">
        <v>0</v>
      </c>
      <c r="K67" s="298"/>
      <c r="L67" s="341">
        <f>+J67*G67</f>
        <v>0</v>
      </c>
    </row>
    <row r="68" spans="1:12" ht="15">
      <c r="A68" s="270"/>
      <c r="B68" s="307">
        <f t="shared" ref="B68:B74" si="0">+B67+1</f>
        <v>21</v>
      </c>
      <c r="C68" s="355"/>
      <c r="D68" s="1012" t="s">
        <v>128</v>
      </c>
      <c r="E68" s="298" t="str">
        <f>"(Worksheet A ln "&amp;'WS A - RB Support'!A23&amp;"."&amp;'WS A - RB Support'!E8&amp;" &amp; TCOS Ln "&amp;B229&amp;")"</f>
        <v>(Worksheet A ln 14.(d) &amp; TCOS Ln 134)</v>
      </c>
      <c r="F68" s="343"/>
      <c r="G68" s="316">
        <f>'WS A - RB Support'!E23</f>
        <v>4845469486.2012844</v>
      </c>
      <c r="H68" s="316"/>
      <c r="I68" s="344" t="s">
        <v>129</v>
      </c>
      <c r="J68" s="303" t="s">
        <v>114</v>
      </c>
      <c r="K68" s="345"/>
      <c r="L68" s="341">
        <f>+L229</f>
        <v>4766251821.4599352</v>
      </c>
    </row>
    <row r="69" spans="1:12" ht="15">
      <c r="A69" s="270"/>
      <c r="B69" s="307">
        <f t="shared" si="0"/>
        <v>22</v>
      </c>
      <c r="C69" s="355"/>
      <c r="D69" s="347" t="s">
        <v>378</v>
      </c>
      <c r="E69" s="298" t="str">
        <f>"(Worksheet A ln "&amp;'WS A - RB Support'!A23&amp;"."&amp;'WS A - RB Support'!F8&amp;")"</f>
        <v>(Worksheet A ln 14.(e))</v>
      </c>
      <c r="F69" s="343"/>
      <c r="G69" s="316">
        <f>-'WS A - RB Support'!F23</f>
        <v>0</v>
      </c>
      <c r="H69" s="316"/>
      <c r="I69" s="344" t="s">
        <v>120</v>
      </c>
      <c r="J69" s="303">
        <f>L231</f>
        <v>0.98365118901956938</v>
      </c>
      <c r="K69" s="345"/>
      <c r="L69" s="341">
        <f>+G69*J69</f>
        <v>0</v>
      </c>
    </row>
    <row r="70" spans="1:12" ht="15">
      <c r="A70" s="270"/>
      <c r="B70" s="307">
        <f>+B69+1</f>
        <v>23</v>
      </c>
      <c r="C70" s="355"/>
      <c r="D70" s="319" t="s">
        <v>130</v>
      </c>
      <c r="E70" s="298" t="str">
        <f>"(Worksheet A ln "&amp;'WS A - RB Support'!A23&amp;"."&amp;'WS A - RB Support'!G8&amp;")"</f>
        <v>(Worksheet A ln 14.(f))</v>
      </c>
      <c r="F70" s="298"/>
      <c r="G70" s="316">
        <f>'WS A - RB Support'!G23</f>
        <v>5427213432.0640221</v>
      </c>
      <c r="H70" s="316"/>
      <c r="I70" s="302" t="s">
        <v>127</v>
      </c>
      <c r="J70" s="303">
        <v>0</v>
      </c>
      <c r="K70" s="298"/>
      <c r="L70" s="341">
        <f>+J70*G70</f>
        <v>0</v>
      </c>
    </row>
    <row r="71" spans="1:12" ht="15">
      <c r="A71" s="270"/>
      <c r="B71" s="307">
        <f t="shared" si="0"/>
        <v>24</v>
      </c>
      <c r="C71" s="355"/>
      <c r="D71" s="347" t="s">
        <v>375</v>
      </c>
      <c r="E71" s="298" t="str">
        <f>"(Worksheet A ln "&amp;'WS A - RB Support'!A23&amp;"."&amp;'WS A - RB Support'!H8&amp;")"</f>
        <v>(Worksheet A ln 14.(g))</v>
      </c>
      <c r="F71" s="298"/>
      <c r="G71" s="341">
        <f>-'WS A - RB Support'!H23</f>
        <v>-3068.5599999999899</v>
      </c>
      <c r="H71" s="316"/>
      <c r="I71" s="302" t="s">
        <v>127</v>
      </c>
      <c r="J71" s="303">
        <v>0</v>
      </c>
      <c r="K71" s="298"/>
      <c r="L71" s="341">
        <f>+G71*J71</f>
        <v>0</v>
      </c>
    </row>
    <row r="72" spans="1:12" ht="15">
      <c r="A72" s="270"/>
      <c r="B72" s="307">
        <f t="shared" si="0"/>
        <v>25</v>
      </c>
      <c r="C72" s="355"/>
      <c r="D72" s="319" t="s">
        <v>131</v>
      </c>
      <c r="E72" s="298" t="str">
        <f>"(Worksheet A ln "&amp;'WS A - RB Support'!A23&amp;"."&amp;'WS A - RB Support'!I8&amp;")"</f>
        <v>(Worksheet A ln 14.(h))</v>
      </c>
      <c r="F72" s="298"/>
      <c r="G72" s="316">
        <f>'WS A - RB Support'!I23</f>
        <v>735627151.37614226</v>
      </c>
      <c r="H72" s="316"/>
      <c r="I72" s="302" t="s">
        <v>132</v>
      </c>
      <c r="J72" s="303">
        <f>L241</f>
        <v>0.10742031405783188</v>
      </c>
      <c r="K72" s="298"/>
      <c r="L72" s="341">
        <f>+J72*G72</f>
        <v>79021299.630293429</v>
      </c>
    </row>
    <row r="73" spans="1:12" ht="15">
      <c r="A73" s="270"/>
      <c r="B73" s="307">
        <f t="shared" si="0"/>
        <v>26</v>
      </c>
      <c r="C73" s="355"/>
      <c r="D73" s="347" t="s">
        <v>376</v>
      </c>
      <c r="E73" s="298" t="str">
        <f>"(Worksheet A ln "&amp;'WS A - RB Support'!A23&amp;"."&amp;'WS A - RB Support'!J8&amp;")"</f>
        <v>(Worksheet A ln 14.(i))</v>
      </c>
      <c r="F73" s="298"/>
      <c r="G73" s="341">
        <f>-'WS A - RB Support'!J23</f>
        <v>-1445602.0199999998</v>
      </c>
      <c r="H73" s="316"/>
      <c r="I73" s="302" t="s">
        <v>132</v>
      </c>
      <c r="J73" s="303">
        <f>L241</f>
        <v>0.10742031405783188</v>
      </c>
      <c r="K73" s="298"/>
      <c r="L73" s="341">
        <f>+G73*J73</f>
        <v>-155287.02299103615</v>
      </c>
    </row>
    <row r="74" spans="1:12" ht="15.75" thickBot="1">
      <c r="A74" s="270"/>
      <c r="B74" s="307">
        <f t="shared" si="0"/>
        <v>27</v>
      </c>
      <c r="C74" s="355"/>
      <c r="D74" s="319" t="s">
        <v>133</v>
      </c>
      <c r="E74" s="298" t="str">
        <f>"(Worksheet A ln "&amp;'WS A - RB Support'!A23&amp;"."&amp;'WS A - RB Support'!K8&amp;")"</f>
        <v>(Worksheet A ln 14.(j))</v>
      </c>
      <c r="F74" s="298"/>
      <c r="G74" s="348">
        <f>'WS A - RB Support'!K23</f>
        <v>247730154.73349908</v>
      </c>
      <c r="H74" s="316"/>
      <c r="I74" s="302" t="s">
        <v>132</v>
      </c>
      <c r="J74" s="303">
        <f>L241</f>
        <v>0.10742031405783188</v>
      </c>
      <c r="K74" s="298"/>
      <c r="L74" s="434">
        <f>+J74*G74</f>
        <v>26611251.023067757</v>
      </c>
    </row>
    <row r="75" spans="1:12" ht="15.75">
      <c r="A75" s="270"/>
      <c r="B75" s="307">
        <f>+B74+1</f>
        <v>28</v>
      </c>
      <c r="C75" s="355"/>
      <c r="D75" s="319" t="s">
        <v>47</v>
      </c>
      <c r="E75" s="308" t="str">
        <f>"(sum lns "&amp;B66&amp;" to "&amp;B74&amp;")"</f>
        <v>(sum lns 19 to 27)</v>
      </c>
      <c r="F75" s="619"/>
      <c r="G75" s="316">
        <f>SUM(G66:G74)</f>
        <v>18307285638.807514</v>
      </c>
      <c r="H75" s="316"/>
      <c r="I75" s="435" t="s">
        <v>759</v>
      </c>
      <c r="J75" s="350">
        <f>+L75/G75</f>
        <v>0.26610876026117636</v>
      </c>
      <c r="K75" s="298"/>
      <c r="L75" s="316">
        <f>SUM(L66:L74)</f>
        <v>4871729085.0903053</v>
      </c>
    </row>
    <row r="76" spans="1:12" ht="15.75">
      <c r="A76" s="270"/>
      <c r="B76" s="307"/>
      <c r="C76" s="308"/>
      <c r="D76" s="319"/>
      <c r="E76" s="1014"/>
      <c r="F76" s="619"/>
      <c r="G76" s="316"/>
      <c r="H76" s="316"/>
      <c r="I76" s="1007" t="s">
        <v>216</v>
      </c>
      <c r="J76" s="351">
        <f>+L68/(G70+G68+G71)</f>
        <v>0.46397355813601698</v>
      </c>
      <c r="K76" s="298"/>
      <c r="L76" s="316"/>
    </row>
    <row r="77" spans="1:12" ht="15">
      <c r="A77" s="270"/>
      <c r="B77" s="307">
        <f>+B75+1</f>
        <v>29</v>
      </c>
      <c r="C77" s="308"/>
      <c r="D77" s="319" t="s">
        <v>24</v>
      </c>
      <c r="E77" s="339"/>
      <c r="F77" s="339"/>
      <c r="G77" s="316"/>
      <c r="H77" s="352"/>
      <c r="I77" s="302"/>
      <c r="J77" s="353"/>
      <c r="K77" s="298"/>
      <c r="L77" s="316"/>
    </row>
    <row r="78" spans="1:12" ht="15">
      <c r="A78" s="270"/>
      <c r="B78" s="307">
        <f>+B77+1</f>
        <v>30</v>
      </c>
      <c r="C78" s="308"/>
      <c r="D78" s="347" t="str">
        <f>+D66</f>
        <v xml:space="preserve">  Production</v>
      </c>
      <c r="E78" s="298" t="str">
        <f>"(Worksheet A ln "&amp;'WS A - RB Support'!A42&amp;"."&amp;'WS A - RB Support'!C27&amp;")"</f>
        <v>(Worksheet A ln 28.(b))</v>
      </c>
      <c r="F78" s="298"/>
      <c r="G78" s="316">
        <f>'WS A - RB Support'!C42</f>
        <v>3547693077.9061055</v>
      </c>
      <c r="H78" s="316"/>
      <c r="I78" s="302" t="s">
        <v>127</v>
      </c>
      <c r="J78" s="303">
        <v>0</v>
      </c>
      <c r="K78" s="298"/>
      <c r="L78" s="341">
        <f>+J78*G78</f>
        <v>0</v>
      </c>
    </row>
    <row r="79" spans="1:12" ht="15">
      <c r="A79" s="270"/>
      <c r="B79" s="307">
        <f t="shared" ref="B79:B87" si="1">+B78+1</f>
        <v>31</v>
      </c>
      <c r="C79" s="308"/>
      <c r="D79" s="347" t="s">
        <v>377</v>
      </c>
      <c r="E79" s="298" t="str">
        <f>"(Worksheet A ln "&amp;'WS A - RB Support'!A42&amp;"."&amp;'WS A - RB Support'!D27&amp;")"</f>
        <v>(Worksheet A ln 28.(c))</v>
      </c>
      <c r="F79" s="298"/>
      <c r="G79" s="341">
        <f>-'WS A - RB Support'!D42</f>
        <v>-58068550.599999897</v>
      </c>
      <c r="H79" s="316"/>
      <c r="I79" s="302" t="s">
        <v>127</v>
      </c>
      <c r="J79" s="303">
        <v>0</v>
      </c>
      <c r="K79" s="298"/>
      <c r="L79" s="341">
        <f>+J79*G79</f>
        <v>0</v>
      </c>
    </row>
    <row r="80" spans="1:12" ht="15.75">
      <c r="A80" s="270"/>
      <c r="B80" s="307">
        <f t="shared" si="1"/>
        <v>32</v>
      </c>
      <c r="C80" s="355"/>
      <c r="D80" s="1012" t="str">
        <f>D68</f>
        <v xml:space="preserve">  Transmission</v>
      </c>
      <c r="E80" s="298" t="str">
        <f>"(Worksheet A ln "&amp;'WS A - RB Support'!A42&amp;"."&amp;'WS A - RB Support'!E27&amp;" &amp; "&amp;"ln "&amp;'WS A - RB Support'!A64&amp;"."&amp;'WS A - RB Support'!D47&amp;")"</f>
        <v>(Worksheet A ln 28.(d) &amp; ln 43.(c))</v>
      </c>
      <c r="F80" s="343"/>
      <c r="G80" s="346">
        <f>'WS A - RB Support'!E42</f>
        <v>955462637.90284646</v>
      </c>
      <c r="H80" s="316"/>
      <c r="I80" s="1008" t="s">
        <v>27</v>
      </c>
      <c r="J80" s="354">
        <f>L80/G80</f>
        <v>0.96910744546478389</v>
      </c>
      <c r="K80" s="345"/>
      <c r="L80" s="341">
        <f>'WS A - RB Support'!D64</f>
        <v>925945956.25507128</v>
      </c>
    </row>
    <row r="81" spans="1:12" ht="15.75">
      <c r="A81" s="270"/>
      <c r="B81" s="307">
        <f t="shared" si="1"/>
        <v>33</v>
      </c>
      <c r="C81" s="355"/>
      <c r="D81" s="347" t="s">
        <v>378</v>
      </c>
      <c r="E81" s="298" t="str">
        <f>"(Worksheet A ln "&amp;'WS A - RB Support'!A42&amp;"."&amp;'WS A - RB Support'!F27&amp;")"</f>
        <v>(Worksheet A ln 28.(e))</v>
      </c>
      <c r="F81" s="343"/>
      <c r="G81" s="341">
        <f>-'WS A - RB Support'!F42</f>
        <v>0</v>
      </c>
      <c r="H81" s="316"/>
      <c r="I81" s="1008" t="s">
        <v>27</v>
      </c>
      <c r="J81" s="303">
        <f>+J80</f>
        <v>0.96910744546478389</v>
      </c>
      <c r="K81" s="345"/>
      <c r="L81" s="341">
        <f t="shared" ref="L81:L86" si="2">+J81*G81</f>
        <v>0</v>
      </c>
    </row>
    <row r="82" spans="1:12" ht="15">
      <c r="A82" s="270"/>
      <c r="B82" s="307">
        <f>+B81+1</f>
        <v>34</v>
      </c>
      <c r="C82" s="355"/>
      <c r="D82" s="319" t="str">
        <f>+D70</f>
        <v xml:space="preserve">  Distribution</v>
      </c>
      <c r="E82" s="298" t="str">
        <f>"(Worksheet A ln "&amp;'WS A - RB Support'!A42&amp;"."&amp;'WS A - RB Support'!G27&amp;")"</f>
        <v>(Worksheet A ln 28.(f))</v>
      </c>
      <c r="F82" s="298"/>
      <c r="G82" s="316">
        <f>'WS A - RB Support'!G42</f>
        <v>1854937527.0102448</v>
      </c>
      <c r="H82" s="316"/>
      <c r="I82" s="302" t="s">
        <v>127</v>
      </c>
      <c r="J82" s="303">
        <v>0</v>
      </c>
      <c r="K82" s="298"/>
      <c r="L82" s="341">
        <f t="shared" si="2"/>
        <v>0</v>
      </c>
    </row>
    <row r="83" spans="1:12" ht="15">
      <c r="A83" s="270"/>
      <c r="B83" s="307">
        <f t="shared" si="1"/>
        <v>35</v>
      </c>
      <c r="C83" s="355"/>
      <c r="D83" s="347" t="s">
        <v>375</v>
      </c>
      <c r="E83" s="298" t="str">
        <f>"(Worksheet A ln "&amp;'WS A - RB Support'!A42&amp;"."&amp;'WS A - RB Support'!H27&amp;")"</f>
        <v>(Worksheet A ln 28.(g))</v>
      </c>
      <c r="F83" s="298"/>
      <c r="G83" s="341">
        <f>-'WS A - RB Support'!H42</f>
        <v>-2307.0800000000004</v>
      </c>
      <c r="H83" s="316"/>
      <c r="I83" s="302" t="s">
        <v>127</v>
      </c>
      <c r="J83" s="303">
        <v>0</v>
      </c>
      <c r="K83" s="298"/>
      <c r="L83" s="341">
        <f t="shared" si="2"/>
        <v>0</v>
      </c>
    </row>
    <row r="84" spans="1:12" ht="15">
      <c r="A84" s="270"/>
      <c r="B84" s="307">
        <f t="shared" si="1"/>
        <v>36</v>
      </c>
      <c r="C84" s="355"/>
      <c r="D84" s="319" t="str">
        <f>+D72</f>
        <v xml:space="preserve">  General Plant   </v>
      </c>
      <c r="E84" s="298" t="str">
        <f>"(Worksheet A ln "&amp;'WS A - RB Support'!A42&amp;"."&amp;'WS A - RB Support'!I27&amp;")"</f>
        <v>(Worksheet A ln 28.(h))</v>
      </c>
      <c r="F84" s="298"/>
      <c r="G84" s="301">
        <f>'WS A - RB Support'!I42</f>
        <v>128038294.46714184</v>
      </c>
      <c r="H84" s="316"/>
      <c r="I84" s="302" t="s">
        <v>132</v>
      </c>
      <c r="J84" s="303">
        <f>L241</f>
        <v>0.10742031405783188</v>
      </c>
      <c r="K84" s="298"/>
      <c r="L84" s="341">
        <f t="shared" si="2"/>
        <v>13753913.803089535</v>
      </c>
    </row>
    <row r="85" spans="1:12" ht="15">
      <c r="A85" s="270"/>
      <c r="B85" s="307">
        <f t="shared" si="1"/>
        <v>37</v>
      </c>
      <c r="C85" s="355"/>
      <c r="D85" s="347" t="s">
        <v>376</v>
      </c>
      <c r="E85" s="298" t="str">
        <f>"(Worksheet A ln "&amp;'WS A - RB Support'!A42&amp;"."&amp;'WS A - RB Support'!J27&amp;")"</f>
        <v>(Worksheet A ln 28.(i))</v>
      </c>
      <c r="F85" s="298"/>
      <c r="G85" s="341">
        <f>-'WS A - RB Support'!J42</f>
        <v>-892057.18999999901</v>
      </c>
      <c r="H85" s="316"/>
      <c r="I85" s="302" t="s">
        <v>132</v>
      </c>
      <c r="J85" s="303">
        <f>L241</f>
        <v>0.10742031405783188</v>
      </c>
      <c r="K85" s="298"/>
      <c r="L85" s="341">
        <f t="shared" si="2"/>
        <v>-95825.063507346902</v>
      </c>
    </row>
    <row r="86" spans="1:12" ht="15.75" thickBot="1">
      <c r="A86" s="270"/>
      <c r="B86" s="307">
        <f t="shared" si="1"/>
        <v>38</v>
      </c>
      <c r="C86" s="355"/>
      <c r="D86" s="319" t="str">
        <f>+D74</f>
        <v xml:space="preserve">  Intangible Plant</v>
      </c>
      <c r="E86" s="298" t="str">
        <f>"(Worksheet A ln "&amp;'WS A - RB Support'!A42&amp;"."&amp;'WS A - RB Support'!K27&amp;")"</f>
        <v>(Worksheet A ln 28.(j))</v>
      </c>
      <c r="F86" s="298"/>
      <c r="G86" s="348">
        <f>'WS A - RB Support'!K42</f>
        <v>162918734.72505766</v>
      </c>
      <c r="H86" s="316"/>
      <c r="I86" s="302" t="s">
        <v>132</v>
      </c>
      <c r="J86" s="303">
        <f>L241</f>
        <v>0.10742031405783188</v>
      </c>
      <c r="K86" s="298"/>
      <c r="L86" s="434">
        <f t="shared" si="2"/>
        <v>17500781.650070295</v>
      </c>
    </row>
    <row r="87" spans="1:12" ht="15">
      <c r="A87" s="270"/>
      <c r="B87" s="307">
        <f t="shared" si="1"/>
        <v>39</v>
      </c>
      <c r="C87" s="355"/>
      <c r="D87" s="319" t="s">
        <v>46</v>
      </c>
      <c r="E87" s="992" t="str">
        <f>"(sum lns "&amp;B78&amp;" to "&amp;B86&amp;")"</f>
        <v>(sum lns 30 to 38)</v>
      </c>
      <c r="F87" s="617"/>
      <c r="G87" s="316">
        <f>SUM(G78:G86)</f>
        <v>6590087357.1413965</v>
      </c>
      <c r="H87" s="316"/>
      <c r="I87" s="302"/>
      <c r="J87" s="298"/>
      <c r="K87" s="316"/>
      <c r="L87" s="316">
        <f>SUM(L78:L86)</f>
        <v>957104826.64472377</v>
      </c>
    </row>
    <row r="88" spans="1:12" ht="15">
      <c r="A88" s="270"/>
      <c r="B88" s="307"/>
      <c r="C88" s="308"/>
      <c r="D88" s="275"/>
      <c r="E88" s="1015"/>
      <c r="F88" s="617"/>
      <c r="G88" s="316"/>
      <c r="H88" s="316"/>
      <c r="I88" s="302"/>
      <c r="J88" s="356"/>
      <c r="K88" s="298"/>
      <c r="L88" s="316"/>
    </row>
    <row r="89" spans="1:12" ht="15">
      <c r="A89" s="270"/>
      <c r="B89" s="307">
        <f>+B87+1</f>
        <v>40</v>
      </c>
      <c r="C89" s="308"/>
      <c r="D89" s="319" t="s">
        <v>83</v>
      </c>
      <c r="E89" s="339"/>
      <c r="F89" s="339"/>
      <c r="G89" s="316"/>
      <c r="H89" s="316"/>
      <c r="I89" s="302"/>
      <c r="J89" s="298"/>
      <c r="K89" s="298"/>
      <c r="L89" s="316"/>
    </row>
    <row r="90" spans="1:12" ht="15">
      <c r="A90" s="270"/>
      <c r="B90" s="307">
        <f t="shared" ref="B90:B95" si="3">+B89+1</f>
        <v>41</v>
      </c>
      <c r="C90" s="355"/>
      <c r="D90" s="347" t="str">
        <f>+D78</f>
        <v xml:space="preserve">  Production</v>
      </c>
      <c r="E90" s="298" t="str">
        <f>" (ln "&amp;B66&amp;" + ln "&amp;B67&amp;" - ln "&amp;B78&amp;" - ln "&amp;B79&amp;")"</f>
        <v xml:space="preserve"> (ln 19 + ln 20 - ln 30 - ln 31)</v>
      </c>
      <c r="F90" s="298"/>
      <c r="G90" s="316">
        <f>G66+G67-G78-G79</f>
        <v>3563069557.7064676</v>
      </c>
      <c r="H90" s="316"/>
      <c r="I90" s="302"/>
      <c r="J90" s="357"/>
      <c r="K90" s="298"/>
      <c r="L90" s="316">
        <f>L66+L67-L78-L79</f>
        <v>0</v>
      </c>
    </row>
    <row r="91" spans="1:12" ht="15">
      <c r="A91" s="270"/>
      <c r="B91" s="307">
        <f t="shared" si="3"/>
        <v>42</v>
      </c>
      <c r="C91" s="355"/>
      <c r="D91" s="347" t="str">
        <f>+D80</f>
        <v xml:space="preserve">  Transmission</v>
      </c>
      <c r="E91" s="298" t="str">
        <f>" (ln "&amp;B68&amp;" + ln "&amp;B69&amp;" - ln "&amp;B80&amp;" - ln "&amp;B81&amp;")"</f>
        <v xml:space="preserve"> (ln 21 + ln 22 - ln 32 - ln 33)</v>
      </c>
      <c r="F91" s="298"/>
      <c r="G91" s="316">
        <f>+G68+G69-G80-G81</f>
        <v>3890006848.2984381</v>
      </c>
      <c r="H91" s="316"/>
      <c r="I91" s="302"/>
      <c r="J91" s="354"/>
      <c r="K91" s="298"/>
      <c r="L91" s="316">
        <f>+L68+L69-L80-L81</f>
        <v>3840305865.204864</v>
      </c>
    </row>
    <row r="92" spans="1:12" ht="15">
      <c r="A92" s="270"/>
      <c r="B92" s="307">
        <f>+B91+1</f>
        <v>43</v>
      </c>
      <c r="C92" s="355"/>
      <c r="D92" s="347" t="str">
        <f>+D82</f>
        <v xml:space="preserve">  Distribution</v>
      </c>
      <c r="E92" s="298" t="str">
        <f>" (ln "&amp;B70&amp;" + ln "&amp;B71&amp;" - ln "&amp;B82&amp;" - ln "&amp;B83&amp;")"</f>
        <v xml:space="preserve"> (ln 23 + ln 24 - ln 34 - ln 35)</v>
      </c>
      <c r="F92" s="298"/>
      <c r="G92" s="316">
        <f>+G70+G71-G82-G83</f>
        <v>3572275143.5737767</v>
      </c>
      <c r="H92" s="316"/>
      <c r="I92" s="302"/>
      <c r="J92" s="356"/>
      <c r="K92" s="298"/>
      <c r="L92" s="316">
        <f>+L70+L71-L82-L83</f>
        <v>0</v>
      </c>
    </row>
    <row r="93" spans="1:12" ht="15">
      <c r="A93" s="270"/>
      <c r="B93" s="307">
        <f t="shared" si="3"/>
        <v>44</v>
      </c>
      <c r="C93" s="355"/>
      <c r="D93" s="347" t="str">
        <f>+D84</f>
        <v xml:space="preserve">  General Plant   </v>
      </c>
      <c r="E93" s="298" t="str">
        <f>" (ln "&amp;B72&amp;" + ln "&amp;B73&amp;" - ln "&amp;B84&amp;" - ln "&amp;B85&amp;")"</f>
        <v xml:space="preserve"> (ln 25 + ln 26 - ln 36 - ln 37)</v>
      </c>
      <c r="F93" s="298"/>
      <c r="G93" s="316">
        <f>+G72+G73-G84-G85</f>
        <v>607035312.07900047</v>
      </c>
      <c r="H93" s="316"/>
      <c r="I93" s="302"/>
      <c r="J93" s="356"/>
      <c r="K93" s="298"/>
      <c r="L93" s="316">
        <f>+L72+L73-L84-L85</f>
        <v>65207923.867720209</v>
      </c>
    </row>
    <row r="94" spans="1:12" ht="15.75" thickBot="1">
      <c r="A94" s="270"/>
      <c r="B94" s="307">
        <f t="shared" si="3"/>
        <v>45</v>
      </c>
      <c r="C94" s="355"/>
      <c r="D94" s="347" t="str">
        <f>+D86</f>
        <v xml:space="preserve">  Intangible Plant</v>
      </c>
      <c r="E94" s="298" t="str">
        <f>" (ln "&amp;B74&amp;" - ln "&amp;B86&amp;")"</f>
        <v xml:space="preserve"> (ln 27 - ln 38)</v>
      </c>
      <c r="F94" s="298"/>
      <c r="G94" s="348">
        <f>+G74-G86</f>
        <v>84811420.008441418</v>
      </c>
      <c r="H94" s="316"/>
      <c r="I94" s="302"/>
      <c r="J94" s="356"/>
      <c r="K94" s="298"/>
      <c r="L94" s="348">
        <f>+L74-L86</f>
        <v>9110469.3729974627</v>
      </c>
    </row>
    <row r="95" spans="1:12" ht="15.75">
      <c r="A95" s="270"/>
      <c r="B95" s="307">
        <f t="shared" si="3"/>
        <v>46</v>
      </c>
      <c r="C95" s="355"/>
      <c r="D95" s="347" t="s">
        <v>45</v>
      </c>
      <c r="E95" s="347" t="str">
        <f>"(sum lns "&amp;B90&amp;" to "&amp;B94&amp;")"</f>
        <v>(sum lns 41 to 45)</v>
      </c>
      <c r="F95" s="298"/>
      <c r="G95" s="316">
        <f>SUM(G90:G94)</f>
        <v>11717198281.666124</v>
      </c>
      <c r="H95" s="316"/>
      <c r="I95" s="435" t="s">
        <v>760</v>
      </c>
      <c r="J95" s="350">
        <f>+L95/G95</f>
        <v>0.33409217496735427</v>
      </c>
      <c r="K95" s="298"/>
      <c r="L95" s="316">
        <f>SUM(L90:L94)</f>
        <v>3914624258.4455814</v>
      </c>
    </row>
    <row r="96" spans="1:12" ht="15">
      <c r="A96" s="270"/>
      <c r="B96" s="307"/>
      <c r="C96" s="308"/>
      <c r="D96" s="319"/>
      <c r="E96" s="298"/>
      <c r="F96" s="298"/>
      <c r="G96" s="316"/>
      <c r="H96" s="316"/>
      <c r="I96" s="371"/>
      <c r="J96" s="361"/>
      <c r="K96" s="298"/>
      <c r="L96" s="316"/>
    </row>
    <row r="97" spans="1:12" ht="15">
      <c r="A97" s="270"/>
      <c r="B97" s="307"/>
      <c r="C97" s="308"/>
      <c r="D97" s="275"/>
      <c r="E97" s="275"/>
      <c r="F97" s="275"/>
      <c r="G97" s="508"/>
      <c r="H97" s="508"/>
      <c r="I97" s="1014"/>
      <c r="J97" s="508"/>
      <c r="K97" s="508"/>
      <c r="L97" s="508"/>
    </row>
    <row r="98" spans="1:12" ht="15">
      <c r="A98" s="270"/>
      <c r="B98" s="307">
        <f>+B95+1</f>
        <v>47</v>
      </c>
      <c r="C98" s="308"/>
      <c r="D98" s="319" t="s">
        <v>326</v>
      </c>
      <c r="E98" s="298" t="s">
        <v>303</v>
      </c>
      <c r="F98" s="302"/>
      <c r="G98" s="508"/>
      <c r="H98" s="508"/>
      <c r="I98" s="1014"/>
      <c r="J98" s="508"/>
      <c r="K98" s="508"/>
      <c r="L98" s="508"/>
    </row>
    <row r="99" spans="1:12" ht="15">
      <c r="A99" s="270"/>
      <c r="B99" s="307">
        <f t="shared" ref="B99:B104" si="4">+B98+1</f>
        <v>48</v>
      </c>
      <c r="C99" s="355"/>
      <c r="D99" s="347" t="s">
        <v>193</v>
      </c>
      <c r="E99" s="298" t="s">
        <v>536</v>
      </c>
      <c r="F99" s="298"/>
      <c r="G99" s="316">
        <f>-'WS B ADIT &amp; ITC'!I17</f>
        <v>-210020892.70888105</v>
      </c>
      <c r="H99" s="316"/>
      <c r="I99" s="302" t="s">
        <v>127</v>
      </c>
      <c r="J99" s="303"/>
      <c r="K99" s="298"/>
      <c r="L99" s="316">
        <f>'WS B ADIT &amp; ITC'!I20</f>
        <v>0</v>
      </c>
    </row>
    <row r="100" spans="1:12" ht="15">
      <c r="A100" s="270"/>
      <c r="B100" s="307">
        <f t="shared" si="4"/>
        <v>49</v>
      </c>
      <c r="C100" s="355"/>
      <c r="D100" s="347" t="s">
        <v>194</v>
      </c>
      <c r="E100" s="298" t="s">
        <v>537</v>
      </c>
      <c r="F100" s="298"/>
      <c r="G100" s="316">
        <f>-'WS B ADIT &amp; ITC'!I25</f>
        <v>-2036683141.362659</v>
      </c>
      <c r="H100" s="316"/>
      <c r="I100" s="302" t="s">
        <v>129</v>
      </c>
      <c r="J100" s="303"/>
      <c r="K100" s="298"/>
      <c r="L100" s="316">
        <f>-'WS B ADIT &amp; ITC'!I28</f>
        <v>-675735136.62642479</v>
      </c>
    </row>
    <row r="101" spans="1:12" ht="15">
      <c r="A101" s="270"/>
      <c r="B101" s="307">
        <f t="shared" si="4"/>
        <v>50</v>
      </c>
      <c r="C101" s="355"/>
      <c r="D101" s="347" t="s">
        <v>195</v>
      </c>
      <c r="E101" s="298" t="s">
        <v>538</v>
      </c>
      <c r="F101" s="298"/>
      <c r="G101" s="316">
        <f>-'WS B ADIT &amp; ITC'!I33</f>
        <v>-363493666.54966015</v>
      </c>
      <c r="H101" s="316"/>
      <c r="I101" s="302" t="s">
        <v>129</v>
      </c>
      <c r="J101" s="303"/>
      <c r="K101" s="298"/>
      <c r="L101" s="316">
        <f>-'WS B ADIT &amp; ITC'!I36</f>
        <v>-37984212.042364955</v>
      </c>
    </row>
    <row r="102" spans="1:12" ht="15">
      <c r="A102" s="270"/>
      <c r="B102" s="307">
        <f t="shared" si="4"/>
        <v>51</v>
      </c>
      <c r="C102" s="355"/>
      <c r="D102" s="347" t="s">
        <v>196</v>
      </c>
      <c r="E102" s="298" t="s">
        <v>539</v>
      </c>
      <c r="F102" s="298"/>
      <c r="G102" s="316">
        <f>'WS B ADIT &amp; ITC'!I41</f>
        <v>337382517.41500008</v>
      </c>
      <c r="H102" s="316"/>
      <c r="I102" s="302" t="s">
        <v>129</v>
      </c>
      <c r="J102" s="303"/>
      <c r="K102" s="298"/>
      <c r="L102" s="316">
        <f>'WS B ADIT &amp; ITC'!I44</f>
        <v>71168617.859974802</v>
      </c>
    </row>
    <row r="103" spans="1:12" ht="15.75" thickBot="1">
      <c r="A103" s="270"/>
      <c r="B103" s="307">
        <f t="shared" si="4"/>
        <v>52</v>
      </c>
      <c r="C103" s="355"/>
      <c r="D103" s="420" t="s">
        <v>134</v>
      </c>
      <c r="E103" s="298" t="s">
        <v>540</v>
      </c>
      <c r="F103" s="275"/>
      <c r="G103" s="348">
        <f>-'WS B ADIT &amp; ITC'!I51</f>
        <v>-273921.25</v>
      </c>
      <c r="H103" s="316"/>
      <c r="I103" s="302" t="s">
        <v>129</v>
      </c>
      <c r="J103" s="303"/>
      <c r="K103" s="298"/>
      <c r="L103" s="348">
        <f>-'WS B ADIT &amp; ITC'!I52</f>
        <v>-2662</v>
      </c>
    </row>
    <row r="104" spans="1:12" ht="15">
      <c r="A104" s="270"/>
      <c r="B104" s="307">
        <f t="shared" si="4"/>
        <v>53</v>
      </c>
      <c r="C104" s="355"/>
      <c r="D104" s="347" t="s">
        <v>92</v>
      </c>
      <c r="E104" s="347" t="str">
        <f>"(sum lns "&amp;B99&amp;" to "&amp;B103&amp;")"</f>
        <v>(sum lns 48 to 52)</v>
      </c>
      <c r="F104" s="298"/>
      <c r="G104" s="316">
        <f>SUM(G99:G103)</f>
        <v>-2273089104.4562001</v>
      </c>
      <c r="H104" s="508"/>
      <c r="I104" s="302"/>
      <c r="J104" s="364"/>
      <c r="K104" s="298"/>
      <c r="L104" s="316">
        <f>SUM(L99:L103)</f>
        <v>-642553392.808815</v>
      </c>
    </row>
    <row r="105" spans="1:12" ht="15">
      <c r="A105" s="270"/>
      <c r="B105" s="307"/>
      <c r="C105" s="308"/>
      <c r="D105" s="347"/>
      <c r="E105" s="298"/>
      <c r="F105" s="298"/>
      <c r="G105" s="316"/>
      <c r="H105" s="508"/>
      <c r="I105" s="302"/>
      <c r="J105" s="356"/>
      <c r="K105" s="298"/>
      <c r="L105" s="316"/>
    </row>
    <row r="106" spans="1:12" ht="15">
      <c r="A106" s="270"/>
      <c r="B106" s="307">
        <f>+B104+1</f>
        <v>54</v>
      </c>
      <c r="C106" s="308"/>
      <c r="D106" s="347" t="s">
        <v>205</v>
      </c>
      <c r="E106" s="298" t="str">
        <f>"(Worksheet A ln "&amp;'WS A - RB Support'!A69&amp;"."&amp;'WS A - RB Support'!F68&amp;" &amp; "&amp;"ln "&amp;'WS A - RB Support'!A71&amp;"."&amp;'WS A - RB Support'!F68&amp;")"</f>
        <v>(Worksheet A ln 44.(e) &amp; ln 45.(e))</v>
      </c>
      <c r="F106" s="298"/>
      <c r="G106" s="316">
        <f>'WS A - RB Support'!F69</f>
        <v>2817649.0999999992</v>
      </c>
      <c r="H106" s="508"/>
      <c r="I106" s="302" t="s">
        <v>129</v>
      </c>
      <c r="J106" s="303"/>
      <c r="K106" s="298"/>
      <c r="L106" s="316">
        <f>'WS A - RB Support'!F71</f>
        <v>1573244.76</v>
      </c>
    </row>
    <row r="107" spans="1:12" ht="15">
      <c r="A107" s="270"/>
      <c r="B107" s="307"/>
      <c r="C107" s="308"/>
      <c r="D107" s="347"/>
      <c r="E107" s="298"/>
      <c r="F107" s="298"/>
      <c r="G107" s="316"/>
      <c r="H107" s="508"/>
      <c r="I107" s="302"/>
      <c r="J107" s="303"/>
      <c r="K107" s="298"/>
      <c r="L107" s="316"/>
    </row>
    <row r="108" spans="1:12" ht="15">
      <c r="A108" s="270"/>
      <c r="B108" s="307">
        <f>+B106+1</f>
        <v>55</v>
      </c>
      <c r="C108" s="308"/>
      <c r="D108" s="347" t="s">
        <v>327</v>
      </c>
      <c r="E108" s="298" t="str">
        <f>"(Worksheet A ln "&amp;'WS A - RB Support'!A80&amp;"."&amp;'WS A - RB Support'!F68&amp;")"</f>
        <v>(Worksheet A ln 51.(e))</v>
      </c>
      <c r="F108" s="298"/>
      <c r="G108" s="316">
        <f>'WS A - RB Support'!F80</f>
        <v>0</v>
      </c>
      <c r="H108" s="508"/>
      <c r="I108" s="302" t="s">
        <v>129</v>
      </c>
      <c r="J108" s="298"/>
      <c r="K108" s="298"/>
      <c r="L108" s="316">
        <f>+G108</f>
        <v>0</v>
      </c>
    </row>
    <row r="109" spans="1:12" ht="15">
      <c r="A109" s="270"/>
      <c r="B109" s="307"/>
      <c r="C109" s="308"/>
      <c r="D109" s="347"/>
      <c r="E109" s="298"/>
      <c r="F109" s="298"/>
      <c r="G109" s="316"/>
      <c r="H109" s="508"/>
      <c r="I109" s="302"/>
      <c r="J109" s="298"/>
      <c r="K109" s="298"/>
      <c r="L109" s="316"/>
    </row>
    <row r="110" spans="1:12" ht="14.25" customHeight="1">
      <c r="A110" s="270"/>
      <c r="B110" s="307">
        <f>+B108+1</f>
        <v>56</v>
      </c>
      <c r="C110" s="355"/>
      <c r="D110" s="415" t="s">
        <v>748</v>
      </c>
      <c r="E110" s="298" t="str">
        <f>"(Worksheet A ln "&amp;'WS A - RB Support'!A88&amp;"."&amp;'WS A - RB Support'!F68&amp;")"</f>
        <v>(Worksheet A ln 54.(e))</v>
      </c>
      <c r="F110" s="298"/>
      <c r="G110" s="301">
        <f>-'WS A - RB Support'!F88</f>
        <v>-2928411.0999999996</v>
      </c>
      <c r="H110" s="316"/>
      <c r="I110" s="302" t="s">
        <v>132</v>
      </c>
      <c r="J110" s="303">
        <f>L241</f>
        <v>0.10742031405783188</v>
      </c>
      <c r="K110" s="298"/>
      <c r="L110" s="301">
        <f>G110*J110</f>
        <v>-314570.84005244088</v>
      </c>
    </row>
    <row r="111" spans="1:12" ht="15">
      <c r="A111" s="270"/>
      <c r="B111" s="307"/>
      <c r="C111" s="308"/>
      <c r="D111" s="347"/>
      <c r="E111" s="298"/>
      <c r="F111" s="298"/>
      <c r="G111" s="316"/>
      <c r="H111" s="508"/>
      <c r="I111" s="302"/>
      <c r="J111" s="298"/>
      <c r="K111" s="298"/>
      <c r="L111" s="316"/>
    </row>
    <row r="112" spans="1:12" ht="15">
      <c r="A112" s="270"/>
      <c r="B112" s="307">
        <f>+B110+1</f>
        <v>57</v>
      </c>
      <c r="C112" s="308"/>
      <c r="D112" s="347" t="s">
        <v>93</v>
      </c>
      <c r="E112" s="298" t="s">
        <v>498</v>
      </c>
      <c r="F112" s="298"/>
      <c r="G112" s="316"/>
      <c r="H112" s="508"/>
      <c r="I112" s="302"/>
      <c r="J112" s="298"/>
      <c r="K112" s="298"/>
      <c r="L112" s="316"/>
    </row>
    <row r="113" spans="1:12" ht="15">
      <c r="A113" s="270"/>
      <c r="B113" s="307">
        <f t="shared" ref="B113:B120" si="5">+B112+1</f>
        <v>58</v>
      </c>
      <c r="C113" s="355"/>
      <c r="D113" s="347" t="s">
        <v>204</v>
      </c>
      <c r="E113" s="275" t="str">
        <f>"(1/8 * ln "&amp;B149&amp;")"</f>
        <v>(1/8 * ln 78)</v>
      </c>
      <c r="F113" s="275"/>
      <c r="G113" s="316">
        <f>+G149/8</f>
        <v>7020642.2192183286</v>
      </c>
      <c r="H113" s="298"/>
      <c r="I113" s="302"/>
      <c r="J113" s="356"/>
      <c r="K113" s="298"/>
      <c r="L113" s="316">
        <f>+L149/8</f>
        <v>6905863.0666150972</v>
      </c>
    </row>
    <row r="114" spans="1:12" ht="15">
      <c r="A114" s="270"/>
      <c r="B114" s="307">
        <f t="shared" si="5"/>
        <v>59</v>
      </c>
      <c r="C114" s="355"/>
      <c r="D114" s="347" t="s">
        <v>335</v>
      </c>
      <c r="E114" s="298" t="s">
        <v>541</v>
      </c>
      <c r="F114" s="298"/>
      <c r="G114" s="316">
        <f>'WS C  - Working Capital'!I17</f>
        <v>220506</v>
      </c>
      <c r="H114" s="508"/>
      <c r="I114" s="302" t="s">
        <v>120</v>
      </c>
      <c r="J114" s="303">
        <f>L231</f>
        <v>0.98365118901956938</v>
      </c>
      <c r="K114" s="298"/>
      <c r="L114" s="316">
        <f>+J114*G114</f>
        <v>216900.98908594917</v>
      </c>
    </row>
    <row r="115" spans="1:12" ht="15">
      <c r="A115" s="270"/>
      <c r="B115" s="307">
        <f t="shared" si="5"/>
        <v>60</v>
      </c>
      <c r="C115" s="355"/>
      <c r="D115" s="347" t="s">
        <v>336</v>
      </c>
      <c r="E115" s="298" t="s">
        <v>542</v>
      </c>
      <c r="F115" s="298"/>
      <c r="G115" s="316">
        <f>'WS C  - Working Capital'!I19</f>
        <v>682511</v>
      </c>
      <c r="H115" s="508"/>
      <c r="I115" s="302" t="s">
        <v>132</v>
      </c>
      <c r="J115" s="303">
        <f>L241</f>
        <v>0.10742031405783188</v>
      </c>
      <c r="K115" s="298"/>
      <c r="L115" s="316">
        <f>+J115*G115</f>
        <v>73315.545967924889</v>
      </c>
    </row>
    <row r="116" spans="1:12" ht="15">
      <c r="A116" s="270"/>
      <c r="B116" s="307">
        <f t="shared" si="5"/>
        <v>61</v>
      </c>
      <c r="C116" s="355"/>
      <c r="D116" s="347" t="s">
        <v>529</v>
      </c>
      <c r="E116" s="298" t="s">
        <v>543</v>
      </c>
      <c r="F116" s="298"/>
      <c r="G116" s="316">
        <f>'WS C  - Working Capital'!I21</f>
        <v>0</v>
      </c>
      <c r="H116" s="508"/>
      <c r="I116" s="302" t="s">
        <v>759</v>
      </c>
      <c r="J116" s="303">
        <f>J75</f>
        <v>0.26610876026117636</v>
      </c>
      <c r="K116" s="298"/>
      <c r="L116" s="316">
        <f>+J116*G116</f>
        <v>0</v>
      </c>
    </row>
    <row r="117" spans="1:12" ht="15">
      <c r="A117" s="270"/>
      <c r="B117" s="307">
        <f t="shared" si="5"/>
        <v>62</v>
      </c>
      <c r="C117" s="355"/>
      <c r="D117" s="347" t="s">
        <v>208</v>
      </c>
      <c r="E117" s="298" t="s">
        <v>572</v>
      </c>
      <c r="F117" s="298"/>
      <c r="G117" s="316">
        <f>'WS C  - Working Capital'!J31</f>
        <v>307438794.06866598</v>
      </c>
      <c r="H117" s="508"/>
      <c r="I117" s="302" t="s">
        <v>132</v>
      </c>
      <c r="J117" s="303">
        <f>L241</f>
        <v>0.10742031405783188</v>
      </c>
      <c r="K117" s="298"/>
      <c r="L117" s="316">
        <f>+J117*G117</f>
        <v>33025171.812417202</v>
      </c>
    </row>
    <row r="118" spans="1:12" ht="15">
      <c r="A118" s="270"/>
      <c r="B118" s="307">
        <f t="shared" si="5"/>
        <v>63</v>
      </c>
      <c r="C118" s="355"/>
      <c r="D118" s="347" t="s">
        <v>209</v>
      </c>
      <c r="E118" s="298" t="s">
        <v>571</v>
      </c>
      <c r="F118" s="298"/>
      <c r="G118" s="316">
        <f>'WS C  - Working Capital'!I31</f>
        <v>15405621.858467299</v>
      </c>
      <c r="H118" s="508"/>
      <c r="I118" s="302" t="s">
        <v>759</v>
      </c>
      <c r="J118" s="303">
        <f>J75</f>
        <v>0.26610876026117636</v>
      </c>
      <c r="K118" s="298"/>
      <c r="L118" s="316">
        <f>+G118*J118</f>
        <v>4099570.9338092129</v>
      </c>
    </row>
    <row r="119" spans="1:12" ht="15">
      <c r="A119" s="270"/>
      <c r="B119" s="307">
        <f t="shared" si="5"/>
        <v>64</v>
      </c>
      <c r="C119" s="355"/>
      <c r="D119" s="347" t="s">
        <v>305</v>
      </c>
      <c r="E119" s="298" t="s">
        <v>573</v>
      </c>
      <c r="F119" s="298"/>
      <c r="G119" s="316">
        <f>'WS C  - Working Capital'!G31</f>
        <v>0</v>
      </c>
      <c r="H119" s="508"/>
      <c r="I119" s="302" t="s">
        <v>129</v>
      </c>
      <c r="J119" s="303">
        <v>1</v>
      </c>
      <c r="K119" s="298"/>
      <c r="L119" s="316">
        <f>+G119*J119</f>
        <v>0</v>
      </c>
    </row>
    <row r="120" spans="1:12" ht="15.75" thickBot="1">
      <c r="A120" s="270"/>
      <c r="B120" s="307">
        <f t="shared" si="5"/>
        <v>65</v>
      </c>
      <c r="C120" s="355"/>
      <c r="D120" s="347" t="s">
        <v>105</v>
      </c>
      <c r="E120" s="298" t="s">
        <v>574</v>
      </c>
      <c r="F120" s="298"/>
      <c r="G120" s="348">
        <f>'WS C  - Working Capital'!E31</f>
        <v>-302381820.1057508</v>
      </c>
      <c r="H120" s="316"/>
      <c r="I120" s="302" t="s">
        <v>127</v>
      </c>
      <c r="J120" s="303">
        <v>0</v>
      </c>
      <c r="K120" s="298"/>
      <c r="L120" s="348">
        <f>+G120*J120</f>
        <v>0</v>
      </c>
    </row>
    <row r="121" spans="1:12" ht="15">
      <c r="A121" s="270"/>
      <c r="B121" s="307">
        <f>+B120+1</f>
        <v>66</v>
      </c>
      <c r="C121" s="355"/>
      <c r="D121" s="347" t="s">
        <v>44</v>
      </c>
      <c r="E121" s="347" t="str">
        <f>"(sum lns "&amp;B113&amp;" to "&amp;B120&amp;")"</f>
        <v>(sum lns 58 to 65)</v>
      </c>
      <c r="F121" s="293"/>
      <c r="G121" s="316">
        <f>SUM(G113:G120)</f>
        <v>28386255.040600777</v>
      </c>
      <c r="H121" s="293"/>
      <c r="I121" s="308"/>
      <c r="J121" s="293"/>
      <c r="K121" s="293"/>
      <c r="L121" s="316">
        <f>SUM(L113:L120)</f>
        <v>44320822.347895384</v>
      </c>
    </row>
    <row r="122" spans="1:12" ht="15">
      <c r="A122" s="270"/>
      <c r="B122" s="307"/>
      <c r="C122" s="308"/>
      <c r="D122" s="347"/>
      <c r="E122" s="293"/>
      <c r="F122" s="293"/>
      <c r="G122" s="316"/>
      <c r="H122" s="293"/>
      <c r="I122" s="308"/>
      <c r="J122" s="293"/>
      <c r="K122" s="293"/>
      <c r="L122" s="316"/>
    </row>
    <row r="123" spans="1:12" ht="15">
      <c r="A123" s="270"/>
      <c r="B123" s="307">
        <f>+B121+1</f>
        <v>67</v>
      </c>
      <c r="C123" s="308"/>
      <c r="D123" s="347" t="s">
        <v>31</v>
      </c>
      <c r="E123" s="319" t="s">
        <v>544</v>
      </c>
      <c r="F123" s="293"/>
      <c r="G123" s="316">
        <f>+'WS D IPP Credits'!C23</f>
        <v>0</v>
      </c>
      <c r="H123" s="293"/>
      <c r="I123" s="412" t="s">
        <v>129</v>
      </c>
      <c r="J123" s="303">
        <v>1</v>
      </c>
      <c r="K123" s="298"/>
      <c r="L123" s="316">
        <f>+J123*G123</f>
        <v>0</v>
      </c>
    </row>
    <row r="124" spans="1:12" ht="15.75" thickBot="1">
      <c r="A124" s="270"/>
      <c r="B124" s="307"/>
      <c r="C124" s="275"/>
      <c r="D124" s="420"/>
      <c r="E124" s="298"/>
      <c r="F124" s="298"/>
      <c r="G124" s="348"/>
      <c r="H124" s="298"/>
      <c r="I124" s="302"/>
      <c r="J124" s="298"/>
      <c r="K124" s="298"/>
      <c r="L124" s="348"/>
    </row>
    <row r="125" spans="1:12" ht="15.75" thickBot="1">
      <c r="A125" s="270"/>
      <c r="B125" s="307">
        <f>+B123+1</f>
        <v>68</v>
      </c>
      <c r="C125" s="308"/>
      <c r="D125" s="319" t="str">
        <f>"RATE BASE  (sum lns "&amp;B95&amp;", "&amp;B104&amp;", "&amp;B106&amp;", "&amp;B108&amp;", "&amp;B110&amp;", "&amp;B121&amp;", "&amp;B123&amp;")"</f>
        <v>RATE BASE  (sum lns 46, 53, 54, 55, 56, 66, 67)</v>
      </c>
      <c r="E125" s="298"/>
      <c r="F125" s="298"/>
      <c r="G125" s="1013">
        <f>+G121+G106+G104+G95+G123+G108+G110</f>
        <v>9472384670.2505245</v>
      </c>
      <c r="H125" s="298"/>
      <c r="I125" s="298"/>
      <c r="J125" s="356"/>
      <c r="K125" s="298"/>
      <c r="L125" s="1013">
        <f>+L121+L106+L104+L95+L123+L108+L110</f>
        <v>3317650361.9046092</v>
      </c>
    </row>
    <row r="126" spans="1:12" ht="16.5" thickTop="1">
      <c r="A126" s="270"/>
      <c r="B126" s="282"/>
      <c r="C126" s="323"/>
      <c r="D126" s="323"/>
      <c r="E126" s="323"/>
      <c r="F126" s="323"/>
      <c r="G126" s="323"/>
      <c r="H126" s="323"/>
      <c r="I126" s="274"/>
      <c r="J126" s="274"/>
      <c r="K126" s="274"/>
      <c r="L126" s="971"/>
    </row>
    <row r="127" spans="1:12" ht="15">
      <c r="A127" s="270"/>
      <c r="B127" s="368"/>
      <c r="C127" s="283"/>
      <c r="D127" s="276"/>
      <c r="E127" s="280"/>
      <c r="F127" s="280"/>
      <c r="G127" s="280"/>
      <c r="H127" s="280"/>
      <c r="I127" s="280"/>
      <c r="J127" s="280"/>
      <c r="K127" s="280"/>
      <c r="L127" s="280"/>
    </row>
    <row r="128" spans="1:12" ht="15">
      <c r="A128" s="270"/>
      <c r="B128" s="368"/>
      <c r="C128" s="283"/>
      <c r="D128" s="276"/>
      <c r="E128" s="280"/>
      <c r="F128" s="311" t="str">
        <f>F54</f>
        <v xml:space="preserve">AEP East Companies </v>
      </c>
      <c r="G128" s="311"/>
      <c r="H128" s="280"/>
      <c r="I128" s="280"/>
      <c r="J128" s="280"/>
      <c r="K128" s="280"/>
      <c r="L128" s="280"/>
    </row>
    <row r="129" spans="1:12" ht="15">
      <c r="A129" s="270"/>
      <c r="B129" s="368"/>
      <c r="C129" s="283"/>
      <c r="D129" s="276"/>
      <c r="E129" s="280"/>
      <c r="F129" s="311" t="str">
        <f>F55</f>
        <v>Transmission Cost of Service Formula Rate</v>
      </c>
      <c r="G129" s="311"/>
      <c r="H129" s="280"/>
      <c r="I129" s="280"/>
      <c r="J129" s="280"/>
      <c r="K129" s="280"/>
      <c r="L129" s="280"/>
    </row>
    <row r="130" spans="1:12" ht="15">
      <c r="A130" s="270"/>
      <c r="B130" s="368"/>
      <c r="C130" s="283"/>
      <c r="D130" s="270"/>
      <c r="E130" s="280"/>
      <c r="F130" s="311" t="str">
        <f>F56</f>
        <v>Utilizing  Actual/Projected FERC Form 1 Data</v>
      </c>
      <c r="G130" s="280"/>
      <c r="H130" s="280"/>
      <c r="I130" s="280"/>
      <c r="J130" s="280"/>
      <c r="K130" s="280"/>
      <c r="L130" s="280"/>
    </row>
    <row r="131" spans="1:12" ht="15">
      <c r="A131" s="270"/>
      <c r="B131" s="368"/>
      <c r="C131" s="283"/>
      <c r="D131" s="270"/>
      <c r="E131" s="280"/>
      <c r="F131" s="311"/>
      <c r="G131" s="280"/>
      <c r="H131" s="280"/>
      <c r="I131" s="280"/>
      <c r="J131" s="280"/>
      <c r="K131" s="280"/>
      <c r="L131" s="280"/>
    </row>
    <row r="132" spans="1:12" ht="15">
      <c r="A132" s="270"/>
      <c r="B132" s="368"/>
      <c r="C132" s="283"/>
      <c r="D132" s="270"/>
      <c r="E132" s="370"/>
      <c r="F132" s="311" t="str">
        <f>F58</f>
        <v>Appalachian Power Company</v>
      </c>
      <c r="G132" s="370"/>
      <c r="H132" s="371"/>
      <c r="I132" s="370"/>
      <c r="J132" s="370"/>
      <c r="K132" s="370"/>
      <c r="L132" s="270"/>
    </row>
    <row r="133" spans="1:12" ht="15">
      <c r="A133" s="270"/>
      <c r="B133" s="368"/>
      <c r="C133" s="283"/>
      <c r="D133" s="270"/>
      <c r="E133" s="370"/>
      <c r="F133" s="311"/>
      <c r="G133" s="370"/>
      <c r="H133" s="371"/>
      <c r="I133" s="370"/>
      <c r="J133" s="370"/>
      <c r="K133" s="370"/>
      <c r="L133" s="270"/>
    </row>
    <row r="134" spans="1:12" ht="15">
      <c r="A134" s="270"/>
      <c r="B134" s="368"/>
      <c r="C134" s="270"/>
      <c r="D134" s="283" t="s">
        <v>121</v>
      </c>
      <c r="E134" s="283" t="s">
        <v>122</v>
      </c>
      <c r="F134" s="283"/>
      <c r="G134" s="283" t="s">
        <v>123</v>
      </c>
      <c r="H134" s="298"/>
      <c r="I134" s="1443" t="s">
        <v>124</v>
      </c>
      <c r="J134" s="1447"/>
      <c r="K134" s="280"/>
      <c r="L134" s="284" t="s">
        <v>125</v>
      </c>
    </row>
    <row r="135" spans="1:12" ht="15">
      <c r="A135" s="270"/>
      <c r="B135" s="368"/>
      <c r="C135" s="270"/>
      <c r="D135" s="283"/>
      <c r="E135" s="283"/>
      <c r="F135" s="283"/>
      <c r="G135" s="283"/>
      <c r="H135" s="298"/>
      <c r="I135" s="280"/>
      <c r="J135" s="331"/>
      <c r="K135" s="280"/>
      <c r="L135" s="270"/>
    </row>
    <row r="136" spans="1:12" ht="15.75">
      <c r="A136" s="270"/>
      <c r="B136" s="368"/>
      <c r="C136" s="283"/>
      <c r="D136" s="373" t="s">
        <v>101</v>
      </c>
      <c r="E136" s="333" t="str">
        <f>E62</f>
        <v>Data Sources</v>
      </c>
      <c r="F136" s="334"/>
      <c r="G136" s="280"/>
      <c r="H136" s="298"/>
      <c r="I136" s="280"/>
      <c r="J136" s="283"/>
      <c r="K136" s="280"/>
      <c r="L136" s="333" t="str">
        <f>L62</f>
        <v>Total</v>
      </c>
    </row>
    <row r="137" spans="1:12" ht="15.75">
      <c r="A137" s="270"/>
      <c r="B137" s="368"/>
      <c r="C137" s="290"/>
      <c r="D137" s="336" t="s">
        <v>102</v>
      </c>
      <c r="E137" s="374" t="str">
        <f>E63</f>
        <v>(See "General Notes")</v>
      </c>
      <c r="F137" s="280"/>
      <c r="G137" s="374" t="str">
        <f>G63</f>
        <v>TO Total</v>
      </c>
      <c r="H137" s="375"/>
      <c r="I137" s="1445" t="str">
        <f>I63</f>
        <v>Allocator</v>
      </c>
      <c r="J137" s="1446"/>
      <c r="K137" s="338"/>
      <c r="L137" s="374" t="str">
        <f>L63</f>
        <v>Transmission</v>
      </c>
    </row>
    <row r="138" spans="1:12" ht="15.75">
      <c r="A138" s="270"/>
      <c r="B138" s="282" t="str">
        <f>B64</f>
        <v>Line</v>
      </c>
      <c r="C138" s="270"/>
      <c r="D138" s="276"/>
      <c r="E138" s="280"/>
      <c r="F138" s="280"/>
      <c r="G138" s="336"/>
      <c r="H138" s="376"/>
      <c r="I138" s="373"/>
      <c r="J138" s="270"/>
      <c r="K138" s="377"/>
      <c r="L138" s="336"/>
    </row>
    <row r="139" spans="1:12" ht="15">
      <c r="A139" s="270"/>
      <c r="B139" s="282" t="str">
        <f>B65</f>
        <v>No.</v>
      </c>
      <c r="C139" s="283"/>
      <c r="D139" s="276" t="s">
        <v>103</v>
      </c>
      <c r="E139" s="280"/>
      <c r="F139" s="280"/>
      <c r="G139" s="280"/>
      <c r="H139" s="298"/>
      <c r="I139" s="311"/>
      <c r="J139" s="280"/>
      <c r="K139" s="280"/>
      <c r="L139" s="280"/>
    </row>
    <row r="140" spans="1:12" ht="15">
      <c r="A140" s="270"/>
      <c r="B140" s="282">
        <f>+B125+1</f>
        <v>69</v>
      </c>
      <c r="C140" s="283"/>
      <c r="D140" s="276" t="s">
        <v>126</v>
      </c>
      <c r="E140" s="280" t="s">
        <v>10</v>
      </c>
      <c r="F140" s="280"/>
      <c r="G140" s="763">
        <v>1799819936.37655</v>
      </c>
      <c r="H140" s="298"/>
      <c r="I140" s="311"/>
      <c r="J140" s="303"/>
      <c r="K140" s="280"/>
      <c r="L140" s="316"/>
    </row>
    <row r="141" spans="1:12" ht="15">
      <c r="A141" s="270"/>
      <c r="B141" s="282">
        <f>+B140+1</f>
        <v>70</v>
      </c>
      <c r="C141" s="283"/>
      <c r="D141" s="319" t="s">
        <v>130</v>
      </c>
      <c r="E141" s="280" t="s">
        <v>11</v>
      </c>
      <c r="F141" s="298"/>
      <c r="G141" s="763">
        <v>169075150.43373302</v>
      </c>
      <c r="H141" s="298"/>
      <c r="I141" s="311"/>
      <c r="J141" s="303"/>
      <c r="K141" s="280"/>
      <c r="L141" s="316"/>
    </row>
    <row r="142" spans="1:12" ht="15">
      <c r="A142" s="270"/>
      <c r="B142" s="282">
        <f t="shared" ref="B142:B147" si="6">+B141+1</f>
        <v>71</v>
      </c>
      <c r="C142" s="283"/>
      <c r="D142" s="319" t="s">
        <v>246</v>
      </c>
      <c r="E142" s="280" t="s">
        <v>202</v>
      </c>
      <c r="F142" s="298"/>
      <c r="G142" s="763">
        <v>83400893.845841244</v>
      </c>
      <c r="H142" s="298"/>
      <c r="I142" s="302"/>
      <c r="J142" s="303"/>
      <c r="K142" s="298"/>
      <c r="L142" s="316"/>
    </row>
    <row r="143" spans="1:12" ht="15">
      <c r="A143" s="270"/>
      <c r="B143" s="282">
        <f t="shared" si="6"/>
        <v>72</v>
      </c>
      <c r="C143" s="283"/>
      <c r="D143" s="319" t="s">
        <v>247</v>
      </c>
      <c r="E143" s="280" t="s">
        <v>417</v>
      </c>
      <c r="F143" s="298"/>
      <c r="G143" s="763">
        <v>5755354.0254107201</v>
      </c>
      <c r="H143" s="298"/>
      <c r="I143" s="302"/>
      <c r="J143" s="303"/>
      <c r="K143" s="298"/>
      <c r="L143" s="316"/>
    </row>
    <row r="144" spans="1:12" ht="15.75" thickBot="1">
      <c r="A144" s="270"/>
      <c r="B144" s="282">
        <f t="shared" si="6"/>
        <v>73</v>
      </c>
      <c r="C144" s="283"/>
      <c r="D144" s="319" t="s">
        <v>135</v>
      </c>
      <c r="E144" s="280" t="s">
        <v>416</v>
      </c>
      <c r="F144" s="298"/>
      <c r="G144" s="764">
        <v>506213819.76668</v>
      </c>
      <c r="H144" s="316"/>
      <c r="I144" s="323"/>
      <c r="J144" s="323"/>
      <c r="K144" s="285"/>
      <c r="L144" s="285"/>
    </row>
    <row r="145" spans="1:12" ht="15">
      <c r="A145" s="270"/>
      <c r="B145" s="282">
        <f t="shared" si="6"/>
        <v>74</v>
      </c>
      <c r="C145" s="283"/>
      <c r="D145" s="319" t="s">
        <v>248</v>
      </c>
      <c r="E145" s="298" t="str">
        <f>"(sum lns "&amp;B140&amp;"  to "&amp;B144&amp;")"</f>
        <v>(sum lns 69  to 73)</v>
      </c>
      <c r="F145" s="298"/>
      <c r="G145" s="316">
        <f>SUM(G140:G144)</f>
        <v>2564265154.4482145</v>
      </c>
      <c r="H145" s="316"/>
      <c r="I145" s="323"/>
      <c r="J145" s="323"/>
      <c r="K145" s="285"/>
      <c r="L145" s="285"/>
    </row>
    <row r="146" spans="1:12" ht="15">
      <c r="A146" s="270"/>
      <c r="B146" s="282">
        <f t="shared" si="6"/>
        <v>75</v>
      </c>
      <c r="C146" s="283"/>
      <c r="D146" s="319" t="s">
        <v>328</v>
      </c>
      <c r="E146" s="298" t="str">
        <f>"(Note G) (Worksheet F, ln "&amp;'WS F Misc Exp'!A33&amp;".C)"</f>
        <v>(Note G) (Worksheet F, ln 14.C)</v>
      </c>
      <c r="F146" s="298"/>
      <c r="G146" s="316">
        <f>'WS F Misc Exp'!D33</f>
        <v>15729607.898989998</v>
      </c>
      <c r="H146" s="316"/>
      <c r="I146" s="323"/>
      <c r="J146" s="323"/>
      <c r="K146" s="285"/>
      <c r="L146" s="285"/>
    </row>
    <row r="147" spans="1:12" ht="15">
      <c r="A147" s="270"/>
      <c r="B147" s="282">
        <f t="shared" si="6"/>
        <v>76</v>
      </c>
      <c r="C147" s="283"/>
      <c r="D147" s="319" t="s">
        <v>23</v>
      </c>
      <c r="E147" s="298" t="s">
        <v>100</v>
      </c>
      <c r="F147" s="298"/>
      <c r="G147" s="763">
        <v>403847576.178352</v>
      </c>
      <c r="H147" s="316"/>
      <c r="I147" s="323"/>
      <c r="J147" s="323"/>
      <c r="K147" s="285"/>
      <c r="L147" s="285"/>
    </row>
    <row r="148" spans="1:12" ht="15.75" thickBot="1">
      <c r="A148" s="270"/>
      <c r="B148" s="282">
        <f>+B147+1</f>
        <v>77</v>
      </c>
      <c r="C148" s="308"/>
      <c r="D148" s="319" t="s">
        <v>332</v>
      </c>
      <c r="E148" s="298" t="s">
        <v>480</v>
      </c>
      <c r="F148" s="298"/>
      <c r="G148" s="348">
        <f>+'WS F Misc Exp'!D21</f>
        <v>30471497.9355914</v>
      </c>
      <c r="H148" s="316"/>
      <c r="I148" s="363"/>
      <c r="J148" s="363"/>
      <c r="K148" s="285"/>
      <c r="L148" s="285"/>
    </row>
    <row r="149" spans="1:12" ht="15">
      <c r="A149" s="270"/>
      <c r="B149" s="282">
        <f>+B148+1</f>
        <v>78</v>
      </c>
      <c r="C149" s="283"/>
      <c r="D149" s="319" t="s">
        <v>384</v>
      </c>
      <c r="E149" s="280" t="str">
        <f>"(lns "&amp;B144&amp;" - "&amp;B146&amp;" - "&amp;B147&amp;" - "&amp;B148&amp;")"</f>
        <v>(lns 73 - 75 - 76 - 77)</v>
      </c>
      <c r="F149" s="319"/>
      <c r="G149" s="316">
        <f>G144-G146-G147-G148</f>
        <v>56165137.753746629</v>
      </c>
      <c r="H149" s="298"/>
      <c r="I149" s="311" t="s">
        <v>120</v>
      </c>
      <c r="J149" s="303">
        <f>L231</f>
        <v>0.98365118901956938</v>
      </c>
      <c r="K149" s="298"/>
      <c r="L149" s="316">
        <f>+J149*G149</f>
        <v>55246904.532920778</v>
      </c>
    </row>
    <row r="150" spans="1:12" ht="15">
      <c r="A150" s="270"/>
      <c r="B150" s="282"/>
      <c r="C150" s="283"/>
      <c r="D150" s="319"/>
      <c r="E150" s="298"/>
      <c r="F150" s="298"/>
      <c r="G150" s="378"/>
      <c r="H150" s="316"/>
      <c r="I150" s="323"/>
      <c r="J150" s="323"/>
      <c r="K150" s="285"/>
      <c r="L150" s="285"/>
    </row>
    <row r="151" spans="1:12" ht="15">
      <c r="A151" s="270"/>
      <c r="B151" s="282">
        <f>+B149+1</f>
        <v>79</v>
      </c>
      <c r="C151" s="283"/>
      <c r="D151" s="276" t="s">
        <v>104</v>
      </c>
      <c r="E151" s="298" t="s">
        <v>750</v>
      </c>
      <c r="F151" s="298"/>
      <c r="G151" s="763">
        <v>97446187.901547804</v>
      </c>
      <c r="H151" s="316"/>
      <c r="I151" s="359"/>
      <c r="J151" s="359"/>
      <c r="K151" s="280"/>
      <c r="L151" s="358"/>
    </row>
    <row r="152" spans="1:12" ht="15">
      <c r="A152" s="270"/>
      <c r="B152" s="282">
        <f t="shared" ref="B152:B165" si="7">+B151+1</f>
        <v>80</v>
      </c>
      <c r="C152" s="283"/>
      <c r="D152" s="319" t="s">
        <v>330</v>
      </c>
      <c r="E152" s="280" t="s">
        <v>418</v>
      </c>
      <c r="F152" s="280"/>
      <c r="G152" s="763">
        <v>4224612.4672343601</v>
      </c>
      <c r="H152" s="316"/>
      <c r="I152" s="359"/>
      <c r="J152" s="276"/>
      <c r="K152" s="280"/>
      <c r="L152" s="358"/>
    </row>
    <row r="153" spans="1:12" ht="15">
      <c r="A153" s="270"/>
      <c r="B153" s="282">
        <f t="shared" si="7"/>
        <v>81</v>
      </c>
      <c r="C153" s="283"/>
      <c r="D153" s="1128" t="s">
        <v>858</v>
      </c>
      <c r="E153" s="298" t="str">
        <f>"PBOP Worksheet O Line "&amp;'WS O - PBOP'!A37&amp;" &amp; "&amp;'WS O - PBOP'!A39&amp;", (Note K)"</f>
        <v>PBOP Worksheet O Line 9 &amp; 10, (Note K)</v>
      </c>
      <c r="F153" s="280"/>
      <c r="G153" s="1129">
        <f>'WS O - PBOP'!D37+'WS O - PBOP'!D39</f>
        <v>-9207813.7770000026</v>
      </c>
      <c r="H153" s="316"/>
      <c r="I153" s="359"/>
      <c r="J153" s="276"/>
      <c r="K153" s="280"/>
      <c r="L153" s="358"/>
    </row>
    <row r="154" spans="1:12" ht="15">
      <c r="A154" s="270"/>
      <c r="B154" s="282">
        <f t="shared" si="7"/>
        <v>82</v>
      </c>
      <c r="C154" s="283"/>
      <c r="D154" s="319" t="s">
        <v>859</v>
      </c>
      <c r="E154" s="298" t="str">
        <f>"PBOP Worksheet O  Line "&amp;'WS O - PBOP'!A41&amp;", (Note K)"</f>
        <v>PBOP Worksheet O  Line 11, (Note K)</v>
      </c>
      <c r="F154" s="280"/>
      <c r="G154" s="1129">
        <f>'WS O - PBOP'!D41</f>
        <v>0</v>
      </c>
      <c r="H154" s="316"/>
      <c r="I154" s="359"/>
      <c r="J154" s="276"/>
      <c r="K154" s="280"/>
      <c r="L154" s="358"/>
    </row>
    <row r="155" spans="1:12" ht="15">
      <c r="A155" s="270"/>
      <c r="B155" s="282">
        <f t="shared" si="7"/>
        <v>83</v>
      </c>
      <c r="C155" s="283"/>
      <c r="D155" s="319" t="s">
        <v>860</v>
      </c>
      <c r="E155" s="298" t="str">
        <f>"PBOP Worksheet O Line "&amp;'WS O - PBOP'!A45&amp;", (Note K)"</f>
        <v>PBOP Worksheet O Line 13, (Note K)</v>
      </c>
      <c r="F155" s="280"/>
      <c r="G155" s="1129">
        <f>'WS O - PBOP'!D45</f>
        <v>-6901941.7890569456</v>
      </c>
      <c r="H155" s="316"/>
      <c r="I155" s="359"/>
      <c r="J155" s="276"/>
      <c r="K155" s="280"/>
      <c r="L155" s="358"/>
    </row>
    <row r="156" spans="1:12" ht="15">
      <c r="A156" s="270"/>
      <c r="B156" s="282">
        <f t="shared" si="7"/>
        <v>84</v>
      </c>
      <c r="C156" s="283"/>
      <c r="D156" s="276" t="s">
        <v>329</v>
      </c>
      <c r="E156" s="280" t="s">
        <v>96</v>
      </c>
      <c r="F156" s="298"/>
      <c r="G156" s="763">
        <f>'WS F Misc Exp'!D42</f>
        <v>4976100.8900786508</v>
      </c>
      <c r="H156" s="316"/>
      <c r="I156" s="359"/>
      <c r="J156" s="379"/>
      <c r="K156" s="280"/>
      <c r="L156" s="358"/>
    </row>
    <row r="157" spans="1:12" ht="15">
      <c r="A157" s="270"/>
      <c r="B157" s="282">
        <f t="shared" si="7"/>
        <v>85</v>
      </c>
      <c r="C157" s="283"/>
      <c r="D157" s="319" t="s">
        <v>107</v>
      </c>
      <c r="E157" s="280" t="s">
        <v>97</v>
      </c>
      <c r="F157" s="298"/>
      <c r="G157" s="763">
        <f>'WS F Misc Exp'!D62</f>
        <v>488168.82699817204</v>
      </c>
      <c r="H157" s="316"/>
      <c r="I157" s="359"/>
      <c r="J157" s="359"/>
      <c r="K157" s="280"/>
      <c r="L157" s="358"/>
    </row>
    <row r="158" spans="1:12" ht="15.75" thickBot="1">
      <c r="A158" s="270"/>
      <c r="B158" s="282">
        <f t="shared" si="7"/>
        <v>86</v>
      </c>
      <c r="C158" s="283"/>
      <c r="D158" s="319" t="s">
        <v>331</v>
      </c>
      <c r="E158" s="280" t="s">
        <v>98</v>
      </c>
      <c r="F158" s="298"/>
      <c r="G158" s="764">
        <f>'WS F Misc Exp'!D72</f>
        <v>10567212.807589099</v>
      </c>
      <c r="H158" s="316"/>
      <c r="I158" s="359"/>
      <c r="J158" s="359"/>
      <c r="K158" s="280"/>
      <c r="L158" s="358"/>
    </row>
    <row r="159" spans="1:12" ht="15">
      <c r="A159" s="270"/>
      <c r="B159" s="282">
        <f t="shared" si="7"/>
        <v>87</v>
      </c>
      <c r="C159" s="283"/>
      <c r="D159" s="276" t="s">
        <v>108</v>
      </c>
      <c r="E159" s="298" t="str">
        <f>"(ln "&amp;B151&amp;" - sum ln "&amp;B152&amp;"  to ln "&amp;B158&amp;")"</f>
        <v>(ln 79 - sum ln 80  to ln 86)</v>
      </c>
      <c r="F159" s="298"/>
      <c r="G159" s="316">
        <f>G151-SUM(G152:G158)</f>
        <v>93299848.475704476</v>
      </c>
      <c r="H159" s="316"/>
      <c r="I159" s="311" t="s">
        <v>132</v>
      </c>
      <c r="J159" s="303">
        <f>L241</f>
        <v>0.10742031405783188</v>
      </c>
      <c r="K159" s="280"/>
      <c r="L159" s="358">
        <f>+J159*G159</f>
        <v>10022299.024808303</v>
      </c>
    </row>
    <row r="160" spans="1:12" ht="15">
      <c r="A160" s="270"/>
      <c r="B160" s="282">
        <f t="shared" si="7"/>
        <v>88</v>
      </c>
      <c r="C160" s="308"/>
      <c r="D160" s="319" t="s">
        <v>197</v>
      </c>
      <c r="E160" s="298" t="str">
        <f>"(ln "&amp;B152&amp;")"</f>
        <v>(ln 80)</v>
      </c>
      <c r="F160" s="298"/>
      <c r="G160" s="316">
        <f>+G152</f>
        <v>4224612.4672343601</v>
      </c>
      <c r="H160" s="316"/>
      <c r="I160" s="311" t="s">
        <v>759</v>
      </c>
      <c r="J160" s="303">
        <f>J75</f>
        <v>0.26610876026117636</v>
      </c>
      <c r="K160" s="298"/>
      <c r="L160" s="316">
        <f>+J160*G160</f>
        <v>1124206.3862396451</v>
      </c>
    </row>
    <row r="161" spans="1:14" ht="15">
      <c r="A161" s="270"/>
      <c r="B161" s="282">
        <f t="shared" si="7"/>
        <v>89</v>
      </c>
      <c r="C161" s="283"/>
      <c r="D161" s="319" t="s">
        <v>230</v>
      </c>
      <c r="E161" s="298" t="str">
        <f>"Worksheet F ln "&amp;'WS F Misc Exp'!A42&amp;".(E) (Note L)"</f>
        <v>Worksheet F ln 21.(E) (Note L)</v>
      </c>
      <c r="F161" s="298"/>
      <c r="G161" s="316">
        <f>+'WS F Misc Exp'!F42</f>
        <v>205258.94781422935</v>
      </c>
      <c r="H161" s="316"/>
      <c r="I161" s="311" t="s">
        <v>120</v>
      </c>
      <c r="J161" s="303">
        <f>L231</f>
        <v>0.98365118901956938</v>
      </c>
      <c r="K161" s="280"/>
      <c r="L161" s="358">
        <f>J161*G161</f>
        <v>201903.20807437244</v>
      </c>
    </row>
    <row r="162" spans="1:14" ht="15">
      <c r="A162" s="270"/>
      <c r="B162" s="282">
        <f t="shared" si="7"/>
        <v>90</v>
      </c>
      <c r="C162" s="283"/>
      <c r="D162" s="319" t="s">
        <v>240</v>
      </c>
      <c r="E162" s="298" t="str">
        <f>"Worksheet F ln "&amp;'WS F Misc Exp'!A62&amp;".(E) (Note L)"</f>
        <v>Worksheet F ln 38.(E) (Note L)</v>
      </c>
      <c r="F162" s="298"/>
      <c r="G162" s="301">
        <f>+'WS F Misc Exp'!F62</f>
        <v>1694.0002517810401</v>
      </c>
      <c r="H162" s="298"/>
      <c r="I162" s="302" t="s">
        <v>120</v>
      </c>
      <c r="J162" s="303">
        <f>L231</f>
        <v>0.98365118901956938</v>
      </c>
      <c r="K162" s="280"/>
      <c r="L162" s="358">
        <f>+J162*G162</f>
        <v>1666.3053618638701</v>
      </c>
    </row>
    <row r="163" spans="1:14" ht="15">
      <c r="A163" s="270"/>
      <c r="B163" s="282">
        <f t="shared" si="7"/>
        <v>91</v>
      </c>
      <c r="C163" s="283"/>
      <c r="D163" s="319" t="s">
        <v>241</v>
      </c>
      <c r="E163" s="298" t="str">
        <f>"Worksheet F ln "&amp;'WS F Misc Exp'!A72&amp;".(E) (Note L)"</f>
        <v>Worksheet F ln 45.(E) (Note L)</v>
      </c>
      <c r="F163" s="298"/>
      <c r="G163" s="301">
        <f>+'WS F Misc Exp'!F72</f>
        <v>4706614.1575156264</v>
      </c>
      <c r="H163" s="380"/>
      <c r="I163" s="302" t="s">
        <v>129</v>
      </c>
      <c r="J163" s="303">
        <v>1</v>
      </c>
      <c r="K163" s="280"/>
      <c r="L163" s="381">
        <f>+J163*G163</f>
        <v>4706614.1575156264</v>
      </c>
    </row>
    <row r="164" spans="1:14" ht="15.75" thickBot="1">
      <c r="A164" s="270"/>
      <c r="B164" s="282">
        <f t="shared" si="7"/>
        <v>92</v>
      </c>
      <c r="C164" s="283"/>
      <c r="D164" s="319" t="s">
        <v>861</v>
      </c>
      <c r="E164" s="298" t="s">
        <v>863</v>
      </c>
      <c r="F164" s="298"/>
      <c r="G164" s="348">
        <f>'WS O - PBOP'!E22</f>
        <v>18808544</v>
      </c>
      <c r="H164" s="380"/>
      <c r="I164" s="311" t="s">
        <v>132</v>
      </c>
      <c r="J164" s="303">
        <f>L241</f>
        <v>0.10742031405783188</v>
      </c>
      <c r="K164" s="280"/>
      <c r="L164" s="366">
        <f>+J164*G164</f>
        <v>2020419.7034505494</v>
      </c>
    </row>
    <row r="165" spans="1:14" ht="15">
      <c r="A165" s="270"/>
      <c r="B165" s="282">
        <f t="shared" si="7"/>
        <v>93</v>
      </c>
      <c r="C165" s="283"/>
      <c r="D165" s="276" t="s">
        <v>109</v>
      </c>
      <c r="E165" s="298" t="str">
        <f>"(sum lns "&amp;B159&amp;"  to "&amp;B164&amp;")"</f>
        <v>(sum lns 87  to 92)</v>
      </c>
      <c r="F165" s="298"/>
      <c r="G165" s="358">
        <f>SUM(G159:G164)</f>
        <v>121246572.04852048</v>
      </c>
      <c r="H165" s="316"/>
      <c r="I165" s="311"/>
      <c r="J165" s="359"/>
      <c r="K165" s="280"/>
      <c r="L165" s="358">
        <f>SUM(L159:L164)</f>
        <v>18077108.785450358</v>
      </c>
    </row>
    <row r="166" spans="1:14" ht="15.75" thickBot="1">
      <c r="A166" s="270"/>
      <c r="B166" s="282"/>
      <c r="C166" s="283"/>
      <c r="D166" s="319"/>
      <c r="E166" s="298"/>
      <c r="F166" s="298"/>
      <c r="G166" s="348"/>
      <c r="H166" s="298"/>
      <c r="I166" s="311"/>
      <c r="J166" s="359"/>
      <c r="K166" s="280"/>
      <c r="L166" s="366"/>
    </row>
    <row r="167" spans="1:14" ht="15">
      <c r="A167" s="270"/>
      <c r="B167" s="282">
        <f>+B165+1</f>
        <v>94</v>
      </c>
      <c r="C167" s="308"/>
      <c r="D167" s="319" t="s">
        <v>414</v>
      </c>
      <c r="E167" s="298" t="str">
        <f>"(ln "&amp;B149&amp;" + ln "&amp;B165&amp;")"</f>
        <v>(ln 78 + ln 93)</v>
      </c>
      <c r="F167" s="298"/>
      <c r="G167" s="316">
        <f>+G149+G165</f>
        <v>177411709.8022671</v>
      </c>
      <c r="H167" s="316"/>
      <c r="I167" s="302"/>
      <c r="J167" s="298"/>
      <c r="K167" s="298"/>
      <c r="L167" s="316">
        <f>L149+L165</f>
        <v>73324013.318371132</v>
      </c>
    </row>
    <row r="168" spans="1:14" ht="15.75" thickBot="1">
      <c r="A168" s="270"/>
      <c r="B168" s="282">
        <f>+B167+1</f>
        <v>95</v>
      </c>
      <c r="C168" s="308"/>
      <c r="D168" s="319" t="s">
        <v>486</v>
      </c>
      <c r="E168" s="319"/>
      <c r="F168" s="298"/>
      <c r="G168" s="764">
        <v>0</v>
      </c>
      <c r="H168" s="316"/>
      <c r="I168" s="311" t="s">
        <v>129</v>
      </c>
      <c r="J168" s="303">
        <v>1</v>
      </c>
      <c r="K168" s="298"/>
      <c r="L168" s="366">
        <f>J168*G168</f>
        <v>0</v>
      </c>
    </row>
    <row r="169" spans="1:14" ht="15">
      <c r="A169" s="270"/>
      <c r="B169" s="282">
        <f>+B168+1</f>
        <v>96</v>
      </c>
      <c r="C169" s="283"/>
      <c r="D169" s="319" t="s">
        <v>110</v>
      </c>
      <c r="E169" s="298" t="str">
        <f>"(ln "&amp;B167&amp;" + ln "&amp;B168&amp;")"</f>
        <v>(ln 94 + ln 95)</v>
      </c>
      <c r="F169" s="298"/>
      <c r="G169" s="316">
        <f>+G167+G168</f>
        <v>177411709.8022671</v>
      </c>
      <c r="H169" s="316"/>
      <c r="I169" s="302"/>
      <c r="J169" s="298"/>
      <c r="K169" s="298"/>
      <c r="L169" s="316">
        <f>+L167+L168</f>
        <v>73324013.318371132</v>
      </c>
    </row>
    <row r="170" spans="1:14" ht="15">
      <c r="A170" s="270"/>
      <c r="B170" s="282"/>
      <c r="C170" s="283"/>
      <c r="D170" s="319"/>
      <c r="E170" s="280"/>
      <c r="F170" s="280"/>
      <c r="G170" s="358"/>
      <c r="H170" s="298"/>
      <c r="I170" s="280"/>
      <c r="J170" s="280"/>
      <c r="K170" s="280"/>
      <c r="L170" s="358"/>
    </row>
    <row r="171" spans="1:14" ht="15">
      <c r="A171" s="270"/>
      <c r="B171" s="282">
        <f>+B169+1</f>
        <v>97</v>
      </c>
      <c r="C171" s="283"/>
      <c r="D171" s="340" t="s">
        <v>113</v>
      </c>
      <c r="E171" s="302"/>
      <c r="F171" s="302"/>
      <c r="G171" s="358"/>
      <c r="H171" s="298"/>
      <c r="I171" s="311"/>
      <c r="J171" s="280"/>
      <c r="K171" s="280"/>
      <c r="L171" s="358"/>
    </row>
    <row r="172" spans="1:14" ht="15">
      <c r="A172" s="270"/>
      <c r="B172" s="282">
        <f t="shared" ref="B172:B177" si="8">+B171+1</f>
        <v>98</v>
      </c>
      <c r="C172" s="283"/>
      <c r="D172" s="276" t="s">
        <v>126</v>
      </c>
      <c r="E172" s="297" t="s">
        <v>424</v>
      </c>
      <c r="F172" s="302"/>
      <c r="G172" s="763">
        <v>235514027.22456324</v>
      </c>
      <c r="H172" s="298"/>
      <c r="I172" s="311" t="s">
        <v>127</v>
      </c>
      <c r="J172" s="303">
        <v>0</v>
      </c>
      <c r="K172" s="280"/>
      <c r="L172" s="316">
        <f>+G172*J172</f>
        <v>0</v>
      </c>
      <c r="N172" s="6"/>
    </row>
    <row r="173" spans="1:14" ht="15">
      <c r="A173" s="270"/>
      <c r="B173" s="282">
        <f t="shared" si="8"/>
        <v>99</v>
      </c>
      <c r="C173" s="283"/>
      <c r="D173" s="319" t="s">
        <v>130</v>
      </c>
      <c r="E173" s="297" t="s">
        <v>423</v>
      </c>
      <c r="F173" s="302"/>
      <c r="G173" s="763">
        <v>195054897.004372</v>
      </c>
      <c r="H173" s="298"/>
      <c r="I173" s="311" t="s">
        <v>127</v>
      </c>
      <c r="J173" s="303">
        <v>0</v>
      </c>
      <c r="K173" s="280"/>
      <c r="L173" s="316">
        <f>+G173*J173</f>
        <v>0</v>
      </c>
    </row>
    <row r="174" spans="1:14" ht="15">
      <c r="A174" s="270"/>
      <c r="B174" s="282">
        <f t="shared" si="8"/>
        <v>100</v>
      </c>
      <c r="C174" s="283"/>
      <c r="D174" s="342" t="str">
        <f>+D144</f>
        <v xml:space="preserve">  Transmission </v>
      </c>
      <c r="E174" s="297" t="s">
        <v>419</v>
      </c>
      <c r="F174" s="382"/>
      <c r="G174" s="763">
        <v>110312042.04154538</v>
      </c>
      <c r="H174" s="298"/>
      <c r="I174" s="383" t="s">
        <v>26</v>
      </c>
      <c r="J174" s="303">
        <f>J80</f>
        <v>0.96910744546478389</v>
      </c>
      <c r="K174" s="384"/>
      <c r="L174" s="385">
        <f>J174*G174</f>
        <v>106904221.26688588</v>
      </c>
    </row>
    <row r="175" spans="1:14" ht="15">
      <c r="A175" s="270"/>
      <c r="B175" s="282">
        <f>+B174+1</f>
        <v>101</v>
      </c>
      <c r="C175" s="283"/>
      <c r="D175" s="340" t="s">
        <v>136</v>
      </c>
      <c r="E175" s="382" t="s">
        <v>420</v>
      </c>
      <c r="F175" s="280"/>
      <c r="G175" s="763">
        <v>23026436.3766024</v>
      </c>
      <c r="H175" s="298"/>
      <c r="I175" s="311" t="s">
        <v>132</v>
      </c>
      <c r="J175" s="303">
        <f>L241</f>
        <v>0.10742031405783188</v>
      </c>
      <c r="K175" s="280"/>
      <c r="L175" s="358">
        <f>+J175*G175</f>
        <v>2473507.027207314</v>
      </c>
    </row>
    <row r="176" spans="1:14" ht="15.75" thickBot="1">
      <c r="A176" s="270"/>
      <c r="B176" s="282">
        <f t="shared" si="8"/>
        <v>102</v>
      </c>
      <c r="C176" s="283"/>
      <c r="D176" s="340" t="s">
        <v>137</v>
      </c>
      <c r="E176" s="343" t="s">
        <v>421</v>
      </c>
      <c r="F176" s="298"/>
      <c r="G176" s="764">
        <v>36108844.399259999</v>
      </c>
      <c r="H176" s="316"/>
      <c r="I176" s="311" t="s">
        <v>132</v>
      </c>
      <c r="J176" s="303">
        <f>L241</f>
        <v>0.10742031405783188</v>
      </c>
      <c r="K176" s="280"/>
      <c r="L176" s="366">
        <f>+J176*G176</f>
        <v>3878823.4056338929</v>
      </c>
    </row>
    <row r="177" spans="1:12" ht="15">
      <c r="A177" s="270"/>
      <c r="B177" s="282">
        <f t="shared" si="8"/>
        <v>103</v>
      </c>
      <c r="C177" s="283"/>
      <c r="D177" s="340" t="s">
        <v>301</v>
      </c>
      <c r="E177" s="1458" t="str">
        <f>"(Ln "&amp;B172&amp;"+"&amp;B173&amp;"+
"&amp;B174&amp;"+"&amp;B175&amp;"+"&amp;B176&amp;")"</f>
        <v>(Ln 98+99+
100+101+102)</v>
      </c>
      <c r="F177" s="280"/>
      <c r="G177" s="316">
        <f>+G172+G173+G174+G175+G176</f>
        <v>600016247.04634309</v>
      </c>
      <c r="H177" s="298"/>
      <c r="I177" s="311"/>
      <c r="J177" s="280"/>
      <c r="K177" s="280"/>
      <c r="L177" s="316">
        <f>+L172+L173+L174+L175+L176</f>
        <v>113256551.69972709</v>
      </c>
    </row>
    <row r="178" spans="1:12" ht="15">
      <c r="A178" s="270"/>
      <c r="B178" s="282"/>
      <c r="C178" s="283"/>
      <c r="D178" s="340"/>
      <c r="E178" s="1459"/>
      <c r="F178" s="280"/>
      <c r="G178" s="358"/>
      <c r="H178" s="298"/>
      <c r="I178" s="311"/>
      <c r="J178" s="280"/>
      <c r="K178" s="280"/>
      <c r="L178" s="358"/>
    </row>
    <row r="179" spans="1:12" ht="15">
      <c r="A179" s="270"/>
      <c r="B179" s="282">
        <f>+B177+1</f>
        <v>104</v>
      </c>
      <c r="C179" s="283"/>
      <c r="D179" s="340" t="s">
        <v>32</v>
      </c>
      <c r="E179" s="275" t="s">
        <v>422</v>
      </c>
      <c r="F179" s="270"/>
      <c r="G179" s="358"/>
      <c r="H179" s="298"/>
      <c r="I179" s="311"/>
      <c r="J179" s="280"/>
      <c r="K179" s="280"/>
      <c r="L179" s="358"/>
    </row>
    <row r="180" spans="1:12" ht="15">
      <c r="A180" s="270"/>
      <c r="B180" s="282">
        <f t="shared" ref="B180:B185" si="9">+B179+1</f>
        <v>105</v>
      </c>
      <c r="C180" s="283"/>
      <c r="D180" s="340" t="s">
        <v>138</v>
      </c>
      <c r="E180" s="270"/>
      <c r="F180" s="270"/>
      <c r="G180" s="358"/>
      <c r="H180" s="298"/>
      <c r="I180" s="311"/>
      <c r="J180" s="270"/>
      <c r="K180" s="280"/>
      <c r="L180" s="358"/>
    </row>
    <row r="181" spans="1:12" ht="15">
      <c r="A181" s="270"/>
      <c r="B181" s="282">
        <f t="shared" si="9"/>
        <v>106</v>
      </c>
      <c r="C181" s="283"/>
      <c r="D181" s="340" t="s">
        <v>139</v>
      </c>
      <c r="E181" s="298" t="str">
        <f>"Worksheet H ln "&amp;'WS H Other Taxes'!A43&amp;"."&amp;'WS H Other Taxes'!I10&amp;""</f>
        <v>Worksheet H ln 24.(D)</v>
      </c>
      <c r="F181" s="280"/>
      <c r="G181" s="316">
        <f>+'WS H Other Taxes'!I43</f>
        <v>8183073.4030185295</v>
      </c>
      <c r="H181" s="316"/>
      <c r="I181" s="311" t="s">
        <v>132</v>
      </c>
      <c r="J181" s="303">
        <f>L241</f>
        <v>0.10742031405783188</v>
      </c>
      <c r="K181" s="280"/>
      <c r="L181" s="358">
        <f>+J181*G181</f>
        <v>879028.31491054152</v>
      </c>
    </row>
    <row r="182" spans="1:12" ht="15">
      <c r="A182" s="270"/>
      <c r="B182" s="282">
        <f t="shared" si="9"/>
        <v>107</v>
      </c>
      <c r="C182" s="283"/>
      <c r="D182" s="340" t="s">
        <v>140</v>
      </c>
      <c r="E182" s="298" t="s">
        <v>114</v>
      </c>
      <c r="F182" s="280"/>
      <c r="G182" s="316"/>
      <c r="H182" s="316"/>
      <c r="I182" s="311"/>
      <c r="J182" s="270"/>
      <c r="K182" s="280"/>
      <c r="L182" s="358"/>
    </row>
    <row r="183" spans="1:12" ht="15">
      <c r="A183" s="270"/>
      <c r="B183" s="282">
        <f t="shared" si="9"/>
        <v>108</v>
      </c>
      <c r="C183" s="308"/>
      <c r="D183" s="347" t="s">
        <v>141</v>
      </c>
      <c r="E183" s="298" t="str">
        <f>"Worksheet H ln "&amp;'WS H Other Taxes'!A43&amp;"."&amp;'WS H Other Taxes'!G10&amp;""</f>
        <v>Worksheet H ln 24.(C)</v>
      </c>
      <c r="F183" s="298"/>
      <c r="G183" s="316">
        <f>+'WS H Other Taxes'!G43</f>
        <v>99192499.999999985</v>
      </c>
      <c r="H183" s="316"/>
      <c r="I183" s="302" t="s">
        <v>129</v>
      </c>
      <c r="J183" s="303"/>
      <c r="K183" s="298"/>
      <c r="L183" s="369">
        <f>'WS H-1-Detail of Tax Amts'!I25</f>
        <v>38955252.116605751</v>
      </c>
    </row>
    <row r="184" spans="1:12" ht="15">
      <c r="A184" s="270"/>
      <c r="B184" s="282">
        <f t="shared" si="9"/>
        <v>109</v>
      </c>
      <c r="C184" s="283"/>
      <c r="D184" s="340" t="s">
        <v>200</v>
      </c>
      <c r="E184" s="298" t="str">
        <f>"Worksheet H ln "&amp;'WS H Other Taxes'!A43&amp;"."&amp;'WS H Other Taxes'!M10&amp;""</f>
        <v>Worksheet H ln 24.(F)</v>
      </c>
      <c r="F184" s="280"/>
      <c r="G184" s="316">
        <f>+'WS H Other Taxes'!M43</f>
        <v>63678920</v>
      </c>
      <c r="H184" s="363"/>
      <c r="I184" s="311" t="s">
        <v>127</v>
      </c>
      <c r="J184" s="303">
        <v>0</v>
      </c>
      <c r="K184" s="280"/>
      <c r="L184" s="358">
        <f>+J184*G184</f>
        <v>0</v>
      </c>
    </row>
    <row r="185" spans="1:12" ht="15.75" thickBot="1">
      <c r="A185" s="270"/>
      <c r="B185" s="282">
        <f t="shared" si="9"/>
        <v>110</v>
      </c>
      <c r="C185" s="283"/>
      <c r="D185" s="340" t="s">
        <v>142</v>
      </c>
      <c r="E185" s="298" t="str">
        <f>"Worksheet H ln "&amp;'WS H Other Taxes'!A43&amp;"."&amp;'WS H Other Taxes'!K10&amp;""</f>
        <v>Worksheet H ln 24.(E)</v>
      </c>
      <c r="F185" s="280"/>
      <c r="G185" s="348">
        <f>+'WS H Other Taxes'!K43</f>
        <v>15117948.999999899</v>
      </c>
      <c r="H185" s="363"/>
      <c r="I185" s="311" t="s">
        <v>759</v>
      </c>
      <c r="J185" s="303">
        <f>J75</f>
        <v>0.26610876026117636</v>
      </c>
      <c r="K185" s="280"/>
      <c r="L185" s="366">
        <f>+J185*G185</f>
        <v>4023018.6660816642</v>
      </c>
    </row>
    <row r="186" spans="1:12" ht="15">
      <c r="A186" s="270"/>
      <c r="B186" s="282">
        <f>+B185+1</f>
        <v>111</v>
      </c>
      <c r="C186" s="283"/>
      <c r="D186" s="340" t="s">
        <v>33</v>
      </c>
      <c r="E186" s="310" t="str">
        <f>"(sum lns "&amp;B181&amp;" to "&amp;B185&amp;")"</f>
        <v>(sum lns 106 to 110)</v>
      </c>
      <c r="F186" s="280"/>
      <c r="G186" s="316">
        <f>SUM(G181:G185)</f>
        <v>186172442.40301844</v>
      </c>
      <c r="H186" s="298"/>
      <c r="I186" s="311"/>
      <c r="J186" s="386"/>
      <c r="K186" s="280"/>
      <c r="L186" s="358">
        <f>SUM(L181:L185)</f>
        <v>43857299.097597957</v>
      </c>
    </row>
    <row r="187" spans="1:12" ht="15">
      <c r="A187" s="270"/>
      <c r="B187" s="282"/>
      <c r="C187" s="283"/>
      <c r="D187" s="340"/>
      <c r="E187" s="280"/>
      <c r="F187" s="280"/>
      <c r="G187" s="280"/>
      <c r="H187" s="298"/>
      <c r="I187" s="311"/>
      <c r="J187" s="386"/>
      <c r="K187" s="280"/>
      <c r="L187" s="280"/>
    </row>
    <row r="188" spans="1:12" ht="15">
      <c r="A188" s="270"/>
      <c r="B188" s="282">
        <f>+B186+1</f>
        <v>112</v>
      </c>
      <c r="C188" s="283"/>
      <c r="D188" s="340" t="s">
        <v>337</v>
      </c>
      <c r="E188" s="298" t="s">
        <v>425</v>
      </c>
      <c r="F188" s="387"/>
      <c r="G188" s="280"/>
      <c r="H188" s="323"/>
      <c r="I188" s="370"/>
      <c r="J188" s="270"/>
      <c r="K188" s="280"/>
      <c r="L188" s="388"/>
    </row>
    <row r="189" spans="1:12" ht="15">
      <c r="A189" s="270"/>
      <c r="B189" s="282">
        <f t="shared" ref="B189:B196" si="10">+B188+1</f>
        <v>113</v>
      </c>
      <c r="C189" s="283"/>
      <c r="D189" s="389" t="s">
        <v>338</v>
      </c>
      <c r="E189" s="280"/>
      <c r="F189" s="390"/>
      <c r="G189" s="391">
        <f>IF(F339&gt;0,1-(((1-F340)*(1-F339))/(1-F340*F339*F341)),0)</f>
        <v>0.23504299999999989</v>
      </c>
      <c r="H189" s="392"/>
      <c r="I189" s="392"/>
      <c r="J189" s="270"/>
      <c r="K189" s="393"/>
      <c r="L189" s="388"/>
    </row>
    <row r="190" spans="1:12" ht="15">
      <c r="A190" s="270"/>
      <c r="B190" s="282">
        <f t="shared" si="10"/>
        <v>114</v>
      </c>
      <c r="C190" s="283"/>
      <c r="D190" s="306" t="s">
        <v>339</v>
      </c>
      <c r="E190" s="280"/>
      <c r="F190" s="390"/>
      <c r="G190" s="391">
        <f>IF(L255&gt;0,($G189/(1-$G189))*(1-$L255/$L258),0)</f>
        <v>0.20939189618168003</v>
      </c>
      <c r="H190" s="392"/>
      <c r="I190" s="392"/>
      <c r="J190" s="270"/>
      <c r="K190" s="393"/>
      <c r="L190" s="388"/>
    </row>
    <row r="191" spans="1:12" ht="15">
      <c r="A191" s="270"/>
      <c r="B191" s="282">
        <f t="shared" si="10"/>
        <v>115</v>
      </c>
      <c r="C191" s="283"/>
      <c r="D191" s="347" t="str">
        <f>"       where WCLTD=(ln "&amp;B255&amp;") and WACC = (ln "&amp;B258&amp;")"</f>
        <v xml:space="preserve">       where WCLTD=(ln 154) and WACC = (ln 157)</v>
      </c>
      <c r="E191" s="298"/>
      <c r="F191" s="394"/>
      <c r="G191" s="280"/>
      <c r="H191" s="392"/>
      <c r="I191" s="392"/>
      <c r="J191" s="395"/>
      <c r="K191" s="393"/>
      <c r="L191" s="396"/>
    </row>
    <row r="192" spans="1:12" ht="15">
      <c r="A192" s="270"/>
      <c r="B192" s="282">
        <f t="shared" si="10"/>
        <v>116</v>
      </c>
      <c r="C192" s="283"/>
      <c r="D192" s="340" t="s">
        <v>428</v>
      </c>
      <c r="E192" s="397"/>
      <c r="F192" s="390"/>
      <c r="G192" s="280"/>
      <c r="H192" s="323"/>
      <c r="I192" s="370"/>
      <c r="J192" s="395"/>
      <c r="K192" s="393"/>
      <c r="L192" s="388"/>
    </row>
    <row r="193" spans="1:12" ht="15">
      <c r="A193" s="270"/>
      <c r="B193" s="282">
        <f t="shared" si="10"/>
        <v>117</v>
      </c>
      <c r="C193" s="283"/>
      <c r="D193" s="398" t="str">
        <f>"      GRCF=1 / (1 - T)  = (from ln "&amp;B189&amp;")"</f>
        <v xml:space="preserve">      GRCF=1 / (1 - T)  = (from ln 113)</v>
      </c>
      <c r="E193" s="387"/>
      <c r="F193" s="387"/>
      <c r="G193" s="399">
        <f>IF(G189&gt;0,1/(1-G189),0)</f>
        <v>1.3072630226274156</v>
      </c>
      <c r="H193" s="323"/>
      <c r="I193" s="327"/>
      <c r="J193" s="400"/>
      <c r="K193" s="401"/>
      <c r="L193" s="402"/>
    </row>
    <row r="194" spans="1:12" ht="15">
      <c r="A194" s="270"/>
      <c r="B194" s="282">
        <f t="shared" si="10"/>
        <v>118</v>
      </c>
      <c r="C194" s="283"/>
      <c r="D194" s="340" t="s">
        <v>340</v>
      </c>
      <c r="E194" s="359" t="s">
        <v>504</v>
      </c>
      <c r="F194" s="387"/>
      <c r="G194" s="763">
        <v>11715</v>
      </c>
      <c r="H194" s="323"/>
      <c r="I194" s="327"/>
      <c r="J194" s="403"/>
      <c r="K194" s="401"/>
      <c r="L194" s="388"/>
    </row>
    <row r="195" spans="1:12" ht="15">
      <c r="A195" s="270"/>
      <c r="B195" s="282">
        <f t="shared" si="10"/>
        <v>119</v>
      </c>
      <c r="C195" s="283"/>
      <c r="D195" s="306" t="s">
        <v>532</v>
      </c>
      <c r="E195" s="298" t="s">
        <v>545</v>
      </c>
      <c r="F195" s="404"/>
      <c r="G195" s="763">
        <v>-18331445.224598244</v>
      </c>
      <c r="H195" s="323"/>
      <c r="I195" s="302" t="s">
        <v>129</v>
      </c>
      <c r="J195" s="403"/>
      <c r="K195" s="401"/>
      <c r="L195" s="763">
        <v>-4789835.7338056788</v>
      </c>
    </row>
    <row r="196" spans="1:12" ht="15">
      <c r="A196" s="270"/>
      <c r="B196" s="282">
        <f t="shared" si="10"/>
        <v>120</v>
      </c>
      <c r="C196" s="283"/>
      <c r="D196" s="420" t="s">
        <v>749</v>
      </c>
      <c r="E196" s="298" t="s">
        <v>545</v>
      </c>
      <c r="F196" s="404"/>
      <c r="G196" s="763">
        <v>6044506.8599999789</v>
      </c>
      <c r="H196" s="323"/>
      <c r="I196" s="302" t="s">
        <v>129</v>
      </c>
      <c r="J196" s="403"/>
      <c r="K196" s="401"/>
      <c r="L196" s="763">
        <v>2232324.1919999998</v>
      </c>
    </row>
    <row r="197" spans="1:12" ht="15">
      <c r="A197" s="270"/>
      <c r="B197" s="282"/>
      <c r="C197" s="283"/>
      <c r="D197" s="347"/>
      <c r="E197" s="280"/>
      <c r="F197" s="390"/>
      <c r="G197" s="358"/>
      <c r="H197" s="323"/>
      <c r="I197" s="327"/>
      <c r="J197" s="405"/>
      <c r="K197" s="401"/>
      <c r="L197" s="388"/>
    </row>
    <row r="198" spans="1:12" ht="15">
      <c r="A198" s="270"/>
      <c r="B198" s="282">
        <f>+B196+1</f>
        <v>121</v>
      </c>
      <c r="C198" s="283"/>
      <c r="D198" s="398" t="s">
        <v>341</v>
      </c>
      <c r="E198" s="404" t="str">
        <f>"(ln "&amp;B190&amp;" * ln "&amp;B205&amp;")"</f>
        <v>(ln 114 * ln 126)</v>
      </c>
      <c r="F198" s="406"/>
      <c r="G198" s="358">
        <f>+G190*G205</f>
        <v>149174280.75152761</v>
      </c>
      <c r="H198" s="323"/>
      <c r="I198" s="327"/>
      <c r="J198" s="405"/>
      <c r="K198" s="358"/>
      <c r="L198" s="358">
        <f>+L205*G190</f>
        <v>52247467.111053891</v>
      </c>
    </row>
    <row r="199" spans="1:12" ht="15">
      <c r="A199" s="270"/>
      <c r="B199" s="282">
        <f>+B198+1</f>
        <v>122</v>
      </c>
      <c r="C199" s="283"/>
      <c r="D199" s="420" t="s">
        <v>342</v>
      </c>
      <c r="E199" s="404" t="str">
        <f>"(ln "&amp;B193&amp;" * ln "&amp;B194&amp;")"</f>
        <v>(ln 117 * ln 118)</v>
      </c>
      <c r="F199" s="404"/>
      <c r="G199" s="381">
        <f>G193*G194</f>
        <v>15314.586310080173</v>
      </c>
      <c r="H199" s="323"/>
      <c r="I199" s="302" t="s">
        <v>759</v>
      </c>
      <c r="J199" s="303">
        <f>J75</f>
        <v>0.26610876026117636</v>
      </c>
      <c r="K199" s="358"/>
      <c r="L199" s="381">
        <f>+G199*J199</f>
        <v>4075.3455768882181</v>
      </c>
    </row>
    <row r="200" spans="1:12" ht="15">
      <c r="A200" s="270"/>
      <c r="B200" s="282">
        <f>B199+1</f>
        <v>123</v>
      </c>
      <c r="C200" s="283"/>
      <c r="D200" s="420" t="s">
        <v>532</v>
      </c>
      <c r="E200" s="404" t="str">
        <f>"(ln "&amp;B193&amp;" * ln "&amp;B195&amp;")"</f>
        <v>(ln 117 * ln 119)</v>
      </c>
      <c r="F200" s="404"/>
      <c r="G200" s="381">
        <f>G195*G193</f>
        <v>-23964020.493437205</v>
      </c>
      <c r="H200" s="323"/>
      <c r="I200" s="407"/>
      <c r="J200" s="303"/>
      <c r="K200" s="358"/>
      <c r="L200" s="381">
        <f>L195*G193</f>
        <v>-6261575.1392636169</v>
      </c>
    </row>
    <row r="201" spans="1:12" ht="15">
      <c r="A201" s="270"/>
      <c r="B201" s="282">
        <f>B200+1</f>
        <v>124</v>
      </c>
      <c r="C201" s="283"/>
      <c r="D201" s="420" t="s">
        <v>749</v>
      </c>
      <c r="E201" s="404" t="str">
        <f>"(ln "&amp;B193&amp;" * ln "&amp;B196&amp;")"</f>
        <v>(ln 117 * ln 120)</v>
      </c>
      <c r="F201" s="404"/>
      <c r="G201" s="408">
        <f>G196*G193</f>
        <v>7901760.3080957206</v>
      </c>
      <c r="H201" s="323"/>
      <c r="I201" s="407"/>
      <c r="J201" s="303"/>
      <c r="K201" s="358"/>
      <c r="L201" s="408">
        <f>L196*G193</f>
        <v>2918234.870718223</v>
      </c>
    </row>
    <row r="202" spans="1:12" ht="15">
      <c r="A202" s="270"/>
      <c r="B202" s="282"/>
      <c r="C202" s="283"/>
      <c r="D202" s="306"/>
      <c r="E202" s="404"/>
      <c r="F202" s="404"/>
      <c r="G202" s="381"/>
      <c r="H202" s="323"/>
      <c r="I202" s="407"/>
      <c r="J202" s="303"/>
      <c r="K202" s="358"/>
      <c r="L202" s="381"/>
    </row>
    <row r="203" spans="1:12" ht="15">
      <c r="A203" s="270"/>
      <c r="B203" s="282">
        <f>+B201+1</f>
        <v>125</v>
      </c>
      <c r="C203" s="283"/>
      <c r="D203" s="389" t="s">
        <v>35</v>
      </c>
      <c r="E203" s="280" t="str">
        <f>"(sum lns "&amp;B198&amp;" to "&amp;B201&amp;")"</f>
        <v>(sum lns 121 to 124)</v>
      </c>
      <c r="F203" s="404"/>
      <c r="G203" s="329">
        <f>SUM(G198:G201)</f>
        <v>133127335.15249622</v>
      </c>
      <c r="H203" s="323"/>
      <c r="I203" s="327" t="s">
        <v>114</v>
      </c>
      <c r="J203" s="409"/>
      <c r="K203" s="358"/>
      <c r="L203" s="329">
        <f>SUM(L198:L201)</f>
        <v>48908202.188085392</v>
      </c>
    </row>
    <row r="204" spans="1:12" ht="15">
      <c r="A204" s="270"/>
      <c r="B204" s="282"/>
      <c r="C204" s="283"/>
      <c r="D204" s="340"/>
      <c r="E204" s="280"/>
      <c r="F204" s="280"/>
      <c r="G204" s="280"/>
      <c r="H204" s="298"/>
      <c r="I204" s="311"/>
      <c r="J204" s="386"/>
      <c r="K204" s="280"/>
      <c r="L204" s="280"/>
    </row>
    <row r="205" spans="1:12" ht="15">
      <c r="A205" s="270"/>
      <c r="B205" s="282">
        <f>+B203+1</f>
        <v>126</v>
      </c>
      <c r="C205" s="283"/>
      <c r="D205" s="398" t="s">
        <v>199</v>
      </c>
      <c r="E205" s="398" t="str">
        <f>"(ln "&amp;B125&amp;" * ln "&amp;B258&amp;")"</f>
        <v>(ln 68 * ln 157)</v>
      </c>
      <c r="F205" s="367"/>
      <c r="G205" s="358">
        <f>+$L258*G125</f>
        <v>712416685.99292743</v>
      </c>
      <c r="H205" s="298"/>
      <c r="I205" s="327"/>
      <c r="J205" s="358"/>
      <c r="K205" s="358"/>
      <c r="L205" s="358">
        <f>+L258*L125</f>
        <v>249520005.61531326</v>
      </c>
    </row>
    <row r="206" spans="1:12" ht="15">
      <c r="A206" s="270"/>
      <c r="B206" s="282"/>
      <c r="C206" s="283"/>
      <c r="D206" s="389"/>
      <c r="E206" s="270"/>
      <c r="F206" s="270"/>
      <c r="G206" s="358"/>
      <c r="H206" s="358"/>
      <c r="I206" s="327"/>
      <c r="J206" s="327"/>
      <c r="K206" s="358"/>
      <c r="L206" s="358"/>
    </row>
    <row r="207" spans="1:12" ht="15">
      <c r="A207" s="270"/>
      <c r="B207" s="282">
        <f>+B205+1</f>
        <v>127</v>
      </c>
      <c r="C207" s="283"/>
      <c r="D207" s="411" t="s">
        <v>99</v>
      </c>
      <c r="E207" s="270"/>
      <c r="F207" s="382"/>
      <c r="G207" s="316">
        <f>-'WS D IPP Credits'!C13</f>
        <v>0</v>
      </c>
      <c r="H207" s="316"/>
      <c r="I207" s="365" t="s">
        <v>129</v>
      </c>
      <c r="J207" s="303">
        <v>1</v>
      </c>
      <c r="K207" s="385"/>
      <c r="L207" s="358">
        <f>+J207*G207</f>
        <v>0</v>
      </c>
    </row>
    <row r="208" spans="1:12" ht="15">
      <c r="A208" s="270"/>
      <c r="B208" s="282"/>
      <c r="C208" s="283"/>
      <c r="D208" s="411"/>
      <c r="E208" s="270"/>
      <c r="F208" s="382"/>
      <c r="G208" s="316"/>
      <c r="H208" s="316"/>
      <c r="I208" s="365"/>
      <c r="J208" s="303"/>
      <c r="K208" s="385"/>
      <c r="L208" s="358"/>
    </row>
    <row r="209" spans="1:12" ht="15">
      <c r="A209" s="270"/>
      <c r="B209" s="282">
        <f>+B207+1</f>
        <v>128</v>
      </c>
      <c r="C209" s="283"/>
      <c r="D209" s="411"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275"/>
      <c r="F209" s="343"/>
      <c r="G209" s="316">
        <f>+'WS N - Sale of Plant Held'!O33</f>
        <v>0</v>
      </c>
      <c r="H209" s="316"/>
      <c r="I209" s="412"/>
      <c r="J209" s="303"/>
      <c r="K209" s="346"/>
      <c r="L209" s="316">
        <f>'WS N - Sale of Plant Held'!S33</f>
        <v>0</v>
      </c>
    </row>
    <row r="210" spans="1:12" ht="15">
      <c r="A210" s="270"/>
      <c r="B210" s="282"/>
      <c r="C210" s="283"/>
      <c r="D210" s="411"/>
      <c r="E210" s="275"/>
      <c r="F210" s="343"/>
      <c r="G210" s="316"/>
      <c r="H210" s="316"/>
      <c r="I210" s="412"/>
      <c r="J210" s="303"/>
      <c r="K210" s="346"/>
      <c r="L210" s="316"/>
    </row>
    <row r="211" spans="1:12" ht="15">
      <c r="A211" s="270"/>
      <c r="B211" s="282">
        <f>+B209+1</f>
        <v>129</v>
      </c>
      <c r="C211" s="283"/>
      <c r="D211" s="411" t="str">
        <f>" Tax Impact on Net Loss / (Gain) on Sales of Plant Held for Future Use (ln "&amp;B209&amp;" * ln"&amp;B190&amp;")"</f>
        <v xml:space="preserve"> Tax Impact on Net Loss / (Gain) on Sales of Plant Held for Future Use (ln 128 * ln114)</v>
      </c>
      <c r="E211" s="275"/>
      <c r="F211" s="343"/>
      <c r="G211" s="316">
        <f>-+G190*G209</f>
        <v>0</v>
      </c>
      <c r="H211" s="316"/>
      <c r="I211" s="412"/>
      <c r="J211" s="303"/>
      <c r="K211" s="346"/>
      <c r="L211" s="316">
        <f>L209*-G190</f>
        <v>0</v>
      </c>
    </row>
    <row r="212" spans="1:12" ht="15.75" thickBot="1">
      <c r="A212" s="270"/>
      <c r="B212" s="282"/>
      <c r="C212" s="283"/>
      <c r="D212" s="340"/>
      <c r="E212" s="270"/>
      <c r="F212" s="270"/>
      <c r="G212" s="366"/>
      <c r="H212" s="413"/>
      <c r="I212" s="327"/>
      <c r="J212" s="327"/>
      <c r="K212" s="358"/>
      <c r="L212" s="366"/>
    </row>
    <row r="213" spans="1:12" ht="15.75" thickBot="1">
      <c r="A213" s="270"/>
      <c r="B213" s="282">
        <f>+B211+1</f>
        <v>130</v>
      </c>
      <c r="C213" s="283"/>
      <c r="D213" s="270" t="s">
        <v>249</v>
      </c>
      <c r="E213" s="270"/>
      <c r="F213" s="270"/>
      <c r="G213" s="414">
        <f>+G207+G205+G203+G186+G177+G169+G209+G211</f>
        <v>1809144420.3970523</v>
      </c>
      <c r="H213" s="270"/>
      <c r="I213" s="270"/>
      <c r="J213" s="270"/>
      <c r="K213" s="270"/>
      <c r="L213" s="414">
        <f>+L207+L205+L203+L186+L177+L169+L209+L211</f>
        <v>528866071.91909486</v>
      </c>
    </row>
    <row r="214" spans="1:12" ht="15.75" thickTop="1">
      <c r="A214" s="270"/>
      <c r="B214" s="282"/>
      <c r="C214" s="283"/>
      <c r="D214" s="276" t="str">
        <f>"    (sum lns "&amp;B169&amp;", "&amp;B177&amp;", "&amp;B186&amp;", "&amp;B203&amp;", "&amp;B205&amp;", "&amp;B207&amp;", "&amp;B209&amp;", "&amp;B211&amp;")"</f>
        <v xml:space="preserve">    (sum lns 96, 103, 111, 125, 126, 127, 128, 129)</v>
      </c>
      <c r="E214" s="270"/>
      <c r="F214" s="415"/>
      <c r="G214" s="270"/>
      <c r="H214" s="270"/>
      <c r="I214" s="270"/>
      <c r="J214" s="270"/>
      <c r="K214" s="270"/>
      <c r="L214" s="270"/>
    </row>
    <row r="215" spans="1:12" ht="15">
      <c r="A215" s="270"/>
      <c r="B215" s="282"/>
      <c r="C215" s="283"/>
      <c r="D215" s="270"/>
      <c r="E215" s="270"/>
      <c r="F215" s="415"/>
      <c r="G215" s="270"/>
      <c r="H215" s="270"/>
      <c r="I215" s="270"/>
      <c r="J215" s="270"/>
      <c r="K215" s="270"/>
      <c r="L215" s="270"/>
    </row>
    <row r="216" spans="1:12" ht="15">
      <c r="A216" s="270"/>
      <c r="B216" s="282"/>
      <c r="C216" s="283"/>
      <c r="D216" s="276"/>
      <c r="E216" s="270"/>
      <c r="F216" s="370" t="str">
        <f>F128</f>
        <v xml:space="preserve">AEP East Companies </v>
      </c>
      <c r="G216" s="270"/>
      <c r="H216" s="270"/>
      <c r="I216" s="270"/>
      <c r="J216" s="270"/>
      <c r="K216" s="270"/>
      <c r="L216" s="270"/>
    </row>
    <row r="217" spans="1:12" ht="15">
      <c r="A217" s="270"/>
      <c r="B217" s="282"/>
      <c r="C217" s="283"/>
      <c r="D217" s="276"/>
      <c r="E217" s="270"/>
      <c r="F217" s="370" t="str">
        <f>F129</f>
        <v>Transmission Cost of Service Formula Rate</v>
      </c>
      <c r="G217" s="270"/>
      <c r="H217" s="270"/>
      <c r="I217" s="270"/>
      <c r="J217" s="270"/>
      <c r="K217" s="270"/>
      <c r="L217" s="270"/>
    </row>
    <row r="218" spans="1:12" ht="15">
      <c r="A218" s="270"/>
      <c r="B218" s="270"/>
      <c r="C218" s="283"/>
      <c r="D218" s="270"/>
      <c r="E218" s="270"/>
      <c r="F218" s="370" t="str">
        <f>F130</f>
        <v>Utilizing  Actual/Projected FERC Form 1 Data</v>
      </c>
      <c r="G218" s="270"/>
      <c r="H218" s="270"/>
      <c r="I218" s="270"/>
      <c r="J218" s="270"/>
      <c r="K218" s="270"/>
      <c r="L218" s="270"/>
    </row>
    <row r="219" spans="1:12" ht="15">
      <c r="A219" s="270"/>
      <c r="B219" s="282"/>
      <c r="C219" s="283"/>
      <c r="D219" s="270"/>
      <c r="E219" s="370"/>
      <c r="F219" s="370"/>
      <c r="G219" s="370"/>
      <c r="H219" s="370"/>
      <c r="I219" s="370"/>
      <c r="J219" s="370"/>
      <c r="K219" s="370"/>
      <c r="L219" s="270"/>
    </row>
    <row r="220" spans="1:12" ht="15">
      <c r="A220" s="270"/>
      <c r="B220" s="282"/>
      <c r="C220" s="283"/>
      <c r="D220" s="270"/>
      <c r="E220" s="276"/>
      <c r="F220" s="370" t="str">
        <f>F132</f>
        <v>Appalachian Power Company</v>
      </c>
      <c r="G220" s="276"/>
      <c r="H220" s="276"/>
      <c r="I220" s="276"/>
      <c r="J220" s="276"/>
      <c r="K220" s="276"/>
      <c r="L220" s="276"/>
    </row>
    <row r="221" spans="1:12" ht="15">
      <c r="A221" s="270"/>
      <c r="B221" s="282"/>
      <c r="C221" s="283"/>
      <c r="D221" s="270"/>
      <c r="E221" s="276"/>
      <c r="F221" s="370"/>
      <c r="G221" s="276"/>
      <c r="H221" s="276"/>
      <c r="I221" s="276"/>
      <c r="J221" s="276"/>
      <c r="K221" s="276"/>
      <c r="L221" s="276"/>
    </row>
    <row r="222" spans="1:12" ht="15.75">
      <c r="A222" s="270"/>
      <c r="B222" s="282"/>
      <c r="C222" s="283"/>
      <c r="D222" s="270"/>
      <c r="E222" s="270"/>
      <c r="F222" s="373" t="s">
        <v>40</v>
      </c>
      <c r="G222" s="270"/>
      <c r="H222" s="279"/>
      <c r="I222" s="279"/>
      <c r="J222" s="279"/>
      <c r="K222" s="279"/>
      <c r="L222" s="279"/>
    </row>
    <row r="223" spans="1:12" ht="15.75">
      <c r="A223" s="270"/>
      <c r="B223" s="282"/>
      <c r="C223" s="283"/>
      <c r="D223" s="416"/>
      <c r="E223" s="279"/>
      <c r="F223" s="279"/>
      <c r="G223" s="279"/>
      <c r="H223" s="279"/>
      <c r="I223" s="279"/>
      <c r="J223" s="279"/>
      <c r="K223" s="279"/>
      <c r="L223" s="279"/>
    </row>
    <row r="224" spans="1:12" ht="15.75">
      <c r="A224" s="270"/>
      <c r="B224" s="282" t="s">
        <v>116</v>
      </c>
      <c r="C224" s="283"/>
      <c r="D224" s="416"/>
      <c r="E224" s="279"/>
      <c r="F224" s="279"/>
      <c r="G224" s="279"/>
      <c r="H224" s="279"/>
      <c r="I224" s="279"/>
      <c r="J224" s="279"/>
      <c r="K224" s="279"/>
      <c r="L224" s="279"/>
    </row>
    <row r="225" spans="1:12" ht="15.75" thickBot="1">
      <c r="A225" s="270"/>
      <c r="B225" s="289" t="s">
        <v>117</v>
      </c>
      <c r="C225" s="290"/>
      <c r="D225" s="319" t="s">
        <v>221</v>
      </c>
      <c r="E225" s="293"/>
      <c r="F225" s="293"/>
      <c r="G225" s="293"/>
      <c r="H225" s="293"/>
      <c r="I225" s="293"/>
      <c r="J225" s="293"/>
      <c r="K225" s="275"/>
      <c r="L225" s="270"/>
    </row>
    <row r="226" spans="1:12" ht="15">
      <c r="A226" s="270"/>
      <c r="B226" s="282">
        <f>+B213+1</f>
        <v>131</v>
      </c>
      <c r="C226" s="283"/>
      <c r="D226" s="293" t="s">
        <v>166</v>
      </c>
      <c r="E226" s="417" t="str">
        <f>"(ln "&amp;B68&amp;")"</f>
        <v>(ln 21)</v>
      </c>
      <c r="F226" s="418"/>
      <c r="G226" s="270"/>
      <c r="H226" s="419"/>
      <c r="I226" s="419"/>
      <c r="J226" s="419"/>
      <c r="K226" s="419"/>
      <c r="L226" s="301">
        <f>+G68</f>
        <v>4845469486.2012844</v>
      </c>
    </row>
    <row r="227" spans="1:12" ht="15">
      <c r="A227" s="270"/>
      <c r="B227" s="282">
        <f>+B226+1</f>
        <v>132</v>
      </c>
      <c r="C227" s="283"/>
      <c r="D227" s="293" t="str">
        <f>"  Less transmission plant excluded from PJM Tariff  (Worksheet A, ln "&amp;'WS A - RB Support'!A62&amp;", Col. "&amp;'WS A - RB Support'!E47&amp;") (Note P)"</f>
        <v xml:space="preserve">  Less transmission plant excluded from PJM Tariff  (Worksheet A, ln 42, Col. (d)) (Note P)</v>
      </c>
      <c r="E227" s="420"/>
      <c r="F227" s="420"/>
      <c r="G227" s="421"/>
      <c r="H227" s="420"/>
      <c r="I227" s="420"/>
      <c r="J227" s="420"/>
      <c r="K227" s="420"/>
      <c r="L227" s="763">
        <f>'WS A - RB Support'!E62</f>
        <v>0</v>
      </c>
    </row>
    <row r="228" spans="1:12" ht="15.75" thickBot="1">
      <c r="A228" s="270"/>
      <c r="B228" s="282">
        <f>+B227+1</f>
        <v>133</v>
      </c>
      <c r="C228" s="283"/>
      <c r="D228" s="418" t="str">
        <f>"  Less transmission plant included in OATT Ancillary Services (Worksheet A, ln "&amp;'WS A - RB Support'!A62&amp;", Col. "&amp;'WS A - RB Support'!C47&amp;")  (Note Q)"</f>
        <v xml:space="preserve">  Less transmission plant included in OATT Ancillary Services (Worksheet A, ln 42, Col. (b))  (Note Q)</v>
      </c>
      <c r="E228" s="418"/>
      <c r="F228" s="418"/>
      <c r="G228" s="339"/>
      <c r="H228" s="419"/>
      <c r="I228" s="419"/>
      <c r="J228" s="339"/>
      <c r="K228" s="419"/>
      <c r="L228" s="422">
        <f>'WS A - RB Support'!C62</f>
        <v>79217664.741348773</v>
      </c>
    </row>
    <row r="229" spans="1:12" ht="15">
      <c r="A229" s="270"/>
      <c r="B229" s="282">
        <f>+B228+1</f>
        <v>134</v>
      </c>
      <c r="C229" s="283"/>
      <c r="D229" s="293" t="s">
        <v>222</v>
      </c>
      <c r="E229" s="423" t="str">
        <f>"(ln "&amp;B226&amp;" - ln "&amp;B227&amp;" - ln "&amp;B228&amp;")"</f>
        <v>(ln 131 - ln 132 - ln 133)</v>
      </c>
      <c r="F229" s="418"/>
      <c r="G229" s="270"/>
      <c r="H229" s="419"/>
      <c r="I229" s="419"/>
      <c r="J229" s="339"/>
      <c r="K229" s="419"/>
      <c r="L229" s="301">
        <f>L226-L227-L228</f>
        <v>4766251821.4599352</v>
      </c>
    </row>
    <row r="230" spans="1:12" ht="15">
      <c r="A230" s="270"/>
      <c r="B230" s="282"/>
      <c r="C230" s="283"/>
      <c r="D230" s="275"/>
      <c r="E230" s="418"/>
      <c r="F230" s="418"/>
      <c r="G230" s="339"/>
      <c r="H230" s="419"/>
      <c r="I230" s="419"/>
      <c r="J230" s="339"/>
      <c r="K230" s="419"/>
      <c r="L230" s="420"/>
    </row>
    <row r="231" spans="1:12" ht="15.75">
      <c r="A231" s="270"/>
      <c r="B231" s="282">
        <f>+B229+1</f>
        <v>135</v>
      </c>
      <c r="C231" s="283"/>
      <c r="D231" s="293" t="s">
        <v>223</v>
      </c>
      <c r="E231" s="424" t="str">
        <f>"(ln "&amp;B229&amp;" / ln "&amp;B226&amp;")"</f>
        <v>(ln 134 / ln 131)</v>
      </c>
      <c r="F231" s="425"/>
      <c r="G231" s="270"/>
      <c r="H231" s="426"/>
      <c r="I231" s="427"/>
      <c r="J231" s="427"/>
      <c r="K231" s="428" t="s">
        <v>143</v>
      </c>
      <c r="L231" s="429">
        <f>IF(L226&gt;0,L229/L226,0)</f>
        <v>0.98365118901956938</v>
      </c>
    </row>
    <row r="232" spans="1:12" ht="15.75">
      <c r="A232" s="270"/>
      <c r="B232" s="282"/>
      <c r="C232" s="283"/>
      <c r="D232" s="430"/>
      <c r="E232" s="293"/>
      <c r="F232" s="293"/>
      <c r="G232" s="431"/>
      <c r="H232" s="293"/>
      <c r="I232" s="308"/>
      <c r="J232" s="293"/>
      <c r="K232" s="293"/>
      <c r="L232" s="279"/>
    </row>
    <row r="233" spans="1:12" ht="30">
      <c r="A233" s="270"/>
      <c r="B233" s="282">
        <f>B231+1</f>
        <v>136</v>
      </c>
      <c r="C233" s="308"/>
      <c r="D233" s="319" t="s">
        <v>41</v>
      </c>
      <c r="E233" s="302" t="s">
        <v>343</v>
      </c>
      <c r="F233" s="302" t="s">
        <v>184</v>
      </c>
      <c r="G233" s="432" t="s">
        <v>214</v>
      </c>
      <c r="H233" s="371" t="s">
        <v>118</v>
      </c>
      <c r="I233" s="311"/>
      <c r="J233" s="280"/>
      <c r="K233" s="280"/>
      <c r="L233" s="280"/>
    </row>
    <row r="234" spans="1:12" ht="15">
      <c r="A234" s="270"/>
      <c r="B234" s="282">
        <f t="shared" ref="B234:B239" si="11">+B233+1</f>
        <v>137</v>
      </c>
      <c r="C234" s="308"/>
      <c r="D234" s="319" t="s">
        <v>126</v>
      </c>
      <c r="E234" s="280" t="s">
        <v>431</v>
      </c>
      <c r="F234" s="1308">
        <v>51462214</v>
      </c>
      <c r="G234" s="1308">
        <v>21782189</v>
      </c>
      <c r="H234" s="341">
        <f>+F234+G234</f>
        <v>73244403</v>
      </c>
      <c r="I234" s="311" t="s">
        <v>127</v>
      </c>
      <c r="J234" s="303">
        <v>0</v>
      </c>
      <c r="K234" s="433"/>
      <c r="L234" s="358">
        <f>(F234+G234)*J234</f>
        <v>0</v>
      </c>
    </row>
    <row r="235" spans="1:12" ht="15">
      <c r="A235" s="270"/>
      <c r="B235" s="282">
        <f t="shared" si="11"/>
        <v>138</v>
      </c>
      <c r="C235" s="308"/>
      <c r="D235" s="347" t="s">
        <v>128</v>
      </c>
      <c r="E235" s="298" t="s">
        <v>12</v>
      </c>
      <c r="F235" s="1308">
        <v>147518</v>
      </c>
      <c r="G235" s="1308">
        <v>16485410</v>
      </c>
      <c r="H235" s="341">
        <f>+F235+G235</f>
        <v>16632928</v>
      </c>
      <c r="I235" s="308" t="s">
        <v>120</v>
      </c>
      <c r="J235" s="303">
        <f>L231</f>
        <v>0.98365118901956938</v>
      </c>
      <c r="K235" s="433"/>
      <c r="L235" s="358">
        <f>(F235+G235)*J235</f>
        <v>16360999.404076887</v>
      </c>
    </row>
    <row r="236" spans="1:12" ht="15">
      <c r="A236" s="270"/>
      <c r="B236" s="282">
        <f t="shared" si="11"/>
        <v>139</v>
      </c>
      <c r="C236" s="308"/>
      <c r="D236" s="347" t="s">
        <v>226</v>
      </c>
      <c r="E236" s="280" t="s">
        <v>466</v>
      </c>
      <c r="F236" s="1308">
        <v>0</v>
      </c>
      <c r="G236" s="1308">
        <v>0</v>
      </c>
      <c r="H236" s="341">
        <v>0</v>
      </c>
      <c r="I236" s="311" t="s">
        <v>127</v>
      </c>
      <c r="J236" s="303">
        <v>0</v>
      </c>
      <c r="K236" s="433"/>
      <c r="L236" s="358">
        <f>(F236+G236)*J236</f>
        <v>0</v>
      </c>
    </row>
    <row r="237" spans="1:12" ht="15">
      <c r="A237" s="270"/>
      <c r="B237" s="282">
        <f t="shared" si="11"/>
        <v>140</v>
      </c>
      <c r="C237" s="308"/>
      <c r="D237" s="347" t="s">
        <v>130</v>
      </c>
      <c r="E237" s="280" t="s">
        <v>429</v>
      </c>
      <c r="F237" s="1308">
        <v>39743531</v>
      </c>
      <c r="G237" s="1308">
        <v>4403267</v>
      </c>
      <c r="H237" s="341">
        <f>+F237+G237</f>
        <v>44146798</v>
      </c>
      <c r="I237" s="311" t="s">
        <v>127</v>
      </c>
      <c r="J237" s="303">
        <v>0</v>
      </c>
      <c r="K237" s="433"/>
      <c r="L237" s="358">
        <f>(F237+G237)*J237</f>
        <v>0</v>
      </c>
    </row>
    <row r="238" spans="1:12" ht="15.75" thickBot="1">
      <c r="A238" s="270"/>
      <c r="B238" s="282">
        <f t="shared" si="11"/>
        <v>141</v>
      </c>
      <c r="C238" s="308"/>
      <c r="D238" s="347" t="s">
        <v>201</v>
      </c>
      <c r="E238" s="280" t="s">
        <v>430</v>
      </c>
      <c r="F238" s="1309">
        <v>8922013</v>
      </c>
      <c r="G238" s="1309">
        <v>9362102</v>
      </c>
      <c r="H238" s="434">
        <f>+F238+G238</f>
        <v>18284115</v>
      </c>
      <c r="I238" s="311" t="s">
        <v>127</v>
      </c>
      <c r="J238" s="303">
        <v>0</v>
      </c>
      <c r="K238" s="433"/>
      <c r="L238" s="366">
        <f>(F238+G238)*J238</f>
        <v>0</v>
      </c>
    </row>
    <row r="239" spans="1:12" ht="15">
      <c r="A239" s="270"/>
      <c r="B239" s="282">
        <f t="shared" si="11"/>
        <v>142</v>
      </c>
      <c r="C239" s="308"/>
      <c r="D239" s="347" t="s">
        <v>118</v>
      </c>
      <c r="E239" s="347" t="str">
        <f>"(sum lns "&amp;B234&amp;" to "&amp;B238&amp;")"</f>
        <v>(sum lns 137 to 141)</v>
      </c>
      <c r="F239" s="298">
        <f>SUM(F234:F238)</f>
        <v>100275276</v>
      </c>
      <c r="G239" s="298">
        <f>SUM(G234:G238)</f>
        <v>52032968</v>
      </c>
      <c r="H239" s="298">
        <f>SUM(H234:H238)</f>
        <v>152308244</v>
      </c>
      <c r="I239" s="311"/>
      <c r="J239" s="280"/>
      <c r="K239" s="280"/>
      <c r="L239" s="358">
        <f>SUM(L234:L238)</f>
        <v>16360999.404076887</v>
      </c>
    </row>
    <row r="240" spans="1:12" ht="15">
      <c r="A240" s="270"/>
      <c r="B240" s="282"/>
      <c r="C240" s="308"/>
      <c r="D240" s="347" t="s">
        <v>114</v>
      </c>
      <c r="E240" s="298" t="s">
        <v>114</v>
      </c>
      <c r="F240" s="298"/>
      <c r="G240" s="275"/>
      <c r="H240" s="298"/>
      <c r="I240" s="370"/>
      <c r="J240" s="270"/>
      <c r="K240" s="270"/>
      <c r="L240" s="270"/>
    </row>
    <row r="241" spans="1:12" ht="15.75">
      <c r="A241" s="270"/>
      <c r="B241" s="282">
        <f>B239+1</f>
        <v>143</v>
      </c>
      <c r="C241" s="283"/>
      <c r="D241" s="340" t="s">
        <v>42</v>
      </c>
      <c r="E241" s="298"/>
      <c r="F241" s="298"/>
      <c r="G241" s="298"/>
      <c r="H241" s="298"/>
      <c r="I241" s="370"/>
      <c r="J241" s="270"/>
      <c r="K241" s="436" t="s">
        <v>43</v>
      </c>
      <c r="L241" s="437">
        <f>L239/(F239+G239)</f>
        <v>0.10742031405783188</v>
      </c>
    </row>
    <row r="242" spans="1:12" ht="15">
      <c r="A242" s="270"/>
      <c r="B242" s="282"/>
      <c r="C242" s="283"/>
      <c r="D242" s="340"/>
      <c r="E242" s="298"/>
      <c r="F242" s="298"/>
      <c r="G242" s="298"/>
      <c r="H242" s="298"/>
      <c r="I242" s="311"/>
      <c r="J242" s="280"/>
      <c r="K242" s="280"/>
      <c r="L242" s="280"/>
    </row>
    <row r="243" spans="1:12" ht="15.75">
      <c r="A243" s="270"/>
      <c r="B243" s="282"/>
      <c r="C243" s="283"/>
      <c r="D243" s="340"/>
      <c r="E243" s="415"/>
      <c r="F243" s="280"/>
      <c r="G243" s="270"/>
      <c r="H243" s="280"/>
      <c r="I243" s="280"/>
      <c r="J243" s="280"/>
      <c r="K243" s="338"/>
      <c r="L243" s="438"/>
    </row>
    <row r="244" spans="1:12" ht="15.75" thickBot="1">
      <c r="A244" s="270"/>
      <c r="B244" s="282">
        <f>+B241+1</f>
        <v>144</v>
      </c>
      <c r="C244" s="308"/>
      <c r="D244" s="347" t="s">
        <v>198</v>
      </c>
      <c r="E244" s="298"/>
      <c r="F244" s="298"/>
      <c r="G244" s="298"/>
      <c r="H244" s="298"/>
      <c r="I244" s="298"/>
      <c r="J244" s="298"/>
      <c r="K244" s="298"/>
      <c r="L244" s="439" t="s">
        <v>144</v>
      </c>
    </row>
    <row r="245" spans="1:12" ht="15">
      <c r="A245" s="270"/>
      <c r="B245" s="282">
        <f t="shared" ref="B245:B252" si="12">+B244+1</f>
        <v>145</v>
      </c>
      <c r="C245" s="308"/>
      <c r="D245" s="298" t="s">
        <v>219</v>
      </c>
      <c r="E245" s="275" t="str">
        <f>"(Worksheet M, ln. "&amp;'WS M - Cost of Capital'!A56&amp;", col. "&amp;'WS M - Cost of Capital'!E47&amp;")"</f>
        <v>(Worksheet M, ln. 37, col. (d))</v>
      </c>
      <c r="F245" s="298"/>
      <c r="G245" s="298"/>
      <c r="H245" s="298"/>
      <c r="I245" s="298"/>
      <c r="J245" s="298"/>
      <c r="K245" s="298"/>
      <c r="L245" s="316">
        <f>'WS M - Cost of Capital'!E56</f>
        <v>266413442.03878087</v>
      </c>
    </row>
    <row r="246" spans="1:12" ht="15">
      <c r="A246" s="270"/>
      <c r="B246" s="282">
        <f t="shared" si="12"/>
        <v>146</v>
      </c>
      <c r="C246" s="308"/>
      <c r="D246" s="298" t="s">
        <v>220</v>
      </c>
      <c r="E246" s="275" t="str">
        <f>"(Worksheet M, ln. "&amp;'WS M - Cost of Capital'!A103&amp;")"</f>
        <v>(Worksheet M, ln. 71)</v>
      </c>
      <c r="F246" s="298"/>
      <c r="G246" s="298"/>
      <c r="H246" s="298"/>
      <c r="I246" s="298"/>
      <c r="J246" s="298"/>
      <c r="K246" s="298"/>
      <c r="L246" s="316">
        <f>'WS M - Cost of Capital'!E103</f>
        <v>0</v>
      </c>
    </row>
    <row r="247" spans="1:12" ht="15">
      <c r="A247" s="270"/>
      <c r="B247" s="282">
        <f t="shared" si="12"/>
        <v>147</v>
      </c>
      <c r="C247" s="308"/>
      <c r="D247" s="440" t="s">
        <v>242</v>
      </c>
      <c r="E247" s="298"/>
      <c r="F247" s="298"/>
      <c r="G247" s="298"/>
      <c r="H247" s="362"/>
      <c r="I247" s="298"/>
      <c r="J247" s="298"/>
      <c r="K247" s="298"/>
      <c r="L247" s="316"/>
    </row>
    <row r="248" spans="1:12" ht="15">
      <c r="A248" s="270"/>
      <c r="B248" s="282">
        <f t="shared" si="12"/>
        <v>148</v>
      </c>
      <c r="C248" s="308"/>
      <c r="D248" s="298" t="s">
        <v>243</v>
      </c>
      <c r="E248" s="464" t="str">
        <f>"(Worksheet M, ln. "&amp;'WS M - Cost of Capital'!A23&amp;", col. "&amp;'WS M - Cost of Capital'!C8&amp;")"</f>
        <v>(Worksheet M, ln. 14, col. (b))</v>
      </c>
      <c r="F248" s="298"/>
      <c r="G248" s="293"/>
      <c r="H248" s="363"/>
      <c r="I248" s="298"/>
      <c r="J248" s="298"/>
      <c r="K248" s="298"/>
      <c r="L248" s="316">
        <f>'WS M - Cost of Capital'!C23</f>
        <v>5496670029.8343954</v>
      </c>
    </row>
    <row r="249" spans="1:12" ht="15">
      <c r="A249" s="270"/>
      <c r="B249" s="282">
        <f t="shared" si="12"/>
        <v>149</v>
      </c>
      <c r="C249" s="308"/>
      <c r="D249" s="298" t="s">
        <v>368</v>
      </c>
      <c r="E249" s="464" t="str">
        <f>"(Worksheet M, ln. "&amp;'WS M - Cost of Capital'!A23&amp;", col. "&amp;'WS M - Cost of Capital'!D8&amp;")"</f>
        <v>(Worksheet M, ln. 14, col. (c))</v>
      </c>
      <c r="F249" s="298"/>
      <c r="G249" s="298"/>
      <c r="H249" s="363"/>
      <c r="I249" s="298"/>
      <c r="J249" s="298"/>
      <c r="K249" s="298"/>
      <c r="L249" s="341">
        <f>'WS M - Cost of Capital'!D23</f>
        <v>0</v>
      </c>
    </row>
    <row r="250" spans="1:12" ht="15">
      <c r="A250" s="270"/>
      <c r="B250" s="282">
        <f>+B249+1</f>
        <v>150</v>
      </c>
      <c r="C250" s="308"/>
      <c r="D250" s="298" t="s">
        <v>361</v>
      </c>
      <c r="E250" s="464" t="str">
        <f>"(Worksheet M, ln. "&amp;'WS M - Cost of Capital'!A23&amp;", col. "&amp;'WS M - Cost of Capital'!E8&amp;")"</f>
        <v>(Worksheet M, ln. 14, col. (d))</v>
      </c>
      <c r="F250" s="298"/>
      <c r="G250" s="298"/>
      <c r="H250" s="363"/>
      <c r="I250" s="298"/>
      <c r="J250" s="298"/>
      <c r="K250" s="298"/>
      <c r="L250" s="341">
        <f>'WS M - Cost of Capital'!E23</f>
        <v>-3463212.6300000004</v>
      </c>
    </row>
    <row r="251" spans="1:12" ht="15.75" thickBot="1">
      <c r="A251" s="270"/>
      <c r="B251" s="282">
        <f t="shared" si="12"/>
        <v>151</v>
      </c>
      <c r="C251" s="308"/>
      <c r="D251" s="298" t="s">
        <v>367</v>
      </c>
      <c r="E251" s="464" t="str">
        <f>"(Worksheet M, ln. "&amp;'WS M - Cost of Capital'!A23&amp;", col. "&amp;'WS M - Cost of Capital'!F8&amp;")"</f>
        <v>(Worksheet M, ln. 14, col. (e))</v>
      </c>
      <c r="F251" s="298"/>
      <c r="G251" s="298"/>
      <c r="H251" s="363"/>
      <c r="I251" s="298"/>
      <c r="J251" s="364"/>
      <c r="K251" s="298"/>
      <c r="L251" s="434">
        <f>'WS M - Cost of Capital'!F23</f>
        <v>-6942716.28674444</v>
      </c>
    </row>
    <row r="252" spans="1:12" ht="15">
      <c r="A252" s="270"/>
      <c r="B252" s="282">
        <f t="shared" si="12"/>
        <v>152</v>
      </c>
      <c r="C252" s="308"/>
      <c r="D252" s="270" t="s">
        <v>244</v>
      </c>
      <c r="E252" s="298" t="str">
        <f>"(ln "&amp;B248&amp;" - ln "&amp;B249&amp;" - ln "&amp;B250&amp;" - ln "&amp;B251&amp;")"</f>
        <v>(ln 148 - ln 149 - ln 150 - ln 151)</v>
      </c>
      <c r="F252" s="441"/>
      <c r="G252" s="275"/>
      <c r="H252" s="293"/>
      <c r="I252" s="293"/>
      <c r="J252" s="293"/>
      <c r="K252" s="293"/>
      <c r="L252" s="316">
        <f>+L248-L249-L250-L251</f>
        <v>5507075958.7511396</v>
      </c>
    </row>
    <row r="253" spans="1:12" ht="15.75">
      <c r="A253" s="270"/>
      <c r="B253" s="282"/>
      <c r="C253" s="308"/>
      <c r="D253" s="347"/>
      <c r="E253" s="298"/>
      <c r="F253" s="298"/>
      <c r="G253" s="376"/>
      <c r="H253" s="1431" t="s">
        <v>979</v>
      </c>
      <c r="I253" s="1431"/>
      <c r="J253" s="443" t="s">
        <v>145</v>
      </c>
      <c r="K253" s="298"/>
      <c r="L253" s="298"/>
    </row>
    <row r="254" spans="1:12" ht="15.75" thickBot="1">
      <c r="A254" s="270"/>
      <c r="B254" s="282">
        <f>+B252+1</f>
        <v>153</v>
      </c>
      <c r="C254" s="308"/>
      <c r="D254" s="347"/>
      <c r="E254" s="270"/>
      <c r="F254" s="298"/>
      <c r="G254" s="444" t="s">
        <v>144</v>
      </c>
      <c r="H254" s="444" t="s">
        <v>146</v>
      </c>
      <c r="I254" s="439" t="s">
        <v>978</v>
      </c>
      <c r="J254" s="445" t="s">
        <v>427</v>
      </c>
      <c r="K254" s="298"/>
      <c r="L254" s="444" t="s">
        <v>147</v>
      </c>
    </row>
    <row r="255" spans="1:12" ht="15">
      <c r="A255" s="270"/>
      <c r="B255" s="282">
        <f>+B254+1</f>
        <v>154</v>
      </c>
      <c r="C255" s="308"/>
      <c r="D255" s="464" t="str">
        <f>"  Long Term Debt  (Note T) Worksheet M, ln "&amp;'WS M - Cost of Capital'!A42&amp;", col. (g), ln "&amp;'WS M - Cost of Capital'!A58&amp;", col. "&amp;'WS M - Cost of Capital'!E47&amp;")"</f>
        <v xml:space="preserve">  Long Term Debt  (Note T) Worksheet M, ln 28, col. (g), ln 38, col. (d))</v>
      </c>
      <c r="E255" s="464"/>
      <c r="F255" s="298"/>
      <c r="G255" s="316">
        <f>'WS M - Cost of Capital'!H42</f>
        <v>5613751143.783844</v>
      </c>
      <c r="H255" s="1197">
        <f>IF($G$258&gt;0,G255/$G$258,0)</f>
        <v>0.50479618935035808</v>
      </c>
      <c r="I255" s="446">
        <f>IF(H257&gt;E260,1-I256-I257,H255)</f>
        <v>0.50479618935035808</v>
      </c>
      <c r="J255" s="364">
        <f>'WS M - Cost of Capital'!E58</f>
        <v>4.7457294635118052E-2</v>
      </c>
      <c r="K255" s="275"/>
      <c r="L255" s="448">
        <f>H255*J255</f>
        <v>2.3956261488684787E-2</v>
      </c>
    </row>
    <row r="256" spans="1:12" ht="15">
      <c r="A256" s="270"/>
      <c r="B256" s="282">
        <f>+B255+1</f>
        <v>155</v>
      </c>
      <c r="C256" s="308"/>
      <c r="D256" s="347" t="str">
        <f>"  Preferred Stock (ln "&amp;B249&amp;")"</f>
        <v xml:space="preserve">  Preferred Stock (ln 149)</v>
      </c>
      <c r="E256" s="270"/>
      <c r="F256" s="275"/>
      <c r="G256" s="316">
        <f>+L249</f>
        <v>0</v>
      </c>
      <c r="H256" s="446">
        <f>IF($G$258&gt;0,G256/$G$258,0)</f>
        <v>0</v>
      </c>
      <c r="I256" s="446">
        <f>H256</f>
        <v>0</v>
      </c>
      <c r="J256" s="447">
        <f>IF(G256&gt;0,L246/G256,0)</f>
        <v>0</v>
      </c>
      <c r="K256" s="275"/>
      <c r="L256" s="449">
        <f>H256*J256</f>
        <v>0</v>
      </c>
    </row>
    <row r="257" spans="1:12" ht="15.75" thickBot="1">
      <c r="A257" s="270"/>
      <c r="B257" s="282">
        <f>+B256+1</f>
        <v>156</v>
      </c>
      <c r="C257" s="308"/>
      <c r="D257" s="347" t="str">
        <f>"  Common Stock (ln "&amp;B252&amp;")"</f>
        <v xml:space="preserve">  Common Stock (ln 152)</v>
      </c>
      <c r="E257" s="270"/>
      <c r="F257" s="275"/>
      <c r="G257" s="348">
        <f>+L252</f>
        <v>5507075958.7511396</v>
      </c>
      <c r="H257" s="446">
        <f>IF($G$258&gt;0,G257/$G$258,0)</f>
        <v>0.49520381064964186</v>
      </c>
      <c r="I257" s="446">
        <f>IF(H257&gt;E260,E260,H257)</f>
        <v>0.49520381064964186</v>
      </c>
      <c r="J257" s="1210">
        <v>0.10349999999999999</v>
      </c>
      <c r="K257" s="275"/>
      <c r="L257" s="450">
        <f>H257*J257</f>
        <v>5.125359440223793E-2</v>
      </c>
    </row>
    <row r="258" spans="1:12" ht="15.75">
      <c r="A258" s="270"/>
      <c r="B258" s="282">
        <f>+B257+1</f>
        <v>157</v>
      </c>
      <c r="C258" s="308"/>
      <c r="D258" s="347" t="str">
        <f>" Total (Sum lns "&amp;B255&amp;" to "&amp;B257&amp;")"</f>
        <v xml:space="preserve"> Total (Sum lns 154 to 156)</v>
      </c>
      <c r="E258" s="270"/>
      <c r="F258" s="275"/>
      <c r="G258" s="316">
        <f>G257+G256+G255</f>
        <v>11120827102.534985</v>
      </c>
      <c r="H258" s="270"/>
      <c r="I258" s="442"/>
      <c r="J258" s="451"/>
      <c r="K258" s="360" t="s">
        <v>25</v>
      </c>
      <c r="L258" s="452">
        <f>SUM(L255:L257)</f>
        <v>7.5209855890922717E-2</v>
      </c>
    </row>
    <row r="259" spans="1:12" ht="15.75">
      <c r="A259" s="270"/>
      <c r="B259" s="282"/>
      <c r="C259" s="308"/>
      <c r="D259" s="347"/>
      <c r="E259" s="270"/>
      <c r="F259" s="275"/>
      <c r="G259" s="316"/>
      <c r="H259" s="270"/>
      <c r="I259" s="442"/>
      <c r="J259" s="451"/>
      <c r="K259" s="360"/>
      <c r="L259" s="452"/>
    </row>
    <row r="260" spans="1:12" ht="15.75">
      <c r="A260" s="270"/>
      <c r="B260" s="307">
        <f>B258+1</f>
        <v>158</v>
      </c>
      <c r="C260" s="458"/>
      <c r="D260" s="458" t="s">
        <v>977</v>
      </c>
      <c r="E260" s="1228">
        <v>0.55000000000000004</v>
      </c>
      <c r="F260" s="275"/>
      <c r="G260" s="316"/>
      <c r="H260" s="270"/>
      <c r="I260" s="442"/>
      <c r="J260" s="451"/>
      <c r="K260" s="360"/>
      <c r="L260" s="452"/>
    </row>
    <row r="261" spans="1:12" ht="15">
      <c r="A261" s="270"/>
      <c r="B261" s="282"/>
      <c r="C261" s="323"/>
      <c r="D261" s="323"/>
      <c r="E261" s="285"/>
      <c r="F261" s="285"/>
      <c r="G261" s="285"/>
      <c r="H261" s="285"/>
      <c r="I261" s="285"/>
      <c r="J261" s="280"/>
      <c r="K261" s="279"/>
      <c r="L261" s="280"/>
    </row>
    <row r="262" spans="1:12" ht="15.75">
      <c r="A262" s="270"/>
      <c r="B262" s="368"/>
      <c r="C262" s="283"/>
      <c r="D262" s="272"/>
      <c r="E262" s="272"/>
      <c r="F262" s="370" t="str">
        <f>F216</f>
        <v xml:space="preserve">AEP East Companies </v>
      </c>
      <c r="G262" s="273"/>
      <c r="H262" s="280"/>
      <c r="I262" s="280"/>
      <c r="J262" s="280"/>
      <c r="K262" s="279"/>
      <c r="L262" s="280"/>
    </row>
    <row r="263" spans="1:12" ht="15">
      <c r="A263" s="270"/>
      <c r="B263" s="368"/>
      <c r="C263" s="283"/>
      <c r="D263" s="453"/>
      <c r="E263" s="283"/>
      <c r="F263" s="370" t="str">
        <f>F217</f>
        <v>Transmission Cost of Service Formula Rate</v>
      </c>
      <c r="G263" s="280"/>
      <c r="H263" s="280"/>
      <c r="I263" s="280"/>
      <c r="J263" s="280"/>
      <c r="K263" s="279"/>
      <c r="L263" s="296"/>
    </row>
    <row r="264" spans="1:12" ht="15.75">
      <c r="A264" s="270"/>
      <c r="B264" s="368"/>
      <c r="C264" s="283"/>
      <c r="D264" s="453"/>
      <c r="E264" s="373"/>
      <c r="F264" s="370" t="str">
        <f>F218</f>
        <v>Utilizing  Actual/Projected FERC Form 1 Data</v>
      </c>
      <c r="G264" s="280"/>
      <c r="H264" s="280"/>
      <c r="I264" s="280"/>
      <c r="J264" s="280"/>
      <c r="K264" s="279"/>
      <c r="L264" s="296"/>
    </row>
    <row r="265" spans="1:12" ht="15.75">
      <c r="A265" s="270"/>
      <c r="B265" s="282"/>
      <c r="C265" s="283"/>
      <c r="D265" s="453"/>
      <c r="E265" s="373"/>
      <c r="F265" s="370"/>
      <c r="G265" s="280"/>
      <c r="H265" s="280"/>
      <c r="I265" s="280"/>
      <c r="J265" s="280"/>
      <c r="K265" s="279"/>
      <c r="L265" s="296"/>
    </row>
    <row r="266" spans="1:12" ht="15.75">
      <c r="A266" s="270"/>
      <c r="B266" s="282"/>
      <c r="C266" s="283"/>
      <c r="D266" s="453"/>
      <c r="E266" s="373"/>
      <c r="F266" s="370" t="str">
        <f>F220</f>
        <v>Appalachian Power Company</v>
      </c>
      <c r="G266" s="280"/>
      <c r="H266" s="280"/>
      <c r="I266" s="280"/>
      <c r="J266" s="280"/>
      <c r="K266" s="279"/>
      <c r="L266" s="296"/>
    </row>
    <row r="267" spans="1:12" ht="15.75">
      <c r="A267" s="270"/>
      <c r="B267" s="282"/>
      <c r="C267" s="283"/>
      <c r="D267" s="453"/>
      <c r="E267" s="373"/>
      <c r="F267" s="370"/>
      <c r="G267" s="280"/>
      <c r="H267" s="280"/>
      <c r="I267" s="280"/>
      <c r="J267" s="280"/>
      <c r="K267" s="279"/>
      <c r="L267" s="296"/>
    </row>
    <row r="268" spans="1:12" ht="15.75">
      <c r="A268" s="270"/>
      <c r="B268" s="454" t="s">
        <v>176</v>
      </c>
      <c r="C268" s="290"/>
      <c r="D268" s="319"/>
      <c r="E268" s="293"/>
      <c r="F268" s="454" t="s">
        <v>175</v>
      </c>
      <c r="G268" s="298"/>
      <c r="H268" s="298"/>
      <c r="I268" s="298"/>
      <c r="J268" s="298"/>
      <c r="K268" s="293"/>
      <c r="L268" s="298"/>
    </row>
    <row r="269" spans="1:12" ht="15">
      <c r="A269" s="270"/>
      <c r="B269" s="269"/>
      <c r="C269" s="290"/>
      <c r="D269" s="270"/>
      <c r="E269" s="270"/>
      <c r="F269" s="270"/>
      <c r="G269" s="270"/>
      <c r="H269" s="270"/>
      <c r="I269" s="270"/>
      <c r="J269" s="270"/>
      <c r="K269" s="270"/>
      <c r="L269" s="296"/>
    </row>
    <row r="270" spans="1:12" ht="15">
      <c r="A270" s="270"/>
      <c r="B270" s="282"/>
      <c r="C270" s="283"/>
      <c r="D270" s="276" t="s">
        <v>5</v>
      </c>
      <c r="E270" s="308"/>
      <c r="F270" s="308"/>
      <c r="G270" s="298"/>
      <c r="H270" s="298"/>
      <c r="I270" s="298"/>
      <c r="J270" s="298"/>
      <c r="K270" s="293"/>
      <c r="L270" s="298"/>
    </row>
    <row r="271" spans="1:12" ht="15">
      <c r="A271" s="270"/>
      <c r="B271" s="270"/>
      <c r="C271" s="270"/>
      <c r="D271" s="319"/>
      <c r="E271" s="293"/>
      <c r="F271" s="293"/>
      <c r="G271" s="298"/>
      <c r="H271" s="298"/>
      <c r="I271" s="298"/>
      <c r="J271" s="298"/>
      <c r="K271" s="293"/>
      <c r="L271" s="298"/>
    </row>
    <row r="272" spans="1:12" ht="3.75" customHeight="1">
      <c r="A272" s="270"/>
      <c r="B272" s="270"/>
      <c r="C272" s="270"/>
      <c r="D272" s="319"/>
      <c r="E272" s="293"/>
      <c r="F272" s="293"/>
      <c r="G272" s="298"/>
      <c r="H272" s="298"/>
      <c r="I272" s="298"/>
      <c r="J272" s="298"/>
      <c r="K272" s="293"/>
      <c r="L272" s="298"/>
    </row>
    <row r="273" spans="1:12" ht="15">
      <c r="A273" s="270"/>
      <c r="B273" s="455" t="s">
        <v>148</v>
      </c>
      <c r="C273" s="290"/>
      <c r="D273" s="319" t="s">
        <v>477</v>
      </c>
      <c r="E273" s="293"/>
      <c r="F273" s="293"/>
      <c r="G273" s="298"/>
      <c r="H273" s="298"/>
      <c r="I273" s="298"/>
      <c r="J273" s="298"/>
      <c r="K273" s="293"/>
      <c r="L273" s="298"/>
    </row>
    <row r="274" spans="1:12" ht="15">
      <c r="A274" s="270"/>
      <c r="B274" s="455"/>
      <c r="C274" s="371"/>
      <c r="D274" s="319" t="s">
        <v>369</v>
      </c>
      <c r="E274" s="293"/>
      <c r="F274" s="293"/>
      <c r="G274" s="293"/>
      <c r="H274" s="293"/>
      <c r="I274" s="293"/>
      <c r="J274" s="293"/>
      <c r="K274" s="293"/>
      <c r="L274" s="293"/>
    </row>
    <row r="275" spans="1:12" ht="15">
      <c r="A275" s="270"/>
      <c r="B275" s="456"/>
      <c r="C275" s="275"/>
      <c r="D275" s="270" t="s">
        <v>370</v>
      </c>
      <c r="E275" s="457"/>
      <c r="F275" s="457"/>
      <c r="G275" s="293"/>
      <c r="H275" s="293"/>
      <c r="I275" s="293"/>
      <c r="J275" s="293"/>
      <c r="K275" s="293"/>
      <c r="L275" s="293"/>
    </row>
    <row r="276" spans="1:12" ht="15">
      <c r="A276" s="270"/>
      <c r="B276" s="456"/>
      <c r="C276" s="275"/>
      <c r="D276" s="319" t="s">
        <v>478</v>
      </c>
      <c r="E276" s="293"/>
      <c r="F276" s="293"/>
      <c r="G276" s="293"/>
      <c r="H276" s="293"/>
      <c r="I276" s="293"/>
      <c r="J276" s="293"/>
      <c r="K276" s="293"/>
      <c r="L276" s="293"/>
    </row>
    <row r="277" spans="1:12" ht="15">
      <c r="A277" s="270"/>
      <c r="B277" s="307"/>
      <c r="C277" s="308"/>
      <c r="D277" s="319" t="s">
        <v>479</v>
      </c>
      <c r="E277" s="293"/>
      <c r="F277" s="293"/>
      <c r="G277" s="293"/>
      <c r="H277" s="293"/>
      <c r="I277" s="293"/>
      <c r="J277" s="293"/>
      <c r="K277" s="293"/>
      <c r="L277" s="293"/>
    </row>
    <row r="278" spans="1:12" ht="15">
      <c r="A278" s="270"/>
      <c r="B278" s="307"/>
      <c r="C278" s="308"/>
      <c r="D278" s="319" t="s">
        <v>371</v>
      </c>
      <c r="E278" s="293"/>
      <c r="F278" s="293"/>
      <c r="G278" s="293"/>
      <c r="H278" s="293"/>
      <c r="I278" s="293"/>
      <c r="J278" s="293"/>
      <c r="K278" s="293"/>
      <c r="L278" s="293"/>
    </row>
    <row r="279" spans="1:12" ht="15">
      <c r="A279" s="270"/>
      <c r="B279" s="307"/>
      <c r="C279" s="308"/>
      <c r="D279" s="319" t="s">
        <v>372</v>
      </c>
      <c r="E279" s="293"/>
      <c r="F279" s="293"/>
      <c r="G279" s="293"/>
      <c r="H279" s="293"/>
      <c r="I279" s="293"/>
      <c r="J279" s="293"/>
      <c r="K279" s="293"/>
      <c r="L279" s="293"/>
    </row>
    <row r="280" spans="1:12" ht="45" customHeight="1">
      <c r="A280" s="270"/>
      <c r="B280" s="307"/>
      <c r="C280" s="308"/>
      <c r="D280" s="1433" t="s">
        <v>575</v>
      </c>
      <c r="E280" s="1433"/>
      <c r="F280" s="1433"/>
      <c r="G280" s="1433"/>
      <c r="H280" s="1433"/>
      <c r="I280" s="1433"/>
      <c r="J280" s="1433"/>
      <c r="K280" s="1433"/>
      <c r="L280" s="1433"/>
    </row>
    <row r="281" spans="1:12" ht="15">
      <c r="A281" s="270"/>
      <c r="B281" s="307"/>
      <c r="C281" s="308"/>
      <c r="D281" s="319" t="s">
        <v>487</v>
      </c>
      <c r="E281" s="293"/>
      <c r="F281" s="293"/>
      <c r="G281" s="293"/>
      <c r="H281" s="293"/>
      <c r="I281" s="293"/>
      <c r="J281" s="293"/>
      <c r="K281" s="293"/>
      <c r="L281" s="293"/>
    </row>
    <row r="282" spans="1:12" ht="15">
      <c r="A282" s="270"/>
      <c r="B282" s="307"/>
      <c r="C282" s="308"/>
      <c r="D282" s="458"/>
      <c r="E282" s="293"/>
      <c r="F282" s="293"/>
      <c r="G282" s="293"/>
      <c r="H282" s="293"/>
      <c r="I282" s="293"/>
      <c r="J282" s="293"/>
      <c r="K282" s="293"/>
      <c r="L282" s="319"/>
    </row>
    <row r="283" spans="1:12" ht="15" customHeight="1">
      <c r="A283" s="270"/>
      <c r="B283" s="307" t="s">
        <v>149</v>
      </c>
      <c r="C283" s="308"/>
      <c r="D283" s="1434" t="s">
        <v>594</v>
      </c>
      <c r="E283" s="1435"/>
      <c r="F283" s="1435"/>
      <c r="G283" s="1435"/>
      <c r="H283" s="1435"/>
      <c r="I283" s="1435"/>
      <c r="J283" s="1435"/>
      <c r="K283" s="1435"/>
      <c r="L283" s="319"/>
    </row>
    <row r="284" spans="1:12" ht="15">
      <c r="A284" s="270"/>
      <c r="B284" s="307"/>
      <c r="C284" s="308"/>
      <c r="D284" s="1435"/>
      <c r="E284" s="1435"/>
      <c r="F284" s="1435"/>
      <c r="G284" s="1435"/>
      <c r="H284" s="1435"/>
      <c r="I284" s="1435"/>
      <c r="J284" s="1435"/>
      <c r="K284" s="1435"/>
      <c r="L284" s="319"/>
    </row>
    <row r="285" spans="1:12" ht="15">
      <c r="A285" s="270"/>
      <c r="B285" s="269"/>
      <c r="C285" s="270"/>
      <c r="D285" s="270"/>
      <c r="E285" s="293"/>
      <c r="F285" s="293"/>
      <c r="G285" s="293"/>
      <c r="H285" s="293"/>
      <c r="I285" s="293"/>
      <c r="J285" s="293"/>
      <c r="K285" s="293"/>
      <c r="L285" s="293"/>
    </row>
    <row r="286" spans="1:12" ht="15">
      <c r="A286" s="270"/>
      <c r="B286" s="307" t="s">
        <v>150</v>
      </c>
      <c r="C286" s="308"/>
      <c r="D286" s="459" t="s">
        <v>869</v>
      </c>
      <c r="E286" s="293"/>
      <c r="F286" s="293"/>
      <c r="G286" s="293"/>
      <c r="H286" s="293"/>
      <c r="I286" s="293"/>
      <c r="J286" s="293"/>
      <c r="K286" s="293"/>
      <c r="L286" s="293"/>
    </row>
    <row r="287" spans="1:12" ht="15">
      <c r="A287" s="270"/>
      <c r="B287" s="307"/>
      <c r="C287" s="308"/>
      <c r="D287" s="459"/>
      <c r="E287" s="293"/>
      <c r="F287" s="293"/>
      <c r="G287" s="293"/>
      <c r="H287" s="293"/>
      <c r="I287" s="293"/>
      <c r="J287" s="293"/>
      <c r="K287" s="293"/>
      <c r="L287" s="293"/>
    </row>
    <row r="288" spans="1:12" ht="15">
      <c r="A288" s="270"/>
      <c r="B288" s="307" t="s">
        <v>151</v>
      </c>
      <c r="C288" s="308"/>
      <c r="D288" s="1433" t="s">
        <v>577</v>
      </c>
      <c r="E288" s="1433"/>
      <c r="F288" s="1433"/>
      <c r="G288" s="1433"/>
      <c r="H288" s="1433"/>
      <c r="I288" s="1433"/>
      <c r="J288" s="1433"/>
      <c r="K288" s="1433"/>
      <c r="L288" s="1433"/>
    </row>
    <row r="289" spans="1:12" ht="15">
      <c r="A289" s="270"/>
      <c r="B289" s="307"/>
      <c r="C289" s="308"/>
      <c r="D289" s="1433"/>
      <c r="E289" s="1433"/>
      <c r="F289" s="1433"/>
      <c r="G289" s="1433"/>
      <c r="H289" s="1433"/>
      <c r="I289" s="1433"/>
      <c r="J289" s="1433"/>
      <c r="K289" s="1433"/>
      <c r="L289" s="1433"/>
    </row>
    <row r="290" spans="1:12" ht="15">
      <c r="A290" s="270"/>
      <c r="B290" s="307"/>
      <c r="C290" s="308"/>
      <c r="D290" s="319" t="s">
        <v>578</v>
      </c>
      <c r="E290" s="293"/>
      <c r="F290" s="293"/>
      <c r="G290" s="293"/>
      <c r="H290" s="293"/>
      <c r="I290" s="293"/>
      <c r="J290" s="293"/>
      <c r="K290" s="293"/>
      <c r="L290" s="418"/>
    </row>
    <row r="291" spans="1:12" ht="15">
      <c r="A291" s="270"/>
      <c r="B291" s="307"/>
      <c r="C291" s="308"/>
      <c r="D291" s="319" t="s">
        <v>579</v>
      </c>
      <c r="E291" s="293"/>
      <c r="F291" s="293"/>
      <c r="G291" s="293"/>
      <c r="H291" s="293"/>
      <c r="I291" s="293"/>
      <c r="J291" s="293"/>
      <c r="K291" s="293"/>
      <c r="L291" s="418"/>
    </row>
    <row r="292" spans="1:12" ht="30" customHeight="1">
      <c r="A292" s="270"/>
      <c r="B292" s="307"/>
      <c r="C292" s="308"/>
      <c r="D292" s="1433" t="s">
        <v>576</v>
      </c>
      <c r="E292" s="1433"/>
      <c r="F292" s="1433"/>
      <c r="G292" s="1433"/>
      <c r="H292" s="1433"/>
      <c r="I292" s="1433"/>
      <c r="J292" s="1433"/>
      <c r="K292" s="1433"/>
      <c r="L292" s="1433"/>
    </row>
    <row r="293" spans="1:12" ht="21.75" customHeight="1">
      <c r="A293" s="270"/>
      <c r="B293" s="307" t="s">
        <v>152</v>
      </c>
      <c r="C293" s="319"/>
      <c r="D293" s="319"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460"/>
      <c r="F293" s="460"/>
      <c r="G293" s="460"/>
      <c r="H293" s="460"/>
      <c r="I293" s="460"/>
      <c r="J293" s="460"/>
      <c r="K293" s="460"/>
      <c r="L293" s="460"/>
    </row>
    <row r="294" spans="1:12" ht="15">
      <c r="A294" s="270"/>
      <c r="B294" s="307"/>
      <c r="C294" s="319"/>
      <c r="D294" s="461"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49"/>
      <c r="F294" s="349"/>
      <c r="G294" s="349"/>
      <c r="H294" s="349"/>
      <c r="I294" s="349"/>
      <c r="J294" s="349"/>
      <c r="K294" s="349"/>
      <c r="L294" s="349"/>
    </row>
    <row r="295" spans="1:12" ht="15">
      <c r="A295" s="270"/>
      <c r="B295" s="307"/>
      <c r="C295" s="319"/>
      <c r="D295" s="462" t="str">
        <f>+"2)  Costs of Transmission of Electricity by Others, as described in Note H."</f>
        <v>2)  Costs of Transmission of Electricity by Others, as described in Note H.</v>
      </c>
      <c r="E295" s="460"/>
      <c r="F295" s="460"/>
      <c r="G295" s="460"/>
      <c r="H295" s="460"/>
      <c r="I295" s="460"/>
      <c r="J295" s="460"/>
      <c r="K295" s="460"/>
      <c r="L295" s="460"/>
    </row>
    <row r="296" spans="1:12" ht="15">
      <c r="A296" s="270"/>
      <c r="B296" s="307"/>
      <c r="C296" s="319"/>
      <c r="D296" s="461" t="str">
        <f>+"3)  The impact of state regulatory deferrals and amortizations, as shown on line  "&amp;B148&amp;""</f>
        <v>3)  The impact of state regulatory deferrals and amortizations, as shown on line  77</v>
      </c>
      <c r="E296" s="349"/>
      <c r="F296" s="349"/>
      <c r="G296" s="349"/>
      <c r="H296" s="349"/>
      <c r="I296" s="349"/>
      <c r="J296" s="349"/>
      <c r="K296" s="349"/>
      <c r="L296" s="349"/>
    </row>
    <row r="297" spans="1:12" ht="15">
      <c r="A297" s="270"/>
      <c r="B297" s="307"/>
      <c r="C297" s="349"/>
      <c r="D297" s="462" t="str">
        <f>"4) All A&amp;G Expenses, as shown on line "&amp;B165&amp;"."</f>
        <v>4) All A&amp;G Expenses, as shown on line 93.</v>
      </c>
      <c r="E297" s="460"/>
      <c r="F297" s="460"/>
      <c r="G297" s="460"/>
      <c r="H297" s="460"/>
      <c r="I297" s="460"/>
      <c r="J297" s="460"/>
      <c r="K297" s="460"/>
      <c r="L297" s="460"/>
    </row>
    <row r="298" spans="1:12" ht="15">
      <c r="A298" s="270"/>
      <c r="B298" s="307"/>
      <c r="C298" s="308"/>
      <c r="D298" s="461"/>
      <c r="E298" s="463"/>
      <c r="F298" s="463"/>
      <c r="G298" s="463"/>
      <c r="H298" s="463"/>
      <c r="I298" s="463"/>
      <c r="J298" s="463"/>
      <c r="K298" s="463"/>
      <c r="L298" s="463"/>
    </row>
    <row r="299" spans="1:12" ht="15">
      <c r="A299" s="270"/>
      <c r="B299" s="455" t="s">
        <v>153</v>
      </c>
      <c r="C299" s="371"/>
      <c r="D299" s="464"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464"/>
      <c r="F299" s="464"/>
      <c r="G299" s="464"/>
      <c r="H299" s="464"/>
      <c r="I299" s="464"/>
      <c r="J299" s="464"/>
      <c r="K299" s="464"/>
      <c r="L299" s="464"/>
    </row>
    <row r="300" spans="1:12" ht="15">
      <c r="A300" s="270"/>
      <c r="B300" s="456"/>
      <c r="C300" s="275"/>
      <c r="D300" s="464" t="s">
        <v>218</v>
      </c>
      <c r="E300" s="464"/>
      <c r="F300" s="464"/>
      <c r="G300" s="464"/>
      <c r="H300" s="464"/>
      <c r="I300" s="464"/>
      <c r="J300" s="464"/>
      <c r="K300" s="464"/>
      <c r="L300" s="464"/>
    </row>
    <row r="301" spans="1:12" ht="15">
      <c r="A301" s="270"/>
      <c r="B301" s="456"/>
      <c r="C301" s="275"/>
      <c r="D301" s="464" t="str">
        <f>"expense is included on line "&amp;B207&amp;"."</f>
        <v>expense is included on line 127.</v>
      </c>
      <c r="E301" s="464"/>
      <c r="F301" s="464"/>
      <c r="G301" s="464"/>
      <c r="H301" s="464"/>
      <c r="I301" s="464"/>
      <c r="J301" s="464"/>
      <c r="K301" s="464"/>
      <c r="L301" s="464"/>
    </row>
    <row r="302" spans="1:12" ht="15">
      <c r="A302" s="270"/>
      <c r="B302" s="456"/>
      <c r="C302" s="275"/>
      <c r="D302" s="464"/>
      <c r="E302" s="464"/>
      <c r="F302" s="464"/>
      <c r="G302" s="464"/>
      <c r="H302" s="464"/>
      <c r="I302" s="464"/>
      <c r="J302" s="464"/>
      <c r="K302" s="464"/>
      <c r="L302" s="464"/>
    </row>
    <row r="303" spans="1:12" ht="15">
      <c r="A303" s="270"/>
      <c r="B303" s="455" t="s">
        <v>154</v>
      </c>
      <c r="C303" s="275"/>
      <c r="D303" s="1453"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53"/>
      <c r="F303" s="1453"/>
      <c r="G303" s="1453"/>
      <c r="H303" s="1453"/>
      <c r="I303" s="1453"/>
      <c r="J303" s="1453"/>
      <c r="K303" s="1453"/>
      <c r="L303" s="464"/>
    </row>
    <row r="304" spans="1:12" ht="15">
      <c r="A304" s="270"/>
      <c r="B304" s="455"/>
      <c r="C304" s="275"/>
      <c r="D304" s="1453"/>
      <c r="E304" s="1453"/>
      <c r="F304" s="1453"/>
      <c r="G304" s="1453"/>
      <c r="H304" s="1453"/>
      <c r="I304" s="1453"/>
      <c r="J304" s="1453"/>
      <c r="K304" s="1453"/>
      <c r="L304" s="464"/>
    </row>
    <row r="305" spans="1:12" ht="15">
      <c r="A305" s="270"/>
      <c r="B305" s="455"/>
      <c r="C305" s="275"/>
      <c r="D305" s="1453"/>
      <c r="E305" s="1453"/>
      <c r="F305" s="1453"/>
      <c r="G305" s="1453"/>
      <c r="H305" s="1453"/>
      <c r="I305" s="1453"/>
      <c r="J305" s="1453"/>
      <c r="K305" s="1453"/>
      <c r="L305" s="464"/>
    </row>
    <row r="306" spans="1:12" ht="15">
      <c r="A306" s="270"/>
      <c r="B306" s="455"/>
      <c r="C306" s="275"/>
      <c r="D306" s="461"/>
      <c r="E306" s="464"/>
      <c r="F306" s="464"/>
      <c r="G306" s="464"/>
      <c r="H306" s="464"/>
      <c r="I306" s="464"/>
      <c r="J306" s="464"/>
      <c r="K306" s="464"/>
      <c r="L306" s="464"/>
    </row>
    <row r="307" spans="1:12" ht="15">
      <c r="A307" s="270"/>
      <c r="B307" s="455" t="s">
        <v>155</v>
      </c>
      <c r="C307" s="275"/>
      <c r="D307" s="1449"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9"/>
      <c r="F307" s="1449"/>
      <c r="G307" s="1449"/>
      <c r="H307" s="1449"/>
      <c r="I307" s="1449"/>
      <c r="J307" s="1449"/>
      <c r="K307" s="1449"/>
      <c r="L307" s="464"/>
    </row>
    <row r="308" spans="1:12" ht="15">
      <c r="A308" s="270"/>
      <c r="B308" s="455"/>
      <c r="C308" s="275"/>
      <c r="D308" s="1449"/>
      <c r="E308" s="1449"/>
      <c r="F308" s="1449"/>
      <c r="G308" s="1449"/>
      <c r="H308" s="1449"/>
      <c r="I308" s="1449"/>
      <c r="J308" s="1449"/>
      <c r="K308" s="1449"/>
      <c r="L308" s="464"/>
    </row>
    <row r="309" spans="1:12" ht="15">
      <c r="A309" s="270"/>
      <c r="B309" s="455"/>
      <c r="C309" s="275"/>
      <c r="D309" s="1450"/>
      <c r="E309" s="1450"/>
      <c r="F309" s="1450"/>
      <c r="G309" s="1450"/>
      <c r="H309" s="1450"/>
      <c r="I309" s="1450"/>
      <c r="J309" s="1450"/>
      <c r="K309" s="1450"/>
      <c r="L309" s="464"/>
    </row>
    <row r="310" spans="1:12" ht="15">
      <c r="A310" s="270"/>
      <c r="B310" s="455"/>
      <c r="C310" s="275"/>
      <c r="D310" s="1457"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57"/>
      <c r="F310" s="1457"/>
      <c r="G310" s="1457"/>
      <c r="H310" s="1457"/>
      <c r="I310" s="1457"/>
      <c r="J310" s="1457"/>
      <c r="K310" s="465"/>
      <c r="L310" s="464"/>
    </row>
    <row r="311" spans="1:12" ht="15">
      <c r="A311" s="270"/>
      <c r="B311" s="455"/>
      <c r="C311" s="275"/>
      <c r="D311" s="1457"/>
      <c r="E311" s="1457"/>
      <c r="F311" s="1457"/>
      <c r="G311" s="1457"/>
      <c r="H311" s="1457"/>
      <c r="I311" s="1457"/>
      <c r="J311" s="1457"/>
      <c r="K311" s="465"/>
      <c r="L311" s="464"/>
    </row>
    <row r="312" spans="1:12" ht="15">
      <c r="A312" s="270"/>
      <c r="B312" s="455"/>
      <c r="C312" s="275"/>
      <c r="D312" s="464" t="str">
        <f>"The company records referenced on line "&amp;B168&amp;" is the "&amp;F9&amp;" general ledger."</f>
        <v>The company records referenced on line 95 is the Appalachian Power Company general ledger.</v>
      </c>
      <c r="E312" s="466"/>
      <c r="F312" s="466"/>
      <c r="G312" s="466"/>
      <c r="H312" s="466"/>
      <c r="I312" s="466"/>
      <c r="J312" s="466"/>
      <c r="K312" s="466"/>
      <c r="L312" s="464"/>
    </row>
    <row r="313" spans="1:12" ht="15">
      <c r="A313" s="270"/>
      <c r="B313" s="455"/>
      <c r="C313" s="275"/>
      <c r="D313" s="464"/>
      <c r="E313" s="466"/>
      <c r="F313" s="466"/>
      <c r="G313" s="466"/>
      <c r="H313" s="466"/>
      <c r="I313" s="466"/>
      <c r="J313" s="466"/>
      <c r="K313" s="466"/>
      <c r="L313" s="464"/>
    </row>
    <row r="314" spans="1:12" ht="15">
      <c r="A314" s="270"/>
      <c r="B314" s="455" t="s">
        <v>156</v>
      </c>
      <c r="C314" s="275"/>
      <c r="D314" s="275" t="s">
        <v>580</v>
      </c>
      <c r="E314" s="323"/>
      <c r="F314" s="323"/>
      <c r="G314" s="323"/>
      <c r="H314" s="323"/>
      <c r="I314" s="323"/>
      <c r="J314" s="323"/>
      <c r="K314" s="323"/>
      <c r="L314" s="467"/>
    </row>
    <row r="315" spans="1:12" ht="15">
      <c r="A315" s="270"/>
      <c r="B315" s="455"/>
      <c r="C315" s="275"/>
      <c r="D315" s="467"/>
      <c r="E315" s="467"/>
      <c r="F315" s="467"/>
      <c r="G315" s="467"/>
      <c r="H315" s="467"/>
      <c r="I315" s="467"/>
      <c r="J315" s="467"/>
      <c r="K315" s="467"/>
      <c r="L315" s="467"/>
    </row>
    <row r="316" spans="1:12" ht="15">
      <c r="A316" s="270"/>
      <c r="B316" s="455" t="s">
        <v>157</v>
      </c>
      <c r="C316" s="275"/>
      <c r="D316" s="1451" t="s">
        <v>48</v>
      </c>
      <c r="E316" s="1435"/>
      <c r="F316" s="1435"/>
      <c r="G316" s="1435"/>
      <c r="H316" s="1435"/>
      <c r="I316" s="1435"/>
      <c r="J316" s="1435"/>
      <c r="K316" s="464"/>
      <c r="L316" s="464"/>
    </row>
    <row r="317" spans="1:12" ht="15">
      <c r="A317" s="270"/>
      <c r="B317" s="455"/>
      <c r="C317" s="275"/>
      <c r="D317" s="1452"/>
      <c r="E317" s="1452"/>
      <c r="F317" s="1452"/>
      <c r="G317" s="1452"/>
      <c r="H317" s="1452"/>
      <c r="I317" s="1452"/>
      <c r="J317" s="1452"/>
      <c r="K317" s="467"/>
      <c r="L317" s="467"/>
    </row>
    <row r="318" spans="1:12" ht="15">
      <c r="A318" s="270"/>
      <c r="B318" s="455"/>
      <c r="C318" s="275"/>
      <c r="D318" s="1435"/>
      <c r="E318" s="1435"/>
      <c r="F318" s="1435"/>
      <c r="G318" s="1435"/>
      <c r="H318" s="1435"/>
      <c r="I318" s="1435"/>
      <c r="J318" s="1435"/>
      <c r="K318" s="464"/>
      <c r="L318" s="464"/>
    </row>
    <row r="319" spans="1:12" ht="15">
      <c r="A319" s="270"/>
      <c r="B319" s="455"/>
      <c r="C319" s="275"/>
      <c r="D319" s="464"/>
      <c r="E319" s="464"/>
      <c r="F319" s="464"/>
      <c r="G319" s="464"/>
      <c r="H319" s="464"/>
      <c r="I319" s="464"/>
      <c r="J319" s="464"/>
      <c r="K319" s="464"/>
      <c r="L319" s="464"/>
    </row>
    <row r="320" spans="1:12" ht="15.75">
      <c r="A320" s="270"/>
      <c r="B320" s="1003" t="s">
        <v>158</v>
      </c>
      <c r="C320" s="1004"/>
      <c r="D320" s="1455" t="s">
        <v>864</v>
      </c>
      <c r="E320" s="1456"/>
      <c r="F320" s="1456"/>
      <c r="G320" s="1456"/>
      <c r="H320" s="1456"/>
      <c r="I320" s="1456"/>
      <c r="J320" s="1456"/>
      <c r="K320" s="1456"/>
      <c r="L320" s="467"/>
    </row>
    <row r="321" spans="1:12" ht="15.75">
      <c r="A321" s="270"/>
      <c r="B321" s="970"/>
      <c r="C321" s="1004"/>
      <c r="D321" s="1456"/>
      <c r="E321" s="1456"/>
      <c r="F321" s="1456"/>
      <c r="G321" s="1456"/>
      <c r="H321" s="1456"/>
      <c r="I321" s="1456"/>
      <c r="J321" s="1456"/>
      <c r="K321" s="1456"/>
      <c r="L321" s="464"/>
    </row>
    <row r="322" spans="1:12" ht="15">
      <c r="A322" s="270"/>
      <c r="B322" s="455"/>
      <c r="C322" s="275"/>
      <c r="D322" s="464"/>
      <c r="E322" s="464"/>
      <c r="F322" s="464"/>
      <c r="G322" s="464"/>
      <c r="H322" s="464"/>
      <c r="I322" s="464"/>
      <c r="J322" s="464"/>
      <c r="K322" s="464"/>
      <c r="L322" s="464"/>
    </row>
    <row r="323" spans="1:12" ht="15">
      <c r="A323" s="270"/>
      <c r="B323" s="307" t="s">
        <v>159</v>
      </c>
      <c r="C323" s="308"/>
      <c r="D323" s="1433" t="s">
        <v>581</v>
      </c>
      <c r="E323" s="1433"/>
      <c r="F323" s="1433"/>
      <c r="G323" s="1433"/>
      <c r="H323" s="1433"/>
      <c r="I323" s="1433"/>
      <c r="J323" s="1433"/>
      <c r="K323" s="1433"/>
      <c r="L323" s="1433"/>
    </row>
    <row r="324" spans="1:12" ht="15">
      <c r="A324" s="270"/>
      <c r="B324" s="307"/>
      <c r="C324" s="308"/>
      <c r="D324" s="1433"/>
      <c r="E324" s="1433"/>
      <c r="F324" s="1433"/>
      <c r="G324" s="1433"/>
      <c r="H324" s="1433"/>
      <c r="I324" s="1433"/>
      <c r="J324" s="1433"/>
      <c r="K324" s="1433"/>
      <c r="L324" s="1433"/>
    </row>
    <row r="325" spans="1:12" ht="15">
      <c r="A325" s="270"/>
      <c r="B325" s="307"/>
      <c r="C325" s="308"/>
      <c r="D325" s="1433"/>
      <c r="E325" s="1433"/>
      <c r="F325" s="1433"/>
      <c r="G325" s="1433"/>
      <c r="H325" s="1433"/>
      <c r="I325" s="1433"/>
      <c r="J325" s="1433"/>
      <c r="K325" s="1433"/>
      <c r="L325" s="1433"/>
    </row>
    <row r="326" spans="1:12" ht="15">
      <c r="A326" s="270"/>
      <c r="B326" s="307"/>
      <c r="C326" s="308"/>
      <c r="D326" s="1433"/>
      <c r="E326" s="1433"/>
      <c r="F326" s="1433"/>
      <c r="G326" s="1433"/>
      <c r="H326" s="1433"/>
      <c r="I326" s="1433"/>
      <c r="J326" s="1433"/>
      <c r="K326" s="1433"/>
      <c r="L326" s="1433"/>
    </row>
    <row r="327" spans="1:12" ht="15">
      <c r="A327" s="270"/>
      <c r="B327" s="307"/>
      <c r="C327" s="308"/>
      <c r="D327" s="464"/>
      <c r="E327" s="463"/>
      <c r="F327" s="463"/>
      <c r="G327" s="463"/>
      <c r="H327" s="463"/>
      <c r="I327" s="463"/>
      <c r="J327" s="463"/>
      <c r="K327" s="463"/>
      <c r="L327" s="463"/>
    </row>
    <row r="328" spans="1:12" ht="15" customHeight="1">
      <c r="A328" s="270"/>
      <c r="B328" s="307" t="s">
        <v>160</v>
      </c>
      <c r="C328" s="308"/>
      <c r="D328" s="1438" t="s">
        <v>862</v>
      </c>
      <c r="E328" s="1439"/>
      <c r="F328" s="1439"/>
      <c r="G328" s="1439"/>
      <c r="H328" s="1439"/>
      <c r="I328" s="1439"/>
      <c r="J328" s="1439"/>
      <c r="K328" s="1439"/>
      <c r="L328" s="1440"/>
    </row>
    <row r="329" spans="1:12" ht="15">
      <c r="A329" s="270"/>
      <c r="B329" s="307"/>
      <c r="C329" s="308"/>
      <c r="D329" s="1439"/>
      <c r="E329" s="1439"/>
      <c r="F329" s="1439"/>
      <c r="G329" s="1439"/>
      <c r="H329" s="1439"/>
      <c r="I329" s="1439"/>
      <c r="J329" s="1439"/>
      <c r="K329" s="1439"/>
      <c r="L329" s="1440"/>
    </row>
    <row r="330" spans="1:12" ht="15">
      <c r="A330" s="270"/>
      <c r="B330" s="307"/>
      <c r="C330" s="308"/>
      <c r="D330" s="1440"/>
      <c r="E330" s="1440"/>
      <c r="F330" s="1440"/>
      <c r="G330" s="1440"/>
      <c r="H330" s="1440"/>
      <c r="I330" s="1440"/>
      <c r="J330" s="1440"/>
      <c r="K330" s="1440"/>
      <c r="L330" s="1440"/>
    </row>
    <row r="331" spans="1:12" ht="15">
      <c r="A331" s="270"/>
      <c r="B331" s="307"/>
      <c r="C331" s="308"/>
      <c r="D331" s="410"/>
      <c r="E331" s="293"/>
      <c r="F331" s="293"/>
      <c r="G331" s="293"/>
      <c r="H331" s="293"/>
      <c r="I331" s="293"/>
      <c r="J331" s="293"/>
      <c r="K331" s="293"/>
      <c r="L331" s="293"/>
    </row>
    <row r="332" spans="1:12" ht="15">
      <c r="A332" s="270"/>
      <c r="B332" s="370" t="s">
        <v>245</v>
      </c>
      <c r="C332" s="308"/>
      <c r="D332" s="319" t="s">
        <v>355</v>
      </c>
      <c r="E332" s="278"/>
      <c r="F332" s="278"/>
      <c r="G332" s="278"/>
      <c r="H332" s="278"/>
      <c r="I332" s="278"/>
      <c r="J332" s="278"/>
      <c r="K332" s="275"/>
      <c r="L332" s="275"/>
    </row>
    <row r="333" spans="1:12" ht="15">
      <c r="A333" s="270"/>
      <c r="B333" s="370"/>
      <c r="C333" s="308"/>
      <c r="D333" s="278"/>
      <c r="E333" s="278"/>
      <c r="F333" s="278"/>
      <c r="G333" s="278"/>
      <c r="H333" s="278"/>
      <c r="I333" s="278"/>
      <c r="J333" s="278"/>
      <c r="K333" s="275"/>
      <c r="L333" s="275"/>
    </row>
    <row r="334" spans="1:12" ht="15">
      <c r="A334" s="270"/>
      <c r="B334" s="307" t="s">
        <v>304</v>
      </c>
      <c r="C334" s="308"/>
      <c r="D334" s="319" t="s">
        <v>344</v>
      </c>
      <c r="E334" s="275"/>
      <c r="F334" s="275"/>
      <c r="G334" s="275"/>
      <c r="H334" s="275"/>
      <c r="I334" s="275"/>
      <c r="J334" s="275"/>
      <c r="K334" s="275"/>
      <c r="L334" s="275"/>
    </row>
    <row r="335" spans="1:12" ht="15">
      <c r="A335" s="270"/>
      <c r="B335" s="370"/>
      <c r="C335" s="308"/>
      <c r="D335" s="319" t="s">
        <v>233</v>
      </c>
      <c r="E335" s="275"/>
      <c r="F335" s="275"/>
      <c r="G335" s="275"/>
      <c r="H335" s="275"/>
      <c r="I335" s="275"/>
      <c r="J335" s="275"/>
      <c r="K335" s="275"/>
      <c r="L335" s="275"/>
    </row>
    <row r="336" spans="1:12" ht="15">
      <c r="A336" s="270"/>
      <c r="B336" s="370"/>
      <c r="C336" s="308"/>
      <c r="D336" s="319" t="s">
        <v>234</v>
      </c>
      <c r="E336" s="275"/>
      <c r="F336" s="275"/>
      <c r="G336" s="275"/>
      <c r="H336" s="275"/>
      <c r="I336" s="275"/>
      <c r="J336" s="275"/>
      <c r="K336" s="275"/>
      <c r="L336" s="275"/>
    </row>
    <row r="337" spans="1:12" ht="15">
      <c r="A337" s="270"/>
      <c r="B337" s="370"/>
      <c r="C337" s="308"/>
      <c r="D337" s="319" t="s">
        <v>235</v>
      </c>
      <c r="E337" s="275"/>
      <c r="F337" s="275"/>
      <c r="G337" s="275"/>
      <c r="H337" s="275"/>
      <c r="I337" s="275"/>
      <c r="J337" s="275"/>
      <c r="K337" s="275"/>
      <c r="L337" s="275"/>
    </row>
    <row r="338" spans="1:12" ht="15">
      <c r="A338" s="270"/>
      <c r="B338" s="307"/>
      <c r="C338" s="308"/>
      <c r="D338" s="319" t="str">
        <f>"(ln "&amp;B194&amp;") multiplied by (1/1-T) .  If the applicable tax rates are zero enter 0."</f>
        <v>(ln 118) multiplied by (1/1-T) .  If the applicable tax rates are zero enter 0.</v>
      </c>
      <c r="E338" s="270"/>
      <c r="F338" s="270"/>
      <c r="G338" s="270"/>
      <c r="H338" s="275"/>
      <c r="I338" s="275"/>
      <c r="J338" s="275"/>
      <c r="K338" s="275"/>
      <c r="L338" s="275"/>
    </row>
    <row r="339" spans="1:12" ht="15">
      <c r="A339" s="270"/>
      <c r="B339" s="468"/>
      <c r="C339" s="293"/>
      <c r="D339" s="319" t="s">
        <v>345</v>
      </c>
      <c r="E339" s="293" t="s">
        <v>346</v>
      </c>
      <c r="F339" s="1210">
        <v>0.21</v>
      </c>
      <c r="G339" s="293"/>
      <c r="H339" s="275"/>
      <c r="I339" s="275"/>
      <c r="J339" s="275"/>
      <c r="K339" s="275"/>
      <c r="L339" s="275"/>
    </row>
    <row r="340" spans="1:12" ht="15">
      <c r="A340" s="270"/>
      <c r="B340" s="468"/>
      <c r="C340" s="293"/>
      <c r="D340" s="319"/>
      <c r="E340" s="293" t="s">
        <v>347</v>
      </c>
      <c r="F340" s="457">
        <f>'WS G  State Tax Rate'!F43</f>
        <v>3.1699999999999999E-2</v>
      </c>
      <c r="G340" s="293" t="s">
        <v>505</v>
      </c>
      <c r="H340" s="275"/>
      <c r="I340" s="275"/>
      <c r="J340" s="275"/>
      <c r="K340" s="275"/>
      <c r="L340" s="275"/>
    </row>
    <row r="341" spans="1:12" ht="15">
      <c r="A341" s="270"/>
      <c r="B341" s="468"/>
      <c r="C341" s="293"/>
      <c r="D341" s="319"/>
      <c r="E341" s="293" t="s">
        <v>348</v>
      </c>
      <c r="F341" s="1210">
        <v>0</v>
      </c>
      <c r="G341" s="293" t="s">
        <v>349</v>
      </c>
      <c r="H341" s="275"/>
      <c r="I341" s="275"/>
      <c r="J341" s="275"/>
      <c r="K341" s="275"/>
      <c r="L341" s="275"/>
    </row>
    <row r="342" spans="1:12" ht="15">
      <c r="A342" s="270"/>
      <c r="B342" s="370"/>
      <c r="C342" s="308"/>
      <c r="D342" s="319" t="s">
        <v>592</v>
      </c>
      <c r="E342" s="275"/>
      <c r="F342" s="275"/>
      <c r="G342" s="275"/>
      <c r="H342" s="275"/>
      <c r="I342" s="275"/>
      <c r="J342" s="275"/>
      <c r="K342" s="275"/>
      <c r="L342" s="275"/>
    </row>
    <row r="343" spans="1:12" ht="15">
      <c r="A343" s="270"/>
      <c r="B343" s="370"/>
      <c r="C343" s="308"/>
      <c r="D343" s="319" t="s">
        <v>593</v>
      </c>
      <c r="E343" s="275"/>
      <c r="F343" s="275"/>
      <c r="G343" s="275"/>
      <c r="H343" s="275"/>
      <c r="I343" s="275"/>
      <c r="J343" s="275"/>
      <c r="K343" s="275"/>
      <c r="L343" s="275"/>
    </row>
    <row r="344" spans="1:12" ht="15">
      <c r="A344" s="270"/>
      <c r="B344" s="307" t="s">
        <v>350</v>
      </c>
      <c r="C344" s="308"/>
      <c r="D344" s="319" t="s">
        <v>224</v>
      </c>
      <c r="E344" s="275"/>
      <c r="F344" s="275"/>
      <c r="G344" s="275"/>
      <c r="H344" s="275"/>
      <c r="I344" s="275"/>
      <c r="J344" s="275"/>
      <c r="K344" s="275"/>
      <c r="L344" s="275"/>
    </row>
    <row r="345" spans="1:12" ht="15">
      <c r="A345" s="270"/>
      <c r="B345" s="270"/>
      <c r="C345" s="270"/>
      <c r="D345" s="319"/>
      <c r="E345" s="275"/>
      <c r="F345" s="275"/>
      <c r="G345" s="275"/>
      <c r="H345" s="275"/>
      <c r="I345" s="275"/>
      <c r="J345" s="275"/>
      <c r="K345" s="275"/>
      <c r="L345" s="275"/>
    </row>
    <row r="346" spans="1:12" ht="15">
      <c r="A346" s="270"/>
      <c r="B346" s="307" t="s">
        <v>351</v>
      </c>
      <c r="C346" s="308"/>
      <c r="D346" s="319" t="s">
        <v>22</v>
      </c>
      <c r="E346" s="275"/>
      <c r="F346" s="275"/>
      <c r="G346" s="275"/>
      <c r="H346" s="275"/>
      <c r="I346" s="275"/>
      <c r="J346" s="275"/>
      <c r="K346" s="275"/>
      <c r="L346" s="275"/>
    </row>
    <row r="347" spans="1:12" ht="15">
      <c r="A347" s="270"/>
      <c r="B347" s="307"/>
      <c r="C347" s="308"/>
      <c r="D347" s="319"/>
      <c r="E347" s="293"/>
      <c r="F347" s="293"/>
      <c r="G347" s="293"/>
      <c r="H347" s="293"/>
      <c r="I347" s="293"/>
      <c r="J347" s="293"/>
      <c r="K347" s="293"/>
      <c r="L347" s="293"/>
    </row>
    <row r="348" spans="1:12" ht="15">
      <c r="A348" s="270"/>
      <c r="B348" s="307" t="s">
        <v>352</v>
      </c>
      <c r="C348" s="308"/>
      <c r="D348" s="319" t="s">
        <v>415</v>
      </c>
      <c r="E348" s="293"/>
      <c r="F348" s="293"/>
      <c r="G348" s="293"/>
      <c r="H348" s="293"/>
      <c r="I348" s="293"/>
      <c r="J348" s="293"/>
      <c r="K348" s="293"/>
      <c r="L348" s="293"/>
    </row>
    <row r="349" spans="1:12" ht="15">
      <c r="A349" s="270"/>
      <c r="B349" s="307"/>
      <c r="C349" s="308"/>
      <c r="D349" s="319"/>
      <c r="E349" s="293"/>
      <c r="F349" s="293"/>
      <c r="G349" s="293"/>
      <c r="H349" s="293"/>
      <c r="I349" s="293"/>
      <c r="J349" s="293"/>
      <c r="K349" s="293"/>
      <c r="L349" s="293"/>
    </row>
    <row r="350" spans="1:12" ht="15">
      <c r="A350" s="270"/>
      <c r="B350" s="455" t="s">
        <v>353</v>
      </c>
      <c r="C350" s="371"/>
      <c r="D350" s="319"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E350" s="270"/>
      <c r="F350" s="270"/>
      <c r="G350" s="270"/>
      <c r="H350" s="270"/>
      <c r="I350" s="270"/>
      <c r="J350" s="270"/>
      <c r="K350" s="270"/>
      <c r="L350" s="270"/>
    </row>
    <row r="351" spans="1:12" ht="15">
      <c r="A351" s="270"/>
      <c r="B351" s="456"/>
      <c r="C351" s="275"/>
      <c r="D351" s="319"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E351" s="270"/>
      <c r="F351" s="270"/>
      <c r="G351" s="270"/>
      <c r="H351" s="270"/>
      <c r="I351" s="270"/>
      <c r="J351" s="270"/>
      <c r="K351" s="270"/>
      <c r="L351" s="270"/>
    </row>
    <row r="352" spans="1:12" ht="15" customHeight="1">
      <c r="A352" s="270"/>
      <c r="B352" s="456"/>
      <c r="C352" s="275"/>
      <c r="D352" s="1436" t="s">
        <v>582</v>
      </c>
      <c r="E352" s="1436"/>
      <c r="F352" s="1436"/>
      <c r="G352" s="1436"/>
      <c r="H352" s="1436"/>
      <c r="I352" s="1436"/>
      <c r="J352" s="1436"/>
      <c r="K352" s="1436"/>
      <c r="L352" s="1436"/>
    </row>
    <row r="353" spans="1:12" ht="15">
      <c r="A353" s="270"/>
      <c r="B353" s="456"/>
      <c r="C353" s="275"/>
      <c r="D353" s="1436"/>
      <c r="E353" s="1436"/>
      <c r="F353" s="1436"/>
      <c r="G353" s="1436"/>
      <c r="H353" s="1436"/>
      <c r="I353" s="1436"/>
      <c r="J353" s="1436"/>
      <c r="K353" s="1436"/>
      <c r="L353" s="1436"/>
    </row>
    <row r="354" spans="1:12" ht="14.25" customHeight="1">
      <c r="A354" s="270"/>
      <c r="B354" s="456"/>
      <c r="C354" s="275"/>
      <c r="D354" s="1436"/>
      <c r="E354" s="1436"/>
      <c r="F354" s="1436"/>
      <c r="G354" s="1436"/>
      <c r="H354" s="1436"/>
      <c r="I354" s="1436"/>
      <c r="J354" s="1436"/>
      <c r="K354" s="1436"/>
      <c r="L354" s="1436"/>
    </row>
    <row r="355" spans="1:12" ht="15" hidden="1" customHeight="1">
      <c r="A355" s="270"/>
      <c r="B355" s="456"/>
      <c r="C355" s="275"/>
      <c r="D355" s="1436"/>
      <c r="E355" s="1436"/>
      <c r="F355" s="1436"/>
      <c r="G355" s="1436"/>
      <c r="H355" s="1436"/>
      <c r="I355" s="1436"/>
      <c r="J355" s="1436"/>
      <c r="K355" s="1436"/>
      <c r="L355" s="1436"/>
    </row>
    <row r="356" spans="1:12" ht="15" hidden="1" customHeight="1">
      <c r="A356" s="270"/>
      <c r="B356" s="456"/>
      <c r="C356" s="275"/>
      <c r="D356" s="1436"/>
      <c r="E356" s="1436"/>
      <c r="F356" s="1436"/>
      <c r="G356" s="1436"/>
      <c r="H356" s="1436"/>
      <c r="I356" s="1436"/>
      <c r="J356" s="1436"/>
      <c r="K356" s="1436"/>
      <c r="L356" s="1436"/>
    </row>
    <row r="357" spans="1:12" ht="15" hidden="1" customHeight="1">
      <c r="A357" s="270"/>
      <c r="B357" s="456"/>
      <c r="C357" s="275"/>
      <c r="D357" s="1436"/>
      <c r="E357" s="1436"/>
      <c r="F357" s="1436"/>
      <c r="G357" s="1436"/>
      <c r="H357" s="1436"/>
      <c r="I357" s="1436"/>
      <c r="J357" s="1436"/>
      <c r="K357" s="1436"/>
      <c r="L357" s="1436"/>
    </row>
    <row r="358" spans="1:12" ht="15">
      <c r="A358" s="275"/>
      <c r="B358" s="307" t="s">
        <v>426</v>
      </c>
      <c r="C358" s="308"/>
      <c r="D358" s="464" t="s">
        <v>34</v>
      </c>
      <c r="E358" s="464"/>
      <c r="F358" s="464"/>
      <c r="G358" s="464"/>
      <c r="H358" s="464"/>
      <c r="I358" s="464"/>
      <c r="J358" s="464"/>
      <c r="K358" s="275"/>
      <c r="L358" s="275"/>
    </row>
    <row r="359" spans="1:12" ht="15">
      <c r="A359" s="275"/>
      <c r="B359" s="307"/>
      <c r="C359" s="308"/>
      <c r="D359" s="464" t="str">
        <f>"This total balance of $265,249,280 at 12/31/12 is not included in the balance in line "&amp;B255&amp;" above."</f>
        <v>This total balance of $265,249,280 at 12/31/12 is not included in the balance in line 154 above.</v>
      </c>
      <c r="E359" s="464"/>
      <c r="F359" s="464"/>
      <c r="G359" s="464"/>
      <c r="H359" s="464"/>
      <c r="I359" s="464"/>
      <c r="J359" s="464"/>
      <c r="K359" s="275"/>
      <c r="L359" s="275"/>
    </row>
    <row r="360" spans="1:12" ht="15">
      <c r="A360" s="275"/>
      <c r="B360" s="307"/>
      <c r="C360" s="308"/>
      <c r="D360" s="1437" t="s">
        <v>583</v>
      </c>
      <c r="E360" s="1437"/>
      <c r="F360" s="1437"/>
      <c r="G360" s="1437"/>
      <c r="H360" s="1437"/>
      <c r="I360" s="1437"/>
      <c r="J360" s="1437"/>
      <c r="K360" s="1437"/>
      <c r="L360" s="1437"/>
    </row>
    <row r="361" spans="1:12" ht="15">
      <c r="A361" s="275"/>
      <c r="B361" s="307"/>
      <c r="C361" s="308"/>
      <c r="D361" s="1437"/>
      <c r="E361" s="1437"/>
      <c r="F361" s="1437"/>
      <c r="G361" s="1437"/>
      <c r="H361" s="1437"/>
      <c r="I361" s="1437"/>
      <c r="J361" s="1437"/>
      <c r="K361" s="1437"/>
      <c r="L361" s="1437"/>
    </row>
    <row r="362" spans="1:12" ht="15">
      <c r="A362" s="275"/>
      <c r="B362" s="307"/>
      <c r="C362" s="308"/>
      <c r="D362" s="1437"/>
      <c r="E362" s="1437"/>
      <c r="F362" s="1437"/>
      <c r="G362" s="1437"/>
      <c r="H362" s="1437"/>
      <c r="I362" s="1437"/>
      <c r="J362" s="1437"/>
      <c r="K362" s="1437"/>
      <c r="L362" s="1437"/>
    </row>
    <row r="363" spans="1:12" ht="15">
      <c r="A363" s="270"/>
      <c r="B363" s="307" t="s">
        <v>494</v>
      </c>
      <c r="C363" s="469"/>
      <c r="D363" s="1437" t="s">
        <v>761</v>
      </c>
      <c r="E363" s="1437"/>
      <c r="F363" s="1437"/>
      <c r="G363" s="1437"/>
      <c r="H363" s="1437"/>
      <c r="I363" s="1437"/>
      <c r="J363" s="1437"/>
      <c r="K363" s="1437"/>
      <c r="L363" s="1437"/>
    </row>
    <row r="364" spans="1:12" ht="64.5" customHeight="1">
      <c r="A364" s="270"/>
      <c r="B364" s="307"/>
      <c r="C364" s="308"/>
      <c r="D364" s="1437"/>
      <c r="E364" s="1437"/>
      <c r="F364" s="1437"/>
      <c r="G364" s="1437"/>
      <c r="H364" s="1437"/>
      <c r="I364" s="1437"/>
      <c r="J364" s="1437"/>
      <c r="K364" s="1437"/>
      <c r="L364" s="1437"/>
    </row>
    <row r="365" spans="1:12" ht="15">
      <c r="A365" s="270"/>
      <c r="B365" s="307" t="s">
        <v>585</v>
      </c>
      <c r="C365" s="308"/>
      <c r="D365" s="1432" t="s">
        <v>584</v>
      </c>
      <c r="E365" s="1432"/>
      <c r="F365" s="1432"/>
      <c r="G365" s="1432"/>
      <c r="H365" s="1432"/>
      <c r="I365" s="1432"/>
      <c r="J365" s="1432"/>
      <c r="K365" s="1432"/>
      <c r="L365" s="1432"/>
    </row>
    <row r="366" spans="1:12" ht="15">
      <c r="A366" s="270"/>
      <c r="B366" s="307"/>
      <c r="C366" s="308"/>
      <c r="D366" s="1432"/>
      <c r="E366" s="1432"/>
      <c r="F366" s="1432"/>
      <c r="G366" s="1432"/>
      <c r="H366" s="1432"/>
      <c r="I366" s="1432"/>
      <c r="J366" s="1432"/>
      <c r="K366" s="1432"/>
      <c r="L366" s="1432"/>
    </row>
    <row r="367" spans="1:12" ht="15">
      <c r="A367" s="270"/>
      <c r="B367" s="307" t="s">
        <v>587</v>
      </c>
      <c r="C367" s="308"/>
      <c r="D367" s="1454" t="s">
        <v>588</v>
      </c>
      <c r="E367" s="1454"/>
      <c r="F367" s="1454"/>
      <c r="G367" s="1454"/>
      <c r="H367" s="1454"/>
      <c r="I367" s="1454"/>
      <c r="J367" s="1454"/>
      <c r="K367" s="1454"/>
      <c r="L367" s="1454"/>
    </row>
    <row r="368" spans="1:12" ht="15">
      <c r="A368" s="270"/>
      <c r="B368" s="307" t="s">
        <v>586</v>
      </c>
      <c r="C368" s="308"/>
      <c r="D368" s="1432" t="s">
        <v>589</v>
      </c>
      <c r="E368" s="1432"/>
      <c r="F368" s="1432"/>
      <c r="G368" s="1432"/>
      <c r="H368" s="1432"/>
      <c r="I368" s="1432"/>
      <c r="J368" s="1432"/>
      <c r="K368" s="1432"/>
      <c r="L368" s="1432"/>
    </row>
    <row r="369" spans="1:12" ht="15">
      <c r="A369" s="270"/>
      <c r="B369" s="307"/>
      <c r="C369" s="308"/>
      <c r="D369" s="1432"/>
      <c r="E369" s="1432"/>
      <c r="F369" s="1432"/>
      <c r="G369" s="1432"/>
      <c r="H369" s="1432"/>
      <c r="I369" s="1432"/>
      <c r="J369" s="1432"/>
      <c r="K369" s="1432"/>
      <c r="L369" s="1432"/>
    </row>
    <row r="370" spans="1:12" ht="15">
      <c r="A370" s="270"/>
      <c r="B370" s="285"/>
      <c r="C370" s="285"/>
      <c r="D370" s="1432"/>
      <c r="E370" s="1432"/>
      <c r="F370" s="1432"/>
      <c r="G370" s="1432"/>
      <c r="H370" s="1432"/>
      <c r="I370" s="1432"/>
      <c r="J370" s="1432"/>
      <c r="K370" s="1432"/>
      <c r="L370" s="1432"/>
    </row>
    <row r="371" spans="1:12" ht="18" customHeight="1">
      <c r="A371" s="270"/>
      <c r="B371" s="1016" t="s">
        <v>633</v>
      </c>
      <c r="C371" s="1017"/>
      <c r="D371" s="458" t="s">
        <v>868</v>
      </c>
      <c r="E371" s="508"/>
      <c r="F371" s="508"/>
      <c r="G371" s="508"/>
      <c r="H371" s="285"/>
      <c r="I371" s="270"/>
      <c r="J371" s="270"/>
      <c r="K371" s="270"/>
      <c r="L371" s="270"/>
    </row>
    <row r="373" spans="1:12" ht="12.75" customHeight="1">
      <c r="B373" s="1016" t="s">
        <v>980</v>
      </c>
      <c r="C373" s="362"/>
      <c r="D373" s="1441" t="s">
        <v>981</v>
      </c>
      <c r="E373" s="1441"/>
      <c r="F373" s="1441"/>
      <c r="G373" s="1441"/>
      <c r="H373" s="1441"/>
      <c r="I373" s="1441"/>
      <c r="J373" s="1441"/>
      <c r="K373" s="1441"/>
      <c r="L373" s="1441"/>
    </row>
    <row r="374" spans="1:12" ht="19.5" customHeight="1">
      <c r="B374" s="362"/>
      <c r="C374" s="362"/>
      <c r="D374" s="1441"/>
      <c r="E374" s="1441"/>
      <c r="F374" s="1441"/>
      <c r="G374" s="1441"/>
      <c r="H374" s="1441"/>
      <c r="I374" s="1441"/>
      <c r="J374" s="1441"/>
      <c r="K374" s="1441"/>
      <c r="L374" s="1441"/>
    </row>
  </sheetData>
  <mergeCells count="26">
    <mergeCell ref="D373:L374"/>
    <mergeCell ref="B24:I25"/>
    <mergeCell ref="I60:J60"/>
    <mergeCell ref="I63:J63"/>
    <mergeCell ref="I134:J134"/>
    <mergeCell ref="I137:J137"/>
    <mergeCell ref="D42:L42"/>
    <mergeCell ref="D307:K309"/>
    <mergeCell ref="D363:L364"/>
    <mergeCell ref="D316:J318"/>
    <mergeCell ref="D303:K305"/>
    <mergeCell ref="D367:L367"/>
    <mergeCell ref="D320:K321"/>
    <mergeCell ref="D310:J311"/>
    <mergeCell ref="D365:L366"/>
    <mergeCell ref="E177:E178"/>
    <mergeCell ref="H253:I253"/>
    <mergeCell ref="D368:L370"/>
    <mergeCell ref="D280:L280"/>
    <mergeCell ref="D292:L292"/>
    <mergeCell ref="D288:L289"/>
    <mergeCell ref="D323:L326"/>
    <mergeCell ref="D283:K284"/>
    <mergeCell ref="D352:L357"/>
    <mergeCell ref="D360:L362"/>
    <mergeCell ref="D328:L330"/>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27"/>
  <sheetViews>
    <sheetView zoomScaleNormal="100" zoomScaleSheetLayoutView="100" workbookViewId="0">
      <selection activeCell="C16" sqref="C16"/>
    </sheetView>
  </sheetViews>
  <sheetFormatPr defaultColWidth="8.85546875" defaultRowHeight="12.75" customHeight="1"/>
  <cols>
    <col min="1" max="1" width="9.28515625" bestFit="1" customWidth="1"/>
    <col min="2" max="2" width="65.140625" bestFit="1" customWidth="1"/>
    <col min="3" max="3" width="12.7109375" bestFit="1" customWidth="1"/>
    <col min="4" max="4" width="1.5703125" customWidth="1"/>
    <col min="5" max="5" width="15" bestFit="1" customWidth="1"/>
  </cols>
  <sheetData>
    <row r="1" spans="1:5" ht="15.75">
      <c r="A1" s="808"/>
      <c r="B1" s="285"/>
      <c r="C1" s="285"/>
      <c r="D1" s="285"/>
      <c r="E1" s="285"/>
    </row>
    <row r="2" spans="1:5" ht="15.75">
      <c r="A2" s="808"/>
      <c r="B2" s="285"/>
      <c r="C2" s="285"/>
      <c r="D2" s="285"/>
      <c r="E2" s="285"/>
    </row>
    <row r="3" spans="1:5" ht="15">
      <c r="A3" s="1497" t="str">
        <f>+'WS C  - Working Capital'!A3:L3</f>
        <v>AEP East Companies</v>
      </c>
      <c r="B3" s="1497"/>
      <c r="C3" s="1497"/>
      <c r="D3" s="1497"/>
      <c r="E3" s="1497"/>
    </row>
    <row r="4" spans="1:5" ht="15">
      <c r="A4" s="1498" t="str">
        <f>"Cost of Service Formula Rate Using Actual/Projected FF1 Balances"</f>
        <v>Cost of Service Formula Rate Using Actual/Projected FF1 Balances</v>
      </c>
      <c r="B4" s="1498"/>
      <c r="C4" s="1498"/>
      <c r="D4" s="1498"/>
      <c r="E4" s="1498"/>
    </row>
    <row r="5" spans="1:5" ht="15">
      <c r="A5" s="1498" t="s">
        <v>227</v>
      </c>
      <c r="B5" s="1498"/>
      <c r="C5" s="1498"/>
      <c r="D5" s="1498"/>
      <c r="E5" s="1498"/>
    </row>
    <row r="6" spans="1:5" ht="15">
      <c r="A6" s="1499" t="str">
        <f>TCOS!F9</f>
        <v>Appalachian Power Company</v>
      </c>
      <c r="B6" s="1499"/>
      <c r="C6" s="1499"/>
      <c r="D6" s="1499"/>
      <c r="E6" s="1499"/>
    </row>
    <row r="7" spans="1:5">
      <c r="A7" s="372"/>
      <c r="B7" s="285"/>
      <c r="C7" s="285"/>
      <c r="D7" s="285"/>
      <c r="E7" s="285"/>
    </row>
    <row r="8" spans="1:5">
      <c r="A8" s="471" t="s">
        <v>169</v>
      </c>
      <c r="B8" s="472" t="s">
        <v>162</v>
      </c>
      <c r="C8" s="472" t="s">
        <v>163</v>
      </c>
      <c r="D8" s="285"/>
      <c r="E8" s="285"/>
    </row>
    <row r="9" spans="1:5">
      <c r="A9" s="471" t="s">
        <v>106</v>
      </c>
      <c r="B9" s="471" t="s">
        <v>167</v>
      </c>
      <c r="C9" s="471">
        <f>+TCOS!L4</f>
        <v>2024</v>
      </c>
      <c r="D9" s="285"/>
      <c r="E9" s="285"/>
    </row>
    <row r="10" spans="1:5">
      <c r="A10" s="473"/>
      <c r="B10" s="474"/>
      <c r="C10" s="472"/>
      <c r="D10" s="285"/>
      <c r="E10" s="285"/>
    </row>
    <row r="11" spans="1:5">
      <c r="A11" s="372">
        <v>1</v>
      </c>
      <c r="B11" s="1021" t="str">
        <f>"Net Funds from IPP Customers 12/31/"&amp;TCOS!L4-1&amp;" ("&amp;TCOS!L4&amp;" FORM 1, P269)"</f>
        <v>Net Funds from IPP Customers 12/31/2023 (2024 FORM 1, P269)</v>
      </c>
      <c r="C11" s="769">
        <v>0</v>
      </c>
      <c r="D11" s="362"/>
      <c r="E11" s="285"/>
    </row>
    <row r="12" spans="1:5">
      <c r="A12" s="372"/>
      <c r="B12" s="508"/>
      <c r="C12" s="774"/>
      <c r="D12" s="362"/>
      <c r="E12" s="285"/>
    </row>
    <row r="13" spans="1:5">
      <c r="A13" s="372">
        <v>2</v>
      </c>
      <c r="B13" s="1021" t="s">
        <v>71</v>
      </c>
      <c r="C13" s="769">
        <v>0</v>
      </c>
      <c r="D13" s="362"/>
      <c r="E13" s="285"/>
    </row>
    <row r="14" spans="1:5">
      <c r="A14" s="372"/>
      <c r="B14" s="1021"/>
      <c r="C14" s="774"/>
      <c r="D14" s="362"/>
      <c r="E14" s="285"/>
    </row>
    <row r="15" spans="1:5">
      <c r="A15" s="372">
        <f>+A13+1</f>
        <v>3</v>
      </c>
      <c r="B15" s="1021" t="s">
        <v>72</v>
      </c>
      <c r="C15" s="769">
        <v>0</v>
      </c>
      <c r="D15" s="362"/>
      <c r="E15" s="285"/>
    </row>
    <row r="16" spans="1:5">
      <c r="A16" s="372"/>
      <c r="B16" s="1021"/>
      <c r="C16" s="774"/>
      <c r="D16" s="362"/>
      <c r="E16" s="285"/>
    </row>
    <row r="17" spans="1:5">
      <c r="A17" s="372">
        <f>+A15+1</f>
        <v>4</v>
      </c>
      <c r="B17" s="1022" t="s">
        <v>228</v>
      </c>
      <c r="C17" s="774"/>
      <c r="D17" s="362"/>
      <c r="E17" s="285"/>
    </row>
    <row r="18" spans="1:5">
      <c r="A18" s="372">
        <f>+A17+1</f>
        <v>5</v>
      </c>
      <c r="B18" s="1021" t="s">
        <v>73</v>
      </c>
      <c r="C18" s="769">
        <v>0</v>
      </c>
      <c r="D18" s="362"/>
      <c r="E18" s="285"/>
    </row>
    <row r="19" spans="1:5">
      <c r="A19" s="372">
        <f>+A18+1</f>
        <v>6</v>
      </c>
      <c r="B19" s="1014" t="s">
        <v>114</v>
      </c>
      <c r="C19" s="775">
        <v>0</v>
      </c>
      <c r="D19" s="362"/>
      <c r="E19" s="285"/>
    </row>
    <row r="20" spans="1:5">
      <c r="A20" s="372"/>
      <c r="B20" s="508"/>
      <c r="C20" s="776"/>
      <c r="D20" s="362"/>
      <c r="E20" s="285"/>
    </row>
    <row r="21" spans="1:5">
      <c r="A21" s="372">
        <f>+A19+1</f>
        <v>7</v>
      </c>
      <c r="B21" s="1021" t="str">
        <f>"Net Funds from IPP Customers 12/31/"&amp;TCOS!L4&amp;" ("&amp;TCOS!L4&amp;" FORM 1, P269)"</f>
        <v>Net Funds from IPP Customers 12/31/2024 (2024 FORM 1, P269)</v>
      </c>
      <c r="C21" s="476">
        <f>+C11+C13+C15+C18+C19</f>
        <v>0</v>
      </c>
      <c r="D21" s="477"/>
      <c r="E21" s="285"/>
    </row>
    <row r="22" spans="1:5">
      <c r="A22" s="372"/>
      <c r="B22" s="508"/>
      <c r="C22" s="476"/>
      <c r="D22" s="362"/>
      <c r="E22" s="285"/>
    </row>
    <row r="23" spans="1:5">
      <c r="A23" s="372">
        <f>+A21+1</f>
        <v>8</v>
      </c>
      <c r="B23" s="1021" t="str">
        <f>"Average Balance for Year as Indicated in Column B ((ln "&amp;A11&amp;" + ln "&amp;A21&amp;")/2)"</f>
        <v>Average Balance for Year as Indicated in Column B ((ln 1 + ln 7)/2)</v>
      </c>
      <c r="C23" s="478">
        <f>AVERAGE(C21,C11)</f>
        <v>0</v>
      </c>
      <c r="D23" s="362"/>
      <c r="E23" s="285"/>
    </row>
    <row r="24" spans="1:5">
      <c r="A24" s="372"/>
      <c r="B24" s="508"/>
      <c r="C24" s="285"/>
      <c r="D24" s="362"/>
      <c r="E24" s="285"/>
    </row>
    <row r="25" spans="1:5">
      <c r="A25" s="372"/>
      <c r="B25" s="323"/>
      <c r="C25" s="479"/>
      <c r="D25" s="362"/>
      <c r="E25" s="285"/>
    </row>
    <row r="26" spans="1:5" ht="15">
      <c r="A26" s="275" t="s">
        <v>499</v>
      </c>
      <c r="B26" s="1451" t="str">
        <f>"On this worksheet Company Records refers to  "&amp;A6&amp;"'s general ledger."</f>
        <v>On this worksheet Company Records refers to  Appalachian Power Company's general ledger.</v>
      </c>
      <c r="C26" s="285"/>
      <c r="D26" s="362"/>
      <c r="E26" s="285"/>
    </row>
    <row r="27" spans="1:5">
      <c r="A27" s="372"/>
      <c r="B27" s="1435"/>
      <c r="C27" s="285"/>
      <c r="D27" s="362"/>
      <c r="E27" s="28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K42"/>
  <sheetViews>
    <sheetView view="pageBreakPreview" topLeftCell="A4" zoomScaleNormal="100" zoomScaleSheetLayoutView="100" workbookViewId="0">
      <selection activeCell="I13" sqref="I13"/>
    </sheetView>
  </sheetViews>
  <sheetFormatPr defaultRowHeight="12.75" customHeight="1"/>
  <cols>
    <col min="1" max="1" width="9.42578125" customWidth="1"/>
    <col min="2" max="2" width="6.7109375" customWidth="1"/>
    <col min="3" max="8" width="14.5703125" customWidth="1"/>
    <col min="9" max="9" width="14.85546875" bestFit="1" customWidth="1"/>
    <col min="10" max="11" width="16.5703125" bestFit="1" customWidth="1"/>
    <col min="12" max="38" width="9.140625" customWidth="1"/>
  </cols>
  <sheetData>
    <row r="1" spans="1:11" ht="15.75">
      <c r="A1" s="808"/>
      <c r="B1" s="481"/>
      <c r="C1" s="481"/>
      <c r="D1" s="481"/>
      <c r="E1" s="481"/>
      <c r="F1" s="481"/>
      <c r="G1" s="481"/>
      <c r="H1" s="481"/>
      <c r="I1" s="481"/>
      <c r="J1" s="481"/>
      <c r="K1" s="481"/>
    </row>
    <row r="2" spans="1:11" ht="15.75">
      <c r="A2" s="808"/>
      <c r="B2" s="481"/>
      <c r="C2" s="481"/>
      <c r="D2" s="481"/>
      <c r="E2" s="481"/>
      <c r="F2" s="481"/>
      <c r="G2" s="481"/>
      <c r="H2" s="481"/>
      <c r="I2" s="481"/>
      <c r="J2" s="481"/>
      <c r="K2" s="481"/>
    </row>
    <row r="3" spans="1:11" ht="15">
      <c r="A3" s="1497" t="str">
        <f>+'WS C  - Working Capital'!A3:L3</f>
        <v>AEP East Companies</v>
      </c>
      <c r="B3" s="1497"/>
      <c r="C3" s="1497"/>
      <c r="D3" s="1497"/>
      <c r="E3" s="1497"/>
      <c r="F3" s="1497"/>
      <c r="G3" s="1497"/>
      <c r="H3" s="1497"/>
      <c r="I3" s="1497"/>
      <c r="J3" s="1497"/>
      <c r="K3" s="1497"/>
    </row>
    <row r="4" spans="1:11" ht="15">
      <c r="A4" s="1498" t="str">
        <f>"Cost of Service Formula Rate Using Actual/Projected FF1 Balances"</f>
        <v>Cost of Service Formula Rate Using Actual/Projected FF1 Balances</v>
      </c>
      <c r="B4" s="1498"/>
      <c r="C4" s="1498"/>
      <c r="D4" s="1498"/>
      <c r="E4" s="1498"/>
      <c r="F4" s="1498"/>
      <c r="G4" s="1498"/>
      <c r="H4" s="1498"/>
      <c r="I4" s="1498"/>
      <c r="J4" s="1498"/>
      <c r="K4" s="1498"/>
    </row>
    <row r="5" spans="1:11" ht="15">
      <c r="A5" s="1498" t="s">
        <v>237</v>
      </c>
      <c r="B5" s="1498"/>
      <c r="C5" s="1498"/>
      <c r="D5" s="1498"/>
      <c r="E5" s="1498"/>
      <c r="F5" s="1498"/>
      <c r="G5" s="1498"/>
      <c r="H5" s="1498"/>
      <c r="I5" s="1498"/>
      <c r="J5" s="1498"/>
      <c r="K5" s="1498"/>
    </row>
    <row r="6" spans="1:11" ht="15">
      <c r="A6" s="1499" t="str">
        <f>TCOS!F9</f>
        <v>Appalachian Power Company</v>
      </c>
      <c r="B6" s="1499"/>
      <c r="C6" s="1499"/>
      <c r="D6" s="1499"/>
      <c r="E6" s="1499"/>
      <c r="F6" s="1499"/>
      <c r="G6" s="1499"/>
      <c r="H6" s="1499"/>
      <c r="I6" s="1499"/>
      <c r="J6" s="1499"/>
      <c r="K6" s="1499"/>
    </row>
    <row r="7" spans="1:11" ht="15">
      <c r="A7" s="482"/>
      <c r="B7" s="482"/>
      <c r="C7" s="482"/>
      <c r="D7" s="482"/>
      <c r="E7" s="482"/>
      <c r="F7" s="482"/>
      <c r="G7" s="482"/>
      <c r="H7" s="482"/>
      <c r="I7" s="482"/>
      <c r="J7" s="482"/>
      <c r="K7" s="482"/>
    </row>
    <row r="8" spans="1:11" ht="18">
      <c r="A8" s="1502"/>
      <c r="B8" s="1502"/>
      <c r="C8" s="1502"/>
      <c r="D8" s="1502"/>
      <c r="E8" s="1502"/>
      <c r="F8" s="1502"/>
      <c r="G8" s="1502"/>
      <c r="H8" s="1502"/>
      <c r="I8" s="1502"/>
      <c r="J8" s="1502"/>
      <c r="K8" s="1502"/>
    </row>
    <row r="9" spans="1:11" ht="18">
      <c r="A9" s="483"/>
      <c r="B9" s="483"/>
      <c r="C9" s="483"/>
      <c r="D9" s="483"/>
      <c r="E9" s="483"/>
      <c r="F9" s="483"/>
      <c r="G9" s="483"/>
      <c r="H9" s="483"/>
      <c r="I9" s="483"/>
      <c r="J9" s="483"/>
      <c r="K9" s="483"/>
    </row>
    <row r="10" spans="1:11" ht="15.75">
      <c r="A10" s="485" t="s">
        <v>169</v>
      </c>
      <c r="B10" s="484"/>
      <c r="C10" s="486"/>
      <c r="D10" s="486"/>
      <c r="E10" s="486"/>
      <c r="F10" s="486"/>
      <c r="G10" s="487"/>
      <c r="H10" s="487"/>
      <c r="I10" s="485" t="s">
        <v>182</v>
      </c>
      <c r="J10" s="485" t="s">
        <v>28</v>
      </c>
      <c r="K10" s="488"/>
    </row>
    <row r="11" spans="1:11" ht="15.75">
      <c r="A11" s="485" t="s">
        <v>106</v>
      </c>
      <c r="B11" s="1503" t="s">
        <v>167</v>
      </c>
      <c r="C11" s="1503"/>
      <c r="D11" s="1503"/>
      <c r="E11" s="1503"/>
      <c r="F11" s="1503"/>
      <c r="G11" s="1503"/>
      <c r="H11" s="1503"/>
      <c r="I11" s="489" t="s">
        <v>183</v>
      </c>
      <c r="J11" s="489" t="s">
        <v>115</v>
      </c>
      <c r="K11" s="489" t="s">
        <v>115</v>
      </c>
    </row>
    <row r="12" spans="1:11" ht="15.75">
      <c r="A12" s="487"/>
      <c r="B12" s="490"/>
      <c r="C12" s="484"/>
      <c r="D12" s="487"/>
      <c r="E12" s="487"/>
      <c r="F12" s="487"/>
      <c r="G12" s="487"/>
      <c r="H12" s="487"/>
      <c r="I12" s="487"/>
      <c r="J12" s="487"/>
      <c r="K12" s="491"/>
    </row>
    <row r="13" spans="1:11">
      <c r="A13" s="492">
        <v>1</v>
      </c>
      <c r="B13" s="493" t="s">
        <v>482</v>
      </c>
      <c r="C13" s="480"/>
      <c r="D13" s="494"/>
      <c r="E13" s="494"/>
      <c r="F13" s="494"/>
      <c r="G13" s="494"/>
      <c r="H13" s="494"/>
      <c r="I13" s="777">
        <v>5183190</v>
      </c>
      <c r="J13" s="495">
        <f>+I13-K12</f>
        <v>5183190</v>
      </c>
      <c r="K13" s="777">
        <v>0</v>
      </c>
    </row>
    <row r="14" spans="1:11">
      <c r="A14" s="498"/>
      <c r="B14" s="499"/>
      <c r="C14" s="500"/>
      <c r="D14" s="501"/>
      <c r="E14" s="501"/>
      <c r="F14" s="501"/>
      <c r="G14" s="501"/>
      <c r="H14" s="494"/>
      <c r="I14" s="502"/>
      <c r="J14" s="503"/>
      <c r="K14" s="502"/>
    </row>
    <row r="15" spans="1:11">
      <c r="A15" s="492">
        <f>+A13+1</f>
        <v>2</v>
      </c>
      <c r="B15" s="504" t="s">
        <v>483</v>
      </c>
      <c r="C15" s="480"/>
      <c r="D15" s="494"/>
      <c r="E15" s="494"/>
      <c r="F15" s="494"/>
      <c r="G15" s="494"/>
      <c r="H15" s="494"/>
      <c r="I15" s="777">
        <v>3771110</v>
      </c>
      <c r="J15" s="495">
        <f>+I15-K15</f>
        <v>3589750.4212391796</v>
      </c>
      <c r="K15" s="777">
        <v>181359.57876082044</v>
      </c>
    </row>
    <row r="16" spans="1:11">
      <c r="A16" s="498"/>
      <c r="B16" s="505"/>
      <c r="C16" s="500"/>
      <c r="D16" s="501"/>
      <c r="E16" s="501"/>
      <c r="F16" s="501"/>
      <c r="G16" s="501"/>
      <c r="H16" s="494"/>
      <c r="I16" s="503"/>
      <c r="J16" s="503"/>
      <c r="K16" s="503"/>
    </row>
    <row r="17" spans="1:11">
      <c r="A17" s="492">
        <f>+A15+1</f>
        <v>3</v>
      </c>
      <c r="B17" s="504" t="s">
        <v>484</v>
      </c>
      <c r="C17" s="480"/>
      <c r="D17" s="494"/>
      <c r="E17" s="494"/>
      <c r="F17" s="494"/>
      <c r="G17" s="494"/>
      <c r="H17" s="494"/>
      <c r="I17" s="777">
        <v>25370330.330399897</v>
      </c>
      <c r="J17" s="495">
        <f>+I17-K17</f>
        <v>21193490.78679613</v>
      </c>
      <c r="K17" s="777">
        <v>4176839.5436037681</v>
      </c>
    </row>
    <row r="18" spans="1:11">
      <c r="A18" s="498"/>
      <c r="B18" s="503"/>
      <c r="C18" s="508"/>
      <c r="D18" s="503"/>
      <c r="E18" s="503"/>
      <c r="F18" s="503"/>
      <c r="G18" s="506"/>
      <c r="H18" s="503"/>
      <c r="I18" s="503"/>
      <c r="J18" s="503"/>
      <c r="K18" s="503"/>
    </row>
    <row r="19" spans="1:11">
      <c r="A19" s="492">
        <f>+A17+1</f>
        <v>4</v>
      </c>
      <c r="B19" s="493" t="s">
        <v>764</v>
      </c>
      <c r="C19" s="508"/>
      <c r="D19" s="503"/>
      <c r="E19" s="503"/>
      <c r="F19" s="503"/>
      <c r="G19" s="506"/>
      <c r="H19" s="503"/>
      <c r="I19" s="777">
        <v>9440043</v>
      </c>
      <c r="J19" s="495">
        <f>+I19-K19</f>
        <v>6036039.1450267956</v>
      </c>
      <c r="K19" s="777">
        <v>3404003.854973204</v>
      </c>
    </row>
    <row r="20" spans="1:11">
      <c r="A20" s="498"/>
      <c r="B20" s="493"/>
      <c r="C20" s="508"/>
      <c r="D20" s="503"/>
      <c r="E20" s="503"/>
      <c r="F20" s="503"/>
      <c r="G20" s="506"/>
      <c r="H20" s="503"/>
      <c r="I20" s="480"/>
      <c r="J20" s="480"/>
      <c r="K20" s="480"/>
    </row>
    <row r="21" spans="1:11">
      <c r="A21" s="492">
        <f>+A19+1</f>
        <v>5</v>
      </c>
      <c r="B21" s="493" t="s">
        <v>765</v>
      </c>
      <c r="C21" s="508"/>
      <c r="D21" s="503"/>
      <c r="E21" s="503"/>
      <c r="F21" s="503"/>
      <c r="G21" s="506"/>
      <c r="H21" s="503"/>
      <c r="I21" s="777">
        <v>213274132.222289</v>
      </c>
      <c r="J21" s="495">
        <f>+I21-K21</f>
        <v>213274132.222289</v>
      </c>
      <c r="K21" s="777">
        <v>0</v>
      </c>
    </row>
    <row r="22" spans="1:11">
      <c r="A22" s="492"/>
      <c r="B22" s="493"/>
      <c r="C22" s="508"/>
      <c r="D22" s="503"/>
      <c r="E22" s="503"/>
      <c r="F22" s="503"/>
      <c r="G22" s="506"/>
      <c r="H22" s="503"/>
      <c r="I22" s="807"/>
      <c r="J22" s="495"/>
      <c r="K22" s="807"/>
    </row>
    <row r="23" spans="1:11">
      <c r="A23" s="492" t="s">
        <v>623</v>
      </c>
      <c r="B23" s="493" t="s">
        <v>626</v>
      </c>
      <c r="C23" s="508"/>
      <c r="D23" s="503"/>
      <c r="E23" s="503"/>
      <c r="F23" s="503"/>
      <c r="G23" s="506"/>
      <c r="H23" s="503"/>
      <c r="I23" s="777"/>
      <c r="J23" s="495">
        <v>0</v>
      </c>
      <c r="K23" s="777"/>
    </row>
    <row r="24" spans="1:11">
      <c r="A24" s="492"/>
      <c r="B24" s="493"/>
      <c r="C24" s="508"/>
      <c r="D24" s="503"/>
      <c r="E24" s="503"/>
      <c r="F24" s="503"/>
      <c r="G24" s="506"/>
      <c r="H24" s="503"/>
      <c r="I24" s="807"/>
      <c r="J24" s="495"/>
      <c r="K24" s="807"/>
    </row>
    <row r="25" spans="1:11">
      <c r="A25" s="492" t="s">
        <v>624</v>
      </c>
      <c r="B25" s="493" t="s">
        <v>625</v>
      </c>
      <c r="C25" s="508"/>
      <c r="D25" s="503"/>
      <c r="E25" s="503"/>
      <c r="F25" s="503"/>
      <c r="G25" s="506"/>
      <c r="H25" s="503"/>
      <c r="I25" s="777"/>
      <c r="J25" s="495">
        <v>0</v>
      </c>
      <c r="K25" s="777"/>
    </row>
    <row r="26" spans="1:11">
      <c r="A26" s="492"/>
      <c r="B26" s="493"/>
      <c r="C26" s="508"/>
      <c r="D26" s="503"/>
      <c r="E26" s="503"/>
      <c r="F26" s="503"/>
      <c r="G26" s="506"/>
      <c r="H26" s="503"/>
      <c r="I26" s="480"/>
      <c r="J26" s="480"/>
      <c r="K26" s="497"/>
    </row>
    <row r="27" spans="1:11">
      <c r="A27" s="492">
        <f>+A21+1</f>
        <v>6</v>
      </c>
      <c r="B27" s="493" t="s">
        <v>74</v>
      </c>
      <c r="C27" s="508"/>
      <c r="D27" s="503"/>
      <c r="E27" s="503"/>
      <c r="F27" s="503"/>
      <c r="G27" s="506"/>
      <c r="H27" s="503"/>
      <c r="I27" s="509">
        <f>+I21+I19+I17+I15+I13+I23+I25</f>
        <v>257038805.5526889</v>
      </c>
      <c r="J27" s="509">
        <f>+J21+J19+J17+J15+J13+J23+J25</f>
        <v>249276602.57535109</v>
      </c>
      <c r="K27" s="509">
        <f>+K21+K19+K17+K15+K13+K23+K25</f>
        <v>7762202.9773377925</v>
      </c>
    </row>
    <row r="28" spans="1:11">
      <c r="A28" s="492"/>
      <c r="B28" s="493"/>
      <c r="C28" s="508"/>
      <c r="D28" s="503"/>
      <c r="E28" s="503"/>
      <c r="F28" s="503"/>
      <c r="G28" s="506"/>
      <c r="H28" s="503"/>
      <c r="I28" s="480"/>
      <c r="J28" s="480"/>
      <c r="K28" s="480"/>
    </row>
    <row r="29" spans="1:11">
      <c r="A29" s="492">
        <f>+A27+1</f>
        <v>7</v>
      </c>
      <c r="B29" s="1501" t="s">
        <v>485</v>
      </c>
      <c r="C29" s="1435"/>
      <c r="D29" s="1435"/>
      <c r="E29" s="1435"/>
      <c r="F29" s="1435"/>
      <c r="G29" s="1435"/>
      <c r="H29" s="503"/>
      <c r="I29" s="777"/>
      <c r="J29" s="495">
        <f>+I29-K29</f>
        <v>0</v>
      </c>
      <c r="K29" s="777"/>
    </row>
    <row r="30" spans="1:11">
      <c r="A30" s="1014"/>
      <c r="B30" s="1435"/>
      <c r="C30" s="1435"/>
      <c r="D30" s="1435"/>
      <c r="E30" s="1435"/>
      <c r="F30" s="1435"/>
      <c r="G30" s="1435"/>
      <c r="H30" s="494"/>
      <c r="I30" s="510"/>
      <c r="J30" s="494"/>
      <c r="K30" s="511"/>
    </row>
    <row r="31" spans="1:11">
      <c r="A31" s="492">
        <f>+A29+1</f>
        <v>8</v>
      </c>
      <c r="B31" s="499" t="s">
        <v>215</v>
      </c>
      <c r="C31" s="500"/>
      <c r="D31" s="501"/>
      <c r="E31" s="501"/>
      <c r="F31" s="501"/>
      <c r="G31" s="507"/>
      <c r="H31" s="494"/>
      <c r="I31" s="512">
        <f>SUM(I27:I29)</f>
        <v>257038805.5526889</v>
      </c>
      <c r="J31" s="512">
        <f>SUM(J27:J29)</f>
        <v>249276602.57535109</v>
      </c>
      <c r="K31" s="512">
        <f>SUM(K27:K29)</f>
        <v>7762202.9773377925</v>
      </c>
    </row>
    <row r="32" spans="1:11">
      <c r="A32" s="492"/>
      <c r="B32" s="499"/>
      <c r="C32" s="500"/>
      <c r="D32" s="501"/>
      <c r="E32" s="501"/>
      <c r="F32" s="501"/>
      <c r="G32" s="507"/>
      <c r="H32" s="494"/>
      <c r="I32" s="511"/>
      <c r="J32" s="511"/>
      <c r="K32" s="511"/>
    </row>
    <row r="33" spans="1:11">
      <c r="A33" s="492"/>
      <c r="B33" s="499"/>
      <c r="C33" s="500"/>
      <c r="D33" s="501"/>
      <c r="E33" s="501"/>
      <c r="F33" s="501"/>
      <c r="G33" s="507"/>
      <c r="H33" s="494"/>
      <c r="I33" s="511"/>
      <c r="J33" s="511"/>
      <c r="K33" s="511"/>
    </row>
    <row r="34" spans="1:11">
      <c r="A34" s="1025"/>
      <c r="B34" s="497"/>
      <c r="C34" s="497"/>
      <c r="D34" s="497"/>
      <c r="E34" s="497"/>
      <c r="F34" s="497"/>
      <c r="G34" s="497"/>
      <c r="H34" s="497"/>
      <c r="I34" s="497"/>
      <c r="J34" s="497"/>
      <c r="K34" s="497"/>
    </row>
    <row r="35" spans="1:11">
      <c r="A35" s="1026"/>
      <c r="B35" s="480"/>
      <c r="C35" s="493"/>
      <c r="D35" s="494"/>
      <c r="E35" s="494"/>
      <c r="F35" s="494"/>
      <c r="G35" s="506"/>
      <c r="H35" s="494"/>
      <c r="I35" s="494"/>
      <c r="J35" s="494"/>
      <c r="K35" s="494"/>
    </row>
    <row r="36" spans="1:11" ht="15" customHeight="1">
      <c r="A36" s="1014" t="s">
        <v>499</v>
      </c>
      <c r="B36" s="150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Appalachian Power Company's general ledger. The functional amounts identified as transmission revenue also come from the general ledger. </v>
      </c>
      <c r="C36" s="1500"/>
      <c r="D36" s="1500"/>
      <c r="E36" s="1500"/>
      <c r="F36" s="1500"/>
      <c r="G36" s="1500"/>
      <c r="H36" s="1500"/>
      <c r="I36" s="1500"/>
      <c r="J36" s="1500"/>
      <c r="K36" s="480"/>
    </row>
    <row r="37" spans="1:11">
      <c r="A37" s="1014"/>
      <c r="B37" s="1500"/>
      <c r="C37" s="1500"/>
      <c r="D37" s="1500"/>
      <c r="E37" s="1500"/>
      <c r="F37" s="1500"/>
      <c r="G37" s="1500"/>
      <c r="H37" s="1500"/>
      <c r="I37" s="1500"/>
      <c r="J37" s="1500"/>
      <c r="K37" s="480"/>
    </row>
    <row r="38" spans="1:11">
      <c r="A38" s="1014" t="s">
        <v>621</v>
      </c>
      <c r="B38" s="1023" t="s">
        <v>622</v>
      </c>
      <c r="C38" s="1024"/>
      <c r="D38" s="1024"/>
      <c r="E38" s="1024"/>
      <c r="F38" s="1024"/>
      <c r="G38" s="1024"/>
      <c r="H38" s="1024"/>
      <c r="I38" s="513"/>
      <c r="J38" s="513"/>
      <c r="K38" s="515"/>
    </row>
    <row r="39" spans="1:11">
      <c r="A39" s="492">
        <f>+A31+1</f>
        <v>9</v>
      </c>
      <c r="B39" s="504" t="s">
        <v>534</v>
      </c>
      <c r="C39" s="480"/>
      <c r="D39" s="494"/>
      <c r="E39" s="494"/>
      <c r="F39" s="494"/>
      <c r="G39" s="506"/>
      <c r="H39" s="494"/>
      <c r="I39" s="511"/>
      <c r="J39" s="511"/>
      <c r="K39" s="777">
        <v>0</v>
      </c>
    </row>
    <row r="40" spans="1:11" ht="15.75">
      <c r="A40" s="459"/>
      <c r="B40" s="458"/>
      <c r="C40" s="481"/>
      <c r="D40" s="481"/>
      <c r="E40" s="514"/>
      <c r="F40" s="514"/>
      <c r="G40" s="514"/>
      <c r="H40" s="514"/>
      <c r="I40" s="516"/>
      <c r="J40" s="514"/>
      <c r="K40" s="514"/>
    </row>
    <row r="41" spans="1:11" ht="15.75">
      <c r="A41" s="459"/>
      <c r="B41" s="458"/>
      <c r="C41" s="481"/>
      <c r="D41" s="481"/>
      <c r="E41" s="514"/>
      <c r="F41" s="514"/>
      <c r="G41" s="514"/>
      <c r="H41" s="514"/>
      <c r="I41" s="514" t="s">
        <v>114</v>
      </c>
      <c r="J41" s="514"/>
      <c r="K41" s="514"/>
    </row>
    <row r="42" spans="1:11" ht="15.75">
      <c r="A42" s="459"/>
      <c r="B42" s="458"/>
      <c r="C42" s="481"/>
      <c r="D42" s="481"/>
      <c r="E42" s="514"/>
      <c r="F42" s="514"/>
      <c r="G42" s="514"/>
      <c r="H42" s="514"/>
      <c r="I42" s="514" t="s">
        <v>114</v>
      </c>
      <c r="J42" s="514"/>
      <c r="K42" s="514"/>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G72"/>
  <sheetViews>
    <sheetView topLeftCell="A34" zoomScale="85" zoomScaleNormal="85" zoomScaleSheetLayoutView="85" workbookViewId="0">
      <selection activeCell="G67" sqref="G67"/>
    </sheetView>
  </sheetViews>
  <sheetFormatPr defaultRowHeight="12.75" customHeight="1"/>
  <cols>
    <col min="1" max="1" width="10.42578125" customWidth="1"/>
    <col min="2" max="2" width="15.140625" customWidth="1"/>
    <col min="3" max="3" width="59.140625" customWidth="1"/>
    <col min="4" max="4" width="15.7109375" customWidth="1"/>
    <col min="5" max="5" width="22" customWidth="1"/>
    <col min="6" max="6" width="17" bestFit="1" customWidth="1"/>
    <col min="7" max="7" width="47.7109375" customWidth="1"/>
    <col min="8" max="8" width="9.140625" customWidth="1"/>
    <col min="10" max="11" width="9.140625" customWidth="1"/>
  </cols>
  <sheetData>
    <row r="1" spans="1:7" ht="15.75">
      <c r="A1" s="808"/>
      <c r="B1" s="22"/>
      <c r="C1" s="8"/>
      <c r="D1" s="8"/>
      <c r="E1" s="8"/>
      <c r="F1" s="8"/>
      <c r="G1" s="8"/>
    </row>
    <row r="2" spans="1:7" ht="15.75">
      <c r="A2" s="808"/>
      <c r="B2" s="22"/>
      <c r="C2" s="8"/>
      <c r="D2" s="8"/>
      <c r="E2" s="8"/>
      <c r="F2" s="8"/>
      <c r="G2" s="8"/>
    </row>
    <row r="3" spans="1:7" ht="15">
      <c r="A3" s="1460" t="s">
        <v>387</v>
      </c>
      <c r="B3" s="1460"/>
      <c r="C3" s="1460"/>
      <c r="D3" s="1460"/>
      <c r="E3" s="1460"/>
      <c r="F3" s="1460"/>
      <c r="G3" s="1460"/>
    </row>
    <row r="4" spans="1:7" ht="17.25" customHeight="1">
      <c r="A4" s="1461" t="str">
        <f>"Cost of Service Formula Rate Using Actual/Projected FF1 Balances"</f>
        <v>Cost of Service Formula Rate Using Actual/Projected FF1 Balances</v>
      </c>
      <c r="B4" s="1461"/>
      <c r="C4" s="1461"/>
      <c r="D4" s="1461"/>
      <c r="E4" s="1461"/>
      <c r="F4" s="1461"/>
      <c r="G4" s="1461"/>
    </row>
    <row r="5" spans="1:7" ht="18" customHeight="1">
      <c r="A5" s="1461" t="s">
        <v>488</v>
      </c>
      <c r="B5" s="1461"/>
      <c r="C5" s="1461"/>
      <c r="D5" s="1461"/>
      <c r="E5" s="1461"/>
      <c r="F5" s="1461"/>
      <c r="G5" s="1461"/>
    </row>
    <row r="6" spans="1:7" ht="19.5" customHeight="1">
      <c r="A6" s="1472" t="str">
        <f>TCOS!F9</f>
        <v>Appalachian Power Company</v>
      </c>
      <c r="B6" s="1472"/>
      <c r="C6" s="1472"/>
      <c r="D6" s="1472"/>
      <c r="E6" s="1472"/>
      <c r="F6" s="1472"/>
      <c r="G6" s="1472"/>
    </row>
    <row r="7" spans="1:7" ht="12.75" customHeight="1">
      <c r="A7" s="1460"/>
      <c r="B7" s="1460"/>
      <c r="C7" s="1460"/>
      <c r="D7" s="1460"/>
      <c r="E7" s="1460"/>
      <c r="F7" s="1460"/>
      <c r="G7" s="39"/>
    </row>
    <row r="8" spans="1:7" ht="18">
      <c r="A8" s="1504"/>
      <c r="B8" s="1504"/>
      <c r="C8" s="1504"/>
      <c r="D8" s="1504"/>
      <c r="E8" s="1504"/>
      <c r="F8" s="1504"/>
      <c r="G8" s="1504"/>
    </row>
    <row r="9" spans="1:7" ht="18">
      <c r="A9" s="142"/>
      <c r="B9" s="142"/>
      <c r="C9" s="142"/>
      <c r="D9" s="142"/>
      <c r="E9" s="142"/>
      <c r="F9" s="142"/>
      <c r="G9" s="142"/>
    </row>
    <row r="10" spans="1:7" ht="15.75">
      <c r="A10" s="48"/>
      <c r="B10" s="30" t="s">
        <v>162</v>
      </c>
      <c r="C10" s="30" t="s">
        <v>163</v>
      </c>
      <c r="D10" s="30" t="s">
        <v>164</v>
      </c>
      <c r="E10" s="30" t="s">
        <v>165</v>
      </c>
      <c r="F10" s="30" t="s">
        <v>84</v>
      </c>
      <c r="G10" s="30" t="s">
        <v>85</v>
      </c>
    </row>
    <row r="11" spans="1:7" ht="15.75">
      <c r="A11" s="48"/>
      <c r="B11" s="41"/>
      <c r="C11" s="39"/>
      <c r="D11" s="161"/>
      <c r="E11" s="162"/>
      <c r="F11" s="163" t="s">
        <v>87</v>
      </c>
      <c r="G11" s="30"/>
    </row>
    <row r="12" spans="1:7" ht="15.75">
      <c r="A12" s="43" t="s">
        <v>169</v>
      </c>
      <c r="B12" s="41"/>
      <c r="C12" s="49"/>
      <c r="D12" s="43">
        <f>+TCOS!L4</f>
        <v>2024</v>
      </c>
      <c r="E12" s="163" t="s">
        <v>87</v>
      </c>
      <c r="F12" s="43" t="s">
        <v>115</v>
      </c>
      <c r="G12" s="30"/>
    </row>
    <row r="13" spans="1:7" ht="15.75">
      <c r="A13" s="43" t="s">
        <v>106</v>
      </c>
      <c r="B13" s="43" t="s">
        <v>36</v>
      </c>
      <c r="C13" s="43" t="s">
        <v>167</v>
      </c>
      <c r="D13" s="43" t="s">
        <v>37</v>
      </c>
      <c r="E13" s="43" t="s">
        <v>89</v>
      </c>
      <c r="F13" s="43" t="s">
        <v>38</v>
      </c>
      <c r="G13" s="43" t="s">
        <v>39</v>
      </c>
    </row>
    <row r="14" spans="1:7" ht="15.75">
      <c r="A14" s="48"/>
      <c r="B14" s="43"/>
      <c r="C14" s="43"/>
      <c r="D14" s="43"/>
      <c r="E14" s="43"/>
      <c r="F14" s="43"/>
      <c r="G14" s="43"/>
    </row>
    <row r="15" spans="1:7" ht="15.75">
      <c r="A15" s="48"/>
      <c r="B15" s="43"/>
      <c r="C15" s="43"/>
      <c r="D15" s="43"/>
      <c r="E15" s="43"/>
      <c r="F15" s="43"/>
      <c r="G15" s="43"/>
    </row>
    <row r="16" spans="1:7" ht="15.75">
      <c r="A16" s="48"/>
      <c r="B16" s="43"/>
      <c r="C16" s="8"/>
      <c r="D16" s="43"/>
      <c r="E16" s="43"/>
      <c r="F16" s="43"/>
      <c r="G16" s="43"/>
    </row>
    <row r="17" spans="1:7" ht="15.75">
      <c r="A17" s="48"/>
      <c r="B17" s="43"/>
      <c r="C17" s="43" t="s">
        <v>496</v>
      </c>
      <c r="D17" s="38"/>
      <c r="E17" s="38"/>
      <c r="F17" s="38"/>
      <c r="G17" s="75"/>
    </row>
    <row r="18" spans="1:7" ht="15">
      <c r="A18" s="48">
        <v>1</v>
      </c>
      <c r="B18" s="1132">
        <v>5660007</v>
      </c>
      <c r="C18" s="779" t="s">
        <v>909</v>
      </c>
      <c r="D18" s="1133">
        <v>30471497.9355914</v>
      </c>
      <c r="E18" s="55"/>
      <c r="F18" s="55"/>
      <c r="G18" s="806"/>
    </row>
    <row r="19" spans="1:7" ht="15">
      <c r="A19" s="48">
        <v>2</v>
      </c>
      <c r="B19" s="1132"/>
      <c r="C19" s="779"/>
      <c r="D19" s="1133"/>
      <c r="E19" s="55"/>
      <c r="F19" s="55"/>
      <c r="G19" s="37"/>
    </row>
    <row r="20" spans="1:7" ht="15">
      <c r="A20" s="48">
        <v>3</v>
      </c>
      <c r="B20" s="778"/>
      <c r="C20" s="779"/>
      <c r="D20" s="780"/>
      <c r="E20" s="55"/>
      <c r="F20" s="55"/>
      <c r="G20" s="37"/>
    </row>
    <row r="21" spans="1:7" ht="15.75">
      <c r="A21" s="48">
        <v>4</v>
      </c>
      <c r="B21" s="43"/>
      <c r="C21" s="185" t="s">
        <v>118</v>
      </c>
      <c r="D21" s="248">
        <f>SUM(D18:D19)</f>
        <v>30471497.9355914</v>
      </c>
      <c r="E21" s="55"/>
      <c r="F21" s="55"/>
      <c r="G21" s="43"/>
    </row>
    <row r="22" spans="1:7" ht="15.75">
      <c r="A22" s="48"/>
      <c r="B22" s="43"/>
      <c r="C22" s="185"/>
      <c r="D22" s="198"/>
      <c r="E22" s="38"/>
      <c r="F22" s="38"/>
      <c r="G22" s="43"/>
    </row>
    <row r="23" spans="1:7" ht="15.75">
      <c r="A23" s="8"/>
      <c r="B23" s="43"/>
      <c r="C23" s="43" t="s">
        <v>49</v>
      </c>
      <c r="D23" s="243"/>
      <c r="E23" s="38"/>
      <c r="F23" s="38"/>
      <c r="G23" s="43"/>
    </row>
    <row r="24" spans="1:7" ht="15.75">
      <c r="A24" s="42">
        <f>+A21+1</f>
        <v>5</v>
      </c>
      <c r="B24" s="246"/>
      <c r="C24" s="244"/>
      <c r="D24" s="1027"/>
      <c r="E24" s="38"/>
      <c r="F24" s="38"/>
      <c r="G24" s="43"/>
    </row>
    <row r="25" spans="1:7" ht="15.75">
      <c r="A25" s="245">
        <f>+A24+1</f>
        <v>6</v>
      </c>
      <c r="B25" s="246" t="s">
        <v>50</v>
      </c>
      <c r="C25" s="246" t="s">
        <v>51</v>
      </c>
      <c r="D25" s="780">
        <v>0</v>
      </c>
      <c r="E25" s="38"/>
      <c r="F25" s="38"/>
      <c r="G25" s="43"/>
    </row>
    <row r="26" spans="1:7" ht="15.75">
      <c r="A26" s="42">
        <f>+A25+1</f>
        <v>7</v>
      </c>
      <c r="B26" s="244" t="s">
        <v>52</v>
      </c>
      <c r="C26" s="244" t="s">
        <v>53</v>
      </c>
      <c r="D26" s="780">
        <v>2919655.6109876628</v>
      </c>
      <c r="E26" s="38"/>
      <c r="F26" s="38"/>
      <c r="G26" s="43"/>
    </row>
    <row r="27" spans="1:7" ht="15.75">
      <c r="A27" s="245">
        <f t="shared" ref="A27:A32" si="0">+A26+1</f>
        <v>8</v>
      </c>
      <c r="B27" s="246" t="s">
        <v>54</v>
      </c>
      <c r="C27" s="246" t="s">
        <v>55</v>
      </c>
      <c r="D27" s="780">
        <v>0</v>
      </c>
      <c r="E27" s="38"/>
      <c r="F27" s="38"/>
      <c r="G27" s="43"/>
    </row>
    <row r="28" spans="1:7" ht="15.75">
      <c r="A28" s="42">
        <f t="shared" si="0"/>
        <v>9</v>
      </c>
      <c r="B28" s="244" t="s">
        <v>56</v>
      </c>
      <c r="C28" s="244" t="s">
        <v>57</v>
      </c>
      <c r="D28" s="780">
        <v>9410664.1922369488</v>
      </c>
      <c r="E28" s="38"/>
      <c r="F28" s="38"/>
      <c r="G28" s="43"/>
    </row>
    <row r="29" spans="1:7" ht="15.75">
      <c r="A29" s="245">
        <f t="shared" si="0"/>
        <v>10</v>
      </c>
      <c r="B29" s="246" t="s">
        <v>58</v>
      </c>
      <c r="C29" s="246" t="s">
        <v>59</v>
      </c>
      <c r="D29" s="780">
        <v>700194.32413624937</v>
      </c>
      <c r="E29" s="38"/>
      <c r="F29" s="38"/>
      <c r="G29" s="43"/>
    </row>
    <row r="30" spans="1:7" ht="15.75">
      <c r="A30" s="42">
        <f t="shared" si="0"/>
        <v>11</v>
      </c>
      <c r="B30" s="244" t="s">
        <v>60</v>
      </c>
      <c r="C30" s="244" t="s">
        <v>61</v>
      </c>
      <c r="D30" s="780">
        <v>0</v>
      </c>
      <c r="E30" s="38"/>
      <c r="F30" s="38"/>
      <c r="G30" s="43"/>
    </row>
    <row r="31" spans="1:7" ht="15.75">
      <c r="A31" s="245">
        <f t="shared" si="0"/>
        <v>12</v>
      </c>
      <c r="B31" s="246" t="s">
        <v>62</v>
      </c>
      <c r="C31" s="246" t="s">
        <v>63</v>
      </c>
      <c r="D31" s="780">
        <v>0</v>
      </c>
      <c r="E31" s="38"/>
      <c r="F31" s="38"/>
      <c r="G31" s="43"/>
    </row>
    <row r="32" spans="1:7" ht="15.75">
      <c r="A32" s="42">
        <f t="shared" si="0"/>
        <v>13</v>
      </c>
      <c r="B32" s="244" t="s">
        <v>64</v>
      </c>
      <c r="C32" s="244" t="s">
        <v>65</v>
      </c>
      <c r="D32" s="780">
        <v>2699093.7716291365</v>
      </c>
      <c r="E32" s="38"/>
      <c r="F32" s="38"/>
      <c r="G32" s="43"/>
    </row>
    <row r="33" spans="1:7" ht="15.75">
      <c r="A33" s="48">
        <f>+A32+1</f>
        <v>14</v>
      </c>
      <c r="B33" s="220"/>
      <c r="C33" s="30" t="s">
        <v>66</v>
      </c>
      <c r="D33" s="221">
        <f>SUM(D24:D32)</f>
        <v>15729607.898989998</v>
      </c>
      <c r="E33" s="38"/>
      <c r="F33" s="38"/>
      <c r="G33" s="43"/>
    </row>
    <row r="34" spans="1:7" ht="15.75">
      <c r="A34" s="181"/>
      <c r="B34" s="54"/>
      <c r="C34" s="43"/>
      <c r="D34" s="43"/>
      <c r="E34" s="43"/>
      <c r="F34" s="43"/>
      <c r="G34" s="43"/>
    </row>
    <row r="35" spans="1:7" ht="15.75">
      <c r="A35" s="181"/>
      <c r="B35" s="42"/>
      <c r="C35" s="83" t="s">
        <v>212</v>
      </c>
      <c r="D35" s="39"/>
      <c r="E35" s="39"/>
      <c r="F35" s="40"/>
      <c r="G35" s="39"/>
    </row>
    <row r="36" spans="1:7" ht="15">
      <c r="A36" s="48">
        <f>+A33+1</f>
        <v>15</v>
      </c>
      <c r="B36" s="1363" t="s">
        <v>910</v>
      </c>
      <c r="C36" s="1364" t="s">
        <v>911</v>
      </c>
      <c r="D36" s="780">
        <v>1818.4484546042183</v>
      </c>
      <c r="E36" s="780">
        <v>1568.4243034164747</v>
      </c>
      <c r="F36" s="40">
        <v>250.02415118774354</v>
      </c>
      <c r="G36" s="37" t="s">
        <v>114</v>
      </c>
    </row>
    <row r="37" spans="1:7" ht="15">
      <c r="A37" s="48">
        <f>+A36+1</f>
        <v>16</v>
      </c>
      <c r="B37" s="1368" t="s">
        <v>968</v>
      </c>
      <c r="C37" s="1364" t="s">
        <v>969</v>
      </c>
      <c r="D37" s="780">
        <v>1040978.9632911532</v>
      </c>
      <c r="E37" s="780">
        <v>1040975.2137845819</v>
      </c>
      <c r="F37" s="40">
        <v>3.7495065712957332</v>
      </c>
      <c r="G37" s="37" t="s">
        <v>114</v>
      </c>
    </row>
    <row r="38" spans="1:7" ht="15">
      <c r="A38" s="48">
        <f>+A37+1</f>
        <v>17</v>
      </c>
      <c r="B38" s="1368" t="s">
        <v>970</v>
      </c>
      <c r="C38" s="1364" t="s">
        <v>971</v>
      </c>
      <c r="D38" s="780">
        <v>1571407.25630062</v>
      </c>
      <c r="E38" s="780">
        <v>1465260.1721722633</v>
      </c>
      <c r="F38" s="40">
        <v>106147.08412835677</v>
      </c>
      <c r="G38" s="37" t="s">
        <v>114</v>
      </c>
    </row>
    <row r="39" spans="1:7" ht="15">
      <c r="A39" s="48">
        <f t="shared" ref="A39:A41" si="1">+A38+1</f>
        <v>18</v>
      </c>
      <c r="B39" s="1369" t="s">
        <v>1072</v>
      </c>
      <c r="C39" s="1364" t="s">
        <v>1073</v>
      </c>
      <c r="D39" s="780">
        <v>15374.781684064665</v>
      </c>
      <c r="E39" s="780">
        <v>15374.781684064665</v>
      </c>
      <c r="F39" s="40">
        <v>0</v>
      </c>
      <c r="G39" s="37" t="s">
        <v>114</v>
      </c>
    </row>
    <row r="40" spans="1:7" ht="12.75" customHeight="1">
      <c r="A40" s="48">
        <f t="shared" si="1"/>
        <v>19</v>
      </c>
      <c r="B40" s="1368" t="s">
        <v>972</v>
      </c>
      <c r="C40" s="1364" t="s">
        <v>973</v>
      </c>
      <c r="D40" s="780">
        <v>68979.216020650041</v>
      </c>
      <c r="E40" s="780">
        <v>39544.43294916609</v>
      </c>
      <c r="F40" s="40">
        <v>29434.783071483951</v>
      </c>
      <c r="G40" s="39"/>
    </row>
    <row r="41" spans="1:7" ht="12.75" customHeight="1">
      <c r="A41" s="48">
        <f t="shared" si="1"/>
        <v>20</v>
      </c>
      <c r="B41" s="1368">
        <v>9280006</v>
      </c>
      <c r="C41" s="1364" t="s">
        <v>1115</v>
      </c>
      <c r="D41" s="780">
        <v>2277542.2243275582</v>
      </c>
      <c r="E41" s="780">
        <v>2208118.9173709285</v>
      </c>
      <c r="F41" s="40">
        <v>69423.306956629574</v>
      </c>
      <c r="G41" s="39"/>
    </row>
    <row r="42" spans="1:7" ht="15.75" customHeight="1">
      <c r="A42" s="48">
        <f>+A41+1</f>
        <v>21</v>
      </c>
      <c r="B42" s="1220"/>
      <c r="C42" s="1221" t="s">
        <v>627</v>
      </c>
      <c r="D42" s="51">
        <f>SUM(D36:D41)</f>
        <v>4976100.8900786508</v>
      </c>
      <c r="E42" s="51">
        <f t="shared" ref="E42:F42" si="2">SUM(E36:E41)</f>
        <v>4770841.9422644209</v>
      </c>
      <c r="F42" s="51">
        <f t="shared" si="2"/>
        <v>205258.94781422935</v>
      </c>
      <c r="G42" s="24"/>
    </row>
    <row r="43" spans="1:7" ht="12.75" customHeight="1">
      <c r="A43" s="48"/>
      <c r="B43" s="1220"/>
      <c r="C43" s="1222"/>
      <c r="D43" s="53"/>
      <c r="E43" s="26"/>
      <c r="F43" s="26"/>
      <c r="G43" s="39"/>
    </row>
    <row r="44" spans="1:7" ht="15.75">
      <c r="A44" s="48"/>
      <c r="B44" s="1223"/>
      <c r="C44" s="83" t="s">
        <v>211</v>
      </c>
      <c r="D44" s="26"/>
      <c r="E44" s="26"/>
      <c r="F44" s="26"/>
      <c r="G44" s="39"/>
    </row>
    <row r="45" spans="1:7" ht="15">
      <c r="A45" s="48">
        <f>+A42+1</f>
        <v>22</v>
      </c>
      <c r="B45" s="1363" t="s">
        <v>912</v>
      </c>
      <c r="C45" s="1364" t="s">
        <v>913</v>
      </c>
      <c r="D45" s="780">
        <v>34503.401292401977</v>
      </c>
      <c r="E45" s="780">
        <v>34503.401292401977</v>
      </c>
      <c r="F45" s="40">
        <v>0</v>
      </c>
    </row>
    <row r="46" spans="1:7" ht="15">
      <c r="A46" s="48">
        <f>+A45+1</f>
        <v>23</v>
      </c>
      <c r="B46" s="1363" t="s">
        <v>914</v>
      </c>
      <c r="C46" s="1364" t="s">
        <v>915</v>
      </c>
      <c r="D46" s="780">
        <v>178850.56910750852</v>
      </c>
      <c r="E46" s="780">
        <v>178609.12244373336</v>
      </c>
      <c r="F46" s="40">
        <v>241.44666377516845</v>
      </c>
    </row>
    <row r="47" spans="1:7" ht="15">
      <c r="A47" s="48">
        <f t="shared" ref="A47:A60" si="3">+A46+1</f>
        <v>24</v>
      </c>
      <c r="B47" s="1363" t="s">
        <v>916</v>
      </c>
      <c r="C47" s="1364" t="s">
        <v>917</v>
      </c>
      <c r="D47" s="780">
        <v>0</v>
      </c>
      <c r="E47" s="780">
        <v>0</v>
      </c>
      <c r="F47" s="40">
        <v>0</v>
      </c>
    </row>
    <row r="48" spans="1:7" ht="15">
      <c r="A48" s="48">
        <f t="shared" si="3"/>
        <v>25</v>
      </c>
      <c r="B48" s="1363" t="s">
        <v>918</v>
      </c>
      <c r="C48" s="1364" t="s">
        <v>919</v>
      </c>
      <c r="D48" s="780">
        <v>0</v>
      </c>
      <c r="E48" s="780">
        <v>0</v>
      </c>
      <c r="F48" s="40">
        <v>0</v>
      </c>
    </row>
    <row r="49" spans="1:7" ht="15">
      <c r="A49" s="48">
        <f>+A48+1</f>
        <v>26</v>
      </c>
      <c r="B49" s="1363" t="s">
        <v>920</v>
      </c>
      <c r="C49" s="1364" t="s">
        <v>921</v>
      </c>
      <c r="D49" s="780">
        <v>12710.267570637061</v>
      </c>
      <c r="E49" s="780">
        <v>12710.267570637061</v>
      </c>
      <c r="F49" s="40">
        <v>0</v>
      </c>
    </row>
    <row r="50" spans="1:7" ht="15">
      <c r="A50" s="48">
        <f t="shared" si="3"/>
        <v>27</v>
      </c>
      <c r="B50" s="1363" t="s">
        <v>922</v>
      </c>
      <c r="C50" s="1364" t="s">
        <v>923</v>
      </c>
      <c r="D50" s="780">
        <v>22515.331125128512</v>
      </c>
      <c r="E50" s="780">
        <v>22515.331125128512</v>
      </c>
      <c r="F50" s="40">
        <v>0</v>
      </c>
    </row>
    <row r="51" spans="1:7" ht="15">
      <c r="A51" s="48">
        <f t="shared" si="3"/>
        <v>28</v>
      </c>
      <c r="B51" s="1363" t="s">
        <v>1116</v>
      </c>
      <c r="C51" s="1364" t="s">
        <v>1117</v>
      </c>
      <c r="D51" s="780">
        <v>1240.2921195762324</v>
      </c>
      <c r="E51" s="780">
        <v>1240.2921195762324</v>
      </c>
      <c r="F51" s="40">
        <v>0</v>
      </c>
    </row>
    <row r="52" spans="1:7" ht="15">
      <c r="A52" s="48">
        <f t="shared" si="3"/>
        <v>29</v>
      </c>
      <c r="B52" s="1363" t="s">
        <v>924</v>
      </c>
      <c r="C52" s="1364" t="s">
        <v>925</v>
      </c>
      <c r="D52" s="780">
        <v>2503.1479903445293</v>
      </c>
      <c r="E52" s="780">
        <v>1785.0905027039389</v>
      </c>
      <c r="F52" s="40">
        <v>718.05748764059047</v>
      </c>
    </row>
    <row r="53" spans="1:7" ht="15">
      <c r="A53" s="48">
        <f>A52+1</f>
        <v>30</v>
      </c>
      <c r="B53" s="1363" t="s">
        <v>926</v>
      </c>
      <c r="C53" s="1364" t="s">
        <v>927</v>
      </c>
      <c r="D53" s="780">
        <v>229522.25389089875</v>
      </c>
      <c r="E53" s="780">
        <v>229517.00031363621</v>
      </c>
      <c r="F53" s="40">
        <v>5.2535772625299852</v>
      </c>
    </row>
    <row r="54" spans="1:7" ht="15">
      <c r="A54" s="48">
        <f>A53+1</f>
        <v>31</v>
      </c>
      <c r="B54" s="1363" t="s">
        <v>928</v>
      </c>
      <c r="C54" s="1364" t="s">
        <v>929</v>
      </c>
      <c r="D54" s="780">
        <v>1556.6809419512238</v>
      </c>
      <c r="E54" s="780">
        <v>1241.5994613834978</v>
      </c>
      <c r="F54" s="40">
        <v>315.08148056772586</v>
      </c>
    </row>
    <row r="55" spans="1:7" ht="15">
      <c r="A55" s="48">
        <f>A54+1</f>
        <v>32</v>
      </c>
      <c r="B55" s="1363" t="s">
        <v>930</v>
      </c>
      <c r="C55" s="1364" t="s">
        <v>931</v>
      </c>
      <c r="D55" s="780">
        <v>4766.8829597251915</v>
      </c>
      <c r="E55" s="780">
        <v>4352.7219171901661</v>
      </c>
      <c r="F55" s="40">
        <v>414.16104253502516</v>
      </c>
    </row>
    <row r="56" spans="1:7" ht="15">
      <c r="A56" s="48">
        <f>A55+1</f>
        <v>33</v>
      </c>
      <c r="B56" s="1132"/>
      <c r="C56" s="779"/>
      <c r="D56" s="780"/>
      <c r="E56" s="780">
        <f t="shared" ref="E56:E60" si="4">+D56</f>
        <v>0</v>
      </c>
      <c r="F56" s="40">
        <v>0</v>
      </c>
    </row>
    <row r="57" spans="1:7" ht="15">
      <c r="A57" s="48">
        <f t="shared" si="3"/>
        <v>34</v>
      </c>
      <c r="B57" s="1132"/>
      <c r="C57" s="779"/>
      <c r="D57" s="780"/>
      <c r="E57" s="780">
        <f t="shared" si="4"/>
        <v>0</v>
      </c>
      <c r="F57" s="40">
        <v>0</v>
      </c>
    </row>
    <row r="58" spans="1:7" ht="15">
      <c r="A58" s="48">
        <f t="shared" si="3"/>
        <v>35</v>
      </c>
      <c r="B58" s="1132"/>
      <c r="C58" s="779"/>
      <c r="D58" s="780"/>
      <c r="E58" s="780">
        <f t="shared" si="4"/>
        <v>0</v>
      </c>
      <c r="F58" s="40">
        <v>0</v>
      </c>
      <c r="G58" s="39"/>
    </row>
    <row r="59" spans="1:7" ht="15">
      <c r="A59" s="48">
        <f t="shared" si="3"/>
        <v>36</v>
      </c>
      <c r="B59" s="1132"/>
      <c r="C59" s="779"/>
      <c r="D59" s="780"/>
      <c r="E59" s="780">
        <f t="shared" si="4"/>
        <v>0</v>
      </c>
      <c r="F59" s="40">
        <v>0</v>
      </c>
      <c r="G59" s="39"/>
    </row>
    <row r="60" spans="1:7" ht="15">
      <c r="A60" s="48">
        <f t="shared" si="3"/>
        <v>37</v>
      </c>
      <c r="B60" s="1132"/>
      <c r="C60" s="779"/>
      <c r="D60" s="780"/>
      <c r="E60" s="780">
        <f t="shared" si="4"/>
        <v>0</v>
      </c>
      <c r="F60" s="40">
        <v>0</v>
      </c>
      <c r="G60" s="39"/>
    </row>
    <row r="61" spans="1:7" ht="15">
      <c r="A61" s="48"/>
      <c r="B61" s="1224"/>
      <c r="C61" s="1225"/>
      <c r="D61" s="44"/>
      <c r="E61" s="45"/>
      <c r="F61" s="44"/>
      <c r="G61" s="39"/>
    </row>
    <row r="62" spans="1:7" ht="15.75">
      <c r="A62" s="48">
        <f>A60+1</f>
        <v>38</v>
      </c>
      <c r="B62" s="1220"/>
      <c r="C62" s="1221" t="s">
        <v>628</v>
      </c>
      <c r="D62" s="46">
        <f>SUM(D45:D61)</f>
        <v>488168.82699817204</v>
      </c>
      <c r="E62" s="46">
        <f>SUM(E45:E61)</f>
        <v>486474.82674639096</v>
      </c>
      <c r="F62" s="46">
        <f>SUM(F45:F61)</f>
        <v>1694.0002517810401</v>
      </c>
      <c r="G62" s="24"/>
    </row>
    <row r="63" spans="1:7" ht="12.75" customHeight="1">
      <c r="A63" s="48"/>
      <c r="B63" s="17"/>
      <c r="C63" s="17"/>
      <c r="D63" s="32"/>
      <c r="E63" s="32"/>
      <c r="F63" s="32"/>
      <c r="G63" s="32"/>
    </row>
    <row r="64" spans="1:7" ht="15.75">
      <c r="A64" s="48"/>
      <c r="B64" s="1226"/>
      <c r="C64" s="83" t="s">
        <v>210</v>
      </c>
      <c r="D64" s="47"/>
      <c r="E64" s="47"/>
      <c r="F64" s="47"/>
      <c r="G64" s="30"/>
    </row>
    <row r="65" spans="1:7" ht="15">
      <c r="A65" s="48">
        <f>+A62+1</f>
        <v>39</v>
      </c>
      <c r="B65" s="1363" t="s">
        <v>932</v>
      </c>
      <c r="C65" s="1364" t="s">
        <v>933</v>
      </c>
      <c r="D65" s="780">
        <v>1932326.9977035543</v>
      </c>
      <c r="E65" s="780">
        <v>1608667.5229616519</v>
      </c>
      <c r="F65" s="1374">
        <v>323659.47474190238</v>
      </c>
      <c r="G65" s="23"/>
    </row>
    <row r="66" spans="1:7" ht="15">
      <c r="A66" s="48">
        <f>+A65+1</f>
        <v>40</v>
      </c>
      <c r="B66" s="1363" t="s">
        <v>934</v>
      </c>
      <c r="C66" s="1364" t="s">
        <v>935</v>
      </c>
      <c r="D66" s="780">
        <v>463211.49912293802</v>
      </c>
      <c r="E66" s="780">
        <v>402220.15819503658</v>
      </c>
      <c r="F66" s="1374">
        <v>60991.340927901416</v>
      </c>
      <c r="G66" s="23"/>
    </row>
    <row r="67" spans="1:7" ht="15">
      <c r="A67" s="48">
        <f>+A66+1</f>
        <v>41</v>
      </c>
      <c r="B67" s="1363" t="s">
        <v>936</v>
      </c>
      <c r="C67" s="1364" t="s">
        <v>937</v>
      </c>
      <c r="D67" s="780">
        <v>2213.1912299419373</v>
      </c>
      <c r="E67" s="780">
        <v>1843.4364806742246</v>
      </c>
      <c r="F67" s="1374">
        <v>369.75474926771273</v>
      </c>
      <c r="G67" s="23"/>
    </row>
    <row r="68" spans="1:7" ht="15">
      <c r="A68" s="48">
        <f t="shared" ref="A68:A70" si="5">+A67+1</f>
        <v>42</v>
      </c>
      <c r="B68" s="1363" t="s">
        <v>938</v>
      </c>
      <c r="C68" s="1364" t="s">
        <v>1118</v>
      </c>
      <c r="D68" s="780">
        <v>350033.59873734578</v>
      </c>
      <c r="E68" s="780">
        <v>350033.59873734578</v>
      </c>
      <c r="F68" s="1374">
        <v>0</v>
      </c>
      <c r="G68" s="23"/>
    </row>
    <row r="69" spans="1:7" ht="15">
      <c r="A69" s="48">
        <f t="shared" si="5"/>
        <v>43</v>
      </c>
      <c r="B69" s="1363" t="s">
        <v>939</v>
      </c>
      <c r="C69" s="1364" t="s">
        <v>940</v>
      </c>
      <c r="D69" s="780">
        <v>7819427.5207953192</v>
      </c>
      <c r="E69" s="780">
        <v>3497833.9336987641</v>
      </c>
      <c r="F69" s="1374">
        <v>4321593.5870965552</v>
      </c>
      <c r="G69" s="23"/>
    </row>
    <row r="70" spans="1:7" ht="15">
      <c r="A70" s="48">
        <f t="shared" si="5"/>
        <v>44</v>
      </c>
      <c r="B70" s="1363" t="s">
        <v>1119</v>
      </c>
      <c r="C70" s="1364" t="s">
        <v>1120</v>
      </c>
      <c r="D70" s="780">
        <v>0</v>
      </c>
      <c r="E70" s="780">
        <v>0</v>
      </c>
      <c r="F70" s="40">
        <v>0</v>
      </c>
      <c r="G70" s="32"/>
    </row>
    <row r="71" spans="1:7" ht="15">
      <c r="A71" s="48"/>
      <c r="B71" s="249"/>
      <c r="C71" s="252"/>
      <c r="D71" s="253"/>
      <c r="E71" s="250"/>
      <c r="F71" s="250"/>
      <c r="G71" s="32"/>
    </row>
    <row r="72" spans="1:7" ht="15.75">
      <c r="A72" s="48">
        <f>+A70+1</f>
        <v>45</v>
      </c>
      <c r="B72" s="32"/>
      <c r="C72" s="1028" t="s">
        <v>629</v>
      </c>
      <c r="D72" s="251">
        <f>SUM(D65:D70)</f>
        <v>10567212.807589099</v>
      </c>
      <c r="E72" s="251">
        <f>SUM(E65:E70)</f>
        <v>5860598.6500734724</v>
      </c>
      <c r="F72" s="251">
        <f>SUM(F65:F70)</f>
        <v>4706614.1575156264</v>
      </c>
      <c r="G72" s="2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H257"/>
  <sheetViews>
    <sheetView view="pageBreakPreview" topLeftCell="A5" zoomScaleNormal="100" zoomScaleSheetLayoutView="100" workbookViewId="0">
      <selection activeCell="C18" sqref="C18"/>
    </sheetView>
  </sheetViews>
  <sheetFormatPr defaultRowHeight="12.75" customHeight="1"/>
  <cols>
    <col min="2" max="2" width="32.5703125" customWidth="1"/>
    <col min="5" max="5" width="15" customWidth="1"/>
    <col min="6" max="6" width="12.85546875" bestFit="1" customWidth="1"/>
    <col min="7" max="7" width="10.85546875" customWidth="1"/>
    <col min="8" max="8" width="2.85546875" customWidth="1"/>
    <col min="9" max="15" width="9.140625" customWidth="1"/>
  </cols>
  <sheetData>
    <row r="1" spans="1:8" ht="15.75">
      <c r="A1" s="808"/>
    </row>
    <row r="2" spans="1:8" ht="15.75">
      <c r="A2" s="808"/>
    </row>
    <row r="3" spans="1:8" ht="15">
      <c r="A3" s="1460" t="s">
        <v>387</v>
      </c>
      <c r="B3" s="1460"/>
      <c r="C3" s="1460"/>
      <c r="D3" s="1460"/>
      <c r="E3" s="1460"/>
      <c r="F3" s="1460"/>
      <c r="G3" s="1460"/>
      <c r="H3" s="1460"/>
    </row>
    <row r="4" spans="1:8" ht="15">
      <c r="A4" s="1461" t="str">
        <f>"Cost of Service Formula Rate Using Actual/Projected FF1 Balances"</f>
        <v>Cost of Service Formula Rate Using Actual/Projected FF1 Balances</v>
      </c>
      <c r="B4" s="1461"/>
      <c r="C4" s="1461"/>
      <c r="D4" s="1461"/>
      <c r="E4" s="1461"/>
      <c r="F4" s="1461"/>
      <c r="G4" s="1461"/>
      <c r="H4" s="1461"/>
    </row>
    <row r="5" spans="1:8" ht="15">
      <c r="A5" s="1461" t="s">
        <v>527</v>
      </c>
      <c r="B5" s="1461"/>
      <c r="C5" s="1461"/>
      <c r="D5" s="1461"/>
      <c r="E5" s="1461"/>
      <c r="F5" s="1461"/>
      <c r="G5" s="1461"/>
      <c r="H5" s="1461"/>
    </row>
    <row r="6" spans="1:8" ht="15">
      <c r="A6" s="1472" t="str">
        <f>TCOS!F9</f>
        <v>Appalachian Power Company</v>
      </c>
      <c r="B6" s="1472"/>
      <c r="C6" s="1472"/>
      <c r="D6" s="1472"/>
      <c r="E6" s="1472"/>
      <c r="F6" s="1472"/>
      <c r="G6" s="1472"/>
    </row>
    <row r="7" spans="1:8" ht="12.75" customHeight="1">
      <c r="A7" s="16"/>
      <c r="B7" s="20"/>
      <c r="C7" s="20"/>
      <c r="D7" s="20"/>
      <c r="E7" s="20"/>
      <c r="F7" s="20"/>
      <c r="G7" s="20"/>
      <c r="H7" s="20"/>
    </row>
    <row r="8" spans="1:8" ht="12.75" customHeight="1">
      <c r="A8" s="16"/>
      <c r="B8" s="33"/>
      <c r="C8" s="2"/>
      <c r="D8" s="2"/>
      <c r="E8" s="2"/>
      <c r="F8" s="2"/>
    </row>
    <row r="9" spans="1:8" ht="12.75" customHeight="1">
      <c r="A9" s="16"/>
      <c r="B9" s="15" t="s">
        <v>1193</v>
      </c>
      <c r="C9" s="31"/>
      <c r="D9" s="34"/>
      <c r="E9" s="1217">
        <v>6.5000000000000002E-2</v>
      </c>
      <c r="F9" s="2"/>
    </row>
    <row r="10" spans="1:8" ht="12.75" customHeight="1">
      <c r="A10" s="16"/>
      <c r="B10" s="15" t="s">
        <v>941</v>
      </c>
      <c r="C10" s="31"/>
      <c r="D10" s="31"/>
      <c r="E10" s="1218">
        <v>1.0999999999999999E-2</v>
      </c>
      <c r="F10" s="2"/>
    </row>
    <row r="11" spans="1:8" ht="12.75" customHeight="1">
      <c r="A11" s="16"/>
      <c r="B11" s="15" t="s">
        <v>448</v>
      </c>
      <c r="C11" s="31"/>
      <c r="D11" s="31"/>
      <c r="E11" s="1219"/>
      <c r="F11" s="35">
        <f>ROUND(E9*E10,4)</f>
        <v>6.9999999999999999E-4</v>
      </c>
    </row>
    <row r="12" spans="1:8" ht="12.75" customHeight="1">
      <c r="A12" s="16"/>
      <c r="B12" s="15"/>
      <c r="C12" s="31"/>
      <c r="D12" s="31"/>
      <c r="E12" s="1219"/>
      <c r="F12" s="35"/>
    </row>
    <row r="13" spans="1:8" ht="12.75" customHeight="1">
      <c r="A13" s="16"/>
      <c r="B13" s="15" t="s">
        <v>1188</v>
      </c>
      <c r="C13" s="31"/>
      <c r="D13" s="31"/>
      <c r="E13" s="1217">
        <v>2.5000000000000001E-2</v>
      </c>
      <c r="F13" s="2"/>
    </row>
    <row r="14" spans="1:8" ht="12.75" customHeight="1">
      <c r="A14" s="16"/>
      <c r="B14" s="15" t="s">
        <v>941</v>
      </c>
      <c r="C14" s="31"/>
      <c r="D14" s="31"/>
      <c r="E14" s="1218">
        <v>0</v>
      </c>
      <c r="F14" s="2"/>
    </row>
    <row r="15" spans="1:8" ht="12.75" customHeight="1">
      <c r="A15" s="16"/>
      <c r="B15" s="15" t="s">
        <v>448</v>
      </c>
      <c r="C15" s="31"/>
      <c r="D15" s="31"/>
      <c r="E15" s="1219"/>
      <c r="F15" s="35">
        <f>ROUND(E13*E14,4)</f>
        <v>0</v>
      </c>
    </row>
    <row r="16" spans="1:8" ht="12.75" customHeight="1">
      <c r="A16" s="16"/>
      <c r="B16" s="15"/>
      <c r="C16" s="31"/>
      <c r="D16" s="31"/>
      <c r="E16" s="1219"/>
      <c r="F16" s="35"/>
    </row>
    <row r="17" spans="1:6" ht="12.75" customHeight="1">
      <c r="A17" s="16"/>
      <c r="B17" s="15" t="s">
        <v>1192</v>
      </c>
      <c r="C17" s="31"/>
      <c r="D17" s="34"/>
      <c r="E17" s="1217">
        <v>6.5000000000000002E-2</v>
      </c>
      <c r="F17" s="2"/>
    </row>
    <row r="18" spans="1:6" ht="12.75" customHeight="1">
      <c r="A18" s="16"/>
      <c r="B18" s="15" t="s">
        <v>941</v>
      </c>
      <c r="C18" s="31"/>
      <c r="D18" s="31"/>
      <c r="E18" s="1218">
        <v>0.47599999999999998</v>
      </c>
      <c r="F18" s="2"/>
    </row>
    <row r="19" spans="1:6" ht="12.75" customHeight="1">
      <c r="A19" s="16"/>
      <c r="B19" s="15" t="s">
        <v>448</v>
      </c>
      <c r="C19" s="31"/>
      <c r="D19" s="31"/>
      <c r="E19" s="1219"/>
      <c r="F19" s="35">
        <f>ROUND(E17*E18,4)</f>
        <v>3.09E-2</v>
      </c>
    </row>
    <row r="20" spans="1:6" ht="12.75" customHeight="1">
      <c r="A20" s="16"/>
      <c r="B20" s="15"/>
      <c r="C20" s="31"/>
      <c r="D20" s="31"/>
      <c r="E20" s="1219"/>
      <c r="F20" s="35"/>
    </row>
    <row r="21" spans="1:6" ht="12.75" customHeight="1">
      <c r="A21" s="16"/>
      <c r="B21" s="15" t="s">
        <v>1194</v>
      </c>
      <c r="C21" s="31"/>
      <c r="D21" s="34"/>
      <c r="E21" s="1217">
        <v>0</v>
      </c>
      <c r="F21" s="2"/>
    </row>
    <row r="22" spans="1:6" ht="12.75" customHeight="1">
      <c r="A22" s="16"/>
      <c r="B22" s="15" t="s">
        <v>941</v>
      </c>
      <c r="C22" s="31"/>
      <c r="D22" s="31"/>
      <c r="E22" s="1218">
        <v>0.434</v>
      </c>
      <c r="F22" s="2"/>
    </row>
    <row r="23" spans="1:6" ht="12.75" customHeight="1">
      <c r="A23" s="16"/>
      <c r="B23" s="15" t="s">
        <v>448</v>
      </c>
      <c r="C23" s="31"/>
      <c r="D23" s="31"/>
      <c r="E23" s="1219"/>
      <c r="F23" s="35">
        <f>ROUND(E21*E22,4)</f>
        <v>0</v>
      </c>
    </row>
    <row r="24" spans="1:6" ht="12.75" customHeight="1">
      <c r="A24" s="16"/>
      <c r="B24" s="15"/>
      <c r="C24" s="31"/>
      <c r="D24" s="31"/>
      <c r="E24" s="1219"/>
      <c r="F24" s="35"/>
    </row>
    <row r="25" spans="1:6" ht="12.75" customHeight="1">
      <c r="A25" s="16"/>
      <c r="B25" s="15" t="s">
        <v>942</v>
      </c>
      <c r="C25" s="31"/>
      <c r="D25" s="34"/>
      <c r="E25" s="1217">
        <v>0</v>
      </c>
      <c r="F25" s="36"/>
    </row>
    <row r="26" spans="1:6" ht="12.75" customHeight="1">
      <c r="A26" s="16"/>
      <c r="B26" s="15" t="s">
        <v>943</v>
      </c>
      <c r="C26" s="31"/>
      <c r="D26" s="34"/>
      <c r="E26" s="1217">
        <v>0</v>
      </c>
      <c r="F26" s="36"/>
    </row>
    <row r="27" spans="1:6" ht="12.75" customHeight="1">
      <c r="A27" s="16"/>
      <c r="B27" s="15" t="s">
        <v>941</v>
      </c>
      <c r="C27" s="31"/>
      <c r="D27" s="31"/>
      <c r="E27" s="1218">
        <v>0</v>
      </c>
      <c r="F27" s="36"/>
    </row>
    <row r="28" spans="1:6" ht="12.75" customHeight="1">
      <c r="A28" s="16"/>
      <c r="B28" s="15" t="s">
        <v>448</v>
      </c>
      <c r="C28" s="31"/>
      <c r="D28" s="31"/>
      <c r="E28" s="1219"/>
      <c r="F28" s="35">
        <f>+E25*E26*E27</f>
        <v>0</v>
      </c>
    </row>
    <row r="29" spans="1:6" ht="12.75" customHeight="1">
      <c r="A29" s="16"/>
      <c r="B29" s="15"/>
      <c r="C29" s="31"/>
      <c r="D29" s="31"/>
      <c r="E29" s="1219"/>
      <c r="F29" s="35"/>
    </row>
    <row r="30" spans="1:6" ht="12.75" customHeight="1">
      <c r="A30" s="16"/>
      <c r="B30" s="15" t="s">
        <v>1191</v>
      </c>
      <c r="C30" s="31"/>
      <c r="D30" s="34"/>
      <c r="E30" s="1217">
        <v>0.06</v>
      </c>
      <c r="F30" s="2"/>
    </row>
    <row r="31" spans="1:6" ht="12.75" customHeight="1">
      <c r="A31" s="16"/>
      <c r="B31" s="15" t="s">
        <v>941</v>
      </c>
      <c r="C31" s="31"/>
      <c r="D31" s="31"/>
      <c r="E31" s="1218">
        <v>0</v>
      </c>
      <c r="F31" s="2"/>
    </row>
    <row r="32" spans="1:6" ht="12.75" customHeight="1">
      <c r="A32" s="16"/>
      <c r="B32" s="15" t="s">
        <v>448</v>
      </c>
      <c r="C32" s="31"/>
      <c r="D32" s="31"/>
      <c r="E32" s="1219"/>
      <c r="F32" s="35">
        <f>ROUND(E30*E31,4)</f>
        <v>0</v>
      </c>
    </row>
    <row r="33" spans="1:8" ht="12.75" customHeight="1">
      <c r="A33" s="16"/>
      <c r="B33" s="15"/>
      <c r="C33" s="31"/>
      <c r="D33" s="31"/>
      <c r="E33" s="1219"/>
      <c r="F33" s="35"/>
    </row>
    <row r="34" spans="1:8" ht="12.75" customHeight="1">
      <c r="A34" s="16"/>
      <c r="B34" s="15" t="s">
        <v>1190</v>
      </c>
      <c r="C34" s="31"/>
      <c r="D34" s="34"/>
      <c r="E34" s="1217">
        <v>9.5000000000000001E-2</v>
      </c>
      <c r="F34" s="2"/>
    </row>
    <row r="35" spans="1:8" ht="12.75" customHeight="1">
      <c r="A35" s="16"/>
      <c r="B35" s="15" t="s">
        <v>941</v>
      </c>
      <c r="C35" s="31"/>
      <c r="D35" s="31"/>
      <c r="E35" s="1218">
        <v>1E-3</v>
      </c>
      <c r="F35" s="2"/>
    </row>
    <row r="36" spans="1:8" ht="12.75" customHeight="1">
      <c r="A36" s="16"/>
      <c r="B36" s="15" t="s">
        <v>448</v>
      </c>
      <c r="C36" s="31"/>
      <c r="D36" s="31"/>
      <c r="E36" s="17"/>
      <c r="F36" s="35">
        <f>ROUND(E34*E35,4)</f>
        <v>1E-4</v>
      </c>
    </row>
    <row r="37" spans="1:8" ht="12.75" customHeight="1">
      <c r="A37" s="16"/>
      <c r="B37" s="6"/>
    </row>
    <row r="38" spans="1:8" ht="12.75" customHeight="1">
      <c r="A38" s="16"/>
      <c r="B38" s="15" t="s">
        <v>1189</v>
      </c>
      <c r="E38" s="1217">
        <v>0.05</v>
      </c>
    </row>
    <row r="39" spans="1:8" ht="12.75" customHeight="1">
      <c r="A39" s="16"/>
      <c r="B39" s="15" t="s">
        <v>941</v>
      </c>
      <c r="E39" s="1218">
        <v>0</v>
      </c>
    </row>
    <row r="40" spans="1:8" ht="12.75" customHeight="1">
      <c r="A40" s="16"/>
      <c r="B40" s="15" t="s">
        <v>448</v>
      </c>
      <c r="F40" s="35">
        <f>ROUND(E38*E39,4)</f>
        <v>0</v>
      </c>
    </row>
    <row r="41" spans="1:8" ht="12.75" customHeight="1">
      <c r="A41" s="16"/>
      <c r="B41" s="6"/>
    </row>
    <row r="42" spans="1:8" ht="12.75" customHeight="1">
      <c r="A42" s="16"/>
      <c r="B42" s="15"/>
      <c r="C42" s="31"/>
      <c r="D42" s="31"/>
      <c r="E42" s="31"/>
      <c r="F42" s="36"/>
    </row>
    <row r="43" spans="1:8" ht="15.75" thickBot="1">
      <c r="A43" s="19"/>
      <c r="B43" s="17" t="s">
        <v>203</v>
      </c>
      <c r="C43" s="17"/>
      <c r="D43" s="17"/>
      <c r="E43" s="17"/>
      <c r="F43" s="116">
        <f>ROUND(SUM(F11:F42),4)</f>
        <v>3.1699999999999999E-2</v>
      </c>
      <c r="G43" s="18"/>
    </row>
    <row r="44" spans="1:8" ht="13.5" thickTop="1">
      <c r="A44" s="19"/>
      <c r="G44" s="18"/>
      <c r="H44" s="18"/>
    </row>
    <row r="45" spans="1:8">
      <c r="A45" s="19"/>
      <c r="G45" s="18"/>
      <c r="H45" s="18"/>
    </row>
    <row r="46" spans="1:8" ht="12.75" customHeight="1">
      <c r="A46" s="19"/>
      <c r="C46" s="17"/>
      <c r="D46" s="17"/>
      <c r="E46" s="17"/>
      <c r="F46" s="17"/>
      <c r="G46" s="18"/>
      <c r="H46" s="18"/>
    </row>
    <row r="47" spans="1:8" ht="21.75" customHeight="1">
      <c r="A47" s="2"/>
      <c r="B47" s="1505" t="s">
        <v>114</v>
      </c>
      <c r="C47" s="1505"/>
      <c r="D47" s="1505"/>
      <c r="E47" s="1505"/>
      <c r="F47" s="1505"/>
      <c r="G47" s="1505"/>
      <c r="H47" s="18"/>
    </row>
    <row r="48" spans="1:8" ht="12.75" customHeight="1">
      <c r="A48" s="18"/>
      <c r="B48" s="1505"/>
      <c r="C48" s="1505"/>
      <c r="D48" s="1505"/>
      <c r="E48" s="1505"/>
      <c r="F48" s="1505"/>
      <c r="G48" s="1505"/>
      <c r="H48" s="18"/>
    </row>
    <row r="49" spans="1:8" ht="17.25" customHeight="1">
      <c r="A49" s="18"/>
      <c r="B49" s="1505"/>
      <c r="C49" s="1505"/>
      <c r="D49" s="1505"/>
      <c r="E49" s="1505"/>
      <c r="F49" s="1505"/>
      <c r="G49" s="1505"/>
      <c r="H49" s="18"/>
    </row>
    <row r="50" spans="1:8" ht="18" customHeight="1">
      <c r="A50" s="5" t="s">
        <v>499</v>
      </c>
      <c r="B50" s="5" t="s">
        <v>75</v>
      </c>
      <c r="C50" s="5"/>
      <c r="D50" s="5"/>
      <c r="E50" s="5"/>
      <c r="F50" s="5"/>
      <c r="G50" s="5"/>
      <c r="H50" s="18"/>
    </row>
    <row r="257" spans="2:2">
      <c r="B257" t="s">
        <v>114</v>
      </c>
    </row>
  </sheetData>
  <mergeCells count="5">
    <mergeCell ref="B47:G49"/>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80"/>
  <sheetViews>
    <sheetView zoomScale="55" zoomScaleNormal="55" workbookViewId="0">
      <selection activeCell="E20" sqref="E20"/>
    </sheetView>
  </sheetViews>
  <sheetFormatPr defaultRowHeight="12.75" customHeight="1"/>
  <cols>
    <col min="1" max="1" width="7.28515625" customWidth="1"/>
    <col min="2" max="2" width="1.7109375" customWidth="1"/>
    <col min="3" max="3" width="62.42578125" customWidth="1"/>
    <col min="4" max="4" width="19.140625" customWidth="1"/>
    <col min="5" max="5" width="22.7109375" customWidth="1"/>
    <col min="6" max="6" width="1.7109375" customWidth="1"/>
    <col min="7" max="7" width="21.85546875" customWidth="1"/>
    <col min="8" max="8" width="1.7109375" customWidth="1"/>
    <col min="9" max="9" width="21.42578125" customWidth="1"/>
    <col min="10" max="10" width="1.7109375" customWidth="1"/>
    <col min="11" max="11" width="19.42578125" bestFit="1" customWidth="1"/>
    <col min="12" max="12" width="3.42578125" customWidth="1"/>
    <col min="13" max="13" width="22.5703125" customWidth="1"/>
    <col min="14" max="15" width="9.140625" customWidth="1"/>
  </cols>
  <sheetData>
    <row r="1" spans="1:13" ht="15.75">
      <c r="A1" s="808"/>
      <c r="B1" s="105"/>
      <c r="C1" s="105"/>
      <c r="D1" s="105"/>
      <c r="E1" s="100"/>
      <c r="F1" s="91"/>
      <c r="G1" s="91"/>
      <c r="H1" s="91"/>
      <c r="I1" s="91"/>
      <c r="J1" s="91"/>
      <c r="K1" s="91"/>
      <c r="L1" s="91"/>
      <c r="M1" s="91"/>
    </row>
    <row r="2" spans="1:13" ht="15.75">
      <c r="A2" s="808"/>
      <c r="B2" s="105"/>
      <c r="C2" s="105"/>
      <c r="D2" s="105"/>
      <c r="E2" s="100"/>
      <c r="F2" s="91"/>
      <c r="G2" s="91"/>
      <c r="H2" s="91"/>
      <c r="I2" s="91"/>
      <c r="J2" s="91"/>
      <c r="K2" s="91"/>
      <c r="L2" s="91"/>
      <c r="M2" s="91"/>
    </row>
    <row r="3" spans="1:13" ht="18.75" customHeight="1">
      <c r="A3" s="1460" t="s">
        <v>387</v>
      </c>
      <c r="B3" s="1460"/>
      <c r="C3" s="1460"/>
      <c r="D3" s="1460"/>
      <c r="E3" s="1460"/>
      <c r="F3" s="1460"/>
      <c r="G3" s="1460"/>
      <c r="H3" s="1460"/>
      <c r="I3" s="1460"/>
      <c r="J3" s="1460"/>
      <c r="K3" s="1460"/>
      <c r="L3" s="1460"/>
      <c r="M3" s="1460"/>
    </row>
    <row r="4" spans="1:13" ht="18.75" customHeight="1">
      <c r="A4" s="1461" t="str">
        <f>"Cost of Service Formula Rate Using Actual/Projected FF1 Balances"</f>
        <v>Cost of Service Formula Rate Using Actual/Projected FF1 Balances</v>
      </c>
      <c r="B4" s="1461"/>
      <c r="C4" s="1461"/>
      <c r="D4" s="1461"/>
      <c r="E4" s="1461"/>
      <c r="F4" s="1461"/>
      <c r="G4" s="1461"/>
      <c r="H4" s="1461"/>
      <c r="I4" s="1461"/>
      <c r="J4" s="1461"/>
      <c r="K4" s="1461"/>
      <c r="L4" s="1461"/>
      <c r="M4" s="1461"/>
    </row>
    <row r="5" spans="1:13" ht="18.75" customHeight="1">
      <c r="A5" s="1461" t="s">
        <v>238</v>
      </c>
      <c r="B5" s="1461"/>
      <c r="C5" s="1461"/>
      <c r="D5" s="1461"/>
      <c r="E5" s="1461"/>
      <c r="F5" s="1461"/>
      <c r="G5" s="1461"/>
      <c r="H5" s="1461"/>
      <c r="I5" s="1461"/>
      <c r="J5" s="1461"/>
      <c r="K5" s="1461"/>
      <c r="L5" s="1461"/>
      <c r="M5" s="1461"/>
    </row>
    <row r="6" spans="1:13" ht="18.75" customHeight="1">
      <c r="A6" s="1468" t="str">
        <f>+TCOS!F9</f>
        <v>Appalachian Power Company</v>
      </c>
      <c r="B6" s="1468"/>
      <c r="C6" s="1468"/>
      <c r="D6" s="1468"/>
      <c r="E6" s="1468"/>
      <c r="F6" s="1468"/>
      <c r="G6" s="1468"/>
      <c r="H6" s="1468"/>
      <c r="I6" s="1468"/>
      <c r="J6" s="1468"/>
      <c r="K6" s="1468"/>
      <c r="L6" s="1468"/>
      <c r="M6" s="1468"/>
    </row>
    <row r="7" spans="1:13" ht="18" customHeight="1">
      <c r="A7" s="1472"/>
      <c r="B7" s="1472"/>
      <c r="C7" s="1472"/>
      <c r="D7" s="1472"/>
      <c r="E7" s="1472"/>
      <c r="F7" s="1472"/>
      <c r="G7" s="1472"/>
      <c r="H7" s="1472"/>
      <c r="I7" s="1472"/>
      <c r="J7" s="1472"/>
      <c r="K7" s="1472"/>
      <c r="L7" s="1472"/>
      <c r="M7" s="1472"/>
    </row>
    <row r="8" spans="1:13" ht="18" customHeight="1">
      <c r="A8" s="1504"/>
      <c r="B8" s="1504"/>
      <c r="C8" s="1504"/>
      <c r="D8" s="1504"/>
      <c r="E8" s="1504"/>
      <c r="F8" s="1504"/>
      <c r="G8" s="1504"/>
      <c r="H8" s="1504"/>
      <c r="I8" s="1504"/>
      <c r="J8" s="1504"/>
      <c r="K8" s="1504"/>
      <c r="L8" s="1504"/>
      <c r="M8" s="1504"/>
    </row>
    <row r="9" spans="1:13" ht="18" customHeight="1">
      <c r="A9" s="142"/>
      <c r="B9" s="142"/>
      <c r="C9" s="142"/>
      <c r="D9" s="142"/>
      <c r="E9" s="142"/>
      <c r="F9" s="142"/>
      <c r="G9" s="142"/>
      <c r="H9" s="142"/>
      <c r="I9" s="142"/>
      <c r="J9" s="142"/>
      <c r="K9" s="142"/>
      <c r="L9" s="142"/>
      <c r="M9" s="142"/>
    </row>
    <row r="10" spans="1:13" ht="19.5" customHeight="1">
      <c r="A10" s="93"/>
      <c r="B10" s="94"/>
      <c r="C10" s="30" t="s">
        <v>162</v>
      </c>
      <c r="D10" s="105"/>
      <c r="E10" s="30" t="s">
        <v>163</v>
      </c>
      <c r="F10" s="91"/>
      <c r="G10" s="30" t="s">
        <v>164</v>
      </c>
      <c r="H10" s="91"/>
      <c r="I10" s="30" t="s">
        <v>165</v>
      </c>
      <c r="J10" s="91"/>
      <c r="K10" s="30" t="s">
        <v>84</v>
      </c>
      <c r="L10" s="91"/>
      <c r="M10" s="30" t="s">
        <v>85</v>
      </c>
    </row>
    <row r="11" spans="1:13" ht="18">
      <c r="A11" s="164"/>
      <c r="B11" s="165"/>
      <c r="C11" s="165"/>
      <c r="D11" s="165"/>
    </row>
    <row r="12" spans="1:13" ht="19.5">
      <c r="A12" s="164" t="s">
        <v>169</v>
      </c>
      <c r="B12" s="165"/>
      <c r="C12" s="165"/>
      <c r="D12" s="165"/>
      <c r="E12" s="166" t="s">
        <v>118</v>
      </c>
      <c r="F12" s="164"/>
      <c r="G12" s="164"/>
      <c r="H12" s="164"/>
      <c r="I12" s="164"/>
      <c r="J12" s="164"/>
      <c r="K12" s="99"/>
      <c r="L12" s="99"/>
      <c r="M12" s="167"/>
    </row>
    <row r="13" spans="1:13" ht="19.5">
      <c r="A13" s="168" t="s">
        <v>117</v>
      </c>
      <c r="B13" s="165"/>
      <c r="C13" s="168" t="s">
        <v>306</v>
      </c>
      <c r="D13" s="165"/>
      <c r="E13" s="169" t="s">
        <v>183</v>
      </c>
      <c r="F13" s="164"/>
      <c r="G13" s="168" t="s">
        <v>309</v>
      </c>
      <c r="H13" s="164"/>
      <c r="I13" s="168" t="s">
        <v>161</v>
      </c>
      <c r="J13" s="164"/>
      <c r="K13" s="170" t="s">
        <v>181</v>
      </c>
      <c r="L13" s="171"/>
      <c r="M13" s="170" t="s">
        <v>310</v>
      </c>
    </row>
    <row r="14" spans="1:13" ht="19.5">
      <c r="A14" s="95"/>
      <c r="B14" s="94"/>
      <c r="C14" s="90"/>
      <c r="D14" s="90"/>
      <c r="E14" s="90" t="s">
        <v>68</v>
      </c>
      <c r="F14" s="90"/>
      <c r="G14" s="90"/>
      <c r="H14" s="90"/>
      <c r="I14" s="90"/>
      <c r="J14" s="90"/>
      <c r="K14" s="89"/>
      <c r="L14" s="89"/>
      <c r="M14" s="91"/>
    </row>
    <row r="15" spans="1:13" ht="19.5">
      <c r="A15" s="93"/>
      <c r="B15" s="94"/>
      <c r="C15" s="94"/>
      <c r="D15" s="94"/>
      <c r="E15" s="96"/>
      <c r="F15" s="92"/>
      <c r="G15" s="92"/>
      <c r="H15" s="92"/>
      <c r="I15" s="88"/>
      <c r="J15" s="92"/>
      <c r="K15" s="89"/>
      <c r="L15" s="89"/>
      <c r="M15" s="91"/>
    </row>
    <row r="16" spans="1:13" ht="19.5">
      <c r="A16" s="93">
        <v>1</v>
      </c>
      <c r="B16" s="94"/>
      <c r="C16" s="97" t="s">
        <v>323</v>
      </c>
      <c r="D16" s="94"/>
      <c r="E16" s="89"/>
      <c r="F16" s="89"/>
      <c r="G16" s="115"/>
      <c r="H16" s="115"/>
      <c r="I16" s="115"/>
      <c r="J16" s="115"/>
      <c r="K16" s="115"/>
      <c r="L16" s="115"/>
      <c r="M16" s="98"/>
    </row>
    <row r="17" spans="1:13" ht="19.5">
      <c r="A17" s="93">
        <f>+A16+1</f>
        <v>2</v>
      </c>
      <c r="B17" s="94"/>
      <c r="C17" s="89" t="s">
        <v>307</v>
      </c>
      <c r="D17" s="94"/>
      <c r="E17" s="219">
        <f>'WS H-1-Detail of Tax Amts'!E15</f>
        <v>28920</v>
      </c>
      <c r="F17" s="89"/>
      <c r="G17" s="115"/>
      <c r="H17" s="115"/>
      <c r="I17" s="115"/>
      <c r="J17" s="115"/>
      <c r="K17" s="115"/>
      <c r="L17" s="115"/>
      <c r="M17" s="98">
        <f>+E17</f>
        <v>28920</v>
      </c>
    </row>
    <row r="18" spans="1:13" ht="19.5">
      <c r="A18" s="93"/>
      <c r="B18" s="94"/>
      <c r="C18" s="99"/>
      <c r="D18" s="94"/>
      <c r="E18" s="218"/>
      <c r="F18" s="89"/>
      <c r="G18" s="115"/>
      <c r="H18" s="115"/>
      <c r="I18" s="115"/>
      <c r="J18" s="115"/>
      <c r="K18" s="115"/>
      <c r="L18" s="115"/>
      <c r="M18" s="98"/>
    </row>
    <row r="19" spans="1:13" ht="18">
      <c r="A19" s="985">
        <f>+A17+1</f>
        <v>3</v>
      </c>
      <c r="B19" s="986"/>
      <c r="C19" s="987" t="s">
        <v>324</v>
      </c>
      <c r="D19" s="986"/>
      <c r="E19" s="988"/>
      <c r="F19" s="989"/>
      <c r="G19" s="990"/>
      <c r="H19" s="983"/>
      <c r="I19" s="983"/>
      <c r="J19" s="983"/>
      <c r="K19" s="983"/>
      <c r="L19" s="983"/>
      <c r="M19" s="984"/>
    </row>
    <row r="20" spans="1:13" ht="18">
      <c r="A20" s="985">
        <f>+A19+1</f>
        <v>4</v>
      </c>
      <c r="B20" s="986"/>
      <c r="C20" s="989" t="s">
        <v>599</v>
      </c>
      <c r="D20" s="989"/>
      <c r="E20" s="991">
        <f>'WS H-1-Detail of Tax Amts'!E27</f>
        <v>60124799.073898107</v>
      </c>
      <c r="F20" s="989"/>
      <c r="G20" s="990">
        <f>+E20</f>
        <v>60124799.073898107</v>
      </c>
      <c r="H20" s="983"/>
      <c r="I20" s="983"/>
      <c r="J20" s="983"/>
      <c r="K20" s="983"/>
      <c r="L20" s="983"/>
      <c r="M20" s="984"/>
    </row>
    <row r="21" spans="1:13" ht="18">
      <c r="A21" s="985">
        <f>+A20+1</f>
        <v>5</v>
      </c>
      <c r="B21" s="986"/>
      <c r="C21" s="989" t="s">
        <v>600</v>
      </c>
      <c r="D21" s="989"/>
      <c r="E21" s="991">
        <f>'WS H-1-Detail of Tax Amts'!E33</f>
        <v>30659942.86615444</v>
      </c>
      <c r="F21" s="989"/>
      <c r="G21" s="990">
        <f>+E21</f>
        <v>30659942.86615444</v>
      </c>
      <c r="H21" s="983"/>
      <c r="I21" s="983"/>
      <c r="J21" s="983"/>
      <c r="K21" s="983"/>
      <c r="L21" s="983"/>
      <c r="M21" s="984"/>
    </row>
    <row r="22" spans="1:13" ht="18">
      <c r="A22" s="985">
        <f>+A21+1</f>
        <v>6</v>
      </c>
      <c r="B22" s="986"/>
      <c r="C22" s="989" t="s">
        <v>596</v>
      </c>
      <c r="D22" s="991"/>
      <c r="E22" s="991">
        <f>'WS H-1-Detail of Tax Amts'!E44</f>
        <v>1679877.2426327053</v>
      </c>
      <c r="F22" s="989"/>
      <c r="G22" s="990">
        <f>+E22</f>
        <v>1679877.2426327053</v>
      </c>
      <c r="H22" s="983"/>
      <c r="I22" s="983"/>
      <c r="J22" s="983"/>
      <c r="K22" s="983"/>
      <c r="L22" s="983"/>
      <c r="M22" s="984"/>
    </row>
    <row r="23" spans="1:13" ht="18">
      <c r="A23" s="985">
        <f>+A22+1</f>
        <v>7</v>
      </c>
      <c r="B23" s="986"/>
      <c r="C23" s="989" t="s">
        <v>463</v>
      </c>
      <c r="D23" s="991"/>
      <c r="E23" s="991">
        <f>'WS H-1-Detail of Tax Amts'!E50</f>
        <v>6727880.8173147431</v>
      </c>
      <c r="F23" s="989"/>
      <c r="G23" s="990">
        <f>E23</f>
        <v>6727880.8173147431</v>
      </c>
      <c r="H23" s="983"/>
      <c r="I23" s="983"/>
      <c r="J23" s="983"/>
      <c r="K23" s="983"/>
      <c r="L23" s="983"/>
      <c r="M23" s="984"/>
    </row>
    <row r="24" spans="1:13" ht="19.5">
      <c r="A24" s="93"/>
      <c r="B24" s="94"/>
      <c r="C24" s="99"/>
      <c r="D24" s="94"/>
      <c r="E24" s="218"/>
      <c r="F24" s="89"/>
      <c r="G24" s="115"/>
      <c r="H24" s="115"/>
      <c r="I24" s="115"/>
      <c r="J24" s="115"/>
      <c r="K24" s="115"/>
      <c r="L24" s="115"/>
      <c r="M24" s="98"/>
    </row>
    <row r="25" spans="1:13" ht="19.5">
      <c r="A25" s="93">
        <f>+A23+1</f>
        <v>8</v>
      </c>
      <c r="B25" s="94"/>
      <c r="C25" s="97" t="s">
        <v>325</v>
      </c>
      <c r="D25" s="94"/>
      <c r="E25" s="218"/>
      <c r="F25" s="89"/>
      <c r="G25" s="115"/>
      <c r="H25" s="115"/>
      <c r="I25" s="115"/>
      <c r="J25" s="115"/>
      <c r="K25" s="115"/>
      <c r="L25" s="115"/>
      <c r="M25" s="98"/>
    </row>
    <row r="26" spans="1:13" ht="19.5">
      <c r="A26" s="93">
        <f>+A25+1</f>
        <v>9</v>
      </c>
      <c r="B26" s="94"/>
      <c r="C26" s="92" t="s">
        <v>321</v>
      </c>
      <c r="D26" s="94"/>
      <c r="E26" s="219">
        <f>'WS H-1-Detail of Tax Amts'!E61</f>
        <v>8061704.0661257515</v>
      </c>
      <c r="F26" s="89"/>
      <c r="G26" s="115"/>
      <c r="H26" s="115"/>
      <c r="I26" s="115">
        <f>+E26</f>
        <v>8061704.0661257515</v>
      </c>
      <c r="J26" s="115"/>
      <c r="K26" s="115"/>
      <c r="L26" s="115"/>
      <c r="M26" s="98"/>
    </row>
    <row r="27" spans="1:13" ht="19.5">
      <c r="A27" s="93">
        <f>+A26+1</f>
        <v>10</v>
      </c>
      <c r="B27" s="94"/>
      <c r="C27" s="92" t="s">
        <v>314</v>
      </c>
      <c r="D27" s="94"/>
      <c r="E27" s="219">
        <f>'WS H-1-Detail of Tax Amts'!E63</f>
        <v>36414.0410404785</v>
      </c>
      <c r="F27" s="89"/>
      <c r="G27" s="89"/>
      <c r="H27" s="89"/>
      <c r="I27" s="98">
        <f>+E27</f>
        <v>36414.0410404785</v>
      </c>
      <c r="J27" s="92"/>
      <c r="K27" s="89"/>
      <c r="L27" s="89"/>
      <c r="M27" s="98"/>
    </row>
    <row r="28" spans="1:13" ht="19.5">
      <c r="A28" s="93">
        <f>+A27+1</f>
        <v>11</v>
      </c>
      <c r="B28" s="94"/>
      <c r="C28" s="92" t="s">
        <v>315</v>
      </c>
      <c r="D28" s="94"/>
      <c r="E28" s="219">
        <f>'WS H-1-Detail of Tax Amts'!E65</f>
        <v>84955.295852299605</v>
      </c>
      <c r="F28" s="89"/>
      <c r="G28" s="89"/>
      <c r="H28" s="89"/>
      <c r="I28" s="98">
        <f>+E28</f>
        <v>84955.295852299605</v>
      </c>
      <c r="J28" s="96"/>
      <c r="K28" s="89"/>
      <c r="L28" s="89"/>
      <c r="M28" s="98"/>
    </row>
    <row r="29" spans="1:13" ht="19.5">
      <c r="A29" s="93" t="s">
        <v>114</v>
      </c>
      <c r="B29" s="94"/>
      <c r="C29" s="89"/>
      <c r="D29" s="94"/>
      <c r="E29" s="218"/>
      <c r="F29" s="89"/>
      <c r="G29" s="89"/>
      <c r="H29" s="89"/>
      <c r="I29" s="107"/>
      <c r="J29" s="108"/>
      <c r="K29" s="111"/>
      <c r="L29" s="111"/>
      <c r="M29" s="98"/>
    </row>
    <row r="30" spans="1:13" ht="19.5">
      <c r="A30" s="93">
        <f>A28+1</f>
        <v>12</v>
      </c>
      <c r="B30" s="94"/>
      <c r="C30" s="97" t="s">
        <v>440</v>
      </c>
      <c r="D30" s="94"/>
      <c r="E30" s="218"/>
      <c r="F30" s="89"/>
      <c r="G30" s="89"/>
      <c r="H30" s="89"/>
      <c r="I30" s="107"/>
      <c r="J30" s="108"/>
      <c r="K30" s="111"/>
      <c r="L30" s="111"/>
      <c r="M30" s="98"/>
    </row>
    <row r="31" spans="1:13" ht="19.5">
      <c r="A31" s="93">
        <f>A30+1</f>
        <v>13</v>
      </c>
      <c r="B31" s="94"/>
      <c r="C31" s="104" t="s">
        <v>441</v>
      </c>
      <c r="D31" s="180"/>
      <c r="E31" s="219">
        <f>'WS H-1-Detail of Tax Amts'!E71</f>
        <v>0</v>
      </c>
      <c r="F31" s="104"/>
      <c r="G31" s="89"/>
      <c r="H31" s="89"/>
      <c r="I31" s="107"/>
      <c r="J31" s="108"/>
      <c r="K31" s="111"/>
      <c r="L31" s="111"/>
      <c r="M31" s="98">
        <f>E31</f>
        <v>0</v>
      </c>
    </row>
    <row r="32" spans="1:13" ht="19.5">
      <c r="A32" s="93"/>
      <c r="B32" s="94"/>
      <c r="C32" s="89"/>
      <c r="D32" s="94"/>
      <c r="E32" s="218"/>
      <c r="F32" s="89"/>
      <c r="G32" s="89"/>
      <c r="H32" s="89"/>
      <c r="I32" s="107"/>
      <c r="J32" s="108"/>
      <c r="K32" s="111"/>
      <c r="L32" s="111"/>
      <c r="M32" s="98"/>
    </row>
    <row r="33" spans="1:13" ht="19.5">
      <c r="A33" s="101">
        <f>+A31+1</f>
        <v>14</v>
      </c>
      <c r="B33" s="102"/>
      <c r="C33" s="97" t="s">
        <v>322</v>
      </c>
      <c r="D33" s="103"/>
      <c r="E33" s="218"/>
      <c r="F33" s="89"/>
      <c r="G33" s="98"/>
      <c r="H33" s="98"/>
      <c r="I33" s="98"/>
      <c r="J33" s="98"/>
      <c r="K33" s="98"/>
      <c r="L33" s="98"/>
      <c r="M33" s="98"/>
    </row>
    <row r="34" spans="1:13" ht="19.5">
      <c r="A34" s="101">
        <f>A33+1</f>
        <v>15</v>
      </c>
      <c r="B34" s="102"/>
      <c r="C34" s="1316" t="s">
        <v>439</v>
      </c>
      <c r="D34" s="103"/>
      <c r="E34" s="219">
        <f>'WS H-1-Detail of Tax Amts'!E75</f>
        <v>63614000</v>
      </c>
      <c r="F34" s="104"/>
      <c r="G34" s="98"/>
      <c r="H34" s="98"/>
      <c r="I34" s="98"/>
      <c r="J34" s="98"/>
      <c r="K34" s="98"/>
      <c r="L34" s="98"/>
      <c r="M34" s="98">
        <f>E34</f>
        <v>63614000</v>
      </c>
    </row>
    <row r="35" spans="1:13" ht="19.5">
      <c r="A35" s="93">
        <f>A34+1</f>
        <v>16</v>
      </c>
      <c r="B35" s="94"/>
      <c r="C35" s="1316" t="s">
        <v>316</v>
      </c>
      <c r="D35" s="94"/>
      <c r="E35" s="140">
        <f>'WS H-1-Detail of Tax Amts'!E79</f>
        <v>0</v>
      </c>
      <c r="F35" s="89"/>
      <c r="G35" s="98"/>
      <c r="H35" s="98"/>
      <c r="I35" s="98"/>
      <c r="J35" s="98"/>
      <c r="K35" s="98">
        <f>+E35</f>
        <v>0</v>
      </c>
      <c r="L35" s="98"/>
      <c r="M35" s="98"/>
    </row>
    <row r="36" spans="1:13" ht="19.5">
      <c r="A36" s="93">
        <f t="shared" ref="A36:A42" si="0">+A35+1</f>
        <v>17</v>
      </c>
      <c r="B36" s="94"/>
      <c r="C36" s="1316" t="s">
        <v>317</v>
      </c>
      <c r="E36" s="140">
        <f>'WS H-1-Detail of Tax Amts'!E83</f>
        <v>214256.99999999901</v>
      </c>
      <c r="F36" s="89"/>
      <c r="G36" s="140"/>
      <c r="H36" s="140"/>
      <c r="I36" s="140"/>
      <c r="J36" s="140"/>
      <c r="K36" s="98">
        <f>+E36</f>
        <v>214256.99999999901</v>
      </c>
      <c r="L36" s="140"/>
      <c r="M36" s="98"/>
    </row>
    <row r="37" spans="1:13" ht="19.5">
      <c r="A37" s="93">
        <f>+A36+1</f>
        <v>18</v>
      </c>
      <c r="B37" s="94"/>
      <c r="C37" s="1316" t="s">
        <v>318</v>
      </c>
      <c r="E37" s="140">
        <f>'WS H-1-Detail of Tax Amts'!E93</f>
        <v>0</v>
      </c>
      <c r="F37" s="89"/>
      <c r="G37" s="98"/>
      <c r="H37" s="98"/>
      <c r="I37" s="98"/>
      <c r="J37" s="98"/>
      <c r="K37" s="98">
        <f>+E37</f>
        <v>0</v>
      </c>
      <c r="L37" s="98"/>
      <c r="M37" s="98"/>
    </row>
    <row r="38" spans="1:13" ht="19.5">
      <c r="A38" s="93">
        <f t="shared" si="0"/>
        <v>19</v>
      </c>
      <c r="B38" s="94"/>
      <c r="C38" s="1316" t="s">
        <v>319</v>
      </c>
      <c r="D38" s="94"/>
      <c r="E38" s="140">
        <f>'WS H-1-Detail of Tax Amts'!E100</f>
        <v>14903691.999999901</v>
      </c>
      <c r="F38" s="89"/>
      <c r="G38" s="98"/>
      <c r="H38" s="98"/>
      <c r="I38" s="98"/>
      <c r="J38" s="98"/>
      <c r="K38" s="98">
        <f>+E38</f>
        <v>14903691.999999901</v>
      </c>
      <c r="L38" s="98"/>
      <c r="M38" s="98"/>
    </row>
    <row r="39" spans="1:13" ht="19.5">
      <c r="A39" s="93">
        <f t="shared" si="0"/>
        <v>20</v>
      </c>
      <c r="B39" s="94"/>
      <c r="C39" s="1316" t="s">
        <v>320</v>
      </c>
      <c r="D39" s="94"/>
      <c r="E39" s="140">
        <f>'WS H-1-Detail of Tax Amts'!E103</f>
        <v>36000</v>
      </c>
      <c r="F39" s="104"/>
      <c r="G39" s="98"/>
      <c r="H39" s="98"/>
      <c r="I39" s="98"/>
      <c r="J39" s="98"/>
      <c r="K39" s="98"/>
      <c r="L39" s="98"/>
      <c r="M39" s="98">
        <f>+E39</f>
        <v>36000</v>
      </c>
    </row>
    <row r="40" spans="1:13" ht="19.5">
      <c r="A40" s="93">
        <f t="shared" si="0"/>
        <v>21</v>
      </c>
      <c r="B40" s="89"/>
      <c r="C40" s="1316" t="s">
        <v>308</v>
      </c>
      <c r="D40" s="89"/>
      <c r="E40" s="140">
        <f>'WS H-1-Detail of Tax Amts'!E107</f>
        <v>0</v>
      </c>
      <c r="F40" s="89"/>
      <c r="G40" s="98"/>
      <c r="H40" s="98"/>
      <c r="I40" s="98"/>
      <c r="J40" s="98"/>
      <c r="K40" s="98"/>
      <c r="L40" s="98"/>
      <c r="M40" s="98">
        <f>+E40</f>
        <v>0</v>
      </c>
    </row>
    <row r="41" spans="1:13" ht="19.5">
      <c r="A41" s="93">
        <f t="shared" si="0"/>
        <v>22</v>
      </c>
      <c r="B41" s="89"/>
      <c r="C41" s="2" t="s">
        <v>1075</v>
      </c>
      <c r="D41" s="104"/>
      <c r="E41" s="140">
        <f>'WS H-1-Detail of Tax Amts'!E110</f>
        <v>0</v>
      </c>
      <c r="F41" s="104"/>
      <c r="G41" s="98"/>
      <c r="H41" s="98"/>
      <c r="I41" s="98"/>
      <c r="J41" s="98"/>
      <c r="K41" s="98"/>
      <c r="L41" s="98"/>
      <c r="M41" s="98">
        <f>+E41</f>
        <v>0</v>
      </c>
    </row>
    <row r="42" spans="1:13" ht="19.5">
      <c r="A42" s="93">
        <f t="shared" si="0"/>
        <v>23</v>
      </c>
      <c r="B42" s="89"/>
      <c r="C42" s="114"/>
      <c r="D42" s="104"/>
      <c r="E42" s="140"/>
      <c r="F42" s="104"/>
      <c r="G42" s="98"/>
      <c r="H42" s="98"/>
      <c r="I42" s="98"/>
      <c r="J42" s="98"/>
      <c r="K42" s="98"/>
      <c r="L42" s="98"/>
      <c r="M42" s="98"/>
    </row>
    <row r="43" spans="1:13" ht="20.25" thickBot="1">
      <c r="A43" s="93">
        <f>A42+1</f>
        <v>24</v>
      </c>
      <c r="B43" s="188"/>
      <c r="C43" s="89" t="s">
        <v>311</v>
      </c>
      <c r="E43" s="113">
        <f>SUM(E17:E41)</f>
        <v>186172442.40301844</v>
      </c>
      <c r="F43" s="89"/>
      <c r="G43" s="113">
        <f>SUM(G17:G41)</f>
        <v>99192499.999999985</v>
      </c>
      <c r="H43" s="106"/>
      <c r="I43" s="113">
        <f>SUM(I17:I41)</f>
        <v>8183073.4030185295</v>
      </c>
      <c r="J43" s="109"/>
      <c r="K43" s="113">
        <f>SUM(K17:K41)</f>
        <v>15117948.999999899</v>
      </c>
      <c r="L43" s="112"/>
      <c r="M43" s="113">
        <f>SUM(M17:M41)</f>
        <v>63678920</v>
      </c>
    </row>
    <row r="44" spans="1:13" ht="20.25" thickTop="1">
      <c r="A44" s="6"/>
      <c r="B44" s="188"/>
      <c r="C44" s="89" t="s">
        <v>381</v>
      </c>
      <c r="F44" s="89"/>
      <c r="G44" s="106"/>
      <c r="H44" s="106"/>
      <c r="I44" s="109"/>
      <c r="J44" s="110"/>
      <c r="K44" s="112"/>
      <c r="L44" s="112"/>
      <c r="M44" s="112"/>
    </row>
    <row r="45" spans="1:13" ht="19.5">
      <c r="A45" s="6"/>
      <c r="B45" s="188"/>
      <c r="C45" s="104" t="s">
        <v>79</v>
      </c>
      <c r="F45" s="89"/>
      <c r="G45" s="106"/>
      <c r="H45" s="106"/>
      <c r="I45" s="109"/>
      <c r="J45" s="110"/>
      <c r="K45" s="112"/>
      <c r="L45" s="112"/>
      <c r="M45" s="112"/>
    </row>
    <row r="46" spans="1:13" ht="19.5">
      <c r="A46" s="6"/>
      <c r="B46" s="188"/>
      <c r="C46" s="1506" t="s">
        <v>462</v>
      </c>
      <c r="D46" s="1506"/>
      <c r="E46" s="1506"/>
      <c r="F46" s="1506"/>
      <c r="G46" s="1506"/>
      <c r="H46" s="1506"/>
      <c r="I46" s="1506"/>
      <c r="J46" s="1506"/>
      <c r="K46" s="1506"/>
      <c r="L46" s="1506"/>
      <c r="M46" s="1506"/>
    </row>
    <row r="47" spans="1:13" ht="19.5">
      <c r="A47" s="93"/>
      <c r="B47" s="105"/>
      <c r="C47" s="89"/>
      <c r="D47" s="89"/>
      <c r="E47" s="117" t="s">
        <v>229</v>
      </c>
      <c r="F47" s="91"/>
      <c r="G47" s="117" t="s">
        <v>333</v>
      </c>
      <c r="H47" s="117"/>
      <c r="I47" s="117" t="s">
        <v>438</v>
      </c>
      <c r="J47" s="117"/>
      <c r="K47" s="117" t="s">
        <v>334</v>
      </c>
      <c r="L47" s="117"/>
      <c r="M47" s="117" t="s">
        <v>118</v>
      </c>
    </row>
    <row r="48" spans="1:13" ht="19.5">
      <c r="A48" s="136">
        <f>+A43+1</f>
        <v>25</v>
      </c>
      <c r="B48" s="137"/>
      <c r="C48" s="201" t="str">
        <f>"Functionalized Net Plant (TCOS, Lns "&amp;TCOS!B90&amp;" thru "&amp;TCOS!B95&amp;")"</f>
        <v>Functionalized Net Plant (TCOS, Lns 41 thru 46)</v>
      </c>
      <c r="D48" s="104"/>
      <c r="E48" s="202">
        <f>+TCOS!G90</f>
        <v>3563069557.7064676</v>
      </c>
      <c r="F48" s="201"/>
      <c r="G48" s="202">
        <f>+TCOS!G91</f>
        <v>3890006848.2984381</v>
      </c>
      <c r="H48" s="201"/>
      <c r="I48" s="202">
        <f>+TCOS!G92</f>
        <v>3572275143.5737767</v>
      </c>
      <c r="J48" s="201"/>
      <c r="K48" s="203">
        <f>+TCOS!G93</f>
        <v>607035312.07900047</v>
      </c>
      <c r="L48" s="104"/>
      <c r="M48" s="138">
        <f>SUM(E48:K48)</f>
        <v>11632386861.657682</v>
      </c>
    </row>
    <row r="49" spans="1:13" ht="19.5">
      <c r="A49" s="136"/>
      <c r="B49" s="137"/>
      <c r="C49" s="99" t="s">
        <v>944</v>
      </c>
      <c r="D49" s="104"/>
      <c r="E49" s="138"/>
      <c r="F49" s="104"/>
      <c r="G49" s="1134"/>
      <c r="H49" s="104"/>
      <c r="I49" s="138"/>
      <c r="J49" s="104"/>
      <c r="K49" s="139"/>
      <c r="L49" s="104"/>
      <c r="M49" s="1135"/>
    </row>
    <row r="50" spans="1:13" ht="19.5">
      <c r="A50" s="136">
        <f>+A48+1</f>
        <v>26</v>
      </c>
      <c r="B50" s="137"/>
      <c r="C50" s="104" t="str">
        <f>"Percentage of Plant in "&amp;C49&amp;""</f>
        <v>Percentage of Plant in VIRGINIA JURISDICTION</v>
      </c>
      <c r="D50" s="104"/>
      <c r="E50" s="1136">
        <v>0.151412581429959</v>
      </c>
      <c r="F50" s="1137"/>
      <c r="G50" s="1136">
        <v>0.60378297501058198</v>
      </c>
      <c r="H50" s="1137"/>
      <c r="I50" s="1136">
        <v>0.55403692492136403</v>
      </c>
      <c r="J50" s="1134"/>
      <c r="K50" s="1136">
        <v>0.64966374656760395</v>
      </c>
      <c r="L50" s="104"/>
      <c r="M50" s="1135"/>
    </row>
    <row r="51" spans="1:13" ht="19.5">
      <c r="A51" s="136">
        <f t="shared" ref="A51:A57" si="1">+A50+1</f>
        <v>27</v>
      </c>
      <c r="B51" s="137"/>
      <c r="C51" s="201" t="str">
        <f>"Net Plant in "&amp;C49&amp;" (Ln "&amp;A48&amp;" * Ln "&amp;A50&amp;")"</f>
        <v>Net Plant in VIRGINIA JURISDICTION (Ln 25 * Ln 26)</v>
      </c>
      <c r="D51" s="104"/>
      <c r="E51" s="138">
        <f>+E48*E50</f>
        <v>539493559.54683852</v>
      </c>
      <c r="F51" s="104"/>
      <c r="G51" s="138">
        <f>+G48*G50</f>
        <v>2348719907.6771684</v>
      </c>
      <c r="H51" s="104"/>
      <c r="I51" s="138">
        <f>+I48*I50</f>
        <v>1979172335.5186393</v>
      </c>
      <c r="J51" s="104"/>
      <c r="K51" s="138">
        <f>+K48*K50</f>
        <v>394368835.14407814</v>
      </c>
      <c r="L51" s="104"/>
      <c r="M51" s="138">
        <f>SUM(E51:K51)</f>
        <v>5261754637.8867245</v>
      </c>
    </row>
    <row r="52" spans="1:13" ht="19.5">
      <c r="A52" s="136">
        <f t="shared" si="1"/>
        <v>28</v>
      </c>
      <c r="B52" s="137"/>
      <c r="C52" s="201" t="s">
        <v>225</v>
      </c>
      <c r="D52" s="104"/>
      <c r="E52" s="1357">
        <v>52642981</v>
      </c>
      <c r="F52" s="104"/>
      <c r="G52" s="175"/>
      <c r="H52" s="104"/>
      <c r="I52" s="175"/>
      <c r="J52" s="104"/>
      <c r="K52" s="176"/>
      <c r="L52" s="104"/>
      <c r="M52" s="138"/>
    </row>
    <row r="53" spans="1:13" ht="19.5">
      <c r="A53" s="136">
        <f t="shared" si="1"/>
        <v>29</v>
      </c>
      <c r="B53" s="137"/>
      <c r="C53" s="104" t="str">
        <f>"Taxable Property Basis (Ln "&amp;A51&amp;" - Ln "&amp;A52&amp;")"</f>
        <v>Taxable Property Basis (Ln 27 - Ln 28)</v>
      </c>
      <c r="D53" s="104"/>
      <c r="E53" s="138">
        <f>+E51-E52</f>
        <v>486850578.54683852</v>
      </c>
      <c r="F53" s="104"/>
      <c r="G53" s="138">
        <f>+G51-G52</f>
        <v>2348719907.6771684</v>
      </c>
      <c r="H53" s="104"/>
      <c r="I53" s="138">
        <f>+I51-I52</f>
        <v>1979172335.5186393</v>
      </c>
      <c r="J53" s="104"/>
      <c r="K53" s="138">
        <f>+K51-K52</f>
        <v>394368835.14407814</v>
      </c>
      <c r="L53" s="104"/>
      <c r="M53" s="138">
        <f>SUM(E53:K53)</f>
        <v>5209111656.8867245</v>
      </c>
    </row>
    <row r="54" spans="1:13" ht="19.5">
      <c r="A54" s="136">
        <f t="shared" si="1"/>
        <v>30</v>
      </c>
      <c r="B54" s="137"/>
      <c r="C54" s="140" t="s">
        <v>461</v>
      </c>
      <c r="D54" s="104"/>
      <c r="E54" s="1136">
        <v>1</v>
      </c>
      <c r="F54" s="1137"/>
      <c r="G54" s="1136">
        <v>1</v>
      </c>
      <c r="H54" s="1137"/>
      <c r="I54" s="1136">
        <v>1</v>
      </c>
      <c r="J54" s="1134"/>
      <c r="K54" s="1136">
        <v>1</v>
      </c>
      <c r="L54" s="104"/>
      <c r="M54" s="172">
        <f>SUM(E54:K54)</f>
        <v>4</v>
      </c>
    </row>
    <row r="55" spans="1:13" ht="19.5">
      <c r="A55" s="136">
        <f t="shared" si="1"/>
        <v>31</v>
      </c>
      <c r="B55" s="137"/>
      <c r="C55" s="201" t="str">
        <f>"Weighted Net Plant (Ln "&amp;A53&amp;" * Ln "&amp;A54&amp;")"</f>
        <v>Weighted Net Plant (Ln 29 * Ln 30)</v>
      </c>
      <c r="D55" s="104"/>
      <c r="E55" s="138">
        <f>+E53*E54</f>
        <v>486850578.54683852</v>
      </c>
      <c r="F55" s="104"/>
      <c r="G55" s="138">
        <f>+G53*G54</f>
        <v>2348719907.6771684</v>
      </c>
      <c r="H55" s="104"/>
      <c r="I55" s="138">
        <f>+I53*I54</f>
        <v>1979172335.5186393</v>
      </c>
      <c r="J55" s="104"/>
      <c r="K55" s="138">
        <f>+K53*K54</f>
        <v>394368835.14407814</v>
      </c>
      <c r="L55" s="104"/>
      <c r="M55" s="138"/>
    </row>
    <row r="56" spans="1:13" ht="19.5">
      <c r="A56" s="136">
        <f t="shared" si="1"/>
        <v>32</v>
      </c>
      <c r="B56" s="137"/>
      <c r="C56" s="104" t="str">
        <f>+"General Plant Allocator (Ln "&amp;A55&amp;" / (Total - General Plant))"</f>
        <v>General Plant Allocator (Ln 31 / (Total - General Plant))</v>
      </c>
      <c r="D56" s="104"/>
      <c r="E56" s="1138">
        <f>IF(E54=0,0,+E55/($E55+$G55+$I55))</f>
        <v>0.10111663209679557</v>
      </c>
      <c r="F56" s="104"/>
      <c r="G56" s="1138">
        <f>IF(G54=0,0,+G55/($E55+$G55+$I55))</f>
        <v>0.48781835180701794</v>
      </c>
      <c r="H56" s="104"/>
      <c r="I56" s="1138">
        <f>IF(I54=0,0,+I55/($E55+$G55+$I55))</f>
        <v>0.41106501609618651</v>
      </c>
      <c r="J56" s="104"/>
      <c r="K56" s="1138">
        <v>-1</v>
      </c>
      <c r="L56" s="104"/>
      <c r="M56" s="104"/>
    </row>
    <row r="57" spans="1:13" ht="19.5">
      <c r="A57" s="136">
        <f t="shared" si="1"/>
        <v>33</v>
      </c>
      <c r="B57" s="137"/>
      <c r="C57" s="104" t="str">
        <f>"Functionalized General Plant (Ln "&amp;A56&amp;" * General Plant)"</f>
        <v>Functionalized General Plant (Ln 32 * General Plant)</v>
      </c>
      <c r="D57" s="104"/>
      <c r="E57" s="1139">
        <f>ROUND($K55*E56,0)</f>
        <v>39877248</v>
      </c>
      <c r="F57" s="104"/>
      <c r="G57" s="1139">
        <f>+G56*K55</f>
        <v>192380355.16403776</v>
      </c>
      <c r="H57" s="104"/>
      <c r="I57" s="1139">
        <f>ROUND($K55*I56,0)</f>
        <v>162111232</v>
      </c>
      <c r="J57" s="104"/>
      <c r="K57" s="1139">
        <f>ROUND($K55*K56,0)</f>
        <v>-394368835</v>
      </c>
      <c r="L57" s="104"/>
      <c r="M57" s="138">
        <f>IF(SUM(E57:K57)&lt;&gt;0,0,0)</f>
        <v>0</v>
      </c>
    </row>
    <row r="58" spans="1:13" ht="19.5">
      <c r="A58" s="136">
        <f>+A57+1</f>
        <v>34</v>
      </c>
      <c r="B58" s="137"/>
      <c r="C58" s="104" t="str">
        <f>"Weighted "&amp;C49&amp;" Plant (Ln "&amp;A55&amp;" + "&amp;A57&amp;")"</f>
        <v>Weighted VIRGINIA JURISDICTION Plant (Ln 31 + 33)</v>
      </c>
      <c r="D58" s="104"/>
      <c r="E58" s="138">
        <f>+E55+E57</f>
        <v>526727826.54683852</v>
      </c>
      <c r="F58" s="104"/>
      <c r="G58" s="139">
        <f>+G55+G57</f>
        <v>2541100262.8412061</v>
      </c>
      <c r="H58" s="104"/>
      <c r="I58" s="138">
        <f>+I55+I57</f>
        <v>2141283567.5186393</v>
      </c>
      <c r="J58" s="104"/>
      <c r="K58" s="138">
        <f>+K55+K57</f>
        <v>0.14407813549041748</v>
      </c>
      <c r="L58" s="104"/>
      <c r="M58" s="138">
        <f>SUM(E58:K58)-SUM(E57:K57)</f>
        <v>5209111656.8867245</v>
      </c>
    </row>
    <row r="59" spans="1:13" ht="19.5">
      <c r="A59" s="136">
        <f>+A58+1</f>
        <v>35</v>
      </c>
      <c r="B59" s="137"/>
      <c r="C59" s="104" t="str">
        <f>"Functional Percentage (Ln "&amp;A58&amp;"/Total Ln "&amp;A58&amp;")"</f>
        <v>Functional Percentage (Ln 34/Total Ln 34)</v>
      </c>
      <c r="D59" s="104"/>
      <c r="E59" s="1134">
        <f>+E58/M58</f>
        <v>0.10111663201737596</v>
      </c>
      <c r="F59" s="104"/>
      <c r="G59" s="1140">
        <f>+G58/M58</f>
        <v>0.48781835180701788</v>
      </c>
      <c r="H59" s="104"/>
      <c r="I59" s="1134">
        <f>+I58/M58</f>
        <v>0.4110650161794378</v>
      </c>
      <c r="J59" s="104"/>
      <c r="L59" s="104"/>
      <c r="M59" s="138"/>
    </row>
    <row r="60" spans="1:13" ht="19.5">
      <c r="A60" s="136"/>
      <c r="B60" s="137"/>
      <c r="C60" s="99" t="s">
        <v>945</v>
      </c>
      <c r="D60" s="104"/>
      <c r="E60" s="138"/>
      <c r="F60" s="104"/>
      <c r="G60" s="138"/>
      <c r="H60" s="104"/>
      <c r="I60" s="138"/>
      <c r="J60" s="104"/>
      <c r="K60" s="139"/>
      <c r="L60" s="104"/>
      <c r="M60" s="138"/>
    </row>
    <row r="61" spans="1:13" ht="19.5">
      <c r="A61" s="136">
        <f>+A59+1</f>
        <v>36</v>
      </c>
      <c r="B61" s="137"/>
      <c r="C61" s="104" t="str">
        <f>"Percentage of Plant in "&amp;C60&amp;""</f>
        <v>Percentage of Plant in WEST VA JURISDICTION</v>
      </c>
      <c r="D61" s="104"/>
      <c r="E61" s="1136">
        <v>0.72007119996406299</v>
      </c>
      <c r="F61" s="1137"/>
      <c r="G61" s="1136">
        <v>0.371976229730416</v>
      </c>
      <c r="H61" s="1137"/>
      <c r="I61" s="1136">
        <v>0.44595369181429001</v>
      </c>
      <c r="J61" s="1134"/>
      <c r="K61" s="1136">
        <v>0.34941688971296297</v>
      </c>
      <c r="L61" s="104"/>
      <c r="M61" s="1141"/>
    </row>
    <row r="62" spans="1:13" ht="19.5">
      <c r="A62" s="136">
        <f t="shared" ref="A62:A69" si="2">+A61+1</f>
        <v>37</v>
      </c>
      <c r="B62" s="137"/>
      <c r="C62" s="201" t="str">
        <f>"Net Plant in "&amp;C60&amp;" (Ln "&amp;A48&amp;" * Ln "&amp;A61&amp;")"</f>
        <v>Net Plant in WEST VA JURISDICTION (Ln 25 * Ln 36)</v>
      </c>
      <c r="E62" s="138">
        <f>+E61*E48</f>
        <v>2565663771.9731193</v>
      </c>
      <c r="F62" s="104"/>
      <c r="G62" s="138">
        <f>+G61*G48</f>
        <v>1446990081.0555513</v>
      </c>
      <c r="H62" s="104"/>
      <c r="I62" s="138">
        <f>+I61*I48</f>
        <v>1593069288.4531486</v>
      </c>
      <c r="J62" s="104"/>
      <c r="K62" s="138">
        <f>+K61*K48</f>
        <v>212108390.69258216</v>
      </c>
      <c r="L62" s="104"/>
      <c r="M62" s="138">
        <f>SUM(E62:K62)</f>
        <v>5817831532.1744013</v>
      </c>
    </row>
    <row r="63" spans="1:13" ht="19.5">
      <c r="A63" s="136">
        <f t="shared" si="2"/>
        <v>38</v>
      </c>
      <c r="B63" s="137"/>
      <c r="C63" s="201" t="s">
        <v>225</v>
      </c>
      <c r="E63" s="1357">
        <v>1637031275</v>
      </c>
      <c r="F63" s="104"/>
      <c r="G63" s="175"/>
      <c r="H63" s="104"/>
      <c r="I63" s="175"/>
      <c r="J63" s="104"/>
      <c r="K63" s="176"/>
      <c r="L63" s="104"/>
      <c r="M63" s="138"/>
    </row>
    <row r="64" spans="1:13" ht="19.5">
      <c r="A64" s="136">
        <f t="shared" si="2"/>
        <v>39</v>
      </c>
      <c r="B64" s="137"/>
      <c r="C64" s="104" t="str">
        <f>"Taxable Property Basis (Ln "&amp;A62&amp;" - Ln "&amp;A63&amp;")"</f>
        <v>Taxable Property Basis (Ln 37 - Ln 38)</v>
      </c>
      <c r="E64" s="138">
        <f>+E62-E63</f>
        <v>928632496.97311926</v>
      </c>
      <c r="F64" s="104"/>
      <c r="G64" s="138">
        <f>+G62-G63</f>
        <v>1446990081.0555513</v>
      </c>
      <c r="H64" s="104"/>
      <c r="I64" s="138">
        <f>+I62-I63</f>
        <v>1593069288.4531486</v>
      </c>
      <c r="J64" s="104"/>
      <c r="K64" s="138">
        <f>+K62-K63</f>
        <v>212108390.69258216</v>
      </c>
      <c r="L64" s="104"/>
      <c r="M64" s="138">
        <f>SUM(E64:K64)</f>
        <v>4180800257.1744013</v>
      </c>
    </row>
    <row r="65" spans="1:13" ht="19.5">
      <c r="A65" s="136">
        <f t="shared" si="2"/>
        <v>40</v>
      </c>
      <c r="B65" s="137"/>
      <c r="C65" s="140" t="s">
        <v>461</v>
      </c>
      <c r="E65" s="1136">
        <v>1</v>
      </c>
      <c r="F65" s="1137"/>
      <c r="G65" s="1136">
        <v>1</v>
      </c>
      <c r="H65" s="1137"/>
      <c r="I65" s="1136">
        <v>1</v>
      </c>
      <c r="J65" s="1134"/>
      <c r="K65" s="1136">
        <v>1</v>
      </c>
      <c r="L65" s="104"/>
      <c r="M65" s="172">
        <f>SUM(E65:K65)</f>
        <v>4</v>
      </c>
    </row>
    <row r="66" spans="1:13" ht="19.5">
      <c r="A66" s="136">
        <f t="shared" si="2"/>
        <v>41</v>
      </c>
      <c r="B66" s="137"/>
      <c r="C66" s="201" t="str">
        <f>"Weighted Net Plant (Ln "&amp;A64&amp;" * Ln "&amp;A65&amp;")"</f>
        <v>Weighted Net Plant (Ln 39 * Ln 40)</v>
      </c>
      <c r="E66" s="138">
        <f>+E64*E65</f>
        <v>928632496.97311926</v>
      </c>
      <c r="F66" s="104"/>
      <c r="G66" s="138">
        <f>+G64*G65</f>
        <v>1446990081.0555513</v>
      </c>
      <c r="H66" s="104"/>
      <c r="I66" s="138">
        <f>+I64*I65</f>
        <v>1593069288.4531486</v>
      </c>
      <c r="J66" s="104"/>
      <c r="K66" s="138">
        <f>+K64*K65</f>
        <v>212108390.69258216</v>
      </c>
      <c r="L66" s="104"/>
      <c r="M66" s="138"/>
    </row>
    <row r="67" spans="1:13" ht="19.5">
      <c r="A67" s="136">
        <f t="shared" si="2"/>
        <v>42</v>
      </c>
      <c r="B67" s="137"/>
      <c r="C67" s="104" t="str">
        <f>+"General Plant Allocator (Ln "&amp;A66&amp;" / (Total - General Plant))"</f>
        <v>General Plant Allocator (Ln 41 / (Total - General Plant))</v>
      </c>
      <c r="D67" s="104"/>
      <c r="E67" s="1138">
        <f>IF(E65=0,0,+E66/($E66+$G66+$I66))</f>
        <v>0.23398956840565627</v>
      </c>
      <c r="F67" s="104"/>
      <c r="G67" s="1138">
        <f>IF(G65=0,0,+G66/($E66+$G66+$I66))</f>
        <v>0.36460126654737862</v>
      </c>
      <c r="H67" s="104"/>
      <c r="I67" s="1138">
        <f>IF(I65=0,0,+I66/($E66+$G66+$I66))</f>
        <v>0.40140916504696511</v>
      </c>
      <c r="J67" s="104"/>
      <c r="K67" s="1138">
        <v>-1</v>
      </c>
      <c r="L67" s="104"/>
      <c r="M67" s="104"/>
    </row>
    <row r="68" spans="1:13" ht="19.5">
      <c r="A68" s="136">
        <f t="shared" si="2"/>
        <v>43</v>
      </c>
      <c r="B68" s="137"/>
      <c r="C68" s="104" t="str">
        <f>"Functionalized General Plant (Ln "&amp;A67&amp;" * General Plant)"</f>
        <v>Functionalized General Plant (Ln 42 * General Plant)</v>
      </c>
      <c r="D68" s="104"/>
      <c r="E68" s="1139">
        <f>ROUND($K66*E67,0)</f>
        <v>49631151</v>
      </c>
      <c r="F68" s="104"/>
      <c r="G68" s="1139">
        <f>+G67*K66</f>
        <v>77334987.891841665</v>
      </c>
      <c r="H68" s="104"/>
      <c r="I68" s="1139">
        <f>ROUND($K66*I67,0)</f>
        <v>85142252</v>
      </c>
      <c r="J68" s="104"/>
      <c r="K68" s="1139">
        <f>ROUND($K66*K67,0)</f>
        <v>-212108391</v>
      </c>
      <c r="L68" s="104"/>
      <c r="M68" s="138">
        <f>IF(SUM(E68:K68)&lt;&gt;0,0,0)</f>
        <v>0</v>
      </c>
    </row>
    <row r="69" spans="1:13" ht="19.5">
      <c r="A69" s="136">
        <f t="shared" si="2"/>
        <v>44</v>
      </c>
      <c r="B69" s="137"/>
      <c r="C69" s="104" t="str">
        <f>"Weighted "&amp;C60&amp;" Plant (Ln "&amp;A66&amp;" + "&amp;A68&amp;")"</f>
        <v>Weighted WEST VA JURISDICTION Plant (Ln 41 + 43)</v>
      </c>
      <c r="D69" s="104"/>
      <c r="E69" s="138">
        <f>+E66+E68</f>
        <v>978263647.97311926</v>
      </c>
      <c r="F69" s="104"/>
      <c r="G69" s="139">
        <f>+G66+G68</f>
        <v>1524325068.9473929</v>
      </c>
      <c r="H69" s="104"/>
      <c r="I69" s="138">
        <f>+I66+I68</f>
        <v>1678211540.4531486</v>
      </c>
      <c r="J69" s="104"/>
      <c r="K69" s="138">
        <f>+K66+K68</f>
        <v>-0.30741783976554871</v>
      </c>
      <c r="L69" s="104"/>
      <c r="M69" s="138">
        <f>SUM(E69:K69)-SUM(E68:K68)</f>
        <v>4180800257.1744013</v>
      </c>
    </row>
    <row r="70" spans="1:13" ht="19.5">
      <c r="A70" s="136">
        <f>+A69+1</f>
        <v>45</v>
      </c>
      <c r="B70" s="137"/>
      <c r="C70" s="104" t="str">
        <f>"Functional Percentage (Ln "&amp;A69&amp;"/Total Ln "&amp;A69&amp;")"</f>
        <v>Functional Percentage (Ln 44/Total Ln 44)</v>
      </c>
      <c r="D70" s="104"/>
      <c r="E70" s="1134">
        <f>+E69/M69</f>
        <v>0.23398956845507848</v>
      </c>
      <c r="F70" s="104"/>
      <c r="G70" s="1140">
        <f>+G69/M69</f>
        <v>0.36460126654737862</v>
      </c>
      <c r="H70" s="104"/>
      <c r="I70" s="1134">
        <f>+I69/M69</f>
        <v>0.40140916504520352</v>
      </c>
      <c r="J70" s="104"/>
      <c r="L70" s="104"/>
      <c r="M70" s="138"/>
    </row>
    <row r="71" spans="1:13" ht="19.5">
      <c r="A71" s="136"/>
      <c r="B71" s="137"/>
      <c r="C71" s="259" t="s">
        <v>946</v>
      </c>
      <c r="D71" s="104"/>
      <c r="E71" s="260"/>
      <c r="F71" s="261"/>
      <c r="G71" s="1142"/>
      <c r="H71" s="261"/>
      <c r="I71" s="260"/>
      <c r="J71" s="261"/>
      <c r="K71" s="1143"/>
      <c r="L71" s="104"/>
      <c r="M71" s="138"/>
    </row>
    <row r="72" spans="1:13" ht="19.5">
      <c r="A72" s="136">
        <f>+A70+1</f>
        <v>46</v>
      </c>
      <c r="B72" s="137"/>
      <c r="C72" s="104" t="str">
        <f>"Net Plant in "&amp;C71&amp;" (Ln "&amp;A48&amp;" - Ln "&amp;A51&amp;" - Ln "&amp;A62&amp;")"</f>
        <v>Net Plant in TENNESSEE JURISDICTION (Ln 25 - Ln 27 - Ln 37)</v>
      </c>
      <c r="D72" s="104"/>
      <c r="E72" s="260">
        <f>+E48-E51-E62</f>
        <v>457912226.18650961</v>
      </c>
      <c r="F72" s="261"/>
      <c r="G72" s="260">
        <f>+G48-G51-G62</f>
        <v>94296859.565718412</v>
      </c>
      <c r="H72" s="261"/>
      <c r="I72" s="260">
        <f>+I48-I51-I62</f>
        <v>33519.601988792419</v>
      </c>
      <c r="J72" s="261"/>
      <c r="K72" s="260">
        <f>+K48-K51-K62</f>
        <v>558086.2423401773</v>
      </c>
      <c r="L72" s="104"/>
      <c r="M72" s="138">
        <f>SUM(E72:K72)</f>
        <v>552800691.59655702</v>
      </c>
    </row>
    <row r="73" spans="1:13" ht="19.5">
      <c r="A73" s="136">
        <f t="shared" ref="A73:A79" si="3">+A72+1</f>
        <v>47</v>
      </c>
      <c r="B73" s="137"/>
      <c r="C73" s="104" t="s">
        <v>597</v>
      </c>
      <c r="D73" s="104"/>
      <c r="E73" s="781"/>
      <c r="F73" s="261"/>
      <c r="G73" s="262"/>
      <c r="H73" s="261"/>
      <c r="I73" s="262"/>
      <c r="J73" s="261"/>
      <c r="K73" s="263"/>
      <c r="L73" s="104"/>
      <c r="M73" s="138"/>
    </row>
    <row r="74" spans="1:13" ht="19.5">
      <c r="A74" s="136">
        <f t="shared" si="3"/>
        <v>48</v>
      </c>
      <c r="B74" s="137"/>
      <c r="C74" s="104" t="s">
        <v>598</v>
      </c>
      <c r="D74" s="104"/>
      <c r="E74" s="260">
        <f>+E72-E73</f>
        <v>457912226.18650961</v>
      </c>
      <c r="F74" s="261"/>
      <c r="G74" s="260">
        <f>+G72-G73</f>
        <v>94296859.565718412</v>
      </c>
      <c r="H74" s="261"/>
      <c r="I74" s="260">
        <f>+I72-I73</f>
        <v>33519.601988792419</v>
      </c>
      <c r="J74" s="261"/>
      <c r="K74" s="260">
        <f>+K72-K73</f>
        <v>558086.2423401773</v>
      </c>
      <c r="L74" s="104"/>
      <c r="M74" s="138">
        <f>SUM(E74:K74)</f>
        <v>552800691.59655702</v>
      </c>
    </row>
    <row r="75" spans="1:13" ht="19.5">
      <c r="A75" s="136">
        <f t="shared" si="3"/>
        <v>49</v>
      </c>
      <c r="B75" s="137"/>
      <c r="C75" s="140" t="s">
        <v>461</v>
      </c>
      <c r="D75" s="104"/>
      <c r="E75" s="1136">
        <v>1</v>
      </c>
      <c r="F75" s="1137"/>
      <c r="G75" s="1136">
        <v>1</v>
      </c>
      <c r="H75" s="1137"/>
      <c r="I75" s="1136">
        <v>1</v>
      </c>
      <c r="J75" s="1134"/>
      <c r="K75" s="1136">
        <v>1</v>
      </c>
      <c r="L75" s="104"/>
      <c r="M75" s="138"/>
    </row>
    <row r="76" spans="1:13" ht="19.5">
      <c r="A76" s="136">
        <f t="shared" si="3"/>
        <v>50</v>
      </c>
      <c r="B76" s="137"/>
      <c r="C76" s="104" t="str">
        <f>"Weighted Net Plant (Ln "&amp;A74&amp;" * Ln "&amp;A75&amp;")"</f>
        <v>Weighted Net Plant (Ln 48 * Ln 49)</v>
      </c>
      <c r="D76" s="104"/>
      <c r="E76" s="260">
        <f>+E74*E75</f>
        <v>457912226.18650961</v>
      </c>
      <c r="F76" s="261"/>
      <c r="G76" s="260">
        <f>+G74*G75</f>
        <v>94296859.565718412</v>
      </c>
      <c r="H76" s="261"/>
      <c r="I76" s="260">
        <f>+I74*I75</f>
        <v>33519.601988792419</v>
      </c>
      <c r="J76" s="261"/>
      <c r="K76" s="260">
        <f>+K74*K75</f>
        <v>558086.2423401773</v>
      </c>
      <c r="L76" s="104"/>
      <c r="M76" s="138"/>
    </row>
    <row r="77" spans="1:13" ht="19.5">
      <c r="A77" s="136">
        <f t="shared" si="3"/>
        <v>51</v>
      </c>
      <c r="B77" s="137"/>
      <c r="C77" s="104" t="str">
        <f>+"General Plant Allocator (Ln "&amp;A76&amp;" / (Total - General Plant)"</f>
        <v>General Plant Allocator (Ln 50 / (Total - General Plant)</v>
      </c>
      <c r="D77" s="104"/>
      <c r="E77" s="1144">
        <f>IF(E75=0,0,+E76/($E76+$G76+$I76))</f>
        <v>0.82918670480485246</v>
      </c>
      <c r="F77" s="261"/>
      <c r="G77" s="1144">
        <f>IF(G75=0,0,+G76/($E76+$G76+$I76))</f>
        <v>0.1707525979550871</v>
      </c>
      <c r="H77" s="261"/>
      <c r="I77" s="1144">
        <f>IF(I75=0,0,+I76/($E76+$G76+$I76))</f>
        <v>6.0697240060448501E-5</v>
      </c>
      <c r="J77" s="261"/>
      <c r="K77" s="1144">
        <v>-1</v>
      </c>
      <c r="L77" s="104"/>
      <c r="M77" s="138"/>
    </row>
    <row r="78" spans="1:13" ht="19.5">
      <c r="A78" s="136">
        <f t="shared" si="3"/>
        <v>52</v>
      </c>
      <c r="B78" s="137"/>
      <c r="C78" s="104" t="str">
        <f>"Functionalized General Plant (Ln "&amp;A78&amp;" * General Plant)"</f>
        <v>Functionalized General Plant (Ln 52 * General Plant)</v>
      </c>
      <c r="D78" s="104"/>
      <c r="E78" s="1145">
        <f>ROUND($K76*E77,0)</f>
        <v>462758</v>
      </c>
      <c r="F78" s="261"/>
      <c r="G78" s="1145">
        <f>ROUND($K76*G77,0)</f>
        <v>95295</v>
      </c>
      <c r="H78" s="261"/>
      <c r="I78" s="1145">
        <f>ROUND($K76*I77,0)</f>
        <v>34</v>
      </c>
      <c r="J78" s="261"/>
      <c r="K78" s="1145">
        <f>ROUND($K76*K77,0)</f>
        <v>-558086</v>
      </c>
      <c r="L78" s="104"/>
      <c r="M78" s="138"/>
    </row>
    <row r="79" spans="1:13" ht="19.5">
      <c r="A79" s="136">
        <f t="shared" si="3"/>
        <v>53</v>
      </c>
      <c r="B79" s="137"/>
      <c r="C79" s="104" t="str">
        <f>"Weighted "&amp;C71&amp;" Plant (Ln "&amp;A76&amp;" + "&amp;A78&amp;")"</f>
        <v>Weighted TENNESSEE JURISDICTION Plant (Ln 50 + 52)</v>
      </c>
      <c r="D79" s="104"/>
      <c r="E79" s="260">
        <f>+E76+E78</f>
        <v>458374984.18650961</v>
      </c>
      <c r="F79" s="261"/>
      <c r="G79" s="264">
        <f>+G76+G78</f>
        <v>94392154.565718412</v>
      </c>
      <c r="H79" s="261"/>
      <c r="I79" s="260">
        <f>+I76+I78</f>
        <v>33553.601988792419</v>
      </c>
      <c r="J79" s="261"/>
      <c r="K79" s="260">
        <f>+K76+K78</f>
        <v>0.24234017729759216</v>
      </c>
      <c r="L79" s="104"/>
      <c r="M79" s="138">
        <f>SUM(E79:K79)-SUM(E78:K78)</f>
        <v>552800691.59655702</v>
      </c>
    </row>
    <row r="80" spans="1:13" ht="19.5">
      <c r="A80" s="136">
        <f>+A79+1</f>
        <v>54</v>
      </c>
      <c r="B80" s="137"/>
      <c r="C80" s="104" t="str">
        <f>"Functional Percentage (Ln "&amp;A79&amp;"/Total Ln "&amp;A79&amp;")"</f>
        <v>Functional Percentage (Ln 53/Total Ln 53)</v>
      </c>
      <c r="D80" s="104"/>
      <c r="E80" s="1143">
        <f>+E79/M79</f>
        <v>0.82918670536150341</v>
      </c>
      <c r="F80" s="261"/>
      <c r="G80" s="1142">
        <f>+G79/M79</f>
        <v>0.17075259854162295</v>
      </c>
      <c r="H80" s="261"/>
      <c r="I80" s="1143">
        <f>+I79/M79</f>
        <v>6.0697467457729567E-5</v>
      </c>
      <c r="J80" s="258"/>
      <c r="K80" s="258"/>
      <c r="L80" s="104"/>
      <c r="M80" s="138"/>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123"/>
  <sheetViews>
    <sheetView view="pageBreakPreview" topLeftCell="A88" zoomScale="70" zoomScaleNormal="70" zoomScaleSheetLayoutView="70" workbookViewId="0">
      <selection activeCell="F112" sqref="F112"/>
    </sheetView>
  </sheetViews>
  <sheetFormatPr defaultRowHeight="12.75" customHeight="1"/>
  <cols>
    <col min="1" max="1" width="7.28515625" customWidth="1"/>
    <col min="2" max="2" width="1.7109375" customWidth="1"/>
    <col min="3" max="3" width="68.5703125" customWidth="1"/>
    <col min="4" max="4" width="19.140625" customWidth="1"/>
    <col min="5" max="5" width="20.42578125" customWidth="1"/>
    <col min="6" max="6" width="20.42578125" bestFit="1" customWidth="1"/>
    <col min="7" max="7" width="40.28515625" bestFit="1" customWidth="1"/>
    <col min="8" max="8" width="13" bestFit="1" customWidth="1"/>
    <col min="9" max="9" width="34" customWidth="1"/>
  </cols>
  <sheetData>
    <row r="1" spans="1:9" ht="15.75">
      <c r="A1" s="808"/>
      <c r="B1" s="105"/>
      <c r="C1" s="105"/>
      <c r="D1" s="105"/>
      <c r="E1" s="100"/>
      <c r="F1" s="91"/>
      <c r="G1" s="91"/>
      <c r="H1" s="91"/>
      <c r="I1" s="91"/>
    </row>
    <row r="2" spans="1:9" ht="15.75">
      <c r="A2" s="808"/>
      <c r="B2" s="105"/>
      <c r="C2" s="105"/>
      <c r="D2" s="105"/>
      <c r="E2" s="100"/>
      <c r="F2" s="91"/>
      <c r="G2" s="91"/>
      <c r="H2" s="91"/>
      <c r="I2" s="91"/>
    </row>
    <row r="3" spans="1:9" ht="18.75" customHeight="1">
      <c r="A3" s="1460" t="s">
        <v>387</v>
      </c>
      <c r="B3" s="1460"/>
      <c r="C3" s="1460"/>
      <c r="D3" s="1460"/>
      <c r="E3" s="1460"/>
      <c r="F3" s="1460"/>
      <c r="G3" s="91"/>
      <c r="H3" s="91"/>
      <c r="I3" s="91"/>
    </row>
    <row r="4" spans="1:9" ht="18.75" customHeight="1">
      <c r="A4" s="1461" t="str">
        <f>"Cost of Service Formula Rate Using Actual/Projected FF1 Balances"</f>
        <v>Cost of Service Formula Rate Using Actual/Projected FF1 Balances</v>
      </c>
      <c r="B4" s="1461"/>
      <c r="C4" s="1461"/>
      <c r="D4" s="1461"/>
      <c r="E4" s="1461"/>
      <c r="F4" s="1461"/>
      <c r="G4" s="91"/>
      <c r="H4" s="91"/>
      <c r="I4" s="91"/>
    </row>
    <row r="5" spans="1:9" ht="18.75" customHeight="1">
      <c r="A5" s="1461" t="s">
        <v>217</v>
      </c>
      <c r="B5" s="1461"/>
      <c r="C5" s="1461"/>
      <c r="D5" s="1461"/>
      <c r="E5" s="1461"/>
      <c r="F5" s="1461"/>
      <c r="G5" s="91"/>
      <c r="H5" s="91"/>
      <c r="I5" s="91"/>
    </row>
    <row r="6" spans="1:9" ht="18" customHeight="1">
      <c r="A6" s="1468" t="str">
        <f>TCOS!F9</f>
        <v>Appalachian Power Company</v>
      </c>
      <c r="B6" s="1461"/>
      <c r="C6" s="1461"/>
      <c r="D6" s="1461"/>
      <c r="E6" s="1461"/>
      <c r="F6" s="1461"/>
      <c r="G6" s="91"/>
      <c r="H6" s="91"/>
      <c r="I6" s="91"/>
    </row>
    <row r="7" spans="1:9" ht="18" customHeight="1">
      <c r="A7" s="1472"/>
      <c r="B7" s="1472"/>
      <c r="C7" s="1472"/>
      <c r="D7" s="1472"/>
      <c r="E7" s="1472"/>
      <c r="F7" s="1472"/>
      <c r="G7" s="91"/>
      <c r="H7" s="91"/>
      <c r="I7" s="91"/>
    </row>
    <row r="8" spans="1:9" ht="19.5" customHeight="1">
      <c r="A8" s="93"/>
      <c r="B8" s="94"/>
      <c r="C8" s="30" t="s">
        <v>162</v>
      </c>
      <c r="D8" s="105"/>
      <c r="E8" s="30" t="s">
        <v>163</v>
      </c>
      <c r="F8" s="205" t="s">
        <v>164</v>
      </c>
      <c r="G8" s="205" t="s">
        <v>165</v>
      </c>
      <c r="H8" s="91"/>
      <c r="I8" s="91"/>
    </row>
    <row r="9" spans="1:9" ht="18">
      <c r="A9" s="164"/>
      <c r="B9" s="165"/>
      <c r="C9" s="165"/>
      <c r="D9" s="165"/>
      <c r="F9" s="14"/>
      <c r="G9" s="206"/>
      <c r="H9" s="33"/>
      <c r="I9" s="33"/>
    </row>
    <row r="10" spans="1:9" ht="18">
      <c r="A10" s="164" t="s">
        <v>169</v>
      </c>
      <c r="B10" s="165"/>
      <c r="C10" s="165"/>
      <c r="D10" s="165"/>
      <c r="E10" s="166" t="s">
        <v>118</v>
      </c>
      <c r="F10" s="207" t="s">
        <v>76</v>
      </c>
      <c r="G10" s="208"/>
      <c r="H10" s="91"/>
      <c r="I10" s="91"/>
    </row>
    <row r="11" spans="1:9" ht="18">
      <c r="A11" s="168" t="s">
        <v>117</v>
      </c>
      <c r="B11" s="209"/>
      <c r="C11" s="168" t="s">
        <v>30</v>
      </c>
      <c r="D11" s="993"/>
      <c r="E11" s="169" t="s">
        <v>183</v>
      </c>
      <c r="F11" s="168" t="s">
        <v>77</v>
      </c>
      <c r="G11" s="169" t="s">
        <v>78</v>
      </c>
      <c r="H11" s="993"/>
      <c r="I11" s="993"/>
    </row>
    <row r="12" spans="1:9" ht="18">
      <c r="A12" s="95"/>
      <c r="B12" s="94"/>
      <c r="C12" s="90"/>
      <c r="D12" s="90"/>
      <c r="E12" s="90"/>
      <c r="F12" s="207"/>
      <c r="G12" s="210"/>
      <c r="H12" s="211"/>
      <c r="I12" s="994"/>
    </row>
    <row r="13" spans="1:9" ht="18">
      <c r="A13" s="93"/>
      <c r="B13" s="94"/>
      <c r="C13" s="94"/>
      <c r="D13" s="94"/>
      <c r="E13" s="96"/>
      <c r="F13" s="90"/>
      <c r="G13" s="91"/>
      <c r="H13" s="91"/>
      <c r="I13" s="91"/>
    </row>
    <row r="14" spans="1:9" ht="19.5">
      <c r="A14" s="93">
        <v>1</v>
      </c>
      <c r="B14" s="94"/>
      <c r="C14" s="97" t="s">
        <v>323</v>
      </c>
      <c r="D14" s="94"/>
      <c r="E14" s="104"/>
      <c r="F14" s="92"/>
      <c r="G14" s="91"/>
      <c r="H14" s="91"/>
      <c r="I14" s="91"/>
    </row>
    <row r="15" spans="1:9" ht="19.5">
      <c r="A15" s="93">
        <f>+A14+1</f>
        <v>2</v>
      </c>
      <c r="B15" s="94"/>
      <c r="C15" s="89" t="s">
        <v>307</v>
      </c>
      <c r="E15" s="219">
        <f>SUM(F16:F19)</f>
        <v>28920</v>
      </c>
      <c r="F15" s="104"/>
      <c r="G15" s="211"/>
      <c r="H15" s="211"/>
      <c r="I15" s="91"/>
    </row>
    <row r="16" spans="1:9" ht="19.5">
      <c r="A16" s="93"/>
      <c r="B16" s="94"/>
      <c r="C16" s="99"/>
      <c r="E16" s="218"/>
      <c r="F16" s="782">
        <v>28920</v>
      </c>
      <c r="G16" s="783"/>
      <c r="H16" s="211"/>
      <c r="I16" s="91"/>
    </row>
    <row r="17" spans="1:9" ht="19.5">
      <c r="A17" s="93"/>
      <c r="B17" s="94"/>
      <c r="C17" s="99"/>
      <c r="E17" s="218"/>
      <c r="F17" s="782"/>
      <c r="G17" s="783"/>
      <c r="H17" s="211"/>
      <c r="I17" s="91"/>
    </row>
    <row r="18" spans="1:9" ht="19.5">
      <c r="A18" s="93"/>
      <c r="B18" s="94"/>
      <c r="C18" s="99"/>
      <c r="E18" s="218"/>
      <c r="F18" s="782"/>
      <c r="G18" s="783"/>
      <c r="H18" s="211"/>
      <c r="I18" s="91"/>
    </row>
    <row r="19" spans="1:9" ht="18" customHeight="1">
      <c r="A19" s="93"/>
      <c r="B19" s="94"/>
      <c r="C19" s="99"/>
      <c r="E19" s="218"/>
      <c r="F19" s="782"/>
      <c r="G19" s="783"/>
      <c r="H19" s="211"/>
      <c r="I19" s="91"/>
    </row>
    <row r="20" spans="1:9" ht="18" customHeight="1">
      <c r="A20" s="93"/>
      <c r="B20" s="94"/>
      <c r="C20" s="99"/>
      <c r="E20" s="218"/>
      <c r="F20" s="782"/>
      <c r="G20" s="783"/>
      <c r="H20" s="211"/>
      <c r="I20" s="91"/>
    </row>
    <row r="21" spans="1:9" ht="18" customHeight="1">
      <c r="A21" s="93"/>
      <c r="B21" s="94"/>
      <c r="C21" s="99"/>
      <c r="E21" s="218"/>
      <c r="F21" s="810"/>
      <c r="G21" s="811"/>
      <c r="H21" s="211"/>
      <c r="I21" s="91"/>
    </row>
    <row r="22" spans="1:9" ht="18" customHeight="1">
      <c r="A22" s="93"/>
      <c r="B22" s="94"/>
      <c r="C22" s="30" t="s">
        <v>162</v>
      </c>
      <c r="D22" s="30" t="s">
        <v>163</v>
      </c>
      <c r="E22" s="205" t="s">
        <v>164</v>
      </c>
      <c r="F22" s="205" t="s">
        <v>165</v>
      </c>
      <c r="G22" s="205" t="s">
        <v>84</v>
      </c>
      <c r="H22" s="1030" t="s">
        <v>85</v>
      </c>
      <c r="I22" s="205" t="s">
        <v>86</v>
      </c>
    </row>
    <row r="23" spans="1:9" ht="58.5" customHeight="1">
      <c r="A23" s="168"/>
      <c r="B23" s="209"/>
      <c r="C23" s="1031" t="s">
        <v>757</v>
      </c>
      <c r="D23" s="1032" t="s">
        <v>675</v>
      </c>
      <c r="E23" s="1033" t="s">
        <v>755</v>
      </c>
      <c r="F23" s="1034" t="s">
        <v>756</v>
      </c>
      <c r="G23" s="1035" t="s">
        <v>78</v>
      </c>
      <c r="H23" s="1033" t="s">
        <v>823</v>
      </c>
      <c r="I23" s="1034" t="s">
        <v>754</v>
      </c>
    </row>
    <row r="24" spans="1:9" ht="19.5">
      <c r="A24" s="93"/>
      <c r="B24" s="94"/>
      <c r="C24" s="259"/>
      <c r="D24" s="5"/>
      <c r="E24" s="218"/>
      <c r="F24" s="219"/>
      <c r="G24" s="979"/>
      <c r="H24" s="211"/>
      <c r="I24" s="211"/>
    </row>
    <row r="25" spans="1:9" ht="39">
      <c r="A25" s="977">
        <f>+A15+1</f>
        <v>3</v>
      </c>
      <c r="B25" s="978"/>
      <c r="C25" s="1029" t="s">
        <v>753</v>
      </c>
      <c r="D25" s="1036"/>
      <c r="E25" s="1198">
        <f>E27+E33+E44+E50</f>
        <v>99192499.999999985</v>
      </c>
      <c r="F25" s="1037"/>
      <c r="G25" s="995"/>
      <c r="H25" s="1038"/>
      <c r="I25" s="1198">
        <f>I27+I33+I44+I50</f>
        <v>38955252.116605751</v>
      </c>
    </row>
    <row r="26" spans="1:9" ht="19.5">
      <c r="A26" s="93"/>
      <c r="B26" s="94"/>
      <c r="C26" s="97"/>
      <c r="E26" s="218"/>
      <c r="F26" s="213"/>
      <c r="G26" s="979"/>
      <c r="H26" s="980"/>
      <c r="I26" s="981"/>
    </row>
    <row r="27" spans="1:9" ht="19.5">
      <c r="A27" s="93">
        <f>+A25+1</f>
        <v>4</v>
      </c>
      <c r="B27" s="94"/>
      <c r="C27" s="982" t="s">
        <v>599</v>
      </c>
      <c r="E27" s="219">
        <f>SUM(F28:F32)</f>
        <v>60124799.073898107</v>
      </c>
      <c r="F27" s="213"/>
      <c r="G27" s="212"/>
      <c r="H27" s="214"/>
      <c r="I27" s="976">
        <f>SUM(I28:I32)</f>
        <v>21921577.893249907</v>
      </c>
    </row>
    <row r="28" spans="1:9" ht="19.5">
      <c r="A28" s="93"/>
      <c r="B28" s="94"/>
      <c r="C28" s="982"/>
      <c r="D28" s="1227">
        <v>2023</v>
      </c>
      <c r="E28" s="219"/>
      <c r="F28" s="782">
        <v>60124799.073898107</v>
      </c>
      <c r="G28" s="783"/>
      <c r="H28" s="974">
        <f>'WS H Other Taxes'!G70</f>
        <v>0.36460126654737862</v>
      </c>
      <c r="I28" s="1043">
        <f>+F28*H28</f>
        <v>21921577.893249907</v>
      </c>
    </row>
    <row r="29" spans="1:9" ht="19.5">
      <c r="A29" s="93"/>
      <c r="B29" s="94"/>
      <c r="C29" s="982"/>
      <c r="D29" s="782"/>
      <c r="E29" s="219"/>
      <c r="F29" s="782"/>
      <c r="G29" s="783"/>
      <c r="H29" s="974"/>
      <c r="I29" s="1043">
        <f>+F29*H29</f>
        <v>0</v>
      </c>
    </row>
    <row r="30" spans="1:9" ht="19.5">
      <c r="A30" s="93"/>
      <c r="B30" s="94"/>
      <c r="C30" s="982"/>
      <c r="D30" s="782"/>
      <c r="E30" s="219"/>
      <c r="F30" s="782"/>
      <c r="G30" s="783"/>
      <c r="H30" s="974"/>
      <c r="I30" s="1043">
        <f>+F30*H30</f>
        <v>0</v>
      </c>
    </row>
    <row r="31" spans="1:9" ht="19.5">
      <c r="A31" s="93"/>
      <c r="B31" s="94"/>
      <c r="C31" s="982"/>
      <c r="D31" s="782"/>
      <c r="E31" s="219"/>
      <c r="F31" s="782"/>
      <c r="G31" s="783"/>
      <c r="H31" s="974"/>
      <c r="I31" s="1043">
        <f t="shared" ref="I31:I42" si="0">F31*H31</f>
        <v>0</v>
      </c>
    </row>
    <row r="32" spans="1:9" ht="19.5">
      <c r="A32" s="93"/>
      <c r="B32" s="94"/>
      <c r="C32" s="982"/>
      <c r="D32" s="782"/>
      <c r="E32" s="219"/>
      <c r="F32" s="782"/>
      <c r="G32" s="783"/>
      <c r="H32" s="974"/>
      <c r="I32" s="1043">
        <f t="shared" si="0"/>
        <v>0</v>
      </c>
    </row>
    <row r="33" spans="1:9" ht="19.5">
      <c r="A33" s="93">
        <f>+A27+1</f>
        <v>5</v>
      </c>
      <c r="B33" s="94"/>
      <c r="C33" s="982" t="s">
        <v>600</v>
      </c>
      <c r="E33" s="219">
        <f>SUM(F34:F40)</f>
        <v>30659942.86615444</v>
      </c>
      <c r="F33" s="140"/>
      <c r="G33" s="212"/>
      <c r="H33" s="211"/>
      <c r="I33" s="1043">
        <f>SUM(I34:I42)</f>
        <v>14956482.795464795</v>
      </c>
    </row>
    <row r="34" spans="1:9" ht="19.5">
      <c r="A34" s="93"/>
      <c r="B34" s="94"/>
      <c r="C34" s="982"/>
      <c r="D34" s="1227">
        <v>2023</v>
      </c>
      <c r="E34" s="219"/>
      <c r="F34" s="782">
        <v>30659942.86615444</v>
      </c>
      <c r="G34" s="783"/>
      <c r="H34" s="975">
        <f>'WS H Other Taxes'!G59</f>
        <v>0.48781835180701788</v>
      </c>
      <c r="I34" s="1043">
        <f>F34*H34</f>
        <v>14956482.795464795</v>
      </c>
    </row>
    <row r="35" spans="1:9" ht="19.5">
      <c r="A35" s="93"/>
      <c r="B35" s="94"/>
      <c r="C35" s="982"/>
      <c r="D35" s="782"/>
      <c r="E35" s="219"/>
      <c r="F35" s="782"/>
      <c r="G35" s="783"/>
      <c r="H35" s="783"/>
      <c r="I35" s="1043">
        <f t="shared" si="0"/>
        <v>0</v>
      </c>
    </row>
    <row r="36" spans="1:9" ht="19.5">
      <c r="A36" s="93"/>
      <c r="B36" s="94"/>
      <c r="C36" s="982"/>
      <c r="D36" s="782"/>
      <c r="E36" s="219"/>
      <c r="F36" s="782"/>
      <c r="G36" s="783"/>
      <c r="H36" s="783"/>
      <c r="I36" s="1043">
        <f t="shared" si="0"/>
        <v>0</v>
      </c>
    </row>
    <row r="37" spans="1:9" ht="19.5">
      <c r="A37" s="93"/>
      <c r="B37" s="94"/>
      <c r="C37" s="982"/>
      <c r="D37" s="782"/>
      <c r="E37" s="219"/>
      <c r="F37" s="782"/>
      <c r="G37" s="783"/>
      <c r="H37" s="783"/>
      <c r="I37" s="1043">
        <f t="shared" si="0"/>
        <v>0</v>
      </c>
    </row>
    <row r="38" spans="1:9" ht="19.5">
      <c r="A38" s="93"/>
      <c r="B38" s="94"/>
      <c r="C38" s="982"/>
      <c r="D38" s="782"/>
      <c r="E38" s="219"/>
      <c r="F38" s="782"/>
      <c r="G38" s="783"/>
      <c r="H38" s="783"/>
      <c r="I38" s="1043">
        <f t="shared" si="0"/>
        <v>0</v>
      </c>
    </row>
    <row r="39" spans="1:9" ht="19.5">
      <c r="A39" s="93"/>
      <c r="B39" s="94"/>
      <c r="C39" s="982"/>
      <c r="D39" s="782"/>
      <c r="E39" s="219"/>
      <c r="F39" s="782"/>
      <c r="G39" s="783"/>
      <c r="H39" s="783"/>
      <c r="I39" s="1043">
        <f t="shared" si="0"/>
        <v>0</v>
      </c>
    </row>
    <row r="40" spans="1:9" ht="19.5">
      <c r="A40" s="93"/>
      <c r="B40" s="94"/>
      <c r="C40" s="982"/>
      <c r="D40" s="782"/>
      <c r="E40" s="219"/>
      <c r="F40" s="782"/>
      <c r="G40" s="783"/>
      <c r="H40" s="783"/>
      <c r="I40" s="1043">
        <f t="shared" si="0"/>
        <v>0</v>
      </c>
    </row>
    <row r="41" spans="1:9" ht="19.5">
      <c r="A41" s="93"/>
      <c r="B41" s="94"/>
      <c r="C41" s="982"/>
      <c r="D41" s="782"/>
      <c r="E41" s="219"/>
      <c r="F41" s="782"/>
      <c r="G41" s="783"/>
      <c r="H41" s="783"/>
      <c r="I41" s="1043">
        <f t="shared" si="0"/>
        <v>0</v>
      </c>
    </row>
    <row r="42" spans="1:9" ht="19.5">
      <c r="A42" s="93"/>
      <c r="B42" s="94"/>
      <c r="C42" s="982"/>
      <c r="D42" s="782"/>
      <c r="E42" s="219"/>
      <c r="F42" s="782"/>
      <c r="G42" s="783"/>
      <c r="H42" s="783"/>
      <c r="I42" s="1043">
        <f t="shared" si="0"/>
        <v>0</v>
      </c>
    </row>
    <row r="43" spans="1:9" ht="19.5">
      <c r="A43" s="93"/>
      <c r="B43" s="94"/>
      <c r="C43" s="982"/>
      <c r="D43" s="92"/>
      <c r="E43" s="219"/>
      <c r="F43" s="6"/>
      <c r="G43" s="255"/>
      <c r="H43" s="211"/>
      <c r="I43" s="211"/>
    </row>
    <row r="44" spans="1:9" ht="19.5">
      <c r="A44" s="93">
        <f>+A33+1</f>
        <v>6</v>
      </c>
      <c r="B44" s="94"/>
      <c r="C44" s="982" t="s">
        <v>596</v>
      </c>
      <c r="D44" s="180"/>
      <c r="E44" s="219">
        <f>SUM(F45:F48)</f>
        <v>1679877.2426327053</v>
      </c>
      <c r="F44" s="104" t="s">
        <v>114</v>
      </c>
      <c r="G44" s="255" t="s">
        <v>114</v>
      </c>
      <c r="H44" s="211"/>
      <c r="I44" s="1043">
        <f>SUM(I45:I49)</f>
        <v>286843.40441047086</v>
      </c>
    </row>
    <row r="45" spans="1:9" ht="19.5">
      <c r="A45" s="93"/>
      <c r="B45" s="94"/>
      <c r="C45" s="982"/>
      <c r="D45" s="1227">
        <v>2023</v>
      </c>
      <c r="E45" s="219"/>
      <c r="F45" s="782">
        <v>1679877.2426327053</v>
      </c>
      <c r="G45" s="783"/>
      <c r="H45" s="975">
        <f>'WS H Other Taxes'!G80</f>
        <v>0.17075259854162295</v>
      </c>
      <c r="I45" s="1043">
        <f>F45*H45</f>
        <v>286843.40441047086</v>
      </c>
    </row>
    <row r="46" spans="1:9" ht="19.5">
      <c r="A46" s="93"/>
      <c r="B46" s="94"/>
      <c r="C46" s="982"/>
      <c r="D46" s="782"/>
      <c r="E46" s="219"/>
      <c r="F46" s="782"/>
      <c r="G46" s="783"/>
      <c r="H46" s="783"/>
      <c r="I46" s="1043">
        <f>F46*H46</f>
        <v>0</v>
      </c>
    </row>
    <row r="47" spans="1:9" ht="19.5">
      <c r="A47" s="93"/>
      <c r="B47" s="94"/>
      <c r="C47" s="982"/>
      <c r="D47" s="782"/>
      <c r="E47" s="219"/>
      <c r="F47" s="782"/>
      <c r="G47" s="783"/>
      <c r="H47" s="783"/>
      <c r="I47" s="1043">
        <f>F47*H47</f>
        <v>0</v>
      </c>
    </row>
    <row r="48" spans="1:9" ht="19.5">
      <c r="A48" s="93"/>
      <c r="B48" s="94"/>
      <c r="C48" s="982"/>
      <c r="D48" s="782"/>
      <c r="E48" s="219"/>
      <c r="F48" s="782"/>
      <c r="G48" s="783"/>
      <c r="H48" s="783"/>
      <c r="I48" s="1043">
        <f>F48*H48</f>
        <v>0</v>
      </c>
    </row>
    <row r="49" spans="1:9" ht="19.5">
      <c r="A49" s="93"/>
      <c r="B49" s="94"/>
      <c r="C49" s="982"/>
      <c r="D49" s="782"/>
      <c r="E49" s="219"/>
      <c r="F49" s="782"/>
      <c r="G49" s="783"/>
      <c r="H49" s="783"/>
      <c r="I49" s="1043">
        <f>F49*H49</f>
        <v>0</v>
      </c>
    </row>
    <row r="50" spans="1:9" ht="19.5">
      <c r="A50" s="93"/>
      <c r="B50" s="94"/>
      <c r="C50" s="982"/>
      <c r="D50" s="180"/>
      <c r="E50" s="219">
        <f>SUM(F51:F53)</f>
        <v>6727880.8173147431</v>
      </c>
      <c r="F50" s="254"/>
      <c r="G50" s="255"/>
      <c r="H50" s="211"/>
      <c r="I50" s="1043">
        <f>SUM(I51:I53)</f>
        <v>1790348.0234805762</v>
      </c>
    </row>
    <row r="51" spans="1:9" ht="19.5">
      <c r="A51" s="93">
        <f>A44+1</f>
        <v>7</v>
      </c>
      <c r="B51" s="94"/>
      <c r="C51" s="982" t="s">
        <v>463</v>
      </c>
      <c r="D51" s="1227">
        <v>2023</v>
      </c>
      <c r="E51" s="219"/>
      <c r="F51" s="782">
        <v>6727880.8173147431</v>
      </c>
      <c r="G51" s="783"/>
      <c r="H51" s="975">
        <f>TCOS!J75</f>
        <v>0.26610876026117636</v>
      </c>
      <c r="I51" s="1043">
        <f>F51*H51</f>
        <v>1790348.0234805762</v>
      </c>
    </row>
    <row r="52" spans="1:9" ht="19.5">
      <c r="A52" s="93"/>
      <c r="B52" s="94"/>
      <c r="C52" s="92"/>
      <c r="D52" s="782"/>
      <c r="E52" s="219"/>
      <c r="F52" s="782"/>
      <c r="G52" s="783"/>
      <c r="H52" s="783"/>
      <c r="I52" s="1043">
        <f>F52*H52</f>
        <v>0</v>
      </c>
    </row>
    <row r="53" spans="1:9" ht="19.5">
      <c r="A53" s="93"/>
      <c r="B53" s="94"/>
      <c r="C53" s="92"/>
      <c r="D53" s="782"/>
      <c r="E53" s="219"/>
      <c r="F53" s="782"/>
      <c r="G53" s="783"/>
      <c r="H53" s="783"/>
      <c r="I53" s="1043">
        <f>F53*H53</f>
        <v>0</v>
      </c>
    </row>
    <row r="54" spans="1:9" ht="19.5">
      <c r="A54" s="996"/>
      <c r="B54" s="997"/>
      <c r="C54" s="998"/>
      <c r="D54" s="999"/>
      <c r="E54" s="1000"/>
      <c r="F54" s="999"/>
      <c r="G54" s="1001"/>
      <c r="H54" s="1001"/>
      <c r="I54" s="1002"/>
    </row>
    <row r="55" spans="1:9" ht="19.5">
      <c r="A55" s="93"/>
      <c r="B55" s="94"/>
      <c r="C55" s="92"/>
      <c r="D55" s="180"/>
      <c r="E55" s="219"/>
      <c r="F55" s="254"/>
      <c r="G55" s="255"/>
      <c r="H55" s="211"/>
      <c r="I55" s="91"/>
    </row>
    <row r="56" spans="1:9" ht="18">
      <c r="A56" s="93"/>
      <c r="B56" s="94"/>
      <c r="C56" s="30" t="s">
        <v>162</v>
      </c>
      <c r="D56" s="105"/>
      <c r="E56" s="30" t="s">
        <v>163</v>
      </c>
      <c r="F56" s="205" t="s">
        <v>164</v>
      </c>
      <c r="G56" s="205" t="s">
        <v>165</v>
      </c>
      <c r="H56" s="211"/>
      <c r="I56" s="91"/>
    </row>
    <row r="57" spans="1:9" ht="18">
      <c r="A57" s="164"/>
      <c r="B57" s="165"/>
      <c r="C57" s="165"/>
      <c r="D57" s="165"/>
      <c r="F57" s="14"/>
      <c r="G57" s="206"/>
      <c r="H57" s="211"/>
      <c r="I57" s="91"/>
    </row>
    <row r="58" spans="1:9" ht="18">
      <c r="A58" s="164" t="s">
        <v>169</v>
      </c>
      <c r="B58" s="165"/>
      <c r="C58" s="165"/>
      <c r="D58" s="165"/>
      <c r="E58" s="166" t="s">
        <v>118</v>
      </c>
      <c r="F58" s="207" t="s">
        <v>76</v>
      </c>
      <c r="G58" s="208"/>
      <c r="H58" s="211"/>
      <c r="I58" s="91"/>
    </row>
    <row r="59" spans="1:9" ht="18">
      <c r="A59" s="168" t="s">
        <v>117</v>
      </c>
      <c r="B59" s="209"/>
      <c r="C59" s="168" t="s">
        <v>30</v>
      </c>
      <c r="D59" s="993"/>
      <c r="E59" s="169" t="s">
        <v>183</v>
      </c>
      <c r="F59" s="168" t="s">
        <v>77</v>
      </c>
      <c r="G59" s="169" t="s">
        <v>78</v>
      </c>
      <c r="H59" s="211"/>
      <c r="I59" s="91"/>
    </row>
    <row r="60" spans="1:9" ht="19.5">
      <c r="A60" s="93">
        <f>+A51+1</f>
        <v>8</v>
      </c>
      <c r="B60" s="94"/>
      <c r="C60" s="97" t="s">
        <v>325</v>
      </c>
      <c r="D60" s="94"/>
      <c r="E60" s="218"/>
      <c r="F60" s="214" t="s">
        <v>114</v>
      </c>
      <c r="G60" s="212"/>
      <c r="H60" s="211"/>
      <c r="I60" s="91"/>
    </row>
    <row r="61" spans="1:9" ht="19.5">
      <c r="A61" s="93">
        <f>+A60+1</f>
        <v>9</v>
      </c>
      <c r="B61" s="94"/>
      <c r="C61" s="92" t="s">
        <v>321</v>
      </c>
      <c r="D61" s="94"/>
      <c r="E61" s="219">
        <f>SUM(F62)</f>
        <v>8061704.0661257515</v>
      </c>
      <c r="F61" s="215"/>
      <c r="G61" s="212"/>
      <c r="H61" s="211"/>
      <c r="I61" s="91"/>
    </row>
    <row r="62" spans="1:9" ht="19.5">
      <c r="A62" s="93"/>
      <c r="B62" s="94"/>
      <c r="C62" s="92"/>
      <c r="D62" s="94"/>
      <c r="E62" s="219"/>
      <c r="F62" s="782">
        <v>8061704.0661257515</v>
      </c>
      <c r="G62" s="783"/>
      <c r="H62" s="211"/>
      <c r="I62" s="91"/>
    </row>
    <row r="63" spans="1:9" ht="19.5">
      <c r="A63" s="93">
        <f>+A61+1</f>
        <v>10</v>
      </c>
      <c r="B63" s="94"/>
      <c r="C63" s="92" t="s">
        <v>314</v>
      </c>
      <c r="D63" s="94"/>
      <c r="E63" s="219">
        <f>SUM(F64)</f>
        <v>36414.0410404785</v>
      </c>
      <c r="F63" s="104"/>
      <c r="G63" s="261"/>
      <c r="H63" s="211"/>
      <c r="I63" s="91"/>
    </row>
    <row r="64" spans="1:9" ht="19.5">
      <c r="A64" s="93"/>
      <c r="B64" s="94"/>
      <c r="C64" s="92"/>
      <c r="D64" s="94"/>
      <c r="E64" s="219"/>
      <c r="F64" s="782">
        <v>36414.0410404785</v>
      </c>
      <c r="G64" s="783"/>
      <c r="H64" s="211"/>
      <c r="I64" s="91"/>
    </row>
    <row r="65" spans="1:9" ht="19.5">
      <c r="A65" s="93">
        <f>+A63+1</f>
        <v>11</v>
      </c>
      <c r="B65" s="94"/>
      <c r="C65" s="92" t="s">
        <v>315</v>
      </c>
      <c r="D65" s="94"/>
      <c r="E65" s="219">
        <f>SUM(F66:F70)</f>
        <v>84955.295852299605</v>
      </c>
      <c r="F65" s="98"/>
      <c r="G65" s="212"/>
      <c r="H65" s="211"/>
      <c r="I65" s="91"/>
    </row>
    <row r="66" spans="1:9" ht="19.5">
      <c r="A66" s="93"/>
      <c r="B66" s="94"/>
      <c r="C66" s="92"/>
      <c r="D66" s="94"/>
      <c r="E66" s="219"/>
      <c r="F66" s="782">
        <v>84955.295852299605</v>
      </c>
      <c r="G66" s="783"/>
      <c r="H66" s="211"/>
      <c r="I66" s="91"/>
    </row>
    <row r="67" spans="1:9" ht="19.5">
      <c r="A67" s="93"/>
      <c r="B67" s="94"/>
      <c r="C67" s="92"/>
      <c r="D67" s="94"/>
      <c r="E67" s="219"/>
      <c r="F67" s="782"/>
      <c r="G67" s="783"/>
      <c r="H67" s="211"/>
      <c r="I67" s="91"/>
    </row>
    <row r="68" spans="1:9" ht="19.5">
      <c r="A68" s="93"/>
      <c r="B68" s="94"/>
      <c r="C68" s="92"/>
      <c r="D68" s="94"/>
      <c r="E68" s="219"/>
      <c r="F68" s="782"/>
      <c r="G68" s="783"/>
      <c r="H68" s="211"/>
      <c r="I68" s="91"/>
    </row>
    <row r="69" spans="1:9" ht="19.5">
      <c r="A69" s="91"/>
      <c r="B69" s="91"/>
      <c r="C69" s="91"/>
      <c r="D69" s="94"/>
      <c r="E69" s="218"/>
      <c r="F69" s="782"/>
      <c r="G69" s="783"/>
      <c r="H69" s="211"/>
      <c r="I69" s="91"/>
    </row>
    <row r="70" spans="1:9" ht="19.5">
      <c r="A70" s="91"/>
      <c r="B70" s="91"/>
      <c r="C70" s="91"/>
      <c r="D70" s="94"/>
      <c r="E70" s="218"/>
      <c r="F70" s="782"/>
      <c r="G70" s="783"/>
      <c r="H70" s="211"/>
      <c r="I70" s="91"/>
    </row>
    <row r="71" spans="1:9" ht="19.5">
      <c r="A71" s="93">
        <f>A65+1</f>
        <v>12</v>
      </c>
      <c r="B71" s="94"/>
      <c r="C71" s="97" t="s">
        <v>440</v>
      </c>
      <c r="D71" s="94"/>
      <c r="E71" s="219">
        <f>SUM(F72:F72)</f>
        <v>0</v>
      </c>
      <c r="F71" s="254"/>
      <c r="G71" s="255"/>
      <c r="H71" s="211"/>
      <c r="I71" s="91"/>
    </row>
    <row r="72" spans="1:9" ht="19.5">
      <c r="A72" s="93">
        <f>+A71+1</f>
        <v>13</v>
      </c>
      <c r="B72" s="94"/>
      <c r="C72" s="104" t="s">
        <v>441</v>
      </c>
      <c r="D72" s="180"/>
      <c r="E72" s="219"/>
      <c r="F72" s="782"/>
      <c r="G72" s="783"/>
      <c r="H72" s="211"/>
      <c r="I72" s="91"/>
    </row>
    <row r="73" spans="1:9" ht="19.5">
      <c r="A73" s="93"/>
      <c r="B73" s="94"/>
      <c r="C73" s="89"/>
      <c r="D73" s="94"/>
      <c r="E73" s="222"/>
      <c r="F73" s="254"/>
      <c r="G73" s="89"/>
      <c r="H73" s="211"/>
      <c r="I73" s="91"/>
    </row>
    <row r="74" spans="1:9" ht="19.5">
      <c r="A74" s="101">
        <f>+A72+1</f>
        <v>14</v>
      </c>
      <c r="B74" s="94"/>
      <c r="C74" s="97" t="s">
        <v>322</v>
      </c>
      <c r="D74" s="103"/>
      <c r="E74" s="218"/>
      <c r="F74" s="104"/>
      <c r="G74" s="89"/>
      <c r="H74" s="211"/>
      <c r="I74" s="91"/>
    </row>
    <row r="75" spans="1:9" ht="19.5">
      <c r="A75" s="101">
        <f>A74+1</f>
        <v>15</v>
      </c>
      <c r="B75" s="102"/>
      <c r="C75" s="89" t="s">
        <v>439</v>
      </c>
      <c r="D75" s="103"/>
      <c r="E75" s="219">
        <f>SUM(F76:F77)</f>
        <v>63614000</v>
      </c>
      <c r="F75" s="104"/>
      <c r="G75" s="89"/>
      <c r="H75" s="211"/>
      <c r="I75" s="91"/>
    </row>
    <row r="76" spans="1:9" ht="19.5">
      <c r="A76" s="101"/>
      <c r="B76" s="102"/>
      <c r="C76" s="89"/>
      <c r="D76" s="91"/>
      <c r="E76" s="222"/>
      <c r="F76" s="782">
        <v>63614000</v>
      </c>
      <c r="G76" s="783"/>
      <c r="H76" s="211"/>
      <c r="I76" s="91"/>
    </row>
    <row r="77" spans="1:9" ht="19.5">
      <c r="A77" s="101"/>
      <c r="B77" s="102"/>
      <c r="C77" s="89"/>
      <c r="D77" s="91"/>
      <c r="E77" s="222"/>
      <c r="F77" s="782"/>
      <c r="G77" s="783"/>
      <c r="H77" s="211"/>
      <c r="I77" s="91"/>
    </row>
    <row r="78" spans="1:9" ht="19.5">
      <c r="A78" s="101"/>
      <c r="B78" s="102"/>
      <c r="C78" s="89"/>
      <c r="D78" s="91"/>
      <c r="E78" s="222"/>
      <c r="F78" s="782"/>
      <c r="G78" s="783"/>
      <c r="H78" s="211"/>
      <c r="I78" s="91"/>
    </row>
    <row r="79" spans="1:9" ht="19.5">
      <c r="A79" s="93">
        <f>A75+1</f>
        <v>16</v>
      </c>
      <c r="B79" s="102"/>
      <c r="C79" s="89" t="s">
        <v>316</v>
      </c>
      <c r="D79" s="94"/>
      <c r="E79" s="219">
        <f>SUM(F80:F81)</f>
        <v>0</v>
      </c>
      <c r="F79" s="104"/>
      <c r="G79" s="89"/>
      <c r="H79" s="211"/>
      <c r="I79" s="91"/>
    </row>
    <row r="80" spans="1:9" ht="19.5">
      <c r="A80" s="93"/>
      <c r="B80" s="102"/>
      <c r="C80" s="89"/>
      <c r="D80" s="94"/>
      <c r="E80" s="140"/>
      <c r="F80" s="782">
        <v>0</v>
      </c>
      <c r="G80" s="783"/>
      <c r="H80" s="211"/>
      <c r="I80" s="91"/>
    </row>
    <row r="81" spans="1:9" ht="19.5">
      <c r="A81" s="93"/>
      <c r="B81" s="102"/>
      <c r="C81" s="89"/>
      <c r="D81" s="94"/>
      <c r="E81" s="140"/>
      <c r="F81" s="782"/>
      <c r="G81" s="783"/>
      <c r="H81" s="211"/>
      <c r="I81" s="91"/>
    </row>
    <row r="82" spans="1:9" ht="19.5">
      <c r="A82" s="93"/>
      <c r="B82" s="102"/>
      <c r="C82" s="89"/>
      <c r="D82" s="94"/>
      <c r="E82" s="140"/>
      <c r="F82" s="782"/>
      <c r="G82" s="783"/>
      <c r="H82" s="211"/>
      <c r="I82" s="91"/>
    </row>
    <row r="83" spans="1:9" ht="19.5">
      <c r="A83" s="93">
        <f>+A79+1</f>
        <v>17</v>
      </c>
      <c r="B83" s="94"/>
      <c r="C83" s="89" t="s">
        <v>317</v>
      </c>
      <c r="E83" s="219">
        <f>SUM(F84:F91)</f>
        <v>214256.99999999901</v>
      </c>
      <c r="F83" s="91"/>
      <c r="G83" s="91"/>
      <c r="H83" s="211"/>
      <c r="I83" s="91"/>
    </row>
    <row r="84" spans="1:9" ht="19.5">
      <c r="A84" s="93"/>
      <c r="B84" s="94"/>
      <c r="C84" s="89"/>
      <c r="E84" s="140"/>
      <c r="F84" s="782">
        <v>214256.99999999901</v>
      </c>
      <c r="G84" s="783"/>
      <c r="H84" s="211"/>
      <c r="I84" s="91"/>
    </row>
    <row r="85" spans="1:9" ht="19.5">
      <c r="A85" s="93"/>
      <c r="B85" s="94"/>
      <c r="C85" s="89"/>
      <c r="E85" s="140"/>
      <c r="F85" s="782"/>
      <c r="G85" s="783"/>
      <c r="H85" s="211"/>
      <c r="I85" s="91"/>
    </row>
    <row r="86" spans="1:9" ht="19.5">
      <c r="A86" s="93"/>
      <c r="B86" s="94"/>
      <c r="C86" s="89"/>
      <c r="E86" s="140"/>
      <c r="F86" s="782"/>
      <c r="G86" s="783"/>
      <c r="H86" s="211"/>
      <c r="I86" s="91"/>
    </row>
    <row r="87" spans="1:9" ht="19.5">
      <c r="A87" s="93"/>
      <c r="B87" s="94"/>
      <c r="C87" s="89"/>
      <c r="E87" s="140"/>
      <c r="F87" s="782"/>
      <c r="G87" s="783"/>
      <c r="H87" s="211"/>
      <c r="I87" s="91"/>
    </row>
    <row r="88" spans="1:9" ht="19.5">
      <c r="A88" s="93"/>
      <c r="B88" s="94"/>
      <c r="C88" s="89"/>
      <c r="E88" s="140"/>
      <c r="F88" s="782"/>
      <c r="G88" s="783"/>
      <c r="H88" s="211"/>
      <c r="I88" s="91"/>
    </row>
    <row r="89" spans="1:9" ht="19.5">
      <c r="A89" s="93"/>
      <c r="B89" s="94"/>
      <c r="C89" s="89"/>
      <c r="E89" s="140"/>
      <c r="F89" s="782"/>
      <c r="G89" s="783"/>
      <c r="H89" s="211"/>
      <c r="I89" s="91"/>
    </row>
    <row r="90" spans="1:9" ht="19.5">
      <c r="A90" s="93"/>
      <c r="B90" s="94"/>
      <c r="C90" s="89"/>
      <c r="E90" s="140"/>
      <c r="F90" s="782"/>
      <c r="G90" s="783"/>
      <c r="H90" s="211"/>
      <c r="I90" s="91"/>
    </row>
    <row r="91" spans="1:9" ht="19.5">
      <c r="A91" s="93"/>
      <c r="B91" s="94"/>
      <c r="C91" s="89"/>
      <c r="E91" s="140"/>
      <c r="F91" s="782"/>
      <c r="G91" s="783"/>
      <c r="H91" s="211"/>
      <c r="I91" s="91"/>
    </row>
    <row r="92" spans="1:9" ht="19.5">
      <c r="A92" s="93"/>
      <c r="B92" s="94"/>
      <c r="C92" s="89"/>
      <c r="E92" s="140"/>
      <c r="F92" s="104"/>
      <c r="G92" s="89"/>
      <c r="H92" s="211"/>
      <c r="I92" s="91"/>
    </row>
    <row r="93" spans="1:9" ht="19.5">
      <c r="A93" s="93">
        <f>+A83+1</f>
        <v>18</v>
      </c>
      <c r="B93" s="94"/>
      <c r="C93" s="89" t="s">
        <v>318</v>
      </c>
      <c r="E93" s="219">
        <f>SUM(F94:F99)</f>
        <v>0</v>
      </c>
      <c r="F93" s="104"/>
      <c r="G93" s="89"/>
      <c r="H93" s="211"/>
      <c r="I93" s="91"/>
    </row>
    <row r="94" spans="1:9" ht="19.5">
      <c r="A94" s="93"/>
      <c r="B94" s="94"/>
      <c r="C94" s="89"/>
      <c r="E94" s="140"/>
      <c r="F94" s="782">
        <v>0</v>
      </c>
      <c r="G94" s="783"/>
      <c r="H94" s="211"/>
      <c r="I94" s="91"/>
    </row>
    <row r="95" spans="1:9" ht="19.5">
      <c r="A95" s="93"/>
      <c r="B95" s="94"/>
      <c r="C95" s="89"/>
      <c r="E95" s="140"/>
      <c r="F95" s="782"/>
      <c r="G95" s="783"/>
      <c r="H95" s="211"/>
      <c r="I95" s="91"/>
    </row>
    <row r="96" spans="1:9" ht="19.5">
      <c r="A96" s="93"/>
      <c r="B96" s="94"/>
      <c r="C96" s="89"/>
      <c r="E96" s="140"/>
      <c r="F96" s="782"/>
      <c r="G96" s="783"/>
      <c r="H96" s="211"/>
      <c r="I96" s="91"/>
    </row>
    <row r="97" spans="1:9" ht="19.5">
      <c r="A97" s="93"/>
      <c r="B97" s="94"/>
      <c r="C97" s="89"/>
      <c r="E97" s="140"/>
      <c r="F97" s="782"/>
      <c r="G97" s="783"/>
      <c r="H97" s="211"/>
      <c r="I97" s="91"/>
    </row>
    <row r="98" spans="1:9" ht="19.5">
      <c r="A98" s="93"/>
      <c r="B98" s="94"/>
      <c r="C98" s="89"/>
      <c r="E98" s="140"/>
      <c r="F98" s="782"/>
      <c r="G98" s="783"/>
      <c r="H98" s="211"/>
      <c r="I98" s="91"/>
    </row>
    <row r="99" spans="1:9" ht="19.5">
      <c r="A99" s="93"/>
      <c r="B99" s="94"/>
      <c r="C99" s="89"/>
      <c r="E99" s="140"/>
      <c r="F99" s="782"/>
      <c r="G99" s="783"/>
      <c r="H99" s="211"/>
      <c r="I99" s="91"/>
    </row>
    <row r="100" spans="1:9" ht="19.5">
      <c r="A100" s="93">
        <f>+A93+1</f>
        <v>19</v>
      </c>
      <c r="B100" s="94"/>
      <c r="C100" s="89" t="s">
        <v>319</v>
      </c>
      <c r="D100" s="94"/>
      <c r="E100" s="219">
        <f>SUM(F101:F102)</f>
        <v>14903691.999999901</v>
      </c>
      <c r="F100" s="104"/>
      <c r="G100" s="255"/>
      <c r="H100" s="211"/>
      <c r="I100" s="91"/>
    </row>
    <row r="101" spans="1:9" ht="19.5">
      <c r="A101" s="93"/>
      <c r="B101" s="94"/>
      <c r="C101" s="89"/>
      <c r="D101" s="94"/>
      <c r="E101" s="219"/>
      <c r="F101" s="782">
        <v>14903691.999999901</v>
      </c>
      <c r="G101" s="783"/>
      <c r="H101" s="211"/>
      <c r="I101" s="91"/>
    </row>
    <row r="102" spans="1:9" ht="19.5">
      <c r="A102" s="93"/>
      <c r="B102" s="94"/>
      <c r="C102" s="89"/>
      <c r="D102" s="94"/>
      <c r="E102" s="222"/>
      <c r="F102" s="782"/>
      <c r="G102" s="783"/>
      <c r="H102" s="211"/>
      <c r="I102" s="91"/>
    </row>
    <row r="103" spans="1:9" ht="19.5">
      <c r="A103" s="93">
        <f>+A100+1</f>
        <v>20</v>
      </c>
      <c r="B103" s="94"/>
      <c r="C103" s="89" t="s">
        <v>320</v>
      </c>
      <c r="D103" s="91"/>
      <c r="E103" s="219">
        <f>SUM(F104:F106)</f>
        <v>36000</v>
      </c>
      <c r="F103" s="91"/>
      <c r="G103" s="89"/>
      <c r="H103" s="211"/>
      <c r="I103" s="91"/>
    </row>
    <row r="104" spans="1:9" ht="19.5">
      <c r="A104" s="93"/>
      <c r="B104" s="94"/>
      <c r="C104" s="89"/>
      <c r="D104" s="94"/>
      <c r="E104" s="140"/>
      <c r="F104" s="782">
        <v>36000</v>
      </c>
      <c r="G104" s="783"/>
      <c r="H104" s="211"/>
      <c r="I104" s="91"/>
    </row>
    <row r="105" spans="1:9" ht="19.5">
      <c r="A105" s="93"/>
      <c r="B105" s="94"/>
      <c r="C105" s="89"/>
      <c r="D105" s="94"/>
      <c r="E105" s="140"/>
      <c r="F105" s="782"/>
      <c r="G105" s="783"/>
      <c r="H105" s="211"/>
      <c r="I105" s="91"/>
    </row>
    <row r="106" spans="1:9" ht="19.5">
      <c r="A106" s="93"/>
      <c r="B106" s="94"/>
      <c r="C106" s="89"/>
      <c r="D106" s="94"/>
      <c r="E106" s="140"/>
      <c r="F106" s="104"/>
      <c r="G106" s="89"/>
      <c r="H106" s="211"/>
      <c r="I106" s="91"/>
    </row>
    <row r="107" spans="1:9" ht="19.5">
      <c r="A107" s="93">
        <f>+A103+1</f>
        <v>21</v>
      </c>
      <c r="B107" s="94"/>
      <c r="C107" s="89" t="s">
        <v>308</v>
      </c>
      <c r="D107" s="89"/>
      <c r="E107" s="219">
        <f>SUM(F108:F109)</f>
        <v>0</v>
      </c>
      <c r="F107" s="104"/>
      <c r="G107" s="89"/>
      <c r="H107" s="211"/>
      <c r="I107" s="91"/>
    </row>
    <row r="108" spans="1:9" ht="19.5">
      <c r="A108" s="93"/>
      <c r="B108" s="94"/>
      <c r="C108" s="89"/>
      <c r="D108" s="89"/>
      <c r="E108" s="140"/>
      <c r="F108" s="782">
        <v>0</v>
      </c>
      <c r="G108" s="783"/>
      <c r="H108" s="211"/>
      <c r="I108" s="91"/>
    </row>
    <row r="109" spans="1:9" ht="19.5">
      <c r="A109" s="93"/>
      <c r="B109" s="94"/>
      <c r="C109" s="89"/>
      <c r="D109" s="89"/>
      <c r="E109" s="140"/>
      <c r="F109" s="782"/>
      <c r="G109" s="783"/>
      <c r="H109" s="211"/>
      <c r="I109" s="91"/>
    </row>
    <row r="110" spans="1:9" ht="19.5">
      <c r="A110" s="93">
        <f>+A107+1</f>
        <v>22</v>
      </c>
      <c r="B110" s="89"/>
      <c r="C110" s="114" t="s">
        <v>1075</v>
      </c>
      <c r="D110" s="104"/>
      <c r="E110" s="219">
        <f>SUM(F111:F111)</f>
        <v>0</v>
      </c>
      <c r="F110" s="216"/>
      <c r="G110" s="89"/>
      <c r="H110" s="211"/>
      <c r="I110" s="91"/>
    </row>
    <row r="111" spans="1:9" ht="19.5">
      <c r="A111" s="93"/>
      <c r="B111" s="89"/>
      <c r="C111" s="114"/>
      <c r="D111" s="104"/>
      <c r="E111" s="140"/>
      <c r="F111" s="782">
        <v>0</v>
      </c>
      <c r="G111" s="783"/>
      <c r="H111" s="91"/>
      <c r="I111" s="91"/>
    </row>
    <row r="112" spans="1:9" ht="19.5">
      <c r="A112" s="6"/>
      <c r="B112" s="89"/>
      <c r="C112" s="199"/>
      <c r="F112" s="198"/>
      <c r="G112" s="217"/>
      <c r="H112" s="91"/>
      <c r="I112" s="91"/>
    </row>
    <row r="113" spans="1:9" ht="20.25" thickBot="1">
      <c r="A113" s="192">
        <f>+A110+1</f>
        <v>23</v>
      </c>
      <c r="B113" s="199"/>
      <c r="C113" s="89" t="s">
        <v>311</v>
      </c>
      <c r="E113" s="113">
        <f>E15+E25+E61+E63+E65+E75+E83+E79+E93+E100+E103+E107+E110</f>
        <v>186172442.40301844</v>
      </c>
      <c r="F113" s="113">
        <f>SUM(F15:F111)</f>
        <v>186172442.40301844</v>
      </c>
      <c r="G113" s="89"/>
      <c r="H113" s="91"/>
      <c r="I113" s="91"/>
    </row>
    <row r="114" spans="1:9" ht="20.25" thickTop="1">
      <c r="A114" s="6"/>
      <c r="B114" s="199"/>
      <c r="C114" s="89" t="s">
        <v>381</v>
      </c>
      <c r="F114" s="216"/>
      <c r="G114" s="89"/>
      <c r="H114" s="91"/>
      <c r="I114" s="91"/>
    </row>
    <row r="115" spans="1:9" ht="21">
      <c r="A115" s="6"/>
      <c r="B115" s="199"/>
      <c r="C115" s="89"/>
      <c r="E115" s="232"/>
      <c r="F115" s="141" t="s">
        <v>114</v>
      </c>
      <c r="G115" s="89"/>
      <c r="H115" s="91"/>
      <c r="I115" s="91"/>
    </row>
    <row r="116" spans="1:9" ht="20.25" customHeight="1">
      <c r="A116" s="1508" t="s">
        <v>766</v>
      </c>
      <c r="B116" s="1508"/>
      <c r="C116" s="1508"/>
      <c r="D116" s="1508"/>
      <c r="E116" s="1508"/>
      <c r="F116" s="1508"/>
      <c r="G116" s="1508"/>
      <c r="H116" s="91"/>
      <c r="I116" s="91"/>
    </row>
    <row r="117" spans="1:9" ht="20.25" customHeight="1">
      <c r="A117" s="1508"/>
      <c r="B117" s="1508"/>
      <c r="C117" s="1508"/>
      <c r="D117" s="1508"/>
      <c r="E117" s="1508"/>
      <c r="F117" s="1508"/>
      <c r="G117" s="1508"/>
      <c r="H117" s="91"/>
      <c r="I117" s="91"/>
    </row>
    <row r="118" spans="1:9" ht="20.25" customHeight="1">
      <c r="A118" s="1508"/>
      <c r="B118" s="1508"/>
      <c r="C118" s="1508"/>
      <c r="D118" s="1508"/>
      <c r="E118" s="1508"/>
      <c r="F118" s="1508"/>
      <c r="G118" s="1508"/>
      <c r="H118" s="91"/>
      <c r="I118" s="91"/>
    </row>
    <row r="119" spans="1:9" ht="20.25" customHeight="1">
      <c r="A119" s="1508"/>
      <c r="B119" s="1508"/>
      <c r="C119" s="1508"/>
      <c r="D119" s="1508"/>
      <c r="E119" s="1508"/>
      <c r="F119" s="1508"/>
      <c r="G119" s="1508"/>
      <c r="H119" s="91"/>
      <c r="I119" s="91"/>
    </row>
    <row r="120" spans="1:9" ht="20.25" customHeight="1">
      <c r="A120" s="1508"/>
      <c r="B120" s="1508"/>
      <c r="C120" s="1508"/>
      <c r="D120" s="1508"/>
      <c r="E120" s="1508"/>
      <c r="F120" s="1508"/>
      <c r="G120" s="1508"/>
      <c r="H120" s="91"/>
      <c r="I120" s="91"/>
    </row>
    <row r="121" spans="1:9" ht="20.25" customHeight="1">
      <c r="A121" s="1039"/>
      <c r="B121" s="1039"/>
      <c r="C121" s="1039"/>
      <c r="D121" s="1039"/>
      <c r="E121" s="1039"/>
      <c r="F121" s="1039"/>
      <c r="G121" s="1039"/>
      <c r="H121" s="91"/>
      <c r="I121" s="91"/>
    </row>
    <row r="122" spans="1:9" ht="30.75" customHeight="1">
      <c r="A122" s="1507" t="s">
        <v>867</v>
      </c>
      <c r="B122" s="1507"/>
      <c r="C122" s="1507"/>
      <c r="D122" s="1507"/>
      <c r="E122" s="1507"/>
      <c r="F122" s="1507"/>
      <c r="G122" s="1507"/>
      <c r="H122" s="91"/>
      <c r="I122" s="91"/>
    </row>
    <row r="123" spans="1:9" ht="30.75" customHeight="1">
      <c r="A123" s="1507"/>
      <c r="B123" s="1507"/>
      <c r="C123" s="1507"/>
      <c r="D123" s="1507"/>
      <c r="E123" s="1507"/>
      <c r="F123" s="1507"/>
      <c r="G123" s="1507"/>
      <c r="H123" s="91"/>
      <c r="I123" s="91"/>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J6"/>
  <sheetViews>
    <sheetView view="pageBreakPreview" topLeftCell="A2" zoomScale="60" zoomScaleNormal="100" workbookViewId="0">
      <selection activeCell="T69" sqref="T69"/>
    </sheetView>
  </sheetViews>
  <sheetFormatPr defaultRowHeight="12.75" customHeight="1"/>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9.140625" customWidth="1"/>
  </cols>
  <sheetData>
    <row r="1" spans="1:10" ht="15.75">
      <c r="A1" s="808" t="s">
        <v>114</v>
      </c>
    </row>
    <row r="2" spans="1:10" ht="15.75">
      <c r="A2" s="808" t="s">
        <v>114</v>
      </c>
    </row>
    <row r="3" spans="1:10" ht="18">
      <c r="A3" s="1510" t="s">
        <v>387</v>
      </c>
      <c r="B3" s="1510"/>
      <c r="C3" s="1510"/>
      <c r="D3" s="1510"/>
      <c r="E3" s="1510"/>
      <c r="F3" s="1510"/>
      <c r="G3" s="1510"/>
      <c r="H3" s="1510"/>
      <c r="I3" s="1510"/>
      <c r="J3" s="1510"/>
    </row>
    <row r="4" spans="1:10" ht="18">
      <c r="A4" s="1509" t="str">
        <f>"Cost of Service Formula Rate Using "&amp;TCOS!L4&amp;" FF1 Balances"</f>
        <v>Cost of Service Formula Rate Using 2024 FF1 Balances</v>
      </c>
      <c r="B4" s="1509"/>
      <c r="C4" s="1509"/>
      <c r="D4" s="1509"/>
      <c r="E4" s="1509"/>
      <c r="F4" s="1509"/>
      <c r="G4" s="1509"/>
      <c r="H4" s="1509"/>
      <c r="I4" s="1509"/>
      <c r="J4" s="1509"/>
    </row>
    <row r="5" spans="1:10" ht="18">
      <c r="A5" s="1509" t="s">
        <v>546</v>
      </c>
      <c r="B5" s="1509"/>
      <c r="C5" s="1509"/>
      <c r="D5" s="1509"/>
      <c r="E5" s="1509"/>
      <c r="F5" s="1509"/>
      <c r="G5" s="1509"/>
      <c r="H5" s="1509"/>
      <c r="I5" s="1509"/>
      <c r="J5" s="1509"/>
    </row>
    <row r="6" spans="1:10" ht="18">
      <c r="A6" s="1504" t="str">
        <f>+TCOS!F9</f>
        <v>Appalachian Power Company</v>
      </c>
      <c r="B6" s="1504"/>
      <c r="C6" s="1504"/>
      <c r="D6" s="1504"/>
      <c r="E6" s="1504"/>
      <c r="F6" s="1504"/>
      <c r="G6" s="1504"/>
      <c r="H6" s="1504"/>
      <c r="I6" s="1504"/>
      <c r="J6" s="1504"/>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418"/>
  <sheetViews>
    <sheetView view="pageBreakPreview" topLeftCell="A770" zoomScale="85" zoomScaleNormal="100" zoomScaleSheetLayoutView="85" workbookViewId="0">
      <selection activeCell="D809" sqref="D809"/>
    </sheetView>
  </sheetViews>
  <sheetFormatPr defaultColWidth="8.85546875" defaultRowHeight="12.75" customHeight="1"/>
  <cols>
    <col min="1" max="1" width="4.7109375" customWidth="1"/>
    <col min="2" max="2" width="6.7109375" customWidth="1"/>
    <col min="3" max="3" width="42" customWidth="1"/>
    <col min="4" max="8" width="17.7109375" customWidth="1"/>
    <col min="9" max="9" width="17.7109375" bestFit="1" customWidth="1"/>
    <col min="10" max="10" width="2.140625" customWidth="1"/>
    <col min="11" max="11" width="20.7109375" customWidth="1"/>
    <col min="12" max="14" width="17.7109375" customWidth="1"/>
    <col min="15" max="15" width="16.7109375" customWidth="1"/>
    <col min="16" max="16" width="2.140625" customWidth="1"/>
  </cols>
  <sheetData>
    <row r="1" spans="1:16" ht="15.75">
      <c r="A1" s="808" t="s">
        <v>114</v>
      </c>
      <c r="B1" s="362"/>
      <c r="C1" s="285"/>
      <c r="D1" s="372"/>
      <c r="E1" s="285"/>
      <c r="F1" s="285"/>
      <c r="G1" s="285"/>
      <c r="H1" s="518"/>
      <c r="I1" s="285"/>
      <c r="J1" s="271"/>
      <c r="K1" s="285"/>
      <c r="L1" s="285"/>
      <c r="M1" s="285"/>
      <c r="N1" s="285"/>
      <c r="O1" s="285"/>
      <c r="P1" s="480"/>
    </row>
    <row r="2" spans="1:16" ht="15.75">
      <c r="A2" s="808" t="s">
        <v>114</v>
      </c>
      <c r="B2" s="362"/>
      <c r="C2" s="285"/>
      <c r="D2" s="372"/>
      <c r="E2" s="285"/>
      <c r="F2" s="285"/>
      <c r="G2" s="285"/>
      <c r="H2" s="518"/>
      <c r="I2" s="285"/>
      <c r="J2" s="271"/>
      <c r="K2" s="285"/>
      <c r="L2" s="285"/>
      <c r="M2" s="285"/>
      <c r="N2" s="285"/>
      <c r="O2" s="285"/>
      <c r="P2" s="480"/>
    </row>
    <row r="3" spans="1:16" ht="15">
      <c r="A3" s="1497" t="s">
        <v>387</v>
      </c>
      <c r="B3" s="1497"/>
      <c r="C3" s="1497"/>
      <c r="D3" s="1497"/>
      <c r="E3" s="1497"/>
      <c r="F3" s="1497"/>
      <c r="G3" s="1497"/>
      <c r="H3" s="1497"/>
      <c r="I3" s="1497"/>
      <c r="J3" s="1497"/>
      <c r="K3" s="1497"/>
      <c r="L3" s="1497"/>
      <c r="M3" s="1497"/>
      <c r="N3" s="1497"/>
      <c r="O3" s="1497"/>
      <c r="P3" s="517"/>
    </row>
    <row r="4" spans="1:16" ht="15">
      <c r="A4" s="1498" t="str">
        <f>"Cost of Service Formula Rate Using "&amp;TCOS!L4&amp;" FF1 Balances"</f>
        <v>Cost of Service Formula Rate Using 2024 FF1 Balances</v>
      </c>
      <c r="B4" s="1498"/>
      <c r="C4" s="1498"/>
      <c r="D4" s="1498"/>
      <c r="E4" s="1498"/>
      <c r="F4" s="1498"/>
      <c r="G4" s="1498"/>
      <c r="H4" s="1498"/>
      <c r="I4" s="1498"/>
      <c r="J4" s="1498"/>
      <c r="K4" s="1498"/>
      <c r="L4" s="1498"/>
      <c r="M4" s="1498"/>
      <c r="N4" s="1498"/>
      <c r="O4" s="1498"/>
      <c r="P4" s="517"/>
    </row>
    <row r="5" spans="1:16" ht="15">
      <c r="A5" s="1498" t="s">
        <v>468</v>
      </c>
      <c r="B5" s="1498"/>
      <c r="C5" s="1498"/>
      <c r="D5" s="1498"/>
      <c r="E5" s="1498"/>
      <c r="F5" s="1498"/>
      <c r="G5" s="1498"/>
      <c r="H5" s="1498"/>
      <c r="I5" s="1498"/>
      <c r="J5" s="1498"/>
      <c r="K5" s="1498"/>
      <c r="L5" s="1498"/>
      <c r="M5" s="1498"/>
      <c r="N5" s="1498"/>
      <c r="O5" s="1498"/>
      <c r="P5" s="517"/>
    </row>
    <row r="6" spans="1:16" ht="15">
      <c r="A6" s="1499" t="str">
        <f>TCOS!F9</f>
        <v>Appalachian Power Company</v>
      </c>
      <c r="B6" s="1499"/>
      <c r="C6" s="1499"/>
      <c r="D6" s="1499"/>
      <c r="E6" s="1499"/>
      <c r="F6" s="1499"/>
      <c r="G6" s="1499"/>
      <c r="H6" s="1499"/>
      <c r="I6" s="1499"/>
      <c r="J6" s="1499"/>
      <c r="K6" s="1499"/>
      <c r="L6" s="1499"/>
      <c r="M6" s="1499"/>
      <c r="N6" s="1499"/>
      <c r="O6" s="1499"/>
      <c r="P6" s="517"/>
    </row>
    <row r="7" spans="1:16">
      <c r="A7" s="285"/>
      <c r="B7" s="362"/>
      <c r="C7" s="285"/>
      <c r="D7" s="372"/>
      <c r="E7" s="285"/>
      <c r="F7" s="285"/>
      <c r="G7" s="285"/>
      <c r="H7" s="518"/>
      <c r="I7" s="285"/>
      <c r="J7" s="271"/>
      <c r="K7" s="285"/>
      <c r="L7" s="285"/>
      <c r="M7" s="285"/>
      <c r="N7" s="285"/>
      <c r="O7" s="285"/>
      <c r="P7" s="517"/>
    </row>
    <row r="8" spans="1:16" ht="20.25">
      <c r="A8" s="519"/>
      <c r="B8" s="362"/>
      <c r="C8" s="362"/>
      <c r="D8" s="372"/>
      <c r="E8" s="285"/>
      <c r="F8" s="285"/>
      <c r="G8" s="285"/>
      <c r="H8" s="518"/>
      <c r="I8" s="285"/>
      <c r="J8" s="271"/>
      <c r="K8" s="285"/>
      <c r="L8" s="285"/>
      <c r="M8" s="285"/>
      <c r="N8" s="520" t="str">
        <f>"Page "&amp;P8&amp;" of "</f>
        <v xml:space="preserve">Page 1 of </v>
      </c>
      <c r="O8" s="521">
        <f>COUNT(P$8:P$56676)</f>
        <v>15</v>
      </c>
      <c r="P8" s="522">
        <v>1</v>
      </c>
    </row>
    <row r="9" spans="1:16" ht="18">
      <c r="A9" s="285"/>
      <c r="B9" s="362"/>
      <c r="C9" s="523"/>
      <c r="D9" s="372"/>
      <c r="E9" s="285"/>
      <c r="F9" s="285"/>
      <c r="G9" s="285"/>
      <c r="H9" s="518"/>
      <c r="I9" s="285"/>
      <c r="J9" s="271"/>
      <c r="K9" s="285"/>
      <c r="L9" s="285"/>
      <c r="M9" s="285"/>
      <c r="N9" s="285"/>
      <c r="O9" s="285"/>
      <c r="P9" s="517"/>
    </row>
    <row r="10" spans="1:16">
      <c r="A10" s="285"/>
      <c r="B10" s="362"/>
      <c r="C10" s="285"/>
      <c r="D10" s="372"/>
      <c r="E10" s="285"/>
      <c r="F10" s="285"/>
      <c r="G10" s="285"/>
      <c r="H10" s="518"/>
      <c r="I10" s="285"/>
      <c r="J10" s="271"/>
      <c r="K10" s="285"/>
      <c r="L10" s="285"/>
      <c r="M10" s="285"/>
      <c r="N10" s="285"/>
      <c r="O10" s="285"/>
      <c r="P10" s="517"/>
    </row>
    <row r="11" spans="1:16" ht="18">
      <c r="A11" s="285"/>
      <c r="B11" s="524" t="s">
        <v>171</v>
      </c>
      <c r="C11" s="1511" t="str">
        <f>"Calculate Return and Income Taxes with "&amp;F17&amp;" basis point ROE increase for Projects Qualified for Regional Billing."</f>
        <v>Calculate Return and Income Taxes with  basis point ROE increase for Projects Qualified for Regional Billing.</v>
      </c>
      <c r="D11" s="1512"/>
      <c r="E11" s="1512"/>
      <c r="F11" s="1512"/>
      <c r="G11" s="1512"/>
      <c r="H11" s="1512"/>
      <c r="I11" s="285"/>
      <c r="J11" s="271"/>
      <c r="K11" s="285"/>
      <c r="L11" s="285"/>
      <c r="M11" s="285"/>
      <c r="N11" s="285"/>
      <c r="O11" s="285"/>
      <c r="P11" s="517"/>
    </row>
    <row r="12" spans="1:16" ht="18.75" customHeight="1">
      <c r="A12" s="285"/>
      <c r="B12" s="362"/>
      <c r="C12" s="1512"/>
      <c r="D12" s="1512"/>
      <c r="E12" s="1512"/>
      <c r="F12" s="1512"/>
      <c r="G12" s="1512"/>
      <c r="H12" s="1512"/>
      <c r="I12" s="285"/>
      <c r="J12" s="271"/>
      <c r="K12" s="285"/>
      <c r="L12" s="285"/>
      <c r="M12" s="285"/>
      <c r="N12" s="285"/>
      <c r="O12" s="285"/>
      <c r="P12" s="517"/>
    </row>
    <row r="13" spans="1:16" ht="15.75" customHeight="1">
      <c r="A13" s="285"/>
      <c r="B13" s="362"/>
      <c r="C13" s="470"/>
      <c r="D13" s="470"/>
      <c r="E13" s="470"/>
      <c r="F13" s="470"/>
      <c r="G13" s="470"/>
      <c r="H13" s="470"/>
      <c r="I13" s="285"/>
      <c r="J13" s="271"/>
      <c r="K13" s="285"/>
      <c r="L13" s="285"/>
      <c r="M13" s="285"/>
      <c r="N13" s="285"/>
      <c r="O13" s="285"/>
      <c r="P13" s="517"/>
    </row>
    <row r="14" spans="1:16" ht="15.75">
      <c r="A14" s="285"/>
      <c r="B14" s="362"/>
      <c r="C14" s="525" t="str">
        <f>"A.   Determine 'R' with hypothetical "&amp;F17&amp;" basis point increase in ROE for Identified Projects"</f>
        <v>A.   Determine 'R' with hypothetical  basis point increase in ROE for Identified Projects</v>
      </c>
      <c r="D14" s="372"/>
      <c r="E14" s="285"/>
      <c r="F14" s="285"/>
      <c r="G14" s="285"/>
      <c r="H14" s="518"/>
      <c r="I14" s="285"/>
      <c r="J14" s="271"/>
      <c r="K14" s="285"/>
      <c r="L14" s="285"/>
      <c r="M14" s="285"/>
      <c r="N14" s="285"/>
      <c r="O14" s="285"/>
      <c r="P14" s="517"/>
    </row>
    <row r="15" spans="1:16">
      <c r="A15" s="285"/>
      <c r="B15" s="362"/>
      <c r="C15" s="362"/>
      <c r="D15" s="372"/>
      <c r="E15" s="285"/>
      <c r="F15" s="285"/>
      <c r="G15" s="285"/>
      <c r="H15" s="518"/>
      <c r="I15" s="285"/>
      <c r="J15" s="271"/>
      <c r="K15" s="285"/>
      <c r="L15" s="285"/>
      <c r="M15" s="285"/>
      <c r="N15" s="285"/>
      <c r="O15" s="285"/>
      <c r="P15" s="517"/>
    </row>
    <row r="16" spans="1:16">
      <c r="A16" s="285"/>
      <c r="B16" s="362"/>
      <c r="C16" s="526" t="str">
        <f>"   ROE w/o incentives  (TCOS, ln "&amp;TCOS!B257&amp;")"</f>
        <v xml:space="preserve">   ROE w/o incentives  (TCOS, ln 156)</v>
      </c>
      <c r="D16" s="372"/>
      <c r="E16" s="527"/>
      <c r="F16" s="528">
        <f>TCOS!J257</f>
        <v>0.10349999999999999</v>
      </c>
      <c r="G16" s="527"/>
      <c r="H16" s="529"/>
      <c r="I16" s="529"/>
      <c r="J16" s="530"/>
      <c r="K16" s="529"/>
      <c r="L16" s="529"/>
      <c r="M16" s="529"/>
      <c r="N16" s="529"/>
      <c r="O16" s="529"/>
      <c r="P16" s="530"/>
    </row>
    <row r="17" spans="1:16">
      <c r="A17" s="285"/>
      <c r="B17" s="362"/>
      <c r="C17" s="526" t="s">
        <v>252</v>
      </c>
      <c r="D17" s="372"/>
      <c r="E17" s="527"/>
      <c r="F17" s="784"/>
      <c r="G17" s="531"/>
      <c r="H17" s="529"/>
      <c r="I17" s="529"/>
      <c r="J17" s="530"/>
      <c r="K17" s="285"/>
      <c r="L17" s="285"/>
      <c r="M17" s="285"/>
      <c r="N17" s="285"/>
      <c r="O17" s="285"/>
      <c r="P17" s="480"/>
    </row>
    <row r="18" spans="1:16">
      <c r="A18" s="285"/>
      <c r="B18" s="362"/>
      <c r="C18" s="526" t="str">
        <f>"   ROE with additional "&amp;F17&amp;" basis point incentive"</f>
        <v xml:space="preserve">   ROE with additional  basis point incentive</v>
      </c>
      <c r="D18" s="527"/>
      <c r="E18" s="527"/>
      <c r="F18" s="532">
        <f>IF((F16+(F17/10000)&gt;0.1274),"ERROR",F16+(F17/10000))</f>
        <v>0.10349999999999999</v>
      </c>
      <c r="G18" s="533"/>
      <c r="H18" s="529"/>
      <c r="I18" s="529"/>
      <c r="J18" s="530"/>
      <c r="K18" s="285"/>
      <c r="L18" s="285"/>
      <c r="M18" s="285"/>
      <c r="N18" s="285"/>
      <c r="O18" s="285"/>
      <c r="P18" s="480"/>
    </row>
    <row r="19" spans="1:16">
      <c r="A19" s="285"/>
      <c r="B19" s="362"/>
      <c r="C19" s="526"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2"/>
      <c r="E19" s="527"/>
      <c r="F19" s="534"/>
      <c r="G19" s="527"/>
      <c r="H19" s="529"/>
      <c r="I19" s="529"/>
      <c r="J19" s="530"/>
      <c r="K19" s="285"/>
      <c r="L19" s="285"/>
      <c r="M19" s="285"/>
      <c r="N19" s="285"/>
      <c r="O19" s="285"/>
      <c r="P19" s="480"/>
    </row>
    <row r="20" spans="1:16">
      <c r="A20" s="285"/>
      <c r="B20" s="362"/>
      <c r="C20" s="530"/>
      <c r="D20" s="535" t="s">
        <v>146</v>
      </c>
      <c r="E20" s="535" t="s">
        <v>145</v>
      </c>
      <c r="F20" s="536" t="s">
        <v>253</v>
      </c>
      <c r="G20" s="527"/>
      <c r="H20" s="529"/>
      <c r="I20" s="529"/>
      <c r="J20" s="530"/>
      <c r="K20" s="285"/>
      <c r="L20" s="285"/>
      <c r="M20" s="285"/>
      <c r="N20" s="285"/>
      <c r="O20" s="285"/>
      <c r="P20" s="480"/>
    </row>
    <row r="21" spans="1:16" ht="13.5" thickBot="1">
      <c r="A21" s="285"/>
      <c r="B21" s="362"/>
      <c r="C21" s="537" t="s">
        <v>257</v>
      </c>
      <c r="D21" s="538">
        <f>TCOS!H255</f>
        <v>0.50479618935035808</v>
      </c>
      <c r="E21" s="539">
        <f>TCOS!J255</f>
        <v>4.7457294635118052E-2</v>
      </c>
      <c r="F21" s="540">
        <f>E21*D21</f>
        <v>2.3956261488684787E-2</v>
      </c>
      <c r="G21" s="527"/>
      <c r="H21" s="529"/>
      <c r="I21" s="541"/>
      <c r="J21" s="542"/>
      <c r="K21" s="475"/>
      <c r="L21" s="475"/>
      <c r="M21" s="475"/>
      <c r="N21" s="475"/>
      <c r="O21" s="475"/>
      <c r="P21" s="480"/>
    </row>
    <row r="22" spans="1:16">
      <c r="A22" s="285"/>
      <c r="B22" s="362"/>
      <c r="C22" s="537" t="s">
        <v>258</v>
      </c>
      <c r="D22" s="538">
        <f>TCOS!H256</f>
        <v>0</v>
      </c>
      <c r="E22" s="539">
        <f>TCOS!J256</f>
        <v>0</v>
      </c>
      <c r="F22" s="540">
        <f>E22*D22</f>
        <v>0</v>
      </c>
      <c r="G22" s="543"/>
      <c r="H22" s="543"/>
      <c r="I22" s="544"/>
      <c r="J22" s="545"/>
      <c r="K22" s="1516" t="s">
        <v>451</v>
      </c>
      <c r="L22" s="1517"/>
      <c r="M22" s="1517"/>
      <c r="N22" s="1517"/>
      <c r="O22" s="1518"/>
      <c r="P22" s="545"/>
    </row>
    <row r="23" spans="1:16">
      <c r="A23" s="285"/>
      <c r="B23" s="362"/>
      <c r="C23" s="546" t="s">
        <v>244</v>
      </c>
      <c r="D23" s="538">
        <f>TCOS!H257</f>
        <v>0.49520381064964186</v>
      </c>
      <c r="E23" s="539">
        <f>+F18</f>
        <v>0.10349999999999999</v>
      </c>
      <c r="F23" s="547">
        <f>E23*D23</f>
        <v>5.125359440223793E-2</v>
      </c>
      <c r="G23" s="543"/>
      <c r="H23" s="543"/>
      <c r="I23" s="544"/>
      <c r="J23" s="545"/>
      <c r="K23" s="1519"/>
      <c r="L23" s="1520"/>
      <c r="M23" s="1520"/>
      <c r="N23" s="1520"/>
      <c r="O23" s="1521"/>
      <c r="P23" s="545"/>
    </row>
    <row r="24" spans="1:16">
      <c r="A24" s="285"/>
      <c r="B24" s="362"/>
      <c r="C24" s="548"/>
      <c r="D24" s="285"/>
      <c r="E24" s="549" t="s">
        <v>260</v>
      </c>
      <c r="F24" s="540">
        <f>SUM(F21:F23)</f>
        <v>7.5209855890922717E-2</v>
      </c>
      <c r="G24" s="543"/>
      <c r="H24" s="543"/>
      <c r="I24" s="544"/>
      <c r="J24" s="545"/>
      <c r="K24" s="550"/>
      <c r="L24" s="551"/>
      <c r="M24" s="552" t="s">
        <v>254</v>
      </c>
      <c r="N24" s="552" t="s">
        <v>255</v>
      </c>
      <c r="O24" s="553" t="s">
        <v>256</v>
      </c>
      <c r="P24" s="545"/>
    </row>
    <row r="25" spans="1:16">
      <c r="A25" s="285"/>
      <c r="B25" s="362"/>
      <c r="C25" s="480"/>
      <c r="D25" s="554"/>
      <c r="E25" s="554"/>
      <c r="F25" s="543"/>
      <c r="G25" s="543"/>
      <c r="H25" s="543"/>
      <c r="I25" s="543"/>
      <c r="J25" s="555"/>
      <c r="K25" s="556"/>
      <c r="L25" s="557"/>
      <c r="M25" s="557"/>
      <c r="N25" s="557"/>
      <c r="O25" s="558"/>
      <c r="P25" s="555"/>
    </row>
    <row r="26" spans="1:16" ht="16.5" thickBot="1">
      <c r="A26" s="285"/>
      <c r="B26" s="362"/>
      <c r="C26" s="525" t="str">
        <f>"B.   Determine Return using 'R' with hypothetical "&amp;F17&amp;" basis point ROE increase for Identified Projects."</f>
        <v>B.   Determine Return using 'R' with hypothetical  basis point ROE increase for Identified Projects.</v>
      </c>
      <c r="D26" s="554"/>
      <c r="E26" s="554"/>
      <c r="F26" s="559"/>
      <c r="G26" s="543"/>
      <c r="H26" s="527"/>
      <c r="I26" s="543"/>
      <c r="J26" s="555"/>
      <c r="K26" s="560" t="s">
        <v>261</v>
      </c>
      <c r="L26" s="561">
        <f>TCOS!L4</f>
        <v>2024</v>
      </c>
      <c r="M26" s="785">
        <f>N89+N179+N268+N357+N446+N535+N624+N713+N802+N891+N980+N1069+N1158+N1247+N1336</f>
        <v>28118028.103649396</v>
      </c>
      <c r="N26" s="785">
        <f>N90+N180+N269+N358+N447+N536+N625+N714+N803+N892+N981+N1070+N1159+N1248+N1337</f>
        <v>28118028.103649396</v>
      </c>
      <c r="O26" s="562">
        <f>+N26-M26</f>
        <v>0</v>
      </c>
      <c r="P26" s="555"/>
    </row>
    <row r="27" spans="1:16">
      <c r="A27" s="285"/>
      <c r="B27" s="362"/>
      <c r="C27" s="530"/>
      <c r="D27" s="554"/>
      <c r="E27" s="554"/>
      <c r="F27" s="555"/>
      <c r="G27" s="555"/>
      <c r="H27" s="555"/>
      <c r="I27" s="555"/>
      <c r="J27" s="555"/>
      <c r="K27" s="563"/>
      <c r="L27" s="563"/>
      <c r="M27" s="563"/>
      <c r="N27" s="563"/>
      <c r="O27" s="563"/>
      <c r="P27" s="555"/>
    </row>
    <row r="28" spans="1:16">
      <c r="A28" s="285"/>
      <c r="B28" s="362"/>
      <c r="C28" s="564" t="str">
        <f>"   Rate Base  (TCOS, ln "&amp;TCOS!B125&amp;")"</f>
        <v xml:space="preserve">   Rate Base  (TCOS, ln 68)</v>
      </c>
      <c r="D28" s="527"/>
      <c r="E28" s="285"/>
      <c r="F28" s="565">
        <f>TCOS!L125</f>
        <v>3317650361.9046092</v>
      </c>
      <c r="G28" s="555"/>
      <c r="H28" s="555"/>
      <c r="I28" s="555"/>
      <c r="J28" s="555"/>
      <c r="K28" s="563"/>
      <c r="L28" s="563"/>
      <c r="M28" s="563"/>
      <c r="N28" s="563"/>
      <c r="O28" s="566"/>
      <c r="P28" s="555"/>
    </row>
    <row r="29" spans="1:16">
      <c r="A29" s="285"/>
      <c r="B29" s="362"/>
      <c r="C29" s="530" t="s">
        <v>474</v>
      </c>
      <c r="D29" s="567"/>
      <c r="E29" s="285"/>
      <c r="F29" s="540">
        <f>F24</f>
        <v>7.5209855890922717E-2</v>
      </c>
      <c r="G29" s="555"/>
      <c r="H29" s="555"/>
      <c r="I29" s="555"/>
      <c r="J29" s="555"/>
      <c r="K29" s="555"/>
      <c r="L29" s="555"/>
      <c r="M29" s="555"/>
      <c r="N29" s="555"/>
      <c r="O29" s="555"/>
      <c r="P29" s="555"/>
    </row>
    <row r="30" spans="1:16">
      <c r="A30" s="285"/>
      <c r="B30" s="362"/>
      <c r="C30" s="568" t="s">
        <v>262</v>
      </c>
      <c r="D30" s="568"/>
      <c r="E30" s="285"/>
      <c r="F30" s="544">
        <f>F28*F29</f>
        <v>249520005.61531326</v>
      </c>
      <c r="G30" s="555"/>
      <c r="H30" s="555"/>
      <c r="I30" s="545"/>
      <c r="J30" s="545"/>
      <c r="K30" s="545"/>
      <c r="L30" s="545"/>
      <c r="M30" s="545"/>
      <c r="N30" s="545"/>
      <c r="O30" s="555"/>
      <c r="P30" s="545"/>
    </row>
    <row r="31" spans="1:16">
      <c r="A31" s="285"/>
      <c r="B31" s="362"/>
      <c r="C31" s="569"/>
      <c r="D31" s="529"/>
      <c r="E31" s="529"/>
      <c r="F31" s="555"/>
      <c r="G31" s="555"/>
      <c r="H31" s="555"/>
      <c r="I31" s="545"/>
      <c r="J31" s="545"/>
      <c r="K31" s="545"/>
      <c r="L31" s="545"/>
      <c r="M31" s="545"/>
      <c r="N31" s="545"/>
      <c r="O31" s="555"/>
      <c r="P31" s="545"/>
    </row>
    <row r="32" spans="1:16" ht="15.75">
      <c r="A32" s="285"/>
      <c r="B32" s="362"/>
      <c r="C32" s="525" t="str">
        <f>"C.   Determine Income Taxes using Return with hypothetical "&amp;F17&amp;" basis point ROE increase for Identified Projects."</f>
        <v>C.   Determine Income Taxes using Return with hypothetical  basis point ROE increase for Identified Projects.</v>
      </c>
      <c r="D32" s="570"/>
      <c r="E32" s="570"/>
      <c r="F32" s="571"/>
      <c r="G32" s="571"/>
      <c r="H32" s="571"/>
      <c r="I32" s="572"/>
      <c r="J32" s="572"/>
      <c r="K32" s="572"/>
      <c r="L32" s="572"/>
      <c r="M32" s="572"/>
      <c r="N32" s="572"/>
      <c r="O32" s="571"/>
      <c r="P32" s="572"/>
    </row>
    <row r="33" spans="1:16">
      <c r="A33" s="285"/>
      <c r="B33" s="362"/>
      <c r="C33" s="548"/>
      <c r="D33" s="529"/>
      <c r="E33" s="529"/>
      <c r="F33" s="555"/>
      <c r="G33" s="555"/>
      <c r="H33" s="555"/>
      <c r="I33" s="545"/>
      <c r="J33" s="545"/>
      <c r="K33" s="545"/>
      <c r="L33" s="545"/>
      <c r="M33" s="545"/>
      <c r="N33" s="545"/>
      <c r="O33" s="555"/>
      <c r="P33" s="545"/>
    </row>
    <row r="34" spans="1:16">
      <c r="A34" s="285"/>
      <c r="B34" s="362"/>
      <c r="C34" s="530" t="s">
        <v>263</v>
      </c>
      <c r="D34" s="549"/>
      <c r="E34" s="285"/>
      <c r="F34" s="573">
        <f>F30</f>
        <v>249520005.61531326</v>
      </c>
      <c r="G34" s="555"/>
      <c r="H34" s="555"/>
      <c r="I34" s="555"/>
      <c r="J34" s="555"/>
      <c r="K34" s="555"/>
      <c r="L34" s="555"/>
      <c r="M34" s="555"/>
      <c r="N34" s="555"/>
      <c r="O34" s="555"/>
      <c r="P34" s="555"/>
    </row>
    <row r="35" spans="1:16">
      <c r="A35" s="285"/>
      <c r="B35" s="362"/>
      <c r="C35" s="564" t="str">
        <f>"   Effective Tax Rate  (TCOS, ln "&amp;TCOS!B190&amp;")"</f>
        <v xml:space="preserve">   Effective Tax Rate  (TCOS, ln 114)</v>
      </c>
      <c r="D35" s="496"/>
      <c r="E35" s="285"/>
      <c r="F35" s="574">
        <f>TCOS!G190</f>
        <v>0.20939189618168003</v>
      </c>
      <c r="G35" s="480"/>
      <c r="H35" s="575"/>
      <c r="I35" s="480"/>
      <c r="J35" s="517"/>
      <c r="K35" s="480"/>
      <c r="L35" s="480"/>
      <c r="M35" s="480"/>
      <c r="N35" s="480"/>
      <c r="O35" s="480"/>
      <c r="P35" s="517"/>
    </row>
    <row r="36" spans="1:16">
      <c r="A36" s="285"/>
      <c r="B36" s="362"/>
      <c r="C36" s="569" t="s">
        <v>264</v>
      </c>
      <c r="D36" s="496"/>
      <c r="E36" s="285"/>
      <c r="F36" s="576">
        <f>F34*F35</f>
        <v>52247467.111053891</v>
      </c>
      <c r="G36" s="480"/>
      <c r="H36" s="575"/>
      <c r="I36" s="480"/>
      <c r="J36" s="517"/>
      <c r="K36" s="480"/>
      <c r="L36" s="480"/>
      <c r="M36" s="480"/>
      <c r="N36" s="480"/>
      <c r="O36" s="480"/>
      <c r="P36" s="517"/>
    </row>
    <row r="37" spans="1:16" ht="15">
      <c r="A37" s="285"/>
      <c r="B37" s="362"/>
      <c r="C37" s="548" t="s">
        <v>302</v>
      </c>
      <c r="D37" s="419"/>
      <c r="E37" s="285"/>
      <c r="F37" s="577">
        <f>TCOS!L199</f>
        <v>4075.3455768882181</v>
      </c>
      <c r="G37" s="419"/>
      <c r="H37" s="419"/>
      <c r="I37" s="419"/>
      <c r="J37" s="419"/>
      <c r="K37" s="419"/>
      <c r="L37" s="419"/>
      <c r="M37" s="419"/>
      <c r="N37" s="419"/>
      <c r="O37" s="339"/>
      <c r="P37" s="419"/>
    </row>
    <row r="38" spans="1:16" ht="15">
      <c r="A38" s="285"/>
      <c r="B38" s="362"/>
      <c r="C38" s="548" t="s">
        <v>532</v>
      </c>
      <c r="D38" s="419"/>
      <c r="E38" s="285"/>
      <c r="F38" s="577">
        <f>TCOS!L200</f>
        <v>-6261575.1392636169</v>
      </c>
      <c r="G38" s="419"/>
      <c r="H38" s="419"/>
      <c r="I38" s="419"/>
      <c r="J38" s="419"/>
      <c r="K38" s="419"/>
      <c r="L38" s="419"/>
      <c r="M38" s="419"/>
      <c r="N38" s="419"/>
      <c r="O38" s="339"/>
      <c r="P38" s="419"/>
    </row>
    <row r="39" spans="1:16" ht="15">
      <c r="A39" s="285"/>
      <c r="B39" s="362"/>
      <c r="C39" s="548" t="s">
        <v>533</v>
      </c>
      <c r="D39" s="419"/>
      <c r="E39" s="285"/>
      <c r="F39" s="578">
        <f>TCOS!L201</f>
        <v>2918234.870718223</v>
      </c>
      <c r="G39" s="419"/>
      <c r="H39" s="419"/>
      <c r="I39" s="419"/>
      <c r="J39" s="419"/>
      <c r="K39" s="419"/>
      <c r="L39" s="419"/>
      <c r="M39" s="419"/>
      <c r="N39" s="419"/>
      <c r="O39" s="339"/>
      <c r="P39" s="419"/>
    </row>
    <row r="40" spans="1:16" ht="15">
      <c r="A40" s="285"/>
      <c r="B40" s="362"/>
      <c r="C40" s="569" t="s">
        <v>265</v>
      </c>
      <c r="D40" s="419"/>
      <c r="E40" s="285"/>
      <c r="F40" s="577">
        <f>F36+F37+F38+F39</f>
        <v>48908202.188085392</v>
      </c>
      <c r="G40" s="419"/>
      <c r="H40" s="419"/>
      <c r="I40" s="419"/>
      <c r="J40" s="419"/>
      <c r="K40" s="419"/>
      <c r="L40" s="419"/>
      <c r="M40" s="419"/>
      <c r="N40" s="419"/>
      <c r="O40" s="301"/>
      <c r="P40" s="419"/>
    </row>
    <row r="41" spans="1:16" ht="12.75" customHeight="1">
      <c r="A41" s="285"/>
      <c r="B41" s="362"/>
      <c r="C41" s="347"/>
      <c r="D41" s="419"/>
      <c r="E41" s="419"/>
      <c r="F41" s="419"/>
      <c r="G41" s="419"/>
      <c r="H41" s="419"/>
      <c r="I41" s="419"/>
      <c r="J41" s="419"/>
      <c r="K41" s="419"/>
      <c r="L41" s="419"/>
      <c r="M41" s="419"/>
      <c r="N41" s="419"/>
      <c r="O41" s="301"/>
      <c r="P41" s="419"/>
    </row>
    <row r="42" spans="1:16" ht="18.75">
      <c r="A42" s="285"/>
      <c r="B42" s="524" t="s">
        <v>172</v>
      </c>
      <c r="C42" s="523" t="str">
        <f>"Calculate Net Plant Carrying Charge Rate (Fixed Charge Rate or FCR) with hypothetical "&amp;F17&amp;""</f>
        <v xml:space="preserve">Calculate Net Plant Carrying Charge Rate (Fixed Charge Rate or FCR) with hypothetical </v>
      </c>
      <c r="D42" s="419"/>
      <c r="E42" s="419"/>
      <c r="F42" s="419"/>
      <c r="G42" s="419"/>
      <c r="H42" s="419"/>
      <c r="I42" s="419"/>
      <c r="J42" s="419"/>
      <c r="K42" s="419"/>
      <c r="L42" s="419"/>
      <c r="M42" s="419"/>
      <c r="N42" s="419"/>
      <c r="O42" s="301"/>
      <c r="P42" s="419"/>
    </row>
    <row r="43" spans="1:16" ht="18.75" customHeight="1">
      <c r="A43" s="285"/>
      <c r="B43" s="362"/>
      <c r="C43" s="523" t="str">
        <f>"basis point ROE increase."</f>
        <v>basis point ROE increase.</v>
      </c>
      <c r="D43" s="419"/>
      <c r="E43" s="419"/>
      <c r="F43" s="419"/>
      <c r="G43" s="419"/>
      <c r="H43" s="419"/>
      <c r="I43" s="419"/>
      <c r="J43" s="419"/>
      <c r="K43" s="419"/>
      <c r="L43" s="419"/>
      <c r="M43" s="419"/>
      <c r="N43" s="419"/>
      <c r="O43" s="301"/>
      <c r="P43" s="419"/>
    </row>
    <row r="44" spans="1:16" ht="12.75" customHeight="1">
      <c r="A44" s="285"/>
      <c r="B44" s="362"/>
      <c r="C44" s="523"/>
      <c r="D44" s="419"/>
      <c r="E44" s="419"/>
      <c r="F44" s="419"/>
      <c r="G44" s="419"/>
      <c r="H44" s="419"/>
      <c r="I44" s="419"/>
      <c r="J44" s="419"/>
      <c r="K44" s="419"/>
      <c r="L44" s="419"/>
      <c r="M44" s="419"/>
      <c r="N44" s="419"/>
      <c r="O44" s="301"/>
      <c r="P44" s="419"/>
    </row>
    <row r="45" spans="1:16" ht="15.75">
      <c r="A45" s="285"/>
      <c r="B45" s="362"/>
      <c r="C45" s="525" t="s">
        <v>465</v>
      </c>
      <c r="D45" s="419"/>
      <c r="E45" s="419"/>
      <c r="F45" s="418"/>
      <c r="G45" s="419"/>
      <c r="H45" s="419"/>
      <c r="I45" s="419"/>
      <c r="J45" s="419"/>
      <c r="K45" s="419"/>
      <c r="L45" s="419"/>
      <c r="M45" s="419"/>
      <c r="N45" s="419"/>
      <c r="O45" s="301"/>
      <c r="P45" s="419"/>
    </row>
    <row r="46" spans="1:16">
      <c r="A46" s="285"/>
      <c r="B46" s="508"/>
      <c r="C46" s="526"/>
      <c r="D46" s="579"/>
      <c r="E46" s="579"/>
      <c r="F46" s="579"/>
      <c r="G46" s="579"/>
      <c r="H46" s="579"/>
      <c r="I46" s="579"/>
      <c r="J46" s="579"/>
      <c r="K46" s="579"/>
      <c r="L46" s="579"/>
      <c r="M46" s="579"/>
      <c r="N46" s="579"/>
      <c r="O46" s="577"/>
      <c r="P46" s="579"/>
    </row>
    <row r="47" spans="1:16" ht="12.75" customHeight="1">
      <c r="A47" s="285"/>
      <c r="B47" s="508"/>
      <c r="C47" s="564" t="str">
        <f>"   Annual Revenue Requirement  (TCOS, ln "&amp;TCOS!B13&amp;")"</f>
        <v xml:space="preserve">   Annual Revenue Requirement  (TCOS, ln 1)</v>
      </c>
      <c r="D47" s="579"/>
      <c r="E47" s="579"/>
      <c r="F47" s="285"/>
      <c r="G47" s="577">
        <f>TCOS!L13</f>
        <v>528866071.91909486</v>
      </c>
      <c r="H47" s="579"/>
      <c r="I47" s="579"/>
      <c r="J47" s="579"/>
      <c r="K47" s="579"/>
      <c r="L47" s="579"/>
      <c r="M47" s="579"/>
      <c r="N47" s="579"/>
      <c r="O47" s="577"/>
      <c r="P47" s="579"/>
    </row>
    <row r="48" spans="1:16" ht="12.75" customHeight="1">
      <c r="A48" s="285"/>
      <c r="B48" s="508"/>
      <c r="C48" s="564" t="str">
        <f>"   Lease Payments (TCOS, Ln "&amp;TCOS!B168&amp;")"</f>
        <v xml:space="preserve">   Lease Payments (TCOS, Ln 95)</v>
      </c>
      <c r="D48" s="579"/>
      <c r="E48" s="579"/>
      <c r="F48" s="285"/>
      <c r="G48" s="577">
        <f>TCOS!L168</f>
        <v>0</v>
      </c>
      <c r="H48" s="579"/>
      <c r="I48" s="579"/>
      <c r="J48" s="579"/>
      <c r="K48" s="579"/>
      <c r="L48" s="579"/>
      <c r="M48" s="579"/>
      <c r="N48" s="579"/>
      <c r="O48" s="577"/>
      <c r="P48" s="579"/>
    </row>
    <row r="49" spans="1:16">
      <c r="A49" s="285"/>
      <c r="B49" s="508"/>
      <c r="C49" s="564" t="str">
        <f>"   Return  (TCOS, ln "&amp;TCOS!B205&amp;")"</f>
        <v xml:space="preserve">   Return  (TCOS, ln 126)</v>
      </c>
      <c r="D49" s="579"/>
      <c r="E49" s="579"/>
      <c r="F49" s="285"/>
      <c r="G49" s="580">
        <f>TCOS!L205</f>
        <v>249520005.61531326</v>
      </c>
      <c r="H49" s="581"/>
      <c r="I49" s="581"/>
      <c r="J49" s="581"/>
      <c r="K49" s="581"/>
      <c r="L49" s="581"/>
      <c r="M49" s="581"/>
      <c r="N49" s="581"/>
      <c r="O49" s="577"/>
      <c r="P49" s="581"/>
    </row>
    <row r="50" spans="1:16">
      <c r="A50" s="285"/>
      <c r="B50" s="508"/>
      <c r="C50" s="564" t="str">
        <f>"   Income Taxes  (TCOS, ln "&amp;TCOS!B203&amp;")"</f>
        <v xml:space="preserve">   Income Taxes  (TCOS, ln 125)</v>
      </c>
      <c r="D50" s="579"/>
      <c r="E50" s="579"/>
      <c r="F50" s="285"/>
      <c r="G50" s="582">
        <f>TCOS!L203</f>
        <v>48908202.188085392</v>
      </c>
      <c r="H50" s="579"/>
      <c r="I50" s="583"/>
      <c r="J50" s="583"/>
      <c r="K50" s="583"/>
      <c r="L50" s="583"/>
      <c r="M50" s="583"/>
      <c r="N50" s="583"/>
      <c r="O50" s="579"/>
      <c r="P50" s="583"/>
    </row>
    <row r="51" spans="1:16">
      <c r="A51" s="285"/>
      <c r="B51" s="508"/>
      <c r="C51" s="584" t="s">
        <v>590</v>
      </c>
      <c r="D51" s="579"/>
      <c r="E51" s="579"/>
      <c r="F51" s="285"/>
      <c r="G51" s="580">
        <f>G47-G49-G50-G48</f>
        <v>230437864.11569625</v>
      </c>
      <c r="H51" s="579"/>
      <c r="I51" s="585"/>
      <c r="J51" s="585"/>
      <c r="K51" s="585"/>
      <c r="L51" s="585"/>
      <c r="M51" s="585"/>
      <c r="N51" s="585"/>
      <c r="O51" s="585"/>
      <c r="P51" s="585"/>
    </row>
    <row r="52" spans="1:16">
      <c r="A52" s="285"/>
      <c r="B52" s="508"/>
      <c r="C52" s="526"/>
      <c r="D52" s="579"/>
      <c r="E52" s="579"/>
      <c r="F52" s="577"/>
      <c r="G52" s="586"/>
      <c r="H52" s="587"/>
      <c r="I52" s="587"/>
      <c r="J52" s="587"/>
      <c r="K52" s="587"/>
      <c r="L52" s="587"/>
      <c r="M52" s="587"/>
      <c r="N52" s="587"/>
      <c r="O52" s="587"/>
      <c r="P52" s="587"/>
    </row>
    <row r="53" spans="1:16" ht="15.75">
      <c r="A53" s="285"/>
      <c r="B53" s="508"/>
      <c r="C53" s="525" t="str">
        <f>"B.   Determine Annual Revenue Requirement with hypothetical "&amp;F17&amp;" basis point increase in ROE."</f>
        <v>B.   Determine Annual Revenue Requirement with hypothetical  basis point increase in ROE.</v>
      </c>
      <c r="D53" s="588"/>
      <c r="E53" s="588"/>
      <c r="F53" s="577"/>
      <c r="G53" s="586"/>
      <c r="H53" s="587"/>
      <c r="I53" s="587"/>
      <c r="J53" s="587"/>
      <c r="K53" s="587"/>
      <c r="L53" s="587"/>
      <c r="M53" s="587"/>
      <c r="N53" s="587"/>
      <c r="O53" s="587"/>
      <c r="P53" s="587"/>
    </row>
    <row r="54" spans="1:16">
      <c r="A54" s="285"/>
      <c r="B54" s="508"/>
      <c r="C54" s="526"/>
      <c r="D54" s="588"/>
      <c r="E54" s="588"/>
      <c r="F54" s="577"/>
      <c r="G54" s="586"/>
      <c r="H54" s="587"/>
      <c r="I54" s="587"/>
      <c r="J54" s="587"/>
      <c r="K54" s="587"/>
      <c r="L54" s="587"/>
      <c r="M54" s="587"/>
      <c r="N54" s="587"/>
      <c r="O54" s="587"/>
      <c r="P54" s="587"/>
    </row>
    <row r="55" spans="1:16">
      <c r="A55" s="285"/>
      <c r="B55" s="508"/>
      <c r="C55" s="526" t="str">
        <f>C51</f>
        <v xml:space="preserve">   Annual Revenue Requirement, Less Lease Payments, Return and Taxes</v>
      </c>
      <c r="D55" s="588"/>
      <c r="E55" s="588"/>
      <c r="F55" s="285"/>
      <c r="G55" s="577">
        <f>G51</f>
        <v>230437864.11569625</v>
      </c>
      <c r="H55" s="579"/>
      <c r="I55" s="579"/>
      <c r="J55" s="579"/>
      <c r="K55" s="579"/>
      <c r="L55" s="579"/>
      <c r="M55" s="579"/>
      <c r="N55" s="579"/>
      <c r="O55" s="589"/>
      <c r="P55" s="579"/>
    </row>
    <row r="56" spans="1:16">
      <c r="A56" s="285"/>
      <c r="B56" s="508"/>
      <c r="C56" s="530" t="s">
        <v>299</v>
      </c>
      <c r="D56" s="590"/>
      <c r="E56" s="584"/>
      <c r="F56" s="285"/>
      <c r="G56" s="591">
        <f>F30</f>
        <v>249520005.61531326</v>
      </c>
      <c r="H56" s="592"/>
      <c r="I56" s="584"/>
      <c r="J56" s="584"/>
      <c r="K56" s="584"/>
      <c r="L56" s="584"/>
      <c r="M56" s="584"/>
      <c r="N56" s="584"/>
      <c r="O56" s="584"/>
      <c r="P56" s="584"/>
    </row>
    <row r="57" spans="1:16" ht="12.75" customHeight="1">
      <c r="A57" s="285"/>
      <c r="B57" s="508"/>
      <c r="C57" s="548" t="s">
        <v>266</v>
      </c>
      <c r="D57" s="579"/>
      <c r="E57" s="579"/>
      <c r="F57" s="285"/>
      <c r="G57" s="582">
        <f>F40</f>
        <v>48908202.188085392</v>
      </c>
      <c r="H57" s="575"/>
      <c r="I57" s="480"/>
      <c r="J57" s="517"/>
      <c r="K57" s="480"/>
      <c r="L57" s="480"/>
      <c r="M57" s="480"/>
      <c r="N57" s="480"/>
      <c r="O57" s="480"/>
      <c r="P57" s="517"/>
    </row>
    <row r="58" spans="1:16">
      <c r="A58" s="285"/>
      <c r="B58" s="508"/>
      <c r="C58" s="584" t="str">
        <f>"   Annual Revenue Requirement, with "&amp;F17&amp;" Basis Point ROE increase"</f>
        <v xml:space="preserve">   Annual Revenue Requirement, with  Basis Point ROE increase</v>
      </c>
      <c r="D58" s="496"/>
      <c r="E58" s="480"/>
      <c r="F58" s="285"/>
      <c r="G58" s="576">
        <f>SUM(G55:G57)</f>
        <v>528866071.91909486</v>
      </c>
      <c r="H58" s="575"/>
      <c r="I58" s="480"/>
      <c r="J58" s="517"/>
      <c r="K58" s="480"/>
      <c r="L58" s="480"/>
      <c r="M58" s="480"/>
      <c r="N58" s="480"/>
      <c r="O58" s="480"/>
      <c r="P58" s="517"/>
    </row>
    <row r="59" spans="1:16">
      <c r="A59" s="285"/>
      <c r="B59" s="508"/>
      <c r="C59" s="564" t="str">
        <f>"   Depreciation  (TCOS, ln "&amp;TCOS!B174&amp;")"</f>
        <v xml:space="preserve">   Depreciation  (TCOS, ln 100)</v>
      </c>
      <c r="D59" s="496"/>
      <c r="E59" s="480"/>
      <c r="F59" s="285"/>
      <c r="G59" s="593">
        <f>TCOS!L174</f>
        <v>106904221.26688588</v>
      </c>
      <c r="H59" s="575"/>
      <c r="I59" s="480"/>
      <c r="J59" s="517"/>
      <c r="K59" s="480"/>
      <c r="L59" s="480"/>
      <c r="M59" s="480"/>
      <c r="N59" s="480"/>
      <c r="O59" s="480"/>
      <c r="P59" s="517"/>
    </row>
    <row r="60" spans="1:16">
      <c r="A60" s="285"/>
      <c r="B60" s="508"/>
      <c r="C60" s="584" t="str">
        <f>"   Annual Rev. Req, w/"&amp;F17&amp;" Basis Point ROE increase, less Depreciation"</f>
        <v xml:space="preserve">   Annual Rev. Req, w/ Basis Point ROE increase, less Depreciation</v>
      </c>
      <c r="D60" s="496"/>
      <c r="E60" s="480"/>
      <c r="F60" s="285"/>
      <c r="G60" s="576">
        <f>G58-G59</f>
        <v>421961850.65220898</v>
      </c>
      <c r="H60" s="575"/>
      <c r="I60" s="480"/>
      <c r="J60" s="517"/>
      <c r="K60" s="480"/>
      <c r="L60" s="480"/>
      <c r="M60" s="480"/>
      <c r="N60" s="480"/>
      <c r="O60" s="480"/>
      <c r="P60" s="517"/>
    </row>
    <row r="61" spans="1:16">
      <c r="A61" s="285"/>
      <c r="B61" s="508"/>
      <c r="C61" s="480"/>
      <c r="D61" s="496"/>
      <c r="E61" s="480"/>
      <c r="F61" s="480"/>
      <c r="G61" s="480"/>
      <c r="H61" s="575"/>
      <c r="I61" s="480"/>
      <c r="J61" s="517"/>
      <c r="K61" s="480"/>
      <c r="L61" s="480"/>
      <c r="M61" s="480"/>
      <c r="N61" s="480"/>
      <c r="O61" s="480"/>
      <c r="P61" s="517"/>
    </row>
    <row r="62" spans="1:16" ht="15.75">
      <c r="A62" s="285"/>
      <c r="B62" s="508"/>
      <c r="C62" s="525" t="str">
        <f>"C.   Determine FCR with hypothetical "&amp;F17&amp;" basis point ROE increase."</f>
        <v>C.   Determine FCR with hypothetical  basis point ROE increase.</v>
      </c>
      <c r="D62" s="496"/>
      <c r="E62" s="480"/>
      <c r="F62" s="480"/>
      <c r="G62" s="480"/>
      <c r="H62" s="575"/>
      <c r="I62" s="480"/>
      <c r="J62" s="517"/>
      <c r="K62" s="480"/>
      <c r="L62" s="480"/>
      <c r="M62" s="480"/>
      <c r="N62" s="480"/>
      <c r="O62" s="480"/>
      <c r="P62" s="517"/>
    </row>
    <row r="63" spans="1:16">
      <c r="A63" s="285"/>
      <c r="B63" s="508"/>
      <c r="C63" s="480"/>
      <c r="D63" s="496"/>
      <c r="E63" s="480"/>
      <c r="F63" s="480"/>
      <c r="G63" s="480"/>
      <c r="H63" s="575"/>
      <c r="I63" s="480"/>
      <c r="J63" s="517"/>
      <c r="K63" s="480"/>
      <c r="L63" s="480"/>
      <c r="M63" s="480"/>
      <c r="N63" s="480"/>
      <c r="O63" s="480"/>
      <c r="P63" s="517"/>
    </row>
    <row r="64" spans="1:16">
      <c r="A64" s="285"/>
      <c r="B64" s="508"/>
      <c r="C64" s="564" t="str">
        <f>"   Net Transmission Plant  (TCOS, ln "&amp;TCOS!B91&amp;")"</f>
        <v xml:space="preserve">   Net Transmission Plant  (TCOS, ln 42)</v>
      </c>
      <c r="D64" s="496"/>
      <c r="E64" s="480"/>
      <c r="F64" s="285"/>
      <c r="G64" s="576">
        <f>TCOS!L91</f>
        <v>3840305865.204864</v>
      </c>
      <c r="H64" s="594"/>
      <c r="I64" s="480"/>
      <c r="J64" s="517"/>
      <c r="K64" s="480"/>
      <c r="L64" s="480"/>
      <c r="M64" s="480"/>
      <c r="N64" s="480"/>
      <c r="O64" s="480"/>
      <c r="P64" s="517"/>
    </row>
    <row r="65" spans="1:16">
      <c r="A65" s="285"/>
      <c r="B65" s="508"/>
      <c r="C65" s="584" t="str">
        <f>"   Annual Revenue Requirement, with "&amp;F17&amp;" Basis Point ROE increase"</f>
        <v xml:space="preserve">   Annual Revenue Requirement, with  Basis Point ROE increase</v>
      </c>
      <c r="D65" s="496"/>
      <c r="E65" s="480"/>
      <c r="F65" s="285"/>
      <c r="G65" s="576">
        <f>G58</f>
        <v>528866071.91909486</v>
      </c>
      <c r="H65" s="575"/>
      <c r="I65" s="480"/>
      <c r="J65" s="517"/>
      <c r="K65" s="480"/>
      <c r="L65" s="480"/>
      <c r="M65" s="480"/>
      <c r="N65" s="480"/>
      <c r="O65" s="480"/>
      <c r="P65" s="517"/>
    </row>
    <row r="66" spans="1:16">
      <c r="A66" s="285"/>
      <c r="B66" s="508"/>
      <c r="C66" s="584" t="str">
        <f>"   FCR with "&amp;F17&amp;" Basis Point increase in ROE"</f>
        <v xml:space="preserve">   FCR with  Basis Point increase in ROE</v>
      </c>
      <c r="D66" s="496"/>
      <c r="E66" s="480"/>
      <c r="F66" s="285"/>
      <c r="G66" s="574">
        <f>G65/G64</f>
        <v>0.13771457026662695</v>
      </c>
      <c r="H66" s="575"/>
      <c r="I66" s="480"/>
      <c r="J66" s="517"/>
      <c r="K66" s="480"/>
      <c r="L66" s="480"/>
      <c r="M66" s="480"/>
      <c r="N66" s="480"/>
      <c r="O66" s="480"/>
      <c r="P66" s="517"/>
    </row>
    <row r="67" spans="1:16">
      <c r="A67" s="285"/>
      <c r="B67" s="508"/>
      <c r="C67" s="323"/>
      <c r="D67" s="496"/>
      <c r="E67" s="480"/>
      <c r="F67" s="285"/>
      <c r="G67" s="508"/>
      <c r="H67" s="575"/>
      <c r="I67" s="480"/>
      <c r="J67" s="517"/>
      <c r="K67" s="480"/>
      <c r="L67" s="480"/>
      <c r="M67" s="480"/>
      <c r="N67" s="480"/>
      <c r="O67" s="480"/>
      <c r="P67" s="517"/>
    </row>
    <row r="68" spans="1:16">
      <c r="A68" s="285"/>
      <c r="B68" s="508"/>
      <c r="C68" s="584" t="str">
        <f>"   Annual Rev. Req, w / "&amp;F17&amp;" Basis Point ROE increase, less Dep."</f>
        <v xml:space="preserve">   Annual Rev. Req, w /  Basis Point ROE increase, less Dep.</v>
      </c>
      <c r="D68" s="496"/>
      <c r="E68" s="480"/>
      <c r="F68" s="285"/>
      <c r="G68" s="576">
        <f>G60</f>
        <v>421961850.65220898</v>
      </c>
      <c r="H68" s="575"/>
      <c r="I68" s="480"/>
      <c r="J68" s="517"/>
      <c r="K68" s="480"/>
      <c r="L68" s="480"/>
      <c r="M68" s="480"/>
      <c r="N68" s="480"/>
      <c r="O68" s="480"/>
      <c r="P68" s="517"/>
    </row>
    <row r="69" spans="1:16">
      <c r="A69" s="285"/>
      <c r="B69" s="508"/>
      <c r="C69" s="584" t="str">
        <f>"   FCR with "&amp;F17&amp;" Basis Point ROE increase, less Depreciation"</f>
        <v xml:space="preserve">   FCR with  Basis Point ROE increase, less Depreciation</v>
      </c>
      <c r="D69" s="496"/>
      <c r="E69" s="480"/>
      <c r="F69" s="285"/>
      <c r="G69" s="574">
        <f>G68/G64</f>
        <v>0.10987714662923057</v>
      </c>
      <c r="H69" s="575"/>
      <c r="I69" s="480"/>
      <c r="J69" s="517"/>
      <c r="K69" s="480"/>
      <c r="L69" s="480"/>
      <c r="M69" s="480"/>
      <c r="N69" s="480"/>
      <c r="O69" s="480"/>
      <c r="P69" s="517"/>
    </row>
    <row r="70" spans="1:16">
      <c r="A70" s="285"/>
      <c r="B70" s="508"/>
      <c r="C70" s="564" t="str">
        <f>"   FCR less Depreciation  (TCOS, ln "&amp;TCOS!B34&amp;")"</f>
        <v xml:space="preserve">   FCR less Depreciation  (TCOS, ln 10)</v>
      </c>
      <c r="D70" s="496"/>
      <c r="E70" s="480"/>
      <c r="F70" s="285"/>
      <c r="G70" s="595">
        <f>TCOS!L34</f>
        <v>0.10987714662923057</v>
      </c>
      <c r="H70" s="575"/>
      <c r="I70" s="480"/>
      <c r="J70" s="517"/>
      <c r="K70" s="480"/>
      <c r="L70" s="480"/>
      <c r="M70" s="480"/>
      <c r="N70" s="480"/>
      <c r="O70" s="480"/>
      <c r="P70" s="517"/>
    </row>
    <row r="71" spans="1:16">
      <c r="A71" s="285"/>
      <c r="B71" s="508"/>
      <c r="C71" s="584" t="str">
        <f>"   Incremental FCR with "&amp;F17&amp;" Basis Point ROE increase, less Depreciation"</f>
        <v xml:space="preserve">   Incremental FCR with  Basis Point ROE increase, less Depreciation</v>
      </c>
      <c r="D71" s="496"/>
      <c r="E71" s="480"/>
      <c r="F71" s="285"/>
      <c r="G71" s="574">
        <f>G69-G70</f>
        <v>0</v>
      </c>
      <c r="H71" s="575"/>
      <c r="I71" s="480"/>
      <c r="J71" s="517"/>
      <c r="K71" s="480"/>
      <c r="L71" s="480"/>
      <c r="M71" s="480"/>
      <c r="N71" s="480"/>
      <c r="O71" s="480"/>
      <c r="P71" s="517"/>
    </row>
    <row r="72" spans="1:16">
      <c r="A72" s="285"/>
      <c r="B72" s="508"/>
      <c r="C72" s="584"/>
      <c r="D72" s="496"/>
      <c r="E72" s="480"/>
      <c r="F72" s="574"/>
      <c r="G72" s="480"/>
      <c r="H72" s="575"/>
      <c r="I72" s="480"/>
      <c r="J72" s="517"/>
      <c r="K72" s="480"/>
      <c r="L72" s="480"/>
      <c r="M72" s="480"/>
      <c r="N72" s="480"/>
      <c r="O72" s="480"/>
      <c r="P72" s="517"/>
    </row>
    <row r="73" spans="1:16" ht="18.75">
      <c r="A73" s="285"/>
      <c r="B73" s="524" t="s">
        <v>173</v>
      </c>
      <c r="C73" s="523" t="s">
        <v>267</v>
      </c>
      <c r="D73" s="496"/>
      <c r="E73" s="480"/>
      <c r="F73" s="574"/>
      <c r="G73" s="480"/>
      <c r="H73" s="575"/>
      <c r="I73" s="480"/>
      <c r="J73" s="517"/>
      <c r="K73" s="480"/>
      <c r="L73" s="480"/>
      <c r="M73" s="480"/>
      <c r="N73" s="480"/>
      <c r="O73" s="480"/>
      <c r="P73" s="517"/>
    </row>
    <row r="74" spans="1:16">
      <c r="A74" s="285"/>
      <c r="B74" s="508"/>
      <c r="C74" s="584"/>
      <c r="D74" s="496"/>
      <c r="E74" s="480"/>
      <c r="F74" s="574"/>
      <c r="G74" s="480"/>
      <c r="H74" s="575"/>
      <c r="I74" s="480"/>
      <c r="J74" s="517"/>
      <c r="K74" s="480"/>
      <c r="L74" s="480"/>
      <c r="M74" s="480"/>
      <c r="N74" s="480"/>
      <c r="O74" s="480"/>
      <c r="P74" s="517"/>
    </row>
    <row r="75" spans="1:16">
      <c r="A75" s="285"/>
      <c r="B75" s="508"/>
      <c r="C75" s="584" t="str">
        <f>+"Average Transmission Plant Balance for "&amp;TCOS!L4&amp;" (TCOS, ln "&amp;TCOS!B68&amp;")"</f>
        <v>Average Transmission Plant Balance for 2024 (TCOS, ln 21)</v>
      </c>
      <c r="D75" s="496"/>
      <c r="E75" s="285"/>
      <c r="F75" s="285"/>
      <c r="G75" s="575">
        <f>TCOS!L68</f>
        <v>4766251821.4599352</v>
      </c>
      <c r="H75" s="518"/>
      <c r="I75" s="480"/>
      <c r="J75" s="517"/>
      <c r="K75" s="598"/>
      <c r="L75" s="480"/>
      <c r="M75" s="480"/>
      <c r="N75" s="480"/>
      <c r="O75" s="480"/>
      <c r="P75" s="517"/>
    </row>
    <row r="76" spans="1:16">
      <c r="A76" s="285"/>
      <c r="B76" s="508"/>
      <c r="C76" s="596" t="str">
        <f>"Annual Depreciation and Amortization Expense  (TCOS, ln "&amp;TCOS!B174&amp;")"</f>
        <v>Annual Depreciation and Amortization Expense  (TCOS, ln 100)</v>
      </c>
      <c r="D76" s="496"/>
      <c r="E76" s="480"/>
      <c r="F76" s="285"/>
      <c r="G76" s="597">
        <f>TCOS!L174</f>
        <v>106904221.26688588</v>
      </c>
      <c r="H76" s="575"/>
      <c r="I76" s="480"/>
      <c r="J76" s="517"/>
      <c r="K76" s="480"/>
      <c r="L76" s="480"/>
      <c r="M76" s="480"/>
      <c r="N76" s="480"/>
      <c r="O76" s="480"/>
      <c r="P76" s="517"/>
    </row>
    <row r="77" spans="1:16">
      <c r="A77" s="285"/>
      <c r="B77" s="508"/>
      <c r="C77" s="584" t="s">
        <v>268</v>
      </c>
      <c r="D77" s="496"/>
      <c r="E77" s="480"/>
      <c r="F77" s="285"/>
      <c r="G77" s="574">
        <f>+G76/G75</f>
        <v>2.2429411049066306E-2</v>
      </c>
      <c r="H77" s="599"/>
      <c r="I77" s="480"/>
      <c r="J77" s="517"/>
      <c r="K77" s="480"/>
      <c r="L77" s="480"/>
      <c r="M77" s="480"/>
      <c r="N77" s="480"/>
      <c r="O77" s="480"/>
      <c r="P77" s="517"/>
    </row>
    <row r="78" spans="1:16">
      <c r="A78" s="285"/>
      <c r="B78" s="508"/>
      <c r="C78" s="584" t="s">
        <v>269</v>
      </c>
      <c r="D78" s="496"/>
      <c r="E78" s="480"/>
      <c r="F78" s="285"/>
      <c r="G78" s="599">
        <f>1/G77</f>
        <v>44.58431823343075</v>
      </c>
      <c r="H78" s="575"/>
      <c r="I78" s="480"/>
      <c r="J78" s="517"/>
      <c r="K78" s="480"/>
      <c r="L78" s="480"/>
      <c r="M78" s="480"/>
      <c r="N78" s="480"/>
      <c r="O78" s="480"/>
      <c r="P78" s="517"/>
    </row>
    <row r="79" spans="1:16">
      <c r="A79" s="285"/>
      <c r="B79" s="508"/>
      <c r="C79" s="584" t="s">
        <v>270</v>
      </c>
      <c r="D79" s="496"/>
      <c r="E79" s="480"/>
      <c r="F79" s="285"/>
      <c r="G79" s="600">
        <f>ROUND(G78,0)</f>
        <v>45</v>
      </c>
      <c r="H79" s="575"/>
      <c r="I79" s="480"/>
      <c r="J79" s="517"/>
      <c r="K79" s="480"/>
      <c r="L79" s="480"/>
      <c r="M79" s="480"/>
      <c r="N79" s="480"/>
      <c r="O79" s="480"/>
      <c r="P79" s="517"/>
    </row>
    <row r="80" spans="1:16">
      <c r="A80" s="285"/>
      <c r="B80" s="508"/>
      <c r="C80" s="584"/>
      <c r="D80" s="496"/>
      <c r="E80" s="480"/>
      <c r="F80" s="285"/>
      <c r="G80" s="600"/>
      <c r="H80" s="575"/>
      <c r="I80" s="480"/>
      <c r="J80" s="517"/>
      <c r="K80" s="480"/>
      <c r="L80" s="480"/>
      <c r="M80" s="480"/>
      <c r="N80" s="480"/>
      <c r="O80" s="480"/>
      <c r="P80" s="517"/>
    </row>
    <row r="81" spans="1:16">
      <c r="A81" s="285"/>
      <c r="B81" s="362"/>
      <c r="C81" s="285"/>
      <c r="D81" s="372"/>
      <c r="E81" s="285"/>
      <c r="F81" s="285"/>
      <c r="G81" s="285"/>
      <c r="H81" s="518"/>
      <c r="I81" s="285"/>
      <c r="J81" s="271"/>
      <c r="K81" s="285"/>
      <c r="L81" s="285"/>
      <c r="M81" s="285"/>
      <c r="N81" s="285"/>
      <c r="O81" s="285"/>
      <c r="P81" s="480"/>
    </row>
    <row r="82" spans="1:16">
      <c r="A82" s="285"/>
      <c r="B82" s="362"/>
      <c r="C82" s="285"/>
      <c r="D82" s="372"/>
      <c r="E82" s="285"/>
      <c r="F82" s="285"/>
      <c r="G82" s="285"/>
      <c r="H82" s="518"/>
      <c r="I82" s="285"/>
      <c r="J82" s="271"/>
      <c r="K82" s="285"/>
      <c r="L82" s="285"/>
      <c r="M82" s="285"/>
      <c r="N82" s="285"/>
      <c r="O82" s="285"/>
      <c r="P82" s="480"/>
    </row>
    <row r="83" spans="1:16" ht="20.25">
      <c r="A83" s="604" t="s">
        <v>947</v>
      </c>
      <c r="B83" s="480"/>
      <c r="C83" s="584"/>
      <c r="D83" s="496"/>
      <c r="E83" s="480"/>
      <c r="F83" s="574"/>
      <c r="G83" s="480"/>
      <c r="H83" s="1147"/>
      <c r="I83" s="285"/>
      <c r="J83" s="271"/>
      <c r="K83" s="605"/>
      <c r="L83" s="605"/>
      <c r="M83" s="605"/>
      <c r="N83" s="520" t="str">
        <f>"Page "&amp;SUM(P$6:P83)&amp;" of "</f>
        <v xml:space="preserve">Page 2 of </v>
      </c>
      <c r="O83" s="521">
        <f>COUNT(P$6:P$59606)</f>
        <v>15</v>
      </c>
      <c r="P83" s="596">
        <v>1</v>
      </c>
    </row>
    <row r="84" spans="1:16">
      <c r="A84" s="285"/>
      <c r="B84" s="480"/>
      <c r="C84" s="480"/>
      <c r="D84" s="496"/>
      <c r="E84" s="480"/>
      <c r="F84" s="480"/>
      <c r="G84" s="480"/>
      <c r="H84" s="1147"/>
      <c r="I84" s="480"/>
      <c r="J84" s="517"/>
      <c r="K84" s="480"/>
      <c r="L84" s="480"/>
      <c r="M84" s="480"/>
      <c r="N84" s="480"/>
      <c r="O84" s="480"/>
      <c r="P84" s="517"/>
    </row>
    <row r="85" spans="1:16" ht="18">
      <c r="A85" s="285"/>
      <c r="B85" s="524" t="s">
        <v>174</v>
      </c>
      <c r="C85" s="606" t="s">
        <v>290</v>
      </c>
      <c r="D85" s="496"/>
      <c r="E85" s="480"/>
      <c r="F85" s="480"/>
      <c r="G85" s="480"/>
      <c r="H85" s="1147"/>
      <c r="I85" s="1147"/>
      <c r="J85" s="1148"/>
      <c r="K85" s="1147"/>
      <c r="L85" s="1147"/>
      <c r="M85" s="1147"/>
      <c r="N85" s="1147"/>
      <c r="O85" s="480"/>
      <c r="P85" s="1148"/>
    </row>
    <row r="86" spans="1:16" ht="18.75">
      <c r="A86" s="285"/>
      <c r="B86" s="524"/>
      <c r="C86" s="523"/>
      <c r="D86" s="496"/>
      <c r="E86" s="480"/>
      <c r="F86" s="480"/>
      <c r="G86" s="480"/>
      <c r="H86" s="1147"/>
      <c r="I86" s="1147"/>
      <c r="J86" s="1148"/>
      <c r="K86" s="1147"/>
      <c r="L86" s="1147"/>
      <c r="M86" s="1147"/>
      <c r="N86" s="1147"/>
      <c r="O86" s="480"/>
      <c r="P86" s="1148"/>
    </row>
    <row r="87" spans="1:16" ht="18.75">
      <c r="A87" s="285"/>
      <c r="B87" s="524"/>
      <c r="C87" s="523" t="s">
        <v>291</v>
      </c>
      <c r="D87" s="496"/>
      <c r="E87" s="480"/>
      <c r="F87" s="480"/>
      <c r="G87" s="480"/>
      <c r="H87" s="1147"/>
      <c r="I87" s="1147"/>
      <c r="J87" s="1148"/>
      <c r="K87" s="1147"/>
      <c r="L87" s="1147"/>
      <c r="M87" s="1147"/>
      <c r="N87" s="1147"/>
      <c r="O87" s="480"/>
      <c r="P87" s="1148"/>
    </row>
    <row r="88" spans="1:16" ht="15.75" thickBot="1">
      <c r="A88" s="285"/>
      <c r="B88" s="285"/>
      <c r="C88" s="347"/>
      <c r="D88" s="496"/>
      <c r="E88" s="480"/>
      <c r="F88" s="480"/>
      <c r="G88" s="480"/>
      <c r="H88" s="1147"/>
      <c r="I88" s="1147"/>
      <c r="J88" s="1148"/>
      <c r="K88" s="1147"/>
      <c r="L88" s="1147"/>
      <c r="M88" s="1147"/>
      <c r="N88" s="1147"/>
      <c r="O88" s="480"/>
      <c r="P88" s="1148"/>
    </row>
    <row r="89" spans="1:16" ht="15.75">
      <c r="A89" s="285"/>
      <c r="B89" s="285"/>
      <c r="C89" s="525" t="s">
        <v>292</v>
      </c>
      <c r="D89" s="496"/>
      <c r="E89" s="480"/>
      <c r="F89" s="480"/>
      <c r="G89" s="1149"/>
      <c r="H89" s="480" t="s">
        <v>271</v>
      </c>
      <c r="I89" s="480"/>
      <c r="J89" s="517"/>
      <c r="K89" s="607" t="s">
        <v>296</v>
      </c>
      <c r="L89" s="608"/>
      <c r="M89" s="609"/>
      <c r="N89" s="1150">
        <f>VLOOKUP(I95,C102:O161,5)</f>
        <v>1282842.6688506498</v>
      </c>
      <c r="O89" s="480"/>
      <c r="P89" s="517"/>
    </row>
    <row r="90" spans="1:16" ht="15.75">
      <c r="A90" s="285"/>
      <c r="B90" s="285"/>
      <c r="C90" s="525"/>
      <c r="D90" s="496"/>
      <c r="E90" s="480"/>
      <c r="F90" s="480"/>
      <c r="G90" s="480"/>
      <c r="H90" s="1151"/>
      <c r="I90" s="1151"/>
      <c r="J90" s="1152"/>
      <c r="K90" s="612" t="s">
        <v>297</v>
      </c>
      <c r="L90" s="1153"/>
      <c r="M90" s="517"/>
      <c r="N90" s="1154">
        <f>VLOOKUP(I95,C102:O161,6)</f>
        <v>1282842.6688506498</v>
      </c>
      <c r="O90" s="480"/>
      <c r="P90" s="1152"/>
    </row>
    <row r="91" spans="1:16" ht="13.5" thickBot="1">
      <c r="A91" s="285"/>
      <c r="B91" s="285"/>
      <c r="C91" s="613" t="s">
        <v>293</v>
      </c>
      <c r="D91" s="1514" t="s">
        <v>948</v>
      </c>
      <c r="E91" s="1514"/>
      <c r="F91" s="1514"/>
      <c r="G91" s="1514"/>
      <c r="H91" s="1147"/>
      <c r="I91" s="1147"/>
      <c r="J91" s="1148"/>
      <c r="K91" s="1155" t="s">
        <v>450</v>
      </c>
      <c r="L91" s="1156"/>
      <c r="M91" s="1156"/>
      <c r="N91" s="1157">
        <f>+N90-N89</f>
        <v>0</v>
      </c>
      <c r="O91" s="480"/>
      <c r="P91" s="1148"/>
    </row>
    <row r="92" spans="1:16">
      <c r="A92" s="285"/>
      <c r="B92" s="285"/>
      <c r="C92" s="615"/>
      <c r="D92" s="616"/>
      <c r="E92" s="600"/>
      <c r="F92" s="600"/>
      <c r="G92" s="617"/>
      <c r="H92" s="1147"/>
      <c r="I92" s="1147"/>
      <c r="J92" s="1148"/>
      <c r="K92" s="1147"/>
      <c r="L92" s="1147"/>
      <c r="M92" s="1147"/>
      <c r="N92" s="1147"/>
      <c r="O92" s="480"/>
      <c r="P92" s="1148"/>
    </row>
    <row r="93" spans="1:16" ht="13.5" thickBot="1">
      <c r="A93" s="285"/>
      <c r="B93" s="285"/>
      <c r="C93" s="618"/>
      <c r="D93" s="619"/>
      <c r="E93" s="617"/>
      <c r="F93" s="617"/>
      <c r="G93" s="617"/>
      <c r="H93" s="617"/>
      <c r="I93" s="617"/>
      <c r="J93" s="620"/>
      <c r="K93" s="617"/>
      <c r="L93" s="617"/>
      <c r="M93" s="617"/>
      <c r="N93" s="617"/>
      <c r="O93" s="508"/>
      <c r="P93" s="620"/>
    </row>
    <row r="94" spans="1:16" ht="13.5" thickBot="1">
      <c r="A94" s="285"/>
      <c r="B94" s="621"/>
      <c r="C94" s="622" t="s">
        <v>294</v>
      </c>
      <c r="D94" s="623"/>
      <c r="E94" s="623"/>
      <c r="F94" s="623"/>
      <c r="G94" s="623"/>
      <c r="H94" s="623"/>
      <c r="I94" s="624"/>
      <c r="J94" s="625"/>
      <c r="K94" s="480"/>
      <c r="L94" s="480"/>
      <c r="M94" s="480"/>
      <c r="N94" s="480"/>
      <c r="O94" s="626"/>
      <c r="P94" s="627"/>
    </row>
    <row r="95" spans="1:16" ht="15">
      <c r="A95" s="285"/>
      <c r="B95" s="621"/>
      <c r="C95" s="628" t="s">
        <v>272</v>
      </c>
      <c r="D95" s="1158">
        <v>13789271.549999999</v>
      </c>
      <c r="E95" s="584" t="s">
        <v>273</v>
      </c>
      <c r="F95" s="285"/>
      <c r="G95" s="629"/>
      <c r="H95" s="629"/>
      <c r="I95" s="630">
        <f>$L$26</f>
        <v>2024</v>
      </c>
      <c r="J95" s="515"/>
      <c r="K95" s="1515" t="s">
        <v>459</v>
      </c>
      <c r="L95" s="1515"/>
      <c r="M95" s="1515"/>
      <c r="N95" s="1515"/>
      <c r="O95" s="1515"/>
      <c r="P95" s="515"/>
    </row>
    <row r="96" spans="1:16">
      <c r="A96" s="285"/>
      <c r="B96" s="621"/>
      <c r="C96" s="628" t="s">
        <v>275</v>
      </c>
      <c r="D96" s="788">
        <v>2008</v>
      </c>
      <c r="E96" s="628" t="s">
        <v>276</v>
      </c>
      <c r="F96" s="629"/>
      <c r="G96" s="285"/>
      <c r="H96" s="285"/>
      <c r="I96" s="791">
        <f>IF(G89="",0,$F$15)</f>
        <v>0</v>
      </c>
      <c r="J96" s="631"/>
      <c r="K96" s="1148" t="s">
        <v>459</v>
      </c>
      <c r="L96" s="285"/>
      <c r="M96" s="285"/>
      <c r="N96" s="285"/>
      <c r="O96" s="285"/>
      <c r="P96" s="631"/>
    </row>
    <row r="97" spans="1:16">
      <c r="A97" s="285"/>
      <c r="B97" s="621"/>
      <c r="C97" s="628" t="s">
        <v>277</v>
      </c>
      <c r="D97" s="1159">
        <v>6</v>
      </c>
      <c r="E97" s="628" t="s">
        <v>278</v>
      </c>
      <c r="F97" s="629"/>
      <c r="G97" s="285"/>
      <c r="H97" s="285"/>
      <c r="I97" s="632">
        <f>$G$70</f>
        <v>0.10987714662923057</v>
      </c>
      <c r="J97" s="633"/>
      <c r="K97" s="285" t="str">
        <f>"          INPUT PROJECTED ARR (WITH &amp; WITHOUT INCENTIVES) FROM EACH PRIOR YEAR"</f>
        <v xml:space="preserve">          INPUT PROJECTED ARR (WITH &amp; WITHOUT INCENTIVES) FROM EACH PRIOR YEAR</v>
      </c>
      <c r="L97" s="285"/>
      <c r="M97" s="285"/>
      <c r="N97" s="285"/>
      <c r="O97" s="285"/>
      <c r="P97" s="633"/>
    </row>
    <row r="98" spans="1:16">
      <c r="A98" s="285"/>
      <c r="B98" s="621"/>
      <c r="C98" s="628" t="s">
        <v>279</v>
      </c>
      <c r="D98" s="634">
        <f>G$79</f>
        <v>45</v>
      </c>
      <c r="E98" s="628" t="s">
        <v>280</v>
      </c>
      <c r="F98" s="629"/>
      <c r="G98" s="285"/>
      <c r="H98" s="285"/>
      <c r="I98" s="632">
        <f>IF(G89="",I97,$G$67)</f>
        <v>0.10987714662923057</v>
      </c>
      <c r="J98" s="635"/>
      <c r="K98" s="285" t="s">
        <v>357</v>
      </c>
      <c r="L98" s="285"/>
      <c r="M98" s="285"/>
      <c r="N98" s="285"/>
      <c r="O98" s="285"/>
      <c r="P98" s="635"/>
    </row>
    <row r="99" spans="1:16" ht="13.5" thickBot="1">
      <c r="A99" s="285"/>
      <c r="B99" s="621"/>
      <c r="C99" s="628" t="s">
        <v>281</v>
      </c>
      <c r="D99" s="790" t="s">
        <v>949</v>
      </c>
      <c r="E99" s="636" t="s">
        <v>282</v>
      </c>
      <c r="F99" s="637"/>
      <c r="G99" s="638"/>
      <c r="H99" s="638"/>
      <c r="I99" s="1157">
        <f>IF(D95=0,0,D95/D98)</f>
        <v>306428.25666666665</v>
      </c>
      <c r="J99" s="1148"/>
      <c r="K99" s="1148" t="s">
        <v>363</v>
      </c>
      <c r="L99" s="1148"/>
      <c r="M99" s="1148"/>
      <c r="N99" s="1148"/>
      <c r="O99" s="517"/>
      <c r="P99" s="1148"/>
    </row>
    <row r="100" spans="1:16" ht="51">
      <c r="A100" s="470"/>
      <c r="B100" s="470"/>
      <c r="C100" s="639" t="s">
        <v>272</v>
      </c>
      <c r="D100" s="1160" t="s">
        <v>283</v>
      </c>
      <c r="E100" s="1161" t="s">
        <v>284</v>
      </c>
      <c r="F100" s="1160" t="s">
        <v>285</v>
      </c>
      <c r="G100" s="1161" t="s">
        <v>356</v>
      </c>
      <c r="H100" s="1162" t="s">
        <v>356</v>
      </c>
      <c r="I100" s="639" t="s">
        <v>295</v>
      </c>
      <c r="J100" s="643"/>
      <c r="K100" s="1161" t="s">
        <v>365</v>
      </c>
      <c r="L100" s="1163"/>
      <c r="M100" s="1161" t="s">
        <v>365</v>
      </c>
      <c r="N100" s="1163"/>
      <c r="O100" s="1163"/>
      <c r="P100" s="644"/>
    </row>
    <row r="101" spans="1:16" ht="13.5" thickBot="1">
      <c r="A101" s="285"/>
      <c r="B101" s="285"/>
      <c r="C101" s="645" t="s">
        <v>177</v>
      </c>
      <c r="D101" s="646" t="s">
        <v>178</v>
      </c>
      <c r="E101" s="645" t="s">
        <v>37</v>
      </c>
      <c r="F101" s="646" t="s">
        <v>178</v>
      </c>
      <c r="G101" s="1164" t="s">
        <v>298</v>
      </c>
      <c r="H101" s="1165" t="s">
        <v>300</v>
      </c>
      <c r="I101" s="649" t="s">
        <v>389</v>
      </c>
      <c r="J101" s="650"/>
      <c r="K101" s="1164" t="s">
        <v>287</v>
      </c>
      <c r="L101" s="1166"/>
      <c r="M101" s="1164" t="s">
        <v>300</v>
      </c>
      <c r="N101" s="1166"/>
      <c r="O101" s="1166"/>
      <c r="P101" s="515"/>
    </row>
    <row r="102" spans="1:16">
      <c r="A102" s="285"/>
      <c r="B102" s="285"/>
      <c r="C102" s="651">
        <f>IF(D96= "","-",D96)</f>
        <v>2008</v>
      </c>
      <c r="D102" s="602">
        <f>+D95</f>
        <v>13789271.549999999</v>
      </c>
      <c r="E102" s="1167">
        <f>+I99/12*(12-D97)</f>
        <v>153214.12833333333</v>
      </c>
      <c r="F102" s="602">
        <f t="shared" ref="F102:F161" si="0">+D102-E102</f>
        <v>13636057.421666665</v>
      </c>
      <c r="G102" s="1168">
        <f>+$I$97*((D102+F102)/2)+E102</f>
        <v>1659922.5747206849</v>
      </c>
      <c r="H102" s="1169">
        <f>+$I$98*((D102+F102)/2)+E102</f>
        <v>1659922.5747206849</v>
      </c>
      <c r="I102" s="655">
        <f>+H102-G102</f>
        <v>0</v>
      </c>
      <c r="J102" s="655"/>
      <c r="K102" s="792"/>
      <c r="L102" s="657"/>
      <c r="M102" s="792"/>
      <c r="N102" s="657"/>
      <c r="O102" s="657"/>
      <c r="P102" s="603"/>
    </row>
    <row r="103" spans="1:16">
      <c r="A103" s="285"/>
      <c r="B103" s="285"/>
      <c r="C103" s="651">
        <f>IF(D96="","-",+C102+1)</f>
        <v>2009</v>
      </c>
      <c r="D103" s="602">
        <f t="shared" ref="D103:D161" si="1">F102</f>
        <v>13636057.421666665</v>
      </c>
      <c r="E103" s="658">
        <f>IF(D103&gt;$I$99,$I$99,D103)</f>
        <v>306428.25666666665</v>
      </c>
      <c r="F103" s="602">
        <f t="shared" si="0"/>
        <v>13329629.164999999</v>
      </c>
      <c r="G103" s="1167">
        <f t="shared" ref="G103:G161" si="2">+$I$97*((D103+F103)/2)+E103</f>
        <v>1787884.6061871911</v>
      </c>
      <c r="H103" s="1170">
        <f t="shared" ref="H103:H161" si="3">+$I$98*((D103+F103)/2)+E103</f>
        <v>1787884.6061871911</v>
      </c>
      <c r="I103" s="655">
        <f t="shared" ref="I103:I161" si="4">+H103-G103</f>
        <v>0</v>
      </c>
      <c r="J103" s="655"/>
      <c r="K103" s="793">
        <v>1124469.1016438</v>
      </c>
      <c r="L103" s="661"/>
      <c r="M103" s="793">
        <v>1124469.1016438</v>
      </c>
      <c r="N103" s="661"/>
      <c r="O103" s="661"/>
      <c r="P103" s="603"/>
    </row>
    <row r="104" spans="1:16">
      <c r="A104" s="285"/>
      <c r="B104" s="285"/>
      <c r="C104" s="651">
        <f>IF(D96="","-",+C103+1)</f>
        <v>2010</v>
      </c>
      <c r="D104" s="602">
        <f t="shared" si="1"/>
        <v>13329629.164999999</v>
      </c>
      <c r="E104" s="658">
        <f t="shared" ref="E104:E161" si="5">IF(D104&gt;$I$99,$I$99,D104)</f>
        <v>306428.25666666665</v>
      </c>
      <c r="F104" s="602">
        <f t="shared" si="0"/>
        <v>13023200.908333333</v>
      </c>
      <c r="G104" s="1167">
        <f t="shared" si="2"/>
        <v>1754215.1436980881</v>
      </c>
      <c r="H104" s="1170">
        <f t="shared" si="3"/>
        <v>1754215.1436980881</v>
      </c>
      <c r="I104" s="655">
        <f t="shared" si="4"/>
        <v>0</v>
      </c>
      <c r="J104" s="655"/>
      <c r="K104" s="793">
        <v>2027403</v>
      </c>
      <c r="L104" s="661"/>
      <c r="M104" s="793">
        <v>2027403</v>
      </c>
      <c r="N104" s="661"/>
      <c r="O104" s="661"/>
      <c r="P104" s="603"/>
    </row>
    <row r="105" spans="1:16">
      <c r="A105" s="285"/>
      <c r="B105" s="285"/>
      <c r="C105" s="651">
        <f>IF(D96="","-",+C104+1)</f>
        <v>2011</v>
      </c>
      <c r="D105" s="602">
        <f t="shared" si="1"/>
        <v>13023200.908333333</v>
      </c>
      <c r="E105" s="658">
        <f t="shared" si="5"/>
        <v>306428.25666666665</v>
      </c>
      <c r="F105" s="602">
        <f t="shared" si="0"/>
        <v>12716772.651666667</v>
      </c>
      <c r="G105" s="1167">
        <f t="shared" si="2"/>
        <v>1720545.6812089856</v>
      </c>
      <c r="H105" s="1170">
        <f t="shared" si="3"/>
        <v>1720545.6812089856</v>
      </c>
      <c r="I105" s="655">
        <f t="shared" si="4"/>
        <v>0</v>
      </c>
      <c r="J105" s="655"/>
      <c r="K105" s="793">
        <v>2050107</v>
      </c>
      <c r="L105" s="661"/>
      <c r="M105" s="793">
        <v>2050107</v>
      </c>
      <c r="N105" s="661"/>
      <c r="O105" s="661"/>
      <c r="P105" s="603"/>
    </row>
    <row r="106" spans="1:16">
      <c r="A106" s="285"/>
      <c r="B106" s="285"/>
      <c r="C106" s="651">
        <f>IF(D96="","-",+C105+1)</f>
        <v>2012</v>
      </c>
      <c r="D106" s="602">
        <f t="shared" si="1"/>
        <v>12716772.651666667</v>
      </c>
      <c r="E106" s="658">
        <f t="shared" si="5"/>
        <v>306428.25666666665</v>
      </c>
      <c r="F106" s="602">
        <f t="shared" si="0"/>
        <v>12410344.395000001</v>
      </c>
      <c r="G106" s="1167">
        <f t="shared" si="2"/>
        <v>1686876.2187198827</v>
      </c>
      <c r="H106" s="1170">
        <f t="shared" si="3"/>
        <v>1686876.2187198827</v>
      </c>
      <c r="I106" s="655">
        <f t="shared" si="4"/>
        <v>0</v>
      </c>
      <c r="J106" s="655"/>
      <c r="K106" s="793">
        <v>1906118.0340840491</v>
      </c>
      <c r="L106" s="661"/>
      <c r="M106" s="793">
        <v>1906118.0340840491</v>
      </c>
      <c r="N106" s="661"/>
      <c r="O106" s="661"/>
      <c r="P106" s="603"/>
    </row>
    <row r="107" spans="1:16">
      <c r="A107" s="285"/>
      <c r="B107" s="285"/>
      <c r="C107" s="651">
        <f>IF(D96="","-",+C106+1)</f>
        <v>2013</v>
      </c>
      <c r="D107" s="602">
        <f t="shared" si="1"/>
        <v>12410344.395000001</v>
      </c>
      <c r="E107" s="658">
        <f t="shared" si="5"/>
        <v>306428.25666666665</v>
      </c>
      <c r="F107" s="602">
        <f t="shared" si="0"/>
        <v>12103916.138333336</v>
      </c>
      <c r="G107" s="1167">
        <f t="shared" si="2"/>
        <v>1653206.7562307802</v>
      </c>
      <c r="H107" s="1170">
        <f t="shared" si="3"/>
        <v>1653206.7562307802</v>
      </c>
      <c r="I107" s="655">
        <f t="shared" si="4"/>
        <v>0</v>
      </c>
      <c r="J107" s="655"/>
      <c r="K107" s="793">
        <v>1915150</v>
      </c>
      <c r="L107" s="661"/>
      <c r="M107" s="793">
        <v>1915150</v>
      </c>
      <c r="N107" s="661"/>
      <c r="O107" s="661"/>
      <c r="P107" s="603"/>
    </row>
    <row r="108" spans="1:16">
      <c r="A108" s="285"/>
      <c r="B108" s="285"/>
      <c r="C108" s="651">
        <f>IF(D96="","-",+C107+1)</f>
        <v>2014</v>
      </c>
      <c r="D108" s="602">
        <f>F107</f>
        <v>12103916.138333336</v>
      </c>
      <c r="E108" s="658">
        <f t="shared" si="5"/>
        <v>306428.25666666665</v>
      </c>
      <c r="F108" s="602">
        <f t="shared" si="0"/>
        <v>11797487.88166667</v>
      </c>
      <c r="G108" s="1167">
        <f t="shared" si="2"/>
        <v>1619537.2937416772</v>
      </c>
      <c r="H108" s="1170">
        <f t="shared" si="3"/>
        <v>1619537.2937416772</v>
      </c>
      <c r="I108" s="655">
        <f t="shared" si="4"/>
        <v>0</v>
      </c>
      <c r="J108" s="655"/>
      <c r="K108" s="793">
        <v>1778172</v>
      </c>
      <c r="L108" s="661"/>
      <c r="M108" s="793">
        <v>1778172</v>
      </c>
      <c r="N108" s="661"/>
      <c r="O108" s="661"/>
      <c r="P108" s="603"/>
    </row>
    <row r="109" spans="1:16">
      <c r="A109" s="285"/>
      <c r="B109" s="285"/>
      <c r="C109" s="651">
        <f>IF(D96="","-",+C108+1)</f>
        <v>2015</v>
      </c>
      <c r="D109" s="602">
        <f t="shared" si="1"/>
        <v>11797487.88166667</v>
      </c>
      <c r="E109" s="658">
        <f t="shared" si="5"/>
        <v>306428.25666666665</v>
      </c>
      <c r="F109" s="602">
        <f t="shared" si="0"/>
        <v>11491059.625000004</v>
      </c>
      <c r="G109" s="1167">
        <f t="shared" si="2"/>
        <v>1585867.8312525747</v>
      </c>
      <c r="H109" s="1170">
        <f t="shared" si="3"/>
        <v>1585867.8312525747</v>
      </c>
      <c r="I109" s="655">
        <f t="shared" si="4"/>
        <v>0</v>
      </c>
      <c r="J109" s="655"/>
      <c r="K109" s="793">
        <v>1790894</v>
      </c>
      <c r="L109" s="661"/>
      <c r="M109" s="793">
        <v>1790894</v>
      </c>
      <c r="N109" s="661"/>
      <c r="O109" s="661"/>
      <c r="P109" s="603"/>
    </row>
    <row r="110" spans="1:16">
      <c r="A110" s="285"/>
      <c r="B110" s="285"/>
      <c r="C110" s="651">
        <f>IF(D96="","-",+C109+1)</f>
        <v>2016</v>
      </c>
      <c r="D110" s="602">
        <f t="shared" si="1"/>
        <v>11491059.625000004</v>
      </c>
      <c r="E110" s="658">
        <f t="shared" si="5"/>
        <v>306428.25666666665</v>
      </c>
      <c r="F110" s="602">
        <f t="shared" si="0"/>
        <v>11184631.368333338</v>
      </c>
      <c r="G110" s="1167">
        <f t="shared" si="2"/>
        <v>1552198.3687634717</v>
      </c>
      <c r="H110" s="1170">
        <f t="shared" si="3"/>
        <v>1552198.3687634717</v>
      </c>
      <c r="I110" s="655">
        <f t="shared" si="4"/>
        <v>0</v>
      </c>
      <c r="J110" s="655"/>
      <c r="K110" s="793">
        <v>1719834</v>
      </c>
      <c r="L110" s="661"/>
      <c r="M110" s="793">
        <v>1719834</v>
      </c>
      <c r="N110" s="661"/>
      <c r="O110" s="661"/>
      <c r="P110" s="603"/>
    </row>
    <row r="111" spans="1:16">
      <c r="A111" s="285"/>
      <c r="B111" s="285"/>
      <c r="C111" s="651">
        <f>IF(D96="","-",+C110+1)</f>
        <v>2017</v>
      </c>
      <c r="D111" s="602">
        <f t="shared" si="1"/>
        <v>11184631.368333338</v>
      </c>
      <c r="E111" s="658">
        <f t="shared" si="5"/>
        <v>306428.25666666665</v>
      </c>
      <c r="F111" s="602">
        <f t="shared" si="0"/>
        <v>10878203.111666672</v>
      </c>
      <c r="G111" s="1167">
        <f t="shared" si="2"/>
        <v>1518528.9062743692</v>
      </c>
      <c r="H111" s="1170">
        <f t="shared" si="3"/>
        <v>1518528.9062743692</v>
      </c>
      <c r="I111" s="655">
        <f t="shared" si="4"/>
        <v>0</v>
      </c>
      <c r="J111" s="655"/>
      <c r="K111" s="793">
        <v>1790894</v>
      </c>
      <c r="L111" s="661"/>
      <c r="M111" s="793">
        <v>1790894</v>
      </c>
      <c r="N111" s="661"/>
      <c r="O111" s="661"/>
      <c r="P111" s="603"/>
    </row>
    <row r="112" spans="1:16">
      <c r="A112" s="285"/>
      <c r="B112" s="285"/>
      <c r="C112" s="1194">
        <f>IF(D96="","-",+C111+1)</f>
        <v>2018</v>
      </c>
      <c r="D112" s="1172">
        <f t="shared" si="1"/>
        <v>10878203.111666672</v>
      </c>
      <c r="E112" s="1173">
        <f t="shared" si="5"/>
        <v>306428.25666666665</v>
      </c>
      <c r="F112" s="1172">
        <f t="shared" si="0"/>
        <v>10571774.855000006</v>
      </c>
      <c r="G112" s="1174">
        <f t="shared" si="2"/>
        <v>1484859.4437852663</v>
      </c>
      <c r="H112" s="1175">
        <f t="shared" si="3"/>
        <v>1484859.4437852663</v>
      </c>
      <c r="I112" s="655">
        <f t="shared" si="4"/>
        <v>0</v>
      </c>
      <c r="J112" s="655"/>
      <c r="K112" s="793">
        <v>1501804</v>
      </c>
      <c r="L112" s="661"/>
      <c r="M112" s="793">
        <v>1501804</v>
      </c>
      <c r="N112" s="661"/>
      <c r="O112" s="661"/>
      <c r="P112" s="603"/>
    </row>
    <row r="113" spans="1:16">
      <c r="A113" s="285"/>
      <c r="B113" s="285"/>
      <c r="C113" s="1229">
        <f>IF(D104="","-",+C112+1)</f>
        <v>2019</v>
      </c>
      <c r="D113" s="602">
        <f t="shared" si="1"/>
        <v>10571774.855000006</v>
      </c>
      <c r="E113" s="658">
        <f t="shared" si="5"/>
        <v>306428.25666666665</v>
      </c>
      <c r="F113" s="602">
        <f t="shared" si="0"/>
        <v>10265346.59833334</v>
      </c>
      <c r="G113" s="1167">
        <f t="shared" si="2"/>
        <v>1451189.9812961638</v>
      </c>
      <c r="H113" s="1170">
        <f t="shared" si="3"/>
        <v>1451189.9812961638</v>
      </c>
      <c r="I113" s="655">
        <f t="shared" si="4"/>
        <v>0</v>
      </c>
      <c r="J113" s="655"/>
      <c r="K113" s="1230">
        <v>1444940</v>
      </c>
      <c r="L113" s="661"/>
      <c r="M113" s="1230">
        <v>1444940</v>
      </c>
      <c r="N113" s="661"/>
      <c r="O113" s="661"/>
      <c r="P113" s="603"/>
    </row>
    <row r="114" spans="1:16">
      <c r="A114" s="285"/>
      <c r="B114" s="285"/>
      <c r="C114" s="1229">
        <f>IF(D104="","-",+C113+1)</f>
        <v>2020</v>
      </c>
      <c r="D114" s="602">
        <f t="shared" si="1"/>
        <v>10265346.59833334</v>
      </c>
      <c r="E114" s="658">
        <f t="shared" si="5"/>
        <v>306428.25666666665</v>
      </c>
      <c r="F114" s="602">
        <f t="shared" si="0"/>
        <v>9958918.3416666742</v>
      </c>
      <c r="G114" s="1167">
        <f t="shared" si="2"/>
        <v>1417520.5188070608</v>
      </c>
      <c r="H114" s="1170">
        <f t="shared" si="3"/>
        <v>1417520.5188070608</v>
      </c>
      <c r="I114" s="655">
        <f t="shared" si="4"/>
        <v>0</v>
      </c>
      <c r="J114" s="655"/>
      <c r="K114" s="793">
        <v>1375796.0682175215</v>
      </c>
      <c r="L114" s="661"/>
      <c r="M114" s="1230">
        <v>1375796.0682175215</v>
      </c>
      <c r="N114" s="662"/>
      <c r="O114" s="661"/>
      <c r="P114" s="603"/>
    </row>
    <row r="115" spans="1:16">
      <c r="A115" s="285"/>
      <c r="B115" s="285"/>
      <c r="C115" s="1229">
        <f>IF(D96="","-",+C114+1)</f>
        <v>2021</v>
      </c>
      <c r="D115" s="602">
        <f t="shared" si="1"/>
        <v>9958918.3416666742</v>
      </c>
      <c r="E115" s="658">
        <f t="shared" si="5"/>
        <v>306428.25666666665</v>
      </c>
      <c r="F115" s="602">
        <f t="shared" si="0"/>
        <v>9652490.0850000083</v>
      </c>
      <c r="G115" s="1167">
        <f t="shared" si="2"/>
        <v>1383851.0563179583</v>
      </c>
      <c r="H115" s="1170">
        <f t="shared" si="3"/>
        <v>1383851.0563179583</v>
      </c>
      <c r="I115" s="655">
        <f t="shared" si="4"/>
        <v>0</v>
      </c>
      <c r="J115" s="655"/>
      <c r="K115" s="793">
        <v>1322365.9490553392</v>
      </c>
      <c r="L115" s="661"/>
      <c r="M115" s="1230">
        <v>1322365.9490553392</v>
      </c>
      <c r="N115" s="661"/>
      <c r="O115" s="661"/>
      <c r="P115" s="603"/>
    </row>
    <row r="116" spans="1:16">
      <c r="A116" s="285"/>
      <c r="B116" s="285"/>
      <c r="C116" s="1229">
        <f>IF(D107="","-",+C115+1)</f>
        <v>2022</v>
      </c>
      <c r="D116" s="602">
        <f t="shared" si="1"/>
        <v>9652490.0850000083</v>
      </c>
      <c r="E116" s="658">
        <f t="shared" si="5"/>
        <v>306428.25666666665</v>
      </c>
      <c r="F116" s="602">
        <f t="shared" si="0"/>
        <v>9346061.8283333424</v>
      </c>
      <c r="G116" s="1167">
        <f t="shared" si="2"/>
        <v>1350181.5938288553</v>
      </c>
      <c r="H116" s="1170">
        <f t="shared" si="3"/>
        <v>1350181.5938288553</v>
      </c>
      <c r="I116" s="655">
        <f t="shared" si="4"/>
        <v>0</v>
      </c>
      <c r="J116" s="655"/>
      <c r="K116" s="793">
        <v>1296228.708087994</v>
      </c>
      <c r="L116" s="661"/>
      <c r="M116" s="1230">
        <v>1296228.708087994</v>
      </c>
      <c r="N116" s="661"/>
      <c r="O116" s="661"/>
      <c r="P116" s="603"/>
    </row>
    <row r="117" spans="1:16">
      <c r="A117" s="285"/>
      <c r="B117" s="285"/>
      <c r="C117" s="1229">
        <f>IF(D107="","-",+C116+1)</f>
        <v>2023</v>
      </c>
      <c r="D117" s="602">
        <f t="shared" si="1"/>
        <v>9346061.8283333424</v>
      </c>
      <c r="E117" s="658">
        <f t="shared" si="5"/>
        <v>306428.25666666665</v>
      </c>
      <c r="F117" s="602">
        <f t="shared" si="0"/>
        <v>9039633.5716666766</v>
      </c>
      <c r="G117" s="1167">
        <f t="shared" si="2"/>
        <v>1316512.1313397528</v>
      </c>
      <c r="H117" s="1170">
        <f t="shared" si="3"/>
        <v>1316512.1313397528</v>
      </c>
      <c r="I117" s="655">
        <f t="shared" si="4"/>
        <v>0</v>
      </c>
      <c r="J117" s="655"/>
      <c r="K117" s="793">
        <v>1305900.1736671303</v>
      </c>
      <c r="L117" s="661"/>
      <c r="M117" s="1230">
        <v>1305900.1736671303</v>
      </c>
      <c r="N117" s="661"/>
      <c r="O117" s="661"/>
      <c r="P117" s="603"/>
    </row>
    <row r="118" spans="1:16">
      <c r="A118" s="285"/>
      <c r="B118" s="285"/>
      <c r="C118" s="1171">
        <f>IF(D96="","-",+C117+1)</f>
        <v>2024</v>
      </c>
      <c r="D118" s="602">
        <f t="shared" si="1"/>
        <v>9039633.5716666766</v>
      </c>
      <c r="E118" s="658">
        <f t="shared" si="5"/>
        <v>306428.25666666665</v>
      </c>
      <c r="F118" s="602">
        <f t="shared" si="0"/>
        <v>8733205.3150000107</v>
      </c>
      <c r="G118" s="1167">
        <f t="shared" si="2"/>
        <v>1282842.6688506498</v>
      </c>
      <c r="H118" s="1170">
        <f t="shared" si="3"/>
        <v>1282842.6688506498</v>
      </c>
      <c r="I118" s="655">
        <f t="shared" si="4"/>
        <v>0</v>
      </c>
      <c r="J118" s="655"/>
      <c r="K118" s="793"/>
      <c r="L118" s="661"/>
      <c r="M118" s="793"/>
      <c r="N118" s="661"/>
      <c r="O118" s="661"/>
      <c r="P118" s="603"/>
    </row>
    <row r="119" spans="1:16">
      <c r="A119" s="285"/>
      <c r="B119" s="285"/>
      <c r="C119" s="651">
        <f>IF(D96="","-",+C118+1)</f>
        <v>2025</v>
      </c>
      <c r="D119" s="602">
        <f t="shared" si="1"/>
        <v>8733205.3150000107</v>
      </c>
      <c r="E119" s="658">
        <f t="shared" si="5"/>
        <v>306428.25666666665</v>
      </c>
      <c r="F119" s="602">
        <f t="shared" si="0"/>
        <v>8426777.0583333448</v>
      </c>
      <c r="G119" s="1167">
        <f t="shared" si="2"/>
        <v>1249173.2063615473</v>
      </c>
      <c r="H119" s="1170">
        <f t="shared" si="3"/>
        <v>1249173.2063615473</v>
      </c>
      <c r="I119" s="655">
        <f t="shared" si="4"/>
        <v>0</v>
      </c>
      <c r="J119" s="655"/>
      <c r="K119" s="793"/>
      <c r="L119" s="661"/>
      <c r="M119" s="793"/>
      <c r="N119" s="661"/>
      <c r="O119" s="661"/>
      <c r="P119" s="603"/>
    </row>
    <row r="120" spans="1:16">
      <c r="A120" s="285"/>
      <c r="B120" s="285"/>
      <c r="C120" s="651">
        <f>IF(D96="","-",+C119+1)</f>
        <v>2026</v>
      </c>
      <c r="D120" s="602">
        <f t="shared" si="1"/>
        <v>8426777.0583333448</v>
      </c>
      <c r="E120" s="658">
        <f t="shared" si="5"/>
        <v>306428.25666666665</v>
      </c>
      <c r="F120" s="602">
        <f t="shared" si="0"/>
        <v>8120348.8016666779</v>
      </c>
      <c r="G120" s="1167">
        <f t="shared" si="2"/>
        <v>1215503.7438724444</v>
      </c>
      <c r="H120" s="1170">
        <f t="shared" si="3"/>
        <v>1215503.7438724444</v>
      </c>
      <c r="I120" s="655">
        <f t="shared" si="4"/>
        <v>0</v>
      </c>
      <c r="J120" s="655"/>
      <c r="K120" s="793"/>
      <c r="L120" s="661"/>
      <c r="M120" s="793"/>
      <c r="N120" s="661"/>
      <c r="O120" s="661"/>
      <c r="P120" s="603"/>
    </row>
    <row r="121" spans="1:16">
      <c r="A121" s="285"/>
      <c r="B121" s="285"/>
      <c r="C121" s="651">
        <f>IF(D96="","-",+C120+1)</f>
        <v>2027</v>
      </c>
      <c r="D121" s="602">
        <f t="shared" si="1"/>
        <v>8120348.8016666779</v>
      </c>
      <c r="E121" s="658">
        <f t="shared" si="5"/>
        <v>306428.25666666665</v>
      </c>
      <c r="F121" s="602">
        <f t="shared" si="0"/>
        <v>7813920.5450000111</v>
      </c>
      <c r="G121" s="1167">
        <f t="shared" si="2"/>
        <v>1181834.2813833416</v>
      </c>
      <c r="H121" s="1170">
        <f t="shared" si="3"/>
        <v>1181834.2813833416</v>
      </c>
      <c r="I121" s="655">
        <f t="shared" si="4"/>
        <v>0</v>
      </c>
      <c r="J121" s="655"/>
      <c r="K121" s="793"/>
      <c r="L121" s="661"/>
      <c r="M121" s="793"/>
      <c r="N121" s="661"/>
      <c r="O121" s="661"/>
      <c r="P121" s="603"/>
    </row>
    <row r="122" spans="1:16">
      <c r="A122" s="285"/>
      <c r="B122" s="285"/>
      <c r="C122" s="651">
        <f>IF(D96="","-",+C121+1)</f>
        <v>2028</v>
      </c>
      <c r="D122" s="602">
        <f t="shared" si="1"/>
        <v>7813920.5450000111</v>
      </c>
      <c r="E122" s="658">
        <f t="shared" si="5"/>
        <v>306428.25666666665</v>
      </c>
      <c r="F122" s="602">
        <f t="shared" si="0"/>
        <v>7507492.2883333443</v>
      </c>
      <c r="G122" s="1167">
        <f t="shared" si="2"/>
        <v>1148164.8188942387</v>
      </c>
      <c r="H122" s="1170">
        <f t="shared" si="3"/>
        <v>1148164.8188942387</v>
      </c>
      <c r="I122" s="655">
        <f t="shared" si="4"/>
        <v>0</v>
      </c>
      <c r="J122" s="655"/>
      <c r="K122" s="793"/>
      <c r="L122" s="661"/>
      <c r="M122" s="793"/>
      <c r="N122" s="661"/>
      <c r="O122" s="661"/>
      <c r="P122" s="603"/>
    </row>
    <row r="123" spans="1:16">
      <c r="A123" s="285"/>
      <c r="B123" s="285"/>
      <c r="C123" s="651">
        <f>IF(D96="","-",+C122+1)</f>
        <v>2029</v>
      </c>
      <c r="D123" s="602">
        <f t="shared" si="1"/>
        <v>7507492.2883333443</v>
      </c>
      <c r="E123" s="658">
        <f t="shared" si="5"/>
        <v>306428.25666666665</v>
      </c>
      <c r="F123" s="602">
        <f t="shared" si="0"/>
        <v>7201064.0316666774</v>
      </c>
      <c r="G123" s="1167">
        <f t="shared" si="2"/>
        <v>1114495.3564051359</v>
      </c>
      <c r="H123" s="1170">
        <f t="shared" si="3"/>
        <v>1114495.3564051359</v>
      </c>
      <c r="I123" s="655">
        <f t="shared" si="4"/>
        <v>0</v>
      </c>
      <c r="J123" s="655"/>
      <c r="K123" s="793"/>
      <c r="L123" s="661"/>
      <c r="M123" s="793"/>
      <c r="N123" s="661"/>
      <c r="O123" s="661"/>
      <c r="P123" s="603"/>
    </row>
    <row r="124" spans="1:16">
      <c r="A124" s="285"/>
      <c r="B124" s="285"/>
      <c r="C124" s="651">
        <f>IF(D96="","-",+C123+1)</f>
        <v>2030</v>
      </c>
      <c r="D124" s="602">
        <f t="shared" si="1"/>
        <v>7201064.0316666774</v>
      </c>
      <c r="E124" s="658">
        <f t="shared" si="5"/>
        <v>306428.25666666665</v>
      </c>
      <c r="F124" s="602">
        <f t="shared" si="0"/>
        <v>6894635.7750000106</v>
      </c>
      <c r="G124" s="1167">
        <f t="shared" si="2"/>
        <v>1080825.893916033</v>
      </c>
      <c r="H124" s="1170">
        <f t="shared" si="3"/>
        <v>1080825.893916033</v>
      </c>
      <c r="I124" s="655">
        <f t="shared" si="4"/>
        <v>0</v>
      </c>
      <c r="J124" s="655"/>
      <c r="K124" s="793"/>
      <c r="L124" s="661"/>
      <c r="M124" s="793"/>
      <c r="N124" s="661"/>
      <c r="O124" s="661"/>
      <c r="P124" s="603"/>
    </row>
    <row r="125" spans="1:16">
      <c r="A125" s="285"/>
      <c r="B125" s="285"/>
      <c r="C125" s="651">
        <f>IF(D96="","-",+C124+1)</f>
        <v>2031</v>
      </c>
      <c r="D125" s="602">
        <f t="shared" si="1"/>
        <v>6894635.7750000106</v>
      </c>
      <c r="E125" s="658">
        <f t="shared" si="5"/>
        <v>306428.25666666665</v>
      </c>
      <c r="F125" s="602">
        <f t="shared" si="0"/>
        <v>6588207.5183333438</v>
      </c>
      <c r="G125" s="1167">
        <f t="shared" si="2"/>
        <v>1047156.4314269302</v>
      </c>
      <c r="H125" s="1170">
        <f t="shared" si="3"/>
        <v>1047156.4314269302</v>
      </c>
      <c r="I125" s="655">
        <f t="shared" si="4"/>
        <v>0</v>
      </c>
      <c r="J125" s="655"/>
      <c r="K125" s="793"/>
      <c r="L125" s="661"/>
      <c r="M125" s="793"/>
      <c r="N125" s="661"/>
      <c r="O125" s="661"/>
      <c r="P125" s="603"/>
    </row>
    <row r="126" spans="1:16">
      <c r="A126" s="285"/>
      <c r="B126" s="285"/>
      <c r="C126" s="651">
        <f>IF(D96="","-",+C125+1)</f>
        <v>2032</v>
      </c>
      <c r="D126" s="602">
        <f t="shared" si="1"/>
        <v>6588207.5183333438</v>
      </c>
      <c r="E126" s="658">
        <f t="shared" si="5"/>
        <v>306428.25666666665</v>
      </c>
      <c r="F126" s="602">
        <f t="shared" si="0"/>
        <v>6281779.261666677</v>
      </c>
      <c r="G126" s="1167">
        <f t="shared" si="2"/>
        <v>1013486.9689378273</v>
      </c>
      <c r="H126" s="1170">
        <f t="shared" si="3"/>
        <v>1013486.9689378273</v>
      </c>
      <c r="I126" s="655">
        <f t="shared" si="4"/>
        <v>0</v>
      </c>
      <c r="J126" s="655"/>
      <c r="K126" s="793"/>
      <c r="L126" s="661"/>
      <c r="M126" s="793"/>
      <c r="N126" s="661"/>
      <c r="O126" s="661"/>
      <c r="P126" s="603"/>
    </row>
    <row r="127" spans="1:16">
      <c r="A127" s="285"/>
      <c r="B127" s="285"/>
      <c r="C127" s="651">
        <f>IF(D96="","-",+C126+1)</f>
        <v>2033</v>
      </c>
      <c r="D127" s="602">
        <f t="shared" si="1"/>
        <v>6281779.261666677</v>
      </c>
      <c r="E127" s="658">
        <f t="shared" si="5"/>
        <v>306428.25666666665</v>
      </c>
      <c r="F127" s="602">
        <f t="shared" si="0"/>
        <v>5975351.0050000101</v>
      </c>
      <c r="G127" s="1167">
        <f t="shared" si="2"/>
        <v>979817.50644872454</v>
      </c>
      <c r="H127" s="1170">
        <f t="shared" si="3"/>
        <v>979817.50644872454</v>
      </c>
      <c r="I127" s="655">
        <f t="shared" si="4"/>
        <v>0</v>
      </c>
      <c r="J127" s="655"/>
      <c r="K127" s="793"/>
      <c r="L127" s="661"/>
      <c r="M127" s="793"/>
      <c r="N127" s="661"/>
      <c r="O127" s="661"/>
      <c r="P127" s="603"/>
    </row>
    <row r="128" spans="1:16">
      <c r="A128" s="285"/>
      <c r="B128" s="285"/>
      <c r="C128" s="651">
        <f>IF(D96="","-",+C127+1)</f>
        <v>2034</v>
      </c>
      <c r="D128" s="602">
        <f t="shared" si="1"/>
        <v>5975351.0050000101</v>
      </c>
      <c r="E128" s="658">
        <f t="shared" si="5"/>
        <v>306428.25666666665</v>
      </c>
      <c r="F128" s="602">
        <f t="shared" si="0"/>
        <v>5668922.7483333433</v>
      </c>
      <c r="G128" s="1167">
        <f t="shared" si="2"/>
        <v>946148.04395962157</v>
      </c>
      <c r="H128" s="1170">
        <f t="shared" si="3"/>
        <v>946148.04395962157</v>
      </c>
      <c r="I128" s="655">
        <f t="shared" si="4"/>
        <v>0</v>
      </c>
      <c r="J128" s="655"/>
      <c r="K128" s="793"/>
      <c r="L128" s="661"/>
      <c r="M128" s="793"/>
      <c r="N128" s="661"/>
      <c r="O128" s="661"/>
      <c r="P128" s="603"/>
    </row>
    <row r="129" spans="1:16">
      <c r="A129" s="285"/>
      <c r="B129" s="285"/>
      <c r="C129" s="651">
        <f>IF(D96="","-",+C128+1)</f>
        <v>2035</v>
      </c>
      <c r="D129" s="602">
        <f t="shared" si="1"/>
        <v>5668922.7483333433</v>
      </c>
      <c r="E129" s="658">
        <f t="shared" si="5"/>
        <v>306428.25666666665</v>
      </c>
      <c r="F129" s="602">
        <f t="shared" si="0"/>
        <v>5362494.4916666765</v>
      </c>
      <c r="G129" s="1167">
        <f t="shared" si="2"/>
        <v>912478.58147051884</v>
      </c>
      <c r="H129" s="1170">
        <f t="shared" si="3"/>
        <v>912478.58147051884</v>
      </c>
      <c r="I129" s="655">
        <f t="shared" si="4"/>
        <v>0</v>
      </c>
      <c r="J129" s="655"/>
      <c r="K129" s="793"/>
      <c r="L129" s="661"/>
      <c r="M129" s="793"/>
      <c r="N129" s="661"/>
      <c r="O129" s="661"/>
      <c r="P129" s="603"/>
    </row>
    <row r="130" spans="1:16">
      <c r="A130" s="285"/>
      <c r="B130" s="285"/>
      <c r="C130" s="651">
        <f>IF(D96="","-",+C129+1)</f>
        <v>2036</v>
      </c>
      <c r="D130" s="602">
        <f t="shared" si="1"/>
        <v>5362494.4916666765</v>
      </c>
      <c r="E130" s="658">
        <f t="shared" si="5"/>
        <v>306428.25666666665</v>
      </c>
      <c r="F130" s="602">
        <f t="shared" si="0"/>
        <v>5056066.2350000096</v>
      </c>
      <c r="G130" s="1176">
        <f t="shared" si="2"/>
        <v>878809.11898141587</v>
      </c>
      <c r="H130" s="1170">
        <f t="shared" si="3"/>
        <v>878809.11898141587</v>
      </c>
      <c r="I130" s="655">
        <f t="shared" si="4"/>
        <v>0</v>
      </c>
      <c r="J130" s="655"/>
      <c r="K130" s="793"/>
      <c r="L130" s="661"/>
      <c r="M130" s="793"/>
      <c r="N130" s="661"/>
      <c r="O130" s="661"/>
      <c r="P130" s="603"/>
    </row>
    <row r="131" spans="1:16">
      <c r="A131" s="285"/>
      <c r="B131" s="285"/>
      <c r="C131" s="651">
        <f>IF(D96="","-",+C130+1)</f>
        <v>2037</v>
      </c>
      <c r="D131" s="602">
        <f t="shared" si="1"/>
        <v>5056066.2350000096</v>
      </c>
      <c r="E131" s="658">
        <f t="shared" si="5"/>
        <v>306428.25666666665</v>
      </c>
      <c r="F131" s="602">
        <f t="shared" si="0"/>
        <v>4749637.9783333428</v>
      </c>
      <c r="G131" s="1167">
        <f t="shared" si="2"/>
        <v>845139.65649231314</v>
      </c>
      <c r="H131" s="1170">
        <f t="shared" si="3"/>
        <v>845139.65649231314</v>
      </c>
      <c r="I131" s="655">
        <f t="shared" si="4"/>
        <v>0</v>
      </c>
      <c r="J131" s="655"/>
      <c r="K131" s="793"/>
      <c r="L131" s="661"/>
      <c r="M131" s="793"/>
      <c r="N131" s="661"/>
      <c r="O131" s="661"/>
      <c r="P131" s="603"/>
    </row>
    <row r="132" spans="1:16">
      <c r="A132" s="285"/>
      <c r="B132" s="285"/>
      <c r="C132" s="651">
        <f>IF(D96="","-",+C131+1)</f>
        <v>2038</v>
      </c>
      <c r="D132" s="602">
        <f t="shared" si="1"/>
        <v>4749637.9783333428</v>
      </c>
      <c r="E132" s="658">
        <f t="shared" si="5"/>
        <v>306428.25666666665</v>
      </c>
      <c r="F132" s="602">
        <f t="shared" si="0"/>
        <v>4443209.721666676</v>
      </c>
      <c r="G132" s="1167">
        <f t="shared" si="2"/>
        <v>811470.19400321017</v>
      </c>
      <c r="H132" s="1170">
        <f t="shared" si="3"/>
        <v>811470.19400321017</v>
      </c>
      <c r="I132" s="655">
        <f t="shared" si="4"/>
        <v>0</v>
      </c>
      <c r="J132" s="655"/>
      <c r="K132" s="793"/>
      <c r="L132" s="661"/>
      <c r="M132" s="793"/>
      <c r="N132" s="661"/>
      <c r="O132" s="661"/>
      <c r="P132" s="603"/>
    </row>
    <row r="133" spans="1:16">
      <c r="A133" s="285"/>
      <c r="B133" s="285"/>
      <c r="C133" s="651">
        <f>IF(D96="","-",+C132+1)</f>
        <v>2039</v>
      </c>
      <c r="D133" s="602">
        <f t="shared" si="1"/>
        <v>4443209.721666676</v>
      </c>
      <c r="E133" s="658">
        <f t="shared" si="5"/>
        <v>306428.25666666665</v>
      </c>
      <c r="F133" s="602">
        <f t="shared" si="0"/>
        <v>4136781.4650000092</v>
      </c>
      <c r="G133" s="1167">
        <f t="shared" si="2"/>
        <v>777800.73151410744</v>
      </c>
      <c r="H133" s="1170">
        <f t="shared" si="3"/>
        <v>777800.73151410744</v>
      </c>
      <c r="I133" s="655">
        <f t="shared" si="4"/>
        <v>0</v>
      </c>
      <c r="J133" s="655"/>
      <c r="K133" s="793"/>
      <c r="L133" s="661"/>
      <c r="M133" s="793"/>
      <c r="N133" s="661"/>
      <c r="O133" s="661"/>
      <c r="P133" s="603"/>
    </row>
    <row r="134" spans="1:16">
      <c r="A134" s="285"/>
      <c r="B134" s="285"/>
      <c r="C134" s="651">
        <f>IF(D96="","-",+C133+1)</f>
        <v>2040</v>
      </c>
      <c r="D134" s="602">
        <f t="shared" si="1"/>
        <v>4136781.4650000092</v>
      </c>
      <c r="E134" s="658">
        <f t="shared" si="5"/>
        <v>306428.25666666665</v>
      </c>
      <c r="F134" s="602">
        <f t="shared" si="0"/>
        <v>3830353.2083333423</v>
      </c>
      <c r="G134" s="1167">
        <f t="shared" si="2"/>
        <v>744131.26902500447</v>
      </c>
      <c r="H134" s="1170">
        <f t="shared" si="3"/>
        <v>744131.26902500447</v>
      </c>
      <c r="I134" s="655">
        <f t="shared" si="4"/>
        <v>0</v>
      </c>
      <c r="J134" s="655"/>
      <c r="K134" s="793"/>
      <c r="L134" s="661"/>
      <c r="M134" s="793"/>
      <c r="N134" s="661"/>
      <c r="O134" s="661"/>
      <c r="P134" s="603"/>
    </row>
    <row r="135" spans="1:16">
      <c r="A135" s="285"/>
      <c r="B135" s="285"/>
      <c r="C135" s="651">
        <f>IF(D96="","-",+C134+1)</f>
        <v>2041</v>
      </c>
      <c r="D135" s="602">
        <f t="shared" si="1"/>
        <v>3830353.2083333423</v>
      </c>
      <c r="E135" s="658">
        <f t="shared" si="5"/>
        <v>306428.25666666665</v>
      </c>
      <c r="F135" s="602">
        <f t="shared" si="0"/>
        <v>3523924.9516666755</v>
      </c>
      <c r="G135" s="1167">
        <f t="shared" si="2"/>
        <v>710461.80653590162</v>
      </c>
      <c r="H135" s="1170">
        <f t="shared" si="3"/>
        <v>710461.80653590162</v>
      </c>
      <c r="I135" s="655">
        <f t="shared" si="4"/>
        <v>0</v>
      </c>
      <c r="J135" s="655"/>
      <c r="K135" s="793"/>
      <c r="L135" s="661"/>
      <c r="M135" s="793"/>
      <c r="N135" s="661"/>
      <c r="O135" s="661"/>
      <c r="P135" s="603"/>
    </row>
    <row r="136" spans="1:16">
      <c r="A136" s="285"/>
      <c r="B136" s="285"/>
      <c r="C136" s="651">
        <f>IF(D96="","-",+C135+1)</f>
        <v>2042</v>
      </c>
      <c r="D136" s="602">
        <f t="shared" si="1"/>
        <v>3523924.9516666755</v>
      </c>
      <c r="E136" s="658">
        <f t="shared" si="5"/>
        <v>306428.25666666665</v>
      </c>
      <c r="F136" s="602">
        <f t="shared" si="0"/>
        <v>3217496.6950000087</v>
      </c>
      <c r="G136" s="1167">
        <f t="shared" si="2"/>
        <v>676792.34404679877</v>
      </c>
      <c r="H136" s="1170">
        <f t="shared" si="3"/>
        <v>676792.34404679877</v>
      </c>
      <c r="I136" s="655">
        <f t="shared" si="4"/>
        <v>0</v>
      </c>
      <c r="J136" s="655"/>
      <c r="K136" s="793"/>
      <c r="L136" s="661"/>
      <c r="M136" s="793"/>
      <c r="N136" s="661"/>
      <c r="O136" s="661"/>
      <c r="P136" s="603"/>
    </row>
    <row r="137" spans="1:16">
      <c r="A137" s="285"/>
      <c r="B137" s="285"/>
      <c r="C137" s="651">
        <f>IF(D96="","-",+C136+1)</f>
        <v>2043</v>
      </c>
      <c r="D137" s="602">
        <f t="shared" si="1"/>
        <v>3217496.6950000087</v>
      </c>
      <c r="E137" s="658">
        <f t="shared" si="5"/>
        <v>306428.25666666665</v>
      </c>
      <c r="F137" s="602">
        <f t="shared" si="0"/>
        <v>2911068.4383333419</v>
      </c>
      <c r="G137" s="1167">
        <f t="shared" si="2"/>
        <v>643122.88155769592</v>
      </c>
      <c r="H137" s="1170">
        <f t="shared" si="3"/>
        <v>643122.88155769592</v>
      </c>
      <c r="I137" s="655">
        <f t="shared" si="4"/>
        <v>0</v>
      </c>
      <c r="J137" s="655"/>
      <c r="K137" s="793"/>
      <c r="L137" s="661"/>
      <c r="M137" s="793"/>
      <c r="N137" s="661"/>
      <c r="O137" s="661"/>
      <c r="P137" s="603"/>
    </row>
    <row r="138" spans="1:16">
      <c r="A138" s="285"/>
      <c r="B138" s="285"/>
      <c r="C138" s="651">
        <f>IF(D96="","-",+C137+1)</f>
        <v>2044</v>
      </c>
      <c r="D138" s="602">
        <f t="shared" si="1"/>
        <v>2911068.4383333419</v>
      </c>
      <c r="E138" s="658">
        <f t="shared" si="5"/>
        <v>306428.25666666665</v>
      </c>
      <c r="F138" s="602">
        <f t="shared" si="0"/>
        <v>2604640.181666675</v>
      </c>
      <c r="G138" s="1167">
        <f t="shared" si="2"/>
        <v>609453.41906859307</v>
      </c>
      <c r="H138" s="1170">
        <f t="shared" si="3"/>
        <v>609453.41906859307</v>
      </c>
      <c r="I138" s="655">
        <f t="shared" si="4"/>
        <v>0</v>
      </c>
      <c r="J138" s="655"/>
      <c r="K138" s="793"/>
      <c r="L138" s="661"/>
      <c r="M138" s="793"/>
      <c r="N138" s="661"/>
      <c r="O138" s="661"/>
      <c r="P138" s="603"/>
    </row>
    <row r="139" spans="1:16">
      <c r="A139" s="285"/>
      <c r="B139" s="285"/>
      <c r="C139" s="651">
        <f>IF(D96="","-",+C138+1)</f>
        <v>2045</v>
      </c>
      <c r="D139" s="602">
        <f t="shared" si="1"/>
        <v>2604640.181666675</v>
      </c>
      <c r="E139" s="658">
        <f t="shared" si="5"/>
        <v>306428.25666666665</v>
      </c>
      <c r="F139" s="602">
        <f t="shared" si="0"/>
        <v>2298211.9250000082</v>
      </c>
      <c r="G139" s="1167">
        <f t="shared" si="2"/>
        <v>575783.95657949022</v>
      </c>
      <c r="H139" s="1170">
        <f t="shared" si="3"/>
        <v>575783.95657949022</v>
      </c>
      <c r="I139" s="655">
        <f t="shared" si="4"/>
        <v>0</v>
      </c>
      <c r="J139" s="655"/>
      <c r="K139" s="793"/>
      <c r="L139" s="661"/>
      <c r="M139" s="793"/>
      <c r="N139" s="661"/>
      <c r="O139" s="661"/>
      <c r="P139" s="603"/>
    </row>
    <row r="140" spans="1:16">
      <c r="A140" s="285"/>
      <c r="B140" s="285"/>
      <c r="C140" s="651">
        <f>IF(D96="","-",+C139+1)</f>
        <v>2046</v>
      </c>
      <c r="D140" s="602">
        <f t="shared" si="1"/>
        <v>2298211.9250000082</v>
      </c>
      <c r="E140" s="658">
        <f t="shared" si="5"/>
        <v>306428.25666666665</v>
      </c>
      <c r="F140" s="602">
        <f t="shared" si="0"/>
        <v>1991783.6683333416</v>
      </c>
      <c r="G140" s="1167">
        <f t="shared" si="2"/>
        <v>542114.49409038736</v>
      </c>
      <c r="H140" s="1170">
        <f t="shared" si="3"/>
        <v>542114.49409038736</v>
      </c>
      <c r="I140" s="655">
        <f t="shared" si="4"/>
        <v>0</v>
      </c>
      <c r="J140" s="655"/>
      <c r="K140" s="793"/>
      <c r="L140" s="661"/>
      <c r="M140" s="793"/>
      <c r="N140" s="661"/>
      <c r="O140" s="661"/>
      <c r="P140" s="603"/>
    </row>
    <row r="141" spans="1:16">
      <c r="A141" s="285"/>
      <c r="B141" s="285"/>
      <c r="C141" s="651">
        <f>IF(D96="","-",+C140+1)</f>
        <v>2047</v>
      </c>
      <c r="D141" s="602">
        <f t="shared" si="1"/>
        <v>1991783.6683333416</v>
      </c>
      <c r="E141" s="658">
        <f t="shared" si="5"/>
        <v>306428.25666666665</v>
      </c>
      <c r="F141" s="602">
        <f t="shared" si="0"/>
        <v>1685355.411666675</v>
      </c>
      <c r="G141" s="1167">
        <f t="shared" si="2"/>
        <v>508445.03160128457</v>
      </c>
      <c r="H141" s="1170">
        <f t="shared" si="3"/>
        <v>508445.03160128457</v>
      </c>
      <c r="I141" s="655">
        <f t="shared" si="4"/>
        <v>0</v>
      </c>
      <c r="J141" s="655"/>
      <c r="K141" s="793"/>
      <c r="L141" s="661"/>
      <c r="M141" s="793"/>
      <c r="N141" s="661"/>
      <c r="O141" s="661"/>
      <c r="P141" s="603"/>
    </row>
    <row r="142" spans="1:16">
      <c r="A142" s="285"/>
      <c r="B142" s="285"/>
      <c r="C142" s="651">
        <f>IF(D96="","-",+C141+1)</f>
        <v>2048</v>
      </c>
      <c r="D142" s="602">
        <f t="shared" si="1"/>
        <v>1685355.411666675</v>
      </c>
      <c r="E142" s="658">
        <f t="shared" si="5"/>
        <v>306428.25666666665</v>
      </c>
      <c r="F142" s="602">
        <f t="shared" si="0"/>
        <v>1378927.1550000084</v>
      </c>
      <c r="G142" s="1167">
        <f t="shared" si="2"/>
        <v>474775.56911218172</v>
      </c>
      <c r="H142" s="1170">
        <f t="shared" si="3"/>
        <v>474775.56911218172</v>
      </c>
      <c r="I142" s="655">
        <f t="shared" si="4"/>
        <v>0</v>
      </c>
      <c r="J142" s="655"/>
      <c r="K142" s="793"/>
      <c r="L142" s="661"/>
      <c r="M142" s="793"/>
      <c r="N142" s="661"/>
      <c r="O142" s="661"/>
      <c r="P142" s="603"/>
    </row>
    <row r="143" spans="1:16">
      <c r="A143" s="285"/>
      <c r="B143" s="285"/>
      <c r="C143" s="651">
        <f>IF(D96="","-",+C142+1)</f>
        <v>2049</v>
      </c>
      <c r="D143" s="602">
        <f t="shared" si="1"/>
        <v>1378927.1550000084</v>
      </c>
      <c r="E143" s="658">
        <f t="shared" si="5"/>
        <v>306428.25666666665</v>
      </c>
      <c r="F143" s="602">
        <f t="shared" si="0"/>
        <v>1072498.8983333418</v>
      </c>
      <c r="G143" s="1167">
        <f t="shared" si="2"/>
        <v>441106.10662307893</v>
      </c>
      <c r="H143" s="1170">
        <f t="shared" si="3"/>
        <v>441106.10662307893</v>
      </c>
      <c r="I143" s="655">
        <f t="shared" si="4"/>
        <v>0</v>
      </c>
      <c r="J143" s="655"/>
      <c r="K143" s="793"/>
      <c r="L143" s="661"/>
      <c r="M143" s="793"/>
      <c r="N143" s="661"/>
      <c r="O143" s="661"/>
      <c r="P143" s="603"/>
    </row>
    <row r="144" spans="1:16">
      <c r="A144" s="285"/>
      <c r="B144" s="285"/>
      <c r="C144" s="651">
        <f>IF(D96="","-",+C143+1)</f>
        <v>2050</v>
      </c>
      <c r="D144" s="602">
        <f t="shared" si="1"/>
        <v>1072498.8983333418</v>
      </c>
      <c r="E144" s="658">
        <f t="shared" si="5"/>
        <v>306428.25666666665</v>
      </c>
      <c r="F144" s="602">
        <f t="shared" si="0"/>
        <v>766070.64166667522</v>
      </c>
      <c r="G144" s="1167">
        <f t="shared" si="2"/>
        <v>407436.64413397608</v>
      </c>
      <c r="H144" s="1170">
        <f t="shared" si="3"/>
        <v>407436.64413397608</v>
      </c>
      <c r="I144" s="655">
        <f t="shared" si="4"/>
        <v>0</v>
      </c>
      <c r="J144" s="655"/>
      <c r="K144" s="793"/>
      <c r="L144" s="661"/>
      <c r="M144" s="793"/>
      <c r="N144" s="661"/>
      <c r="O144" s="661"/>
      <c r="P144" s="603"/>
    </row>
    <row r="145" spans="1:16">
      <c r="A145" s="285"/>
      <c r="B145" s="285"/>
      <c r="C145" s="651">
        <f>IF(D96="","-",+C144+1)</f>
        <v>2051</v>
      </c>
      <c r="D145" s="602">
        <f t="shared" si="1"/>
        <v>766070.64166667522</v>
      </c>
      <c r="E145" s="658">
        <f t="shared" si="5"/>
        <v>306428.25666666665</v>
      </c>
      <c r="F145" s="602">
        <f t="shared" si="0"/>
        <v>459642.38500000857</v>
      </c>
      <c r="G145" s="1167">
        <f t="shared" si="2"/>
        <v>373767.18164487323</v>
      </c>
      <c r="H145" s="1170">
        <f t="shared" si="3"/>
        <v>373767.18164487323</v>
      </c>
      <c r="I145" s="655">
        <f t="shared" si="4"/>
        <v>0</v>
      </c>
      <c r="J145" s="655"/>
      <c r="K145" s="793"/>
      <c r="L145" s="661"/>
      <c r="M145" s="793"/>
      <c r="N145" s="661"/>
      <c r="O145" s="661"/>
      <c r="P145" s="603"/>
    </row>
    <row r="146" spans="1:16">
      <c r="A146" s="285"/>
      <c r="B146" s="285"/>
      <c r="C146" s="651">
        <f>IF(D96="","-",+C145+1)</f>
        <v>2052</v>
      </c>
      <c r="D146" s="602">
        <f t="shared" si="1"/>
        <v>459642.38500000857</v>
      </c>
      <c r="E146" s="658">
        <f t="shared" si="5"/>
        <v>306428.25666666665</v>
      </c>
      <c r="F146" s="602">
        <f t="shared" si="0"/>
        <v>153214.12833334191</v>
      </c>
      <c r="G146" s="1167">
        <f t="shared" si="2"/>
        <v>340097.71915577044</v>
      </c>
      <c r="H146" s="1170">
        <f t="shared" si="3"/>
        <v>340097.71915577044</v>
      </c>
      <c r="I146" s="655">
        <f t="shared" si="4"/>
        <v>0</v>
      </c>
      <c r="J146" s="655"/>
      <c r="K146" s="793"/>
      <c r="L146" s="661"/>
      <c r="M146" s="793"/>
      <c r="N146" s="661"/>
      <c r="O146" s="661"/>
      <c r="P146" s="603"/>
    </row>
    <row r="147" spans="1:16">
      <c r="A147" s="285"/>
      <c r="B147" s="285"/>
      <c r="C147" s="651">
        <f>IF(D96="","-",+C146+1)</f>
        <v>2053</v>
      </c>
      <c r="D147" s="602">
        <f t="shared" si="1"/>
        <v>153214.12833334191</v>
      </c>
      <c r="E147" s="658">
        <f t="shared" si="5"/>
        <v>153214.12833334191</v>
      </c>
      <c r="F147" s="602">
        <f t="shared" si="0"/>
        <v>0</v>
      </c>
      <c r="G147" s="1167">
        <f t="shared" si="2"/>
        <v>161631.49395561809</v>
      </c>
      <c r="H147" s="1170">
        <f t="shared" si="3"/>
        <v>161631.49395561809</v>
      </c>
      <c r="I147" s="655">
        <f t="shared" si="4"/>
        <v>0</v>
      </c>
      <c r="J147" s="655"/>
      <c r="K147" s="793"/>
      <c r="L147" s="661"/>
      <c r="M147" s="793"/>
      <c r="N147" s="661"/>
      <c r="O147" s="661"/>
      <c r="P147" s="603"/>
    </row>
    <row r="148" spans="1:16">
      <c r="A148" s="285"/>
      <c r="B148" s="285"/>
      <c r="C148" s="651">
        <f>IF(D96="","-",+C147+1)</f>
        <v>2054</v>
      </c>
      <c r="D148" s="602">
        <f t="shared" si="1"/>
        <v>0</v>
      </c>
      <c r="E148" s="658">
        <f t="shared" si="5"/>
        <v>0</v>
      </c>
      <c r="F148" s="602">
        <f t="shared" si="0"/>
        <v>0</v>
      </c>
      <c r="G148" s="1167">
        <f t="shared" si="2"/>
        <v>0</v>
      </c>
      <c r="H148" s="1170">
        <f t="shared" si="3"/>
        <v>0</v>
      </c>
      <c r="I148" s="655">
        <f t="shared" si="4"/>
        <v>0</v>
      </c>
      <c r="J148" s="655"/>
      <c r="K148" s="793"/>
      <c r="L148" s="661"/>
      <c r="M148" s="793"/>
      <c r="N148" s="661"/>
      <c r="O148" s="661"/>
      <c r="P148" s="603"/>
    </row>
    <row r="149" spans="1:16">
      <c r="A149" s="285"/>
      <c r="B149" s="285"/>
      <c r="C149" s="651">
        <f>IF(D96="","-",+C148+1)</f>
        <v>2055</v>
      </c>
      <c r="D149" s="602">
        <f t="shared" si="1"/>
        <v>0</v>
      </c>
      <c r="E149" s="658">
        <f t="shared" si="5"/>
        <v>0</v>
      </c>
      <c r="F149" s="602">
        <f t="shared" si="0"/>
        <v>0</v>
      </c>
      <c r="G149" s="1167">
        <f t="shared" si="2"/>
        <v>0</v>
      </c>
      <c r="H149" s="1170">
        <f t="shared" si="3"/>
        <v>0</v>
      </c>
      <c r="I149" s="655">
        <f t="shared" si="4"/>
        <v>0</v>
      </c>
      <c r="J149" s="655"/>
      <c r="K149" s="793"/>
      <c r="L149" s="661"/>
      <c r="M149" s="793"/>
      <c r="N149" s="661"/>
      <c r="O149" s="661"/>
      <c r="P149" s="603"/>
    </row>
    <row r="150" spans="1:16">
      <c r="A150" s="285"/>
      <c r="B150" s="285"/>
      <c r="C150" s="651">
        <f>IF(D96="","-",+C149+1)</f>
        <v>2056</v>
      </c>
      <c r="D150" s="602">
        <f t="shared" si="1"/>
        <v>0</v>
      </c>
      <c r="E150" s="658">
        <f t="shared" si="5"/>
        <v>0</v>
      </c>
      <c r="F150" s="602">
        <f t="shared" si="0"/>
        <v>0</v>
      </c>
      <c r="G150" s="1167">
        <f t="shared" si="2"/>
        <v>0</v>
      </c>
      <c r="H150" s="1170">
        <f t="shared" si="3"/>
        <v>0</v>
      </c>
      <c r="I150" s="655">
        <f t="shared" si="4"/>
        <v>0</v>
      </c>
      <c r="J150" s="655"/>
      <c r="K150" s="793"/>
      <c r="L150" s="661"/>
      <c r="M150" s="793"/>
      <c r="N150" s="661"/>
      <c r="O150" s="661"/>
      <c r="P150" s="603"/>
    </row>
    <row r="151" spans="1:16">
      <c r="A151" s="285"/>
      <c r="B151" s="285"/>
      <c r="C151" s="651">
        <f>IF(D96="","-",+C150+1)</f>
        <v>2057</v>
      </c>
      <c r="D151" s="602">
        <f t="shared" si="1"/>
        <v>0</v>
      </c>
      <c r="E151" s="658">
        <f t="shared" si="5"/>
        <v>0</v>
      </c>
      <c r="F151" s="602">
        <f t="shared" si="0"/>
        <v>0</v>
      </c>
      <c r="G151" s="1167">
        <f t="shared" si="2"/>
        <v>0</v>
      </c>
      <c r="H151" s="1170">
        <f t="shared" si="3"/>
        <v>0</v>
      </c>
      <c r="I151" s="655">
        <f t="shared" si="4"/>
        <v>0</v>
      </c>
      <c r="J151" s="655"/>
      <c r="K151" s="793"/>
      <c r="L151" s="661"/>
      <c r="M151" s="793"/>
      <c r="N151" s="661"/>
      <c r="O151" s="661"/>
      <c r="P151" s="603"/>
    </row>
    <row r="152" spans="1:16">
      <c r="A152" s="285"/>
      <c r="B152" s="285"/>
      <c r="C152" s="651">
        <f>IF(D96="","-",+C151+1)</f>
        <v>2058</v>
      </c>
      <c r="D152" s="602">
        <f t="shared" si="1"/>
        <v>0</v>
      </c>
      <c r="E152" s="658">
        <f t="shared" si="5"/>
        <v>0</v>
      </c>
      <c r="F152" s="602">
        <f t="shared" si="0"/>
        <v>0</v>
      </c>
      <c r="G152" s="1167">
        <f t="shared" si="2"/>
        <v>0</v>
      </c>
      <c r="H152" s="1170">
        <f t="shared" si="3"/>
        <v>0</v>
      </c>
      <c r="I152" s="655">
        <f t="shared" si="4"/>
        <v>0</v>
      </c>
      <c r="J152" s="655"/>
      <c r="K152" s="793"/>
      <c r="L152" s="661"/>
      <c r="M152" s="793"/>
      <c r="N152" s="661"/>
      <c r="O152" s="661"/>
      <c r="P152" s="603"/>
    </row>
    <row r="153" spans="1:16">
      <c r="A153" s="285"/>
      <c r="B153" s="285"/>
      <c r="C153" s="651">
        <f>IF(D96="","-",+C152+1)</f>
        <v>2059</v>
      </c>
      <c r="D153" s="602">
        <f t="shared" si="1"/>
        <v>0</v>
      </c>
      <c r="E153" s="658">
        <f t="shared" si="5"/>
        <v>0</v>
      </c>
      <c r="F153" s="602">
        <f t="shared" si="0"/>
        <v>0</v>
      </c>
      <c r="G153" s="1167">
        <f t="shared" si="2"/>
        <v>0</v>
      </c>
      <c r="H153" s="1170">
        <f t="shared" si="3"/>
        <v>0</v>
      </c>
      <c r="I153" s="655">
        <f t="shared" si="4"/>
        <v>0</v>
      </c>
      <c r="J153" s="655"/>
      <c r="K153" s="793"/>
      <c r="L153" s="661"/>
      <c r="M153" s="793"/>
      <c r="N153" s="661"/>
      <c r="O153" s="661"/>
      <c r="P153" s="603"/>
    </row>
    <row r="154" spans="1:16">
      <c r="A154" s="285"/>
      <c r="B154" s="285"/>
      <c r="C154" s="651">
        <f>IF(D96="","-",+C153+1)</f>
        <v>2060</v>
      </c>
      <c r="D154" s="602">
        <f t="shared" si="1"/>
        <v>0</v>
      </c>
      <c r="E154" s="658">
        <f t="shared" si="5"/>
        <v>0</v>
      </c>
      <c r="F154" s="602">
        <f t="shared" si="0"/>
        <v>0</v>
      </c>
      <c r="G154" s="1167">
        <f t="shared" si="2"/>
        <v>0</v>
      </c>
      <c r="H154" s="1170">
        <f t="shared" si="3"/>
        <v>0</v>
      </c>
      <c r="I154" s="655">
        <f t="shared" si="4"/>
        <v>0</v>
      </c>
      <c r="J154" s="655"/>
      <c r="K154" s="793"/>
      <c r="L154" s="661"/>
      <c r="M154" s="793"/>
      <c r="N154" s="661"/>
      <c r="O154" s="661"/>
      <c r="P154" s="603"/>
    </row>
    <row r="155" spans="1:16">
      <c r="A155" s="285"/>
      <c r="B155" s="285"/>
      <c r="C155" s="651">
        <f>IF(D96="","-",+C154+1)</f>
        <v>2061</v>
      </c>
      <c r="D155" s="602">
        <f t="shared" si="1"/>
        <v>0</v>
      </c>
      <c r="E155" s="658">
        <f t="shared" si="5"/>
        <v>0</v>
      </c>
      <c r="F155" s="602">
        <f t="shared" si="0"/>
        <v>0</v>
      </c>
      <c r="G155" s="1167">
        <f t="shared" si="2"/>
        <v>0</v>
      </c>
      <c r="H155" s="1170">
        <f t="shared" si="3"/>
        <v>0</v>
      </c>
      <c r="I155" s="655">
        <f t="shared" si="4"/>
        <v>0</v>
      </c>
      <c r="J155" s="655"/>
      <c r="K155" s="793"/>
      <c r="L155" s="661"/>
      <c r="M155" s="793"/>
      <c r="N155" s="661"/>
      <c r="O155" s="661"/>
      <c r="P155" s="603"/>
    </row>
    <row r="156" spans="1:16">
      <c r="A156" s="285"/>
      <c r="B156" s="285"/>
      <c r="C156" s="651">
        <f>IF(D96="","-",+C155+1)</f>
        <v>2062</v>
      </c>
      <c r="D156" s="602">
        <f t="shared" si="1"/>
        <v>0</v>
      </c>
      <c r="E156" s="658">
        <f t="shared" si="5"/>
        <v>0</v>
      </c>
      <c r="F156" s="602">
        <f t="shared" si="0"/>
        <v>0</v>
      </c>
      <c r="G156" s="1167">
        <f t="shared" si="2"/>
        <v>0</v>
      </c>
      <c r="H156" s="1170">
        <f t="shared" si="3"/>
        <v>0</v>
      </c>
      <c r="I156" s="655">
        <f t="shared" si="4"/>
        <v>0</v>
      </c>
      <c r="J156" s="655"/>
      <c r="K156" s="793"/>
      <c r="L156" s="661"/>
      <c r="M156" s="793"/>
      <c r="N156" s="661"/>
      <c r="O156" s="661"/>
      <c r="P156" s="603"/>
    </row>
    <row r="157" spans="1:16">
      <c r="A157" s="285"/>
      <c r="B157" s="285"/>
      <c r="C157" s="651">
        <f>IF(D96="","-",+C156+1)</f>
        <v>2063</v>
      </c>
      <c r="D157" s="602">
        <f t="shared" si="1"/>
        <v>0</v>
      </c>
      <c r="E157" s="658">
        <f t="shared" si="5"/>
        <v>0</v>
      </c>
      <c r="F157" s="602">
        <f t="shared" si="0"/>
        <v>0</v>
      </c>
      <c r="G157" s="1167">
        <f t="shared" si="2"/>
        <v>0</v>
      </c>
      <c r="H157" s="1170">
        <f t="shared" si="3"/>
        <v>0</v>
      </c>
      <c r="I157" s="655">
        <f t="shared" si="4"/>
        <v>0</v>
      </c>
      <c r="J157" s="655"/>
      <c r="K157" s="793"/>
      <c r="L157" s="661"/>
      <c r="M157" s="793"/>
      <c r="N157" s="661"/>
      <c r="O157" s="661"/>
      <c r="P157" s="603"/>
    </row>
    <row r="158" spans="1:16">
      <c r="A158" s="285"/>
      <c r="B158" s="285"/>
      <c r="C158" s="651">
        <f>IF(D96="","-",+C157+1)</f>
        <v>2064</v>
      </c>
      <c r="D158" s="602">
        <f t="shared" si="1"/>
        <v>0</v>
      </c>
      <c r="E158" s="658">
        <f t="shared" si="5"/>
        <v>0</v>
      </c>
      <c r="F158" s="602">
        <f t="shared" si="0"/>
        <v>0</v>
      </c>
      <c r="G158" s="1167">
        <f t="shared" si="2"/>
        <v>0</v>
      </c>
      <c r="H158" s="1170">
        <f t="shared" si="3"/>
        <v>0</v>
      </c>
      <c r="I158" s="655">
        <f t="shared" si="4"/>
        <v>0</v>
      </c>
      <c r="J158" s="655"/>
      <c r="K158" s="793"/>
      <c r="L158" s="661"/>
      <c r="M158" s="793"/>
      <c r="N158" s="661"/>
      <c r="O158" s="661"/>
      <c r="P158" s="603"/>
    </row>
    <row r="159" spans="1:16">
      <c r="A159" s="285"/>
      <c r="B159" s="285"/>
      <c r="C159" s="651">
        <f>IF(D96="","-",+C158+1)</f>
        <v>2065</v>
      </c>
      <c r="D159" s="602">
        <f t="shared" si="1"/>
        <v>0</v>
      </c>
      <c r="E159" s="658">
        <f t="shared" si="5"/>
        <v>0</v>
      </c>
      <c r="F159" s="602">
        <f t="shared" si="0"/>
        <v>0</v>
      </c>
      <c r="G159" s="1167">
        <f t="shared" si="2"/>
        <v>0</v>
      </c>
      <c r="H159" s="1170">
        <f t="shared" si="3"/>
        <v>0</v>
      </c>
      <c r="I159" s="655">
        <f t="shared" si="4"/>
        <v>0</v>
      </c>
      <c r="J159" s="655"/>
      <c r="K159" s="793"/>
      <c r="L159" s="661"/>
      <c r="M159" s="793"/>
      <c r="N159" s="661"/>
      <c r="O159" s="661"/>
      <c r="P159" s="603"/>
    </row>
    <row r="160" spans="1:16">
      <c r="A160" s="285"/>
      <c r="B160" s="285"/>
      <c r="C160" s="651">
        <f>IF(D96="","-",+C159+1)</f>
        <v>2066</v>
      </c>
      <c r="D160" s="602">
        <f t="shared" si="1"/>
        <v>0</v>
      </c>
      <c r="E160" s="658">
        <f t="shared" si="5"/>
        <v>0</v>
      </c>
      <c r="F160" s="602">
        <f t="shared" si="0"/>
        <v>0</v>
      </c>
      <c r="G160" s="1167">
        <f t="shared" si="2"/>
        <v>0</v>
      </c>
      <c r="H160" s="1170">
        <f t="shared" si="3"/>
        <v>0</v>
      </c>
      <c r="I160" s="655">
        <f t="shared" si="4"/>
        <v>0</v>
      </c>
      <c r="J160" s="655"/>
      <c r="K160" s="793"/>
      <c r="L160" s="661"/>
      <c r="M160" s="793"/>
      <c r="N160" s="661"/>
      <c r="O160" s="661"/>
      <c r="P160" s="603"/>
    </row>
    <row r="161" spans="1:16" ht="13.5" thickBot="1">
      <c r="A161" s="285"/>
      <c r="B161" s="285"/>
      <c r="C161" s="663">
        <f>IF(D96="","-",+C160+1)</f>
        <v>2067</v>
      </c>
      <c r="D161" s="664">
        <f t="shared" si="1"/>
        <v>0</v>
      </c>
      <c r="E161" s="665">
        <f t="shared" si="5"/>
        <v>0</v>
      </c>
      <c r="F161" s="664">
        <f t="shared" si="0"/>
        <v>0</v>
      </c>
      <c r="G161" s="1177">
        <f t="shared" si="2"/>
        <v>0</v>
      </c>
      <c r="H161" s="1177">
        <f t="shared" si="3"/>
        <v>0</v>
      </c>
      <c r="I161" s="667">
        <f t="shared" si="4"/>
        <v>0</v>
      </c>
      <c r="J161" s="655"/>
      <c r="K161" s="794"/>
      <c r="L161" s="669"/>
      <c r="M161" s="794"/>
      <c r="N161" s="669"/>
      <c r="O161" s="669"/>
      <c r="P161" s="603"/>
    </row>
    <row r="162" spans="1:16">
      <c r="A162" s="285"/>
      <c r="B162" s="285"/>
      <c r="C162" s="602" t="s">
        <v>288</v>
      </c>
      <c r="D162" s="1148"/>
      <c r="E162" s="1148">
        <f>SUM(E102:E161)</f>
        <v>13789271.549999997</v>
      </c>
      <c r="F162" s="1148"/>
      <c r="G162" s="1148">
        <f>SUM(G102:G161)</f>
        <v>48637165.226221479</v>
      </c>
      <c r="H162" s="1148">
        <f>SUM(H102:H161)</f>
        <v>48637165.226221479</v>
      </c>
      <c r="I162" s="1148">
        <f>SUM(I102:I161)</f>
        <v>0</v>
      </c>
      <c r="J162" s="1148"/>
      <c r="K162" s="1148"/>
      <c r="L162" s="1148"/>
      <c r="M162" s="1148"/>
      <c r="N162" s="1148"/>
      <c r="O162" s="480"/>
      <c r="P162" s="1148"/>
    </row>
    <row r="163" spans="1:16">
      <c r="A163" s="285"/>
      <c r="B163" s="285"/>
      <c r="C163" s="285"/>
      <c r="D163" s="496"/>
      <c r="E163" s="480"/>
      <c r="F163" s="480"/>
      <c r="G163" s="480"/>
      <c r="H163" s="1147"/>
      <c r="I163" s="1147"/>
      <c r="J163" s="1148"/>
      <c r="K163" s="1147"/>
      <c r="L163" s="1147"/>
      <c r="M163" s="1147"/>
      <c r="N163" s="1147"/>
      <c r="O163" s="480"/>
      <c r="P163" s="1148"/>
    </row>
    <row r="164" spans="1:16">
      <c r="A164" s="285"/>
      <c r="B164" s="285"/>
      <c r="C164" s="480" t="s">
        <v>601</v>
      </c>
      <c r="D164" s="496"/>
      <c r="E164" s="480"/>
      <c r="F164" s="480"/>
      <c r="G164" s="480"/>
      <c r="H164" s="1147"/>
      <c r="I164" s="1147"/>
      <c r="J164" s="1148"/>
      <c r="K164" s="1147"/>
      <c r="L164" s="1147"/>
      <c r="M164" s="1147"/>
      <c r="N164" s="1147"/>
      <c r="O164" s="480"/>
      <c r="P164" s="1148"/>
    </row>
    <row r="165" spans="1:16">
      <c r="A165" s="285"/>
      <c r="B165" s="285"/>
      <c r="C165" s="285"/>
      <c r="D165" s="496"/>
      <c r="E165" s="480"/>
      <c r="F165" s="480"/>
      <c r="G165" s="480"/>
      <c r="H165" s="1147"/>
      <c r="I165" s="1147"/>
      <c r="J165" s="1148"/>
      <c r="K165" s="1147"/>
      <c r="L165" s="1147"/>
      <c r="M165" s="1147"/>
      <c r="N165" s="1147"/>
      <c r="O165" s="480"/>
      <c r="P165" s="1148"/>
    </row>
    <row r="166" spans="1:16">
      <c r="A166" s="285"/>
      <c r="B166" s="285"/>
      <c r="C166" s="508" t="s">
        <v>602</v>
      </c>
      <c r="D166" s="602"/>
      <c r="E166" s="602"/>
      <c r="F166" s="602"/>
      <c r="G166" s="1148"/>
      <c r="H166" s="1148"/>
      <c r="I166" s="603"/>
      <c r="J166" s="603"/>
      <c r="K166" s="603"/>
      <c r="L166" s="603"/>
      <c r="M166" s="603"/>
      <c r="N166" s="603"/>
      <c r="O166" s="480"/>
      <c r="P166" s="603"/>
    </row>
    <row r="167" spans="1:16">
      <c r="A167" s="285"/>
      <c r="B167" s="285"/>
      <c r="C167" s="508" t="s">
        <v>476</v>
      </c>
      <c r="D167" s="602"/>
      <c r="E167" s="602"/>
      <c r="F167" s="602"/>
      <c r="G167" s="1148"/>
      <c r="H167" s="1148"/>
      <c r="I167" s="603"/>
      <c r="J167" s="603"/>
      <c r="K167" s="603"/>
      <c r="L167" s="603"/>
      <c r="M167" s="603"/>
      <c r="N167" s="603"/>
      <c r="O167" s="480"/>
      <c r="P167" s="603"/>
    </row>
    <row r="168" spans="1:16">
      <c r="A168" s="285"/>
      <c r="B168" s="285"/>
      <c r="C168" s="508" t="s">
        <v>289</v>
      </c>
      <c r="D168" s="602"/>
      <c r="E168" s="602"/>
      <c r="F168" s="602"/>
      <c r="G168" s="1148"/>
      <c r="H168" s="1148"/>
      <c r="I168" s="603"/>
      <c r="J168" s="603"/>
      <c r="K168" s="603"/>
      <c r="L168" s="603"/>
      <c r="M168" s="603"/>
      <c r="N168" s="603"/>
      <c r="O168" s="480"/>
      <c r="P168" s="603"/>
    </row>
    <row r="169" spans="1:16">
      <c r="A169" s="285"/>
      <c r="B169" s="285"/>
      <c r="C169" s="601"/>
      <c r="D169" s="602"/>
      <c r="E169" s="602"/>
      <c r="F169" s="602"/>
      <c r="G169" s="1148"/>
      <c r="H169" s="1148"/>
      <c r="I169" s="603"/>
      <c r="J169" s="603"/>
      <c r="K169" s="603"/>
      <c r="L169" s="603"/>
      <c r="M169" s="603"/>
      <c r="N169" s="603"/>
      <c r="O169" s="480"/>
      <c r="P169" s="603"/>
    </row>
    <row r="170" spans="1:16">
      <c r="A170" s="285"/>
      <c r="B170" s="285"/>
      <c r="C170" s="1513" t="s">
        <v>460</v>
      </c>
      <c r="D170" s="1513"/>
      <c r="E170" s="1513"/>
      <c r="F170" s="1513"/>
      <c r="G170" s="1513"/>
      <c r="H170" s="1513"/>
      <c r="I170" s="1513"/>
      <c r="J170" s="1513"/>
      <c r="K170" s="1513"/>
      <c r="L170" s="1513"/>
      <c r="M170" s="1513"/>
      <c r="N170" s="1513"/>
      <c r="O170" s="1513"/>
      <c r="P170" s="480"/>
    </row>
    <row r="171" spans="1:16">
      <c r="A171" s="285"/>
      <c r="B171" s="285"/>
      <c r="C171" s="1513"/>
      <c r="D171" s="1513"/>
      <c r="E171" s="1513"/>
      <c r="F171" s="1513"/>
      <c r="G171" s="1513"/>
      <c r="H171" s="1513"/>
      <c r="I171" s="1513"/>
      <c r="J171" s="1513"/>
      <c r="K171" s="1513"/>
      <c r="L171" s="1513"/>
      <c r="M171" s="1513"/>
      <c r="N171" s="1513"/>
      <c r="O171" s="1513"/>
      <c r="P171" s="480"/>
    </row>
    <row r="172" spans="1:16">
      <c r="A172" s="285"/>
      <c r="B172" s="285"/>
      <c r="C172" s="285"/>
      <c r="D172" s="372"/>
      <c r="E172" s="285"/>
      <c r="F172" s="285"/>
      <c r="G172" s="285"/>
      <c r="H172" s="1178"/>
      <c r="I172" s="285"/>
      <c r="J172" s="271"/>
      <c r="K172" s="285"/>
      <c r="L172" s="285"/>
      <c r="M172" s="285"/>
      <c r="N172" s="285"/>
      <c r="O172" s="285"/>
      <c r="P172" s="480"/>
    </row>
    <row r="173" spans="1:16" ht="20.25">
      <c r="A173" s="604" t="s">
        <v>947</v>
      </c>
      <c r="B173" s="480"/>
      <c r="C173" s="584"/>
      <c r="D173" s="496"/>
      <c r="E173" s="480"/>
      <c r="F173" s="574"/>
      <c r="G173" s="480"/>
      <c r="H173" s="1147"/>
      <c r="I173" s="285"/>
      <c r="J173" s="271"/>
      <c r="K173" s="605"/>
      <c r="L173" s="605"/>
      <c r="M173" s="605"/>
      <c r="N173" s="520" t="str">
        <f>"Page "&amp;SUM(P$6:P173)&amp;" of "</f>
        <v xml:space="preserve">Page 3 of </v>
      </c>
      <c r="O173" s="521">
        <f>COUNT(P$6:P$59606)</f>
        <v>15</v>
      </c>
      <c r="P173" s="596">
        <v>1</v>
      </c>
    </row>
    <row r="174" spans="1:16">
      <c r="A174" s="285"/>
      <c r="B174" s="480"/>
      <c r="C174" s="480"/>
      <c r="D174" s="496"/>
      <c r="E174" s="480"/>
      <c r="F174" s="480"/>
      <c r="G174" s="480"/>
      <c r="H174" s="1147"/>
      <c r="I174" s="480"/>
      <c r="J174" s="517"/>
      <c r="K174" s="480"/>
      <c r="L174" s="480"/>
      <c r="M174" s="480"/>
      <c r="N174" s="480"/>
      <c r="O174" s="480"/>
      <c r="P174" s="517"/>
    </row>
    <row r="175" spans="1:16" ht="18">
      <c r="A175" s="285"/>
      <c r="B175" s="524" t="s">
        <v>174</v>
      </c>
      <c r="C175" s="606" t="s">
        <v>290</v>
      </c>
      <c r="D175" s="496"/>
      <c r="E175" s="480"/>
      <c r="F175" s="480"/>
      <c r="G175" s="480"/>
      <c r="H175" s="1147"/>
      <c r="I175" s="1147"/>
      <c r="J175" s="1148"/>
      <c r="K175" s="1147"/>
      <c r="L175" s="1147"/>
      <c r="M175" s="1147"/>
      <c r="N175" s="1147"/>
      <c r="O175" s="480"/>
      <c r="P175" s="1148"/>
    </row>
    <row r="176" spans="1:16" ht="18.75">
      <c r="A176" s="285"/>
      <c r="B176" s="524"/>
      <c r="C176" s="523"/>
      <c r="D176" s="496"/>
      <c r="E176" s="480"/>
      <c r="F176" s="480"/>
      <c r="G176" s="480"/>
      <c r="H176" s="1147"/>
      <c r="I176" s="1147"/>
      <c r="J176" s="1148"/>
      <c r="K176" s="1147"/>
      <c r="L176" s="1147"/>
      <c r="M176" s="1147"/>
      <c r="N176" s="1147"/>
      <c r="O176" s="480"/>
      <c r="P176" s="1148"/>
    </row>
    <row r="177" spans="1:16" ht="18.75">
      <c r="A177" s="285"/>
      <c r="B177" s="524"/>
      <c r="C177" s="523" t="s">
        <v>291</v>
      </c>
      <c r="D177" s="496"/>
      <c r="E177" s="480"/>
      <c r="F177" s="480"/>
      <c r="G177" s="480"/>
      <c r="H177" s="1147"/>
      <c r="I177" s="1147"/>
      <c r="J177" s="1148"/>
      <c r="K177" s="1147"/>
      <c r="L177" s="1147"/>
      <c r="M177" s="1147"/>
      <c r="N177" s="1147"/>
      <c r="O177" s="480"/>
      <c r="P177" s="1148"/>
    </row>
    <row r="178" spans="1:16" ht="15.75" thickBot="1">
      <c r="A178" s="285"/>
      <c r="B178" s="285"/>
      <c r="C178" s="347"/>
      <c r="D178" s="496"/>
      <c r="E178" s="480"/>
      <c r="F178" s="480"/>
      <c r="G178" s="480"/>
      <c r="H178" s="1147"/>
      <c r="I178" s="1147"/>
      <c r="J178" s="1148"/>
      <c r="K178" s="1147"/>
      <c r="L178" s="1147"/>
      <c r="M178" s="1147"/>
      <c r="N178" s="1147"/>
      <c r="O178" s="480"/>
      <c r="P178" s="1148"/>
    </row>
    <row r="179" spans="1:16" ht="15.75">
      <c r="A179" s="285"/>
      <c r="B179" s="285"/>
      <c r="C179" s="525" t="s">
        <v>292</v>
      </c>
      <c r="D179" s="496"/>
      <c r="E179" s="480"/>
      <c r="F179" s="480"/>
      <c r="G179" s="1149"/>
      <c r="H179" s="480" t="s">
        <v>271</v>
      </c>
      <c r="I179" s="480"/>
      <c r="J179" s="517"/>
      <c r="K179" s="607" t="s">
        <v>296</v>
      </c>
      <c r="L179" s="608"/>
      <c r="M179" s="609"/>
      <c r="N179" s="1150">
        <f>VLOOKUP(I185,C192:O251,5)</f>
        <v>251536.31629517046</v>
      </c>
      <c r="O179" s="480"/>
      <c r="P179" s="517"/>
    </row>
    <row r="180" spans="1:16" ht="15.75">
      <c r="A180" s="285"/>
      <c r="B180" s="285"/>
      <c r="C180" s="525"/>
      <c r="D180" s="496"/>
      <c r="E180" s="480"/>
      <c r="F180" s="480"/>
      <c r="G180" s="480"/>
      <c r="H180" s="1151"/>
      <c r="I180" s="1151"/>
      <c r="J180" s="1152"/>
      <c r="K180" s="612" t="s">
        <v>297</v>
      </c>
      <c r="L180" s="1153"/>
      <c r="M180" s="517"/>
      <c r="N180" s="1154">
        <f>VLOOKUP(I185,C192:O251,6)</f>
        <v>251536.31629517046</v>
      </c>
      <c r="O180" s="480"/>
      <c r="P180" s="1152"/>
    </row>
    <row r="181" spans="1:16" ht="13.5" thickBot="1">
      <c r="A181" s="285"/>
      <c r="B181" s="285"/>
      <c r="C181" s="613" t="s">
        <v>293</v>
      </c>
      <c r="D181" s="1514" t="s">
        <v>950</v>
      </c>
      <c r="E181" s="1514"/>
      <c r="F181" s="1514"/>
      <c r="G181" s="1514"/>
      <c r="H181" s="1147"/>
      <c r="I181" s="1147"/>
      <c r="J181" s="1148"/>
      <c r="K181" s="1155" t="s">
        <v>450</v>
      </c>
      <c r="L181" s="1156"/>
      <c r="M181" s="1156"/>
      <c r="N181" s="1157">
        <f>+N180-N179</f>
        <v>0</v>
      </c>
      <c r="O181" s="480"/>
      <c r="P181" s="1148"/>
    </row>
    <row r="182" spans="1:16">
      <c r="A182" s="285"/>
      <c r="B182" s="285"/>
      <c r="C182" s="615"/>
      <c r="D182" s="616"/>
      <c r="E182" s="600"/>
      <c r="F182" s="600"/>
      <c r="G182" s="617"/>
      <c r="H182" s="1147"/>
      <c r="I182" s="1147"/>
      <c r="J182" s="1148"/>
      <c r="K182" s="1147"/>
      <c r="L182" s="1147"/>
      <c r="M182" s="1147"/>
      <c r="N182" s="1147"/>
      <c r="O182" s="480"/>
      <c r="P182" s="1148"/>
    </row>
    <row r="183" spans="1:16" ht="13.5" thickBot="1">
      <c r="A183" s="285"/>
      <c r="B183" s="285"/>
      <c r="C183" s="618"/>
      <c r="D183" s="619"/>
      <c r="E183" s="617"/>
      <c r="F183" s="617"/>
      <c r="G183" s="617"/>
      <c r="H183" s="617"/>
      <c r="I183" s="617"/>
      <c r="J183" s="620"/>
      <c r="K183" s="617"/>
      <c r="L183" s="617"/>
      <c r="M183" s="617"/>
      <c r="N183" s="617"/>
      <c r="O183" s="508"/>
      <c r="P183" s="620"/>
    </row>
    <row r="184" spans="1:16" ht="13.5" thickBot="1">
      <c r="A184" s="285"/>
      <c r="B184" s="285"/>
      <c r="C184" s="622" t="s">
        <v>294</v>
      </c>
      <c r="D184" s="623"/>
      <c r="E184" s="623"/>
      <c r="F184" s="623"/>
      <c r="G184" s="623"/>
      <c r="H184" s="623"/>
      <c r="I184" s="624"/>
      <c r="J184" s="625"/>
      <c r="K184" s="480"/>
      <c r="L184" s="480"/>
      <c r="M184" s="480"/>
      <c r="N184" s="480"/>
      <c r="O184" s="626"/>
      <c r="P184" s="627"/>
    </row>
    <row r="185" spans="1:16" ht="15">
      <c r="A185" s="285"/>
      <c r="B185" s="362"/>
      <c r="C185" s="628" t="s">
        <v>272</v>
      </c>
      <c r="D185" s="1158">
        <v>2476288.83</v>
      </c>
      <c r="E185" s="584" t="s">
        <v>273</v>
      </c>
      <c r="F185" s="285"/>
      <c r="G185" s="629"/>
      <c r="H185" s="629"/>
      <c r="I185" s="630">
        <f>$L$26</f>
        <v>2024</v>
      </c>
      <c r="J185" s="515"/>
      <c r="K185" s="1515" t="s">
        <v>459</v>
      </c>
      <c r="L185" s="1515"/>
      <c r="M185" s="1515"/>
      <c r="N185" s="1515"/>
      <c r="O185" s="1515"/>
      <c r="P185" s="515"/>
    </row>
    <row r="186" spans="1:16">
      <c r="A186" s="285"/>
      <c r="B186" s="362"/>
      <c r="C186" s="628" t="s">
        <v>275</v>
      </c>
      <c r="D186" s="788">
        <v>2011</v>
      </c>
      <c r="E186" s="628" t="s">
        <v>276</v>
      </c>
      <c r="F186" s="629"/>
      <c r="G186" s="285"/>
      <c r="H186" s="285"/>
      <c r="I186" s="791">
        <f>IF(G179="",0,$F$15)</f>
        <v>0</v>
      </c>
      <c r="J186" s="631"/>
      <c r="K186" s="1148" t="s">
        <v>459</v>
      </c>
      <c r="L186" s="285"/>
      <c r="M186" s="285"/>
      <c r="N186" s="285"/>
      <c r="O186" s="285"/>
      <c r="P186" s="631"/>
    </row>
    <row r="187" spans="1:16">
      <c r="A187" s="285"/>
      <c r="B187" s="362"/>
      <c r="C187" s="628" t="s">
        <v>277</v>
      </c>
      <c r="D187" s="1159">
        <v>12</v>
      </c>
      <c r="E187" s="628" t="s">
        <v>278</v>
      </c>
      <c r="F187" s="629"/>
      <c r="G187" s="285"/>
      <c r="H187" s="285"/>
      <c r="I187" s="632">
        <f>$G$70</f>
        <v>0.10987714662923057</v>
      </c>
      <c r="J187" s="633"/>
      <c r="K187" s="285" t="str">
        <f>"          INPUT PROJECTED ARR (WITH &amp; WITHOUT INCENTIVES) FROM EACH PRIOR YEAR"</f>
        <v xml:space="preserve">          INPUT PROJECTED ARR (WITH &amp; WITHOUT INCENTIVES) FROM EACH PRIOR YEAR</v>
      </c>
      <c r="L187" s="285"/>
      <c r="M187" s="285"/>
      <c r="N187" s="285"/>
      <c r="O187" s="285"/>
      <c r="P187" s="633"/>
    </row>
    <row r="188" spans="1:16">
      <c r="A188" s="285"/>
      <c r="B188" s="362"/>
      <c r="C188" s="628" t="s">
        <v>279</v>
      </c>
      <c r="D188" s="634">
        <f>G$79</f>
        <v>45</v>
      </c>
      <c r="E188" s="628" t="s">
        <v>280</v>
      </c>
      <c r="F188" s="629"/>
      <c r="G188" s="285"/>
      <c r="H188" s="285"/>
      <c r="I188" s="632">
        <f>IF(G179="",I187,$G$67)</f>
        <v>0.10987714662923057</v>
      </c>
      <c r="J188" s="635"/>
      <c r="K188" s="285" t="s">
        <v>357</v>
      </c>
      <c r="L188" s="285"/>
      <c r="M188" s="285"/>
      <c r="N188" s="285"/>
      <c r="O188" s="285"/>
      <c r="P188" s="635"/>
    </row>
    <row r="189" spans="1:16" ht="13.5" thickBot="1">
      <c r="A189" s="285"/>
      <c r="B189" s="362"/>
      <c r="C189" s="628" t="s">
        <v>281</v>
      </c>
      <c r="D189" s="790" t="s">
        <v>949</v>
      </c>
      <c r="E189" s="636" t="s">
        <v>282</v>
      </c>
      <c r="F189" s="637"/>
      <c r="G189" s="638"/>
      <c r="H189" s="638"/>
      <c r="I189" s="1157">
        <f>IF(D185=0,0,D185/D188)</f>
        <v>55028.640666666666</v>
      </c>
      <c r="J189" s="1148"/>
      <c r="K189" s="1148" t="s">
        <v>363</v>
      </c>
      <c r="L189" s="1148"/>
      <c r="M189" s="1148"/>
      <c r="N189" s="1148"/>
      <c r="O189" s="517"/>
      <c r="P189" s="1148"/>
    </row>
    <row r="190" spans="1:16" ht="51">
      <c r="A190" s="470"/>
      <c r="B190" s="470"/>
      <c r="C190" s="639" t="s">
        <v>272</v>
      </c>
      <c r="D190" s="1160" t="s">
        <v>283</v>
      </c>
      <c r="E190" s="1161" t="s">
        <v>284</v>
      </c>
      <c r="F190" s="1160" t="s">
        <v>285</v>
      </c>
      <c r="G190" s="1161" t="s">
        <v>356</v>
      </c>
      <c r="H190" s="1162" t="s">
        <v>356</v>
      </c>
      <c r="I190" s="639" t="s">
        <v>295</v>
      </c>
      <c r="J190" s="643"/>
      <c r="K190" s="1161" t="s">
        <v>365</v>
      </c>
      <c r="L190" s="1163"/>
      <c r="M190" s="1161" t="s">
        <v>365</v>
      </c>
      <c r="N190" s="1163"/>
      <c r="O190" s="1163"/>
      <c r="P190" s="644"/>
    </row>
    <row r="191" spans="1:16" ht="13.5" thickBot="1">
      <c r="A191" s="285"/>
      <c r="B191" s="285"/>
      <c r="C191" s="645" t="s">
        <v>177</v>
      </c>
      <c r="D191" s="646" t="s">
        <v>178</v>
      </c>
      <c r="E191" s="645" t="s">
        <v>37</v>
      </c>
      <c r="F191" s="646" t="s">
        <v>178</v>
      </c>
      <c r="G191" s="1164" t="s">
        <v>298</v>
      </c>
      <c r="H191" s="1165" t="s">
        <v>300</v>
      </c>
      <c r="I191" s="649" t="s">
        <v>389</v>
      </c>
      <c r="J191" s="650"/>
      <c r="K191" s="1164" t="s">
        <v>287</v>
      </c>
      <c r="L191" s="1166"/>
      <c r="M191" s="1164" t="s">
        <v>300</v>
      </c>
      <c r="N191" s="1166"/>
      <c r="O191" s="1166"/>
      <c r="P191" s="515"/>
    </row>
    <row r="192" spans="1:16">
      <c r="A192" s="285"/>
      <c r="B192" s="285"/>
      <c r="C192" s="651">
        <f>IF(D186= "","-",D186)</f>
        <v>2011</v>
      </c>
      <c r="D192" s="602">
        <f>+D185</f>
        <v>2476288.83</v>
      </c>
      <c r="E192" s="1167">
        <f>+I189/12*(12-D187)</f>
        <v>0</v>
      </c>
      <c r="F192" s="602">
        <f t="shared" ref="F192:F251" si="6">+D192-E192</f>
        <v>2476288.83</v>
      </c>
      <c r="G192" s="1168">
        <f>+$I$187*((D192+F192)/2)+E192</f>
        <v>272087.55087023583</v>
      </c>
      <c r="H192" s="1169">
        <f>+$I$188*((D192+F192)/2)+E192</f>
        <v>272087.55087023583</v>
      </c>
      <c r="I192" s="655">
        <f>+H192-G192</f>
        <v>0</v>
      </c>
      <c r="J192" s="655"/>
      <c r="K192" s="792" t="s">
        <v>114</v>
      </c>
      <c r="L192" s="657"/>
      <c r="M192" s="792" t="s">
        <v>114</v>
      </c>
      <c r="N192" s="657"/>
      <c r="O192" s="657"/>
      <c r="P192" s="603"/>
    </row>
    <row r="193" spans="1:16">
      <c r="A193" s="285"/>
      <c r="B193" s="285"/>
      <c r="C193" s="651">
        <f>IF(D186="","-",+C192+1)</f>
        <v>2012</v>
      </c>
      <c r="D193" s="602">
        <f>F192</f>
        <v>2476288.83</v>
      </c>
      <c r="E193" s="658">
        <f>IF(D193&gt;$I$189,$I$189,D193)</f>
        <v>55028.640666666666</v>
      </c>
      <c r="F193" s="602">
        <f>+D193-E193</f>
        <v>2421260.1893333336</v>
      </c>
      <c r="G193" s="1167">
        <f t="shared" ref="G193:G251" si="7">+$I$187*((D193+F193)/2)+E193</f>
        <v>324092.99652723322</v>
      </c>
      <c r="H193" s="1170">
        <f t="shared" ref="H193:H251" si="8">+$I$188*((D193+F193)/2)+E193</f>
        <v>324092.99652723322</v>
      </c>
      <c r="I193" s="655">
        <f t="shared" ref="I193:I251" si="9">+H193-G193</f>
        <v>0</v>
      </c>
      <c r="J193" s="655"/>
      <c r="K193" s="1179" t="s">
        <v>114</v>
      </c>
      <c r="L193" s="661"/>
      <c r="M193" s="1179" t="s">
        <v>114</v>
      </c>
      <c r="N193" s="661"/>
      <c r="O193" s="661"/>
      <c r="P193" s="603"/>
    </row>
    <row r="194" spans="1:16">
      <c r="A194" s="285"/>
      <c r="B194" s="285"/>
      <c r="C194" s="651">
        <f>IF(D186="","-",+C193+1)</f>
        <v>2013</v>
      </c>
      <c r="D194" s="602">
        <f>F193</f>
        <v>2421260.1893333336</v>
      </c>
      <c r="E194" s="658">
        <f t="shared" ref="E194:E251" si="10">IF(D194&gt;$I$189,$I$189,D194)</f>
        <v>55028.640666666666</v>
      </c>
      <c r="F194" s="602">
        <f t="shared" si="6"/>
        <v>2366231.5486666672</v>
      </c>
      <c r="G194" s="1167">
        <f t="shared" si="7"/>
        <v>318046.60650789464</v>
      </c>
      <c r="H194" s="1170">
        <f t="shared" si="8"/>
        <v>318046.60650789464</v>
      </c>
      <c r="I194" s="655">
        <f t="shared" si="9"/>
        <v>0</v>
      </c>
      <c r="J194" s="655"/>
      <c r="K194" s="1179">
        <v>41778</v>
      </c>
      <c r="L194" s="1180"/>
      <c r="M194" s="1179">
        <v>41778</v>
      </c>
      <c r="N194" s="661"/>
      <c r="O194" s="661"/>
      <c r="P194" s="603"/>
    </row>
    <row r="195" spans="1:16">
      <c r="A195" s="285"/>
      <c r="B195" s="285"/>
      <c r="C195" s="651">
        <f>IF(D186="","-",+C194+1)</f>
        <v>2014</v>
      </c>
      <c r="D195" s="602">
        <f t="shared" ref="D195:D251" si="11">F194</f>
        <v>2366231.5486666672</v>
      </c>
      <c r="E195" s="658">
        <f t="shared" si="10"/>
        <v>55028.640666666666</v>
      </c>
      <c r="F195" s="602">
        <f t="shared" si="6"/>
        <v>2311202.9080000008</v>
      </c>
      <c r="G195" s="1167">
        <f t="shared" si="7"/>
        <v>312000.21648855612</v>
      </c>
      <c r="H195" s="1170">
        <f t="shared" si="8"/>
        <v>312000.21648855612</v>
      </c>
      <c r="I195" s="655">
        <f t="shared" si="9"/>
        <v>0</v>
      </c>
      <c r="J195" s="655"/>
      <c r="K195" s="1179">
        <v>36470</v>
      </c>
      <c r="L195" s="661"/>
      <c r="M195" s="1179">
        <v>36470</v>
      </c>
      <c r="N195" s="661"/>
      <c r="O195" s="661"/>
      <c r="P195" s="603"/>
    </row>
    <row r="196" spans="1:16">
      <c r="A196" s="285"/>
      <c r="B196" s="285"/>
      <c r="C196" s="651">
        <f>IF(D186="","-",+C195+1)</f>
        <v>2015</v>
      </c>
      <c r="D196" s="602">
        <f t="shared" si="11"/>
        <v>2311202.9080000008</v>
      </c>
      <c r="E196" s="658">
        <f t="shared" si="10"/>
        <v>55028.640666666666</v>
      </c>
      <c r="F196" s="602">
        <f t="shared" si="6"/>
        <v>2256174.2673333343</v>
      </c>
      <c r="G196" s="1167">
        <f t="shared" si="7"/>
        <v>305953.82646921754</v>
      </c>
      <c r="H196" s="1170">
        <f t="shared" si="8"/>
        <v>305953.82646921754</v>
      </c>
      <c r="I196" s="655">
        <f t="shared" si="9"/>
        <v>0</v>
      </c>
      <c r="J196" s="655"/>
      <c r="K196" s="793">
        <v>36769</v>
      </c>
      <c r="L196" s="661"/>
      <c r="M196" s="793">
        <v>36769</v>
      </c>
      <c r="N196" s="661"/>
      <c r="O196" s="661"/>
      <c r="P196" s="603"/>
    </row>
    <row r="197" spans="1:16">
      <c r="A197" s="285"/>
      <c r="B197" s="285"/>
      <c r="C197" s="651">
        <f>IF(D186="","-",+C196+1)</f>
        <v>2016</v>
      </c>
      <c r="D197" s="602">
        <f t="shared" si="11"/>
        <v>2256174.2673333343</v>
      </c>
      <c r="E197" s="658">
        <f t="shared" si="10"/>
        <v>55028.640666666666</v>
      </c>
      <c r="F197" s="602">
        <f t="shared" si="6"/>
        <v>2201145.6266666679</v>
      </c>
      <c r="G197" s="1167">
        <f t="shared" si="7"/>
        <v>299907.43644987902</v>
      </c>
      <c r="H197" s="1170">
        <f t="shared" si="8"/>
        <v>299907.43644987902</v>
      </c>
      <c r="I197" s="655">
        <f t="shared" si="9"/>
        <v>0</v>
      </c>
      <c r="J197" s="655"/>
      <c r="K197" s="793">
        <v>35303</v>
      </c>
      <c r="L197" s="661"/>
      <c r="M197" s="793">
        <v>35303</v>
      </c>
      <c r="N197" s="661"/>
      <c r="O197" s="661"/>
      <c r="P197" s="603"/>
    </row>
    <row r="198" spans="1:16">
      <c r="A198" s="285"/>
      <c r="B198" s="285"/>
      <c r="C198" s="651">
        <f>IF(D186="","-",+C197+1)</f>
        <v>2017</v>
      </c>
      <c r="D198" s="602">
        <f t="shared" si="11"/>
        <v>2201145.6266666679</v>
      </c>
      <c r="E198" s="658">
        <f t="shared" si="10"/>
        <v>55028.640666666666</v>
      </c>
      <c r="F198" s="602">
        <f t="shared" si="6"/>
        <v>2146116.9860000014</v>
      </c>
      <c r="G198" s="1167">
        <f t="shared" si="7"/>
        <v>293861.04643054045</v>
      </c>
      <c r="H198" s="1170">
        <f t="shared" si="8"/>
        <v>293861.04643054045</v>
      </c>
      <c r="I198" s="655">
        <f t="shared" si="9"/>
        <v>0</v>
      </c>
      <c r="J198" s="655"/>
      <c r="K198" s="793">
        <v>36769</v>
      </c>
      <c r="L198" s="661"/>
      <c r="M198" s="793">
        <v>36769</v>
      </c>
      <c r="N198" s="661"/>
      <c r="O198" s="661"/>
      <c r="P198" s="603"/>
    </row>
    <row r="199" spans="1:16">
      <c r="A199" s="285"/>
      <c r="B199" s="285"/>
      <c r="C199" s="1194">
        <f>IF(D186="","-",+C198+1)</f>
        <v>2018</v>
      </c>
      <c r="D199" s="1172">
        <f t="shared" si="11"/>
        <v>2146116.9860000014</v>
      </c>
      <c r="E199" s="1173">
        <f t="shared" si="10"/>
        <v>55028.640666666666</v>
      </c>
      <c r="F199" s="1172">
        <f t="shared" si="6"/>
        <v>2091088.3453333348</v>
      </c>
      <c r="G199" s="1174">
        <f t="shared" si="7"/>
        <v>287814.65641120193</v>
      </c>
      <c r="H199" s="1175">
        <f t="shared" si="8"/>
        <v>287814.65641120193</v>
      </c>
      <c r="I199" s="1181">
        <f t="shared" si="9"/>
        <v>0</v>
      </c>
      <c r="J199" s="655"/>
      <c r="K199" s="793">
        <v>279967</v>
      </c>
      <c r="L199" s="661"/>
      <c r="M199" s="793">
        <v>279967</v>
      </c>
      <c r="N199" s="661"/>
      <c r="O199" s="661"/>
      <c r="P199" s="603"/>
    </row>
    <row r="200" spans="1:16">
      <c r="A200" s="285"/>
      <c r="B200" s="285"/>
      <c r="C200" s="1229">
        <f>IF(D191="","-",+C199+1)</f>
        <v>2019</v>
      </c>
      <c r="D200" s="602">
        <f t="shared" si="11"/>
        <v>2091088.3453333348</v>
      </c>
      <c r="E200" s="658">
        <f t="shared" si="10"/>
        <v>55028.640666666666</v>
      </c>
      <c r="F200" s="602">
        <f t="shared" si="6"/>
        <v>2036059.7046666681</v>
      </c>
      <c r="G200" s="1167">
        <f t="shared" si="7"/>
        <v>281768.26639186329</v>
      </c>
      <c r="H200" s="1170">
        <f t="shared" si="8"/>
        <v>281768.26639186329</v>
      </c>
      <c r="I200" s="655">
        <f t="shared" si="9"/>
        <v>0</v>
      </c>
      <c r="J200" s="655"/>
      <c r="K200" s="793">
        <v>289107</v>
      </c>
      <c r="L200" s="661"/>
      <c r="M200" s="793">
        <v>289107</v>
      </c>
      <c r="N200" s="661"/>
      <c r="O200" s="661"/>
      <c r="P200" s="603"/>
    </row>
    <row r="201" spans="1:16">
      <c r="A201" s="285"/>
      <c r="B201" s="285"/>
      <c r="C201" s="1229">
        <f>IF(D191="","-",+C200+1)</f>
        <v>2020</v>
      </c>
      <c r="D201" s="602">
        <f t="shared" si="11"/>
        <v>2036059.7046666681</v>
      </c>
      <c r="E201" s="658">
        <f t="shared" si="10"/>
        <v>55028.640666666666</v>
      </c>
      <c r="F201" s="602">
        <f t="shared" si="6"/>
        <v>1981031.0640000014</v>
      </c>
      <c r="G201" s="1167">
        <f t="shared" si="7"/>
        <v>275721.87637252477</v>
      </c>
      <c r="H201" s="1170">
        <f t="shared" si="8"/>
        <v>275721.87637252477</v>
      </c>
      <c r="I201" s="655">
        <f t="shared" si="9"/>
        <v>0</v>
      </c>
      <c r="J201" s="655"/>
      <c r="K201" s="793">
        <v>263834.05915473064</v>
      </c>
      <c r="L201" s="661"/>
      <c r="M201" s="793">
        <v>263834.05915473064</v>
      </c>
      <c r="N201" s="661"/>
      <c r="O201" s="661"/>
      <c r="P201" s="603"/>
    </row>
    <row r="202" spans="1:16">
      <c r="A202" s="285"/>
      <c r="B202" s="285"/>
      <c r="C202" s="1229">
        <f>IF(D186="","-",+C201+1)</f>
        <v>2021</v>
      </c>
      <c r="D202" s="602">
        <f t="shared" si="11"/>
        <v>1981031.0640000014</v>
      </c>
      <c r="E202" s="658">
        <f t="shared" si="10"/>
        <v>55028.640666666666</v>
      </c>
      <c r="F202" s="602">
        <f t="shared" si="6"/>
        <v>1926002.4233333347</v>
      </c>
      <c r="G202" s="1167">
        <f t="shared" si="7"/>
        <v>269675.48635318613</v>
      </c>
      <c r="H202" s="1170">
        <f t="shared" si="8"/>
        <v>269675.48635318613</v>
      </c>
      <c r="I202" s="655">
        <f t="shared" si="9"/>
        <v>0</v>
      </c>
      <c r="J202" s="655"/>
      <c r="K202" s="793">
        <v>256948.46047491327</v>
      </c>
      <c r="L202" s="661"/>
      <c r="M202" s="1230">
        <v>256948.46047491327</v>
      </c>
      <c r="N202" s="661"/>
      <c r="O202" s="661"/>
      <c r="P202" s="603"/>
    </row>
    <row r="203" spans="1:16">
      <c r="A203" s="285"/>
      <c r="B203" s="285"/>
      <c r="C203" s="1229">
        <f>IF(D194="","-",+C202+1)</f>
        <v>2022</v>
      </c>
      <c r="D203" s="602">
        <f t="shared" si="11"/>
        <v>1926002.4233333347</v>
      </c>
      <c r="E203" s="658">
        <f t="shared" si="10"/>
        <v>55028.640666666666</v>
      </c>
      <c r="F203" s="602">
        <f t="shared" si="6"/>
        <v>1870973.7826666681</v>
      </c>
      <c r="G203" s="1167">
        <f t="shared" si="7"/>
        <v>263629.09633384761</v>
      </c>
      <c r="H203" s="1170">
        <f t="shared" si="8"/>
        <v>263629.09633384761</v>
      </c>
      <c r="I203" s="655">
        <f t="shared" si="9"/>
        <v>0</v>
      </c>
      <c r="J203" s="655"/>
      <c r="K203" s="793">
        <v>252846.28381541997</v>
      </c>
      <c r="L203" s="661"/>
      <c r="M203" s="1230">
        <v>252846.28381541997</v>
      </c>
      <c r="N203" s="661"/>
      <c r="O203" s="661"/>
      <c r="P203" s="603"/>
    </row>
    <row r="204" spans="1:16">
      <c r="A204" s="285"/>
      <c r="B204" s="285"/>
      <c r="C204" s="1229">
        <f>IF(D194="","-",+C203+1)</f>
        <v>2023</v>
      </c>
      <c r="D204" s="602">
        <f t="shared" si="11"/>
        <v>1870973.7826666681</v>
      </c>
      <c r="E204" s="658">
        <f t="shared" si="10"/>
        <v>55028.640666666666</v>
      </c>
      <c r="F204" s="602">
        <f t="shared" si="6"/>
        <v>1815945.1420000014</v>
      </c>
      <c r="G204" s="1167">
        <f t="shared" si="7"/>
        <v>257582.70631450901</v>
      </c>
      <c r="H204" s="1170">
        <f t="shared" si="8"/>
        <v>257582.70631450901</v>
      </c>
      <c r="I204" s="655">
        <f t="shared" si="9"/>
        <v>0</v>
      </c>
      <c r="J204" s="655"/>
      <c r="K204" s="793">
        <v>257953.51092247805</v>
      </c>
      <c r="L204" s="661"/>
      <c r="M204" s="793">
        <v>257953.51092247805</v>
      </c>
      <c r="N204" s="662"/>
      <c r="O204" s="661"/>
      <c r="P204" s="603"/>
    </row>
    <row r="205" spans="1:16">
      <c r="A205" s="285"/>
      <c r="B205" s="285"/>
      <c r="C205" s="1171">
        <f>IF(D186="","-",+C204+1)</f>
        <v>2024</v>
      </c>
      <c r="D205" s="602">
        <f t="shared" si="11"/>
        <v>1815945.1420000014</v>
      </c>
      <c r="E205" s="658">
        <f t="shared" si="10"/>
        <v>55028.640666666666</v>
      </c>
      <c r="F205" s="602">
        <f t="shared" si="6"/>
        <v>1760916.5013333347</v>
      </c>
      <c r="G205" s="1167">
        <f t="shared" si="7"/>
        <v>251536.31629517046</v>
      </c>
      <c r="H205" s="1170">
        <f t="shared" si="8"/>
        <v>251536.31629517046</v>
      </c>
      <c r="I205" s="655">
        <f t="shared" si="9"/>
        <v>0</v>
      </c>
      <c r="J205" s="655"/>
      <c r="K205" s="793"/>
      <c r="L205" s="661"/>
      <c r="M205" s="793"/>
      <c r="N205" s="661"/>
      <c r="O205" s="661"/>
      <c r="P205" s="603"/>
    </row>
    <row r="206" spans="1:16">
      <c r="A206" s="285"/>
      <c r="B206" s="285"/>
      <c r="C206" s="651">
        <f>IF(D186="","-",+C205+1)</f>
        <v>2025</v>
      </c>
      <c r="D206" s="602">
        <f t="shared" si="11"/>
        <v>1760916.5013333347</v>
      </c>
      <c r="E206" s="658">
        <f t="shared" si="10"/>
        <v>55028.640666666666</v>
      </c>
      <c r="F206" s="602">
        <f t="shared" si="6"/>
        <v>1705887.860666668</v>
      </c>
      <c r="G206" s="1167">
        <f t="shared" si="7"/>
        <v>245489.92627583188</v>
      </c>
      <c r="H206" s="1170">
        <f t="shared" si="8"/>
        <v>245489.92627583188</v>
      </c>
      <c r="I206" s="655">
        <f t="shared" si="9"/>
        <v>0</v>
      </c>
      <c r="J206" s="655"/>
      <c r="K206" s="793"/>
      <c r="L206" s="661"/>
      <c r="M206" s="793"/>
      <c r="N206" s="661"/>
      <c r="O206" s="661"/>
      <c r="P206" s="603"/>
    </row>
    <row r="207" spans="1:16">
      <c r="A207" s="285"/>
      <c r="B207" s="285"/>
      <c r="C207" s="651">
        <f>IF(D186="","-",+C206+1)</f>
        <v>2026</v>
      </c>
      <c r="D207" s="602">
        <f t="shared" si="11"/>
        <v>1705887.860666668</v>
      </c>
      <c r="E207" s="658">
        <f t="shared" si="10"/>
        <v>55028.640666666666</v>
      </c>
      <c r="F207" s="602">
        <f t="shared" si="6"/>
        <v>1650859.2200000014</v>
      </c>
      <c r="G207" s="1167">
        <f t="shared" si="7"/>
        <v>239443.53625649333</v>
      </c>
      <c r="H207" s="1170">
        <f t="shared" si="8"/>
        <v>239443.53625649333</v>
      </c>
      <c r="I207" s="655">
        <f t="shared" si="9"/>
        <v>0</v>
      </c>
      <c r="J207" s="655"/>
      <c r="K207" s="793"/>
      <c r="L207" s="661"/>
      <c r="M207" s="793"/>
      <c r="N207" s="661"/>
      <c r="O207" s="661"/>
      <c r="P207" s="603"/>
    </row>
    <row r="208" spans="1:16">
      <c r="A208" s="285"/>
      <c r="B208" s="285"/>
      <c r="C208" s="651">
        <f>IF(D186="","-",+C207+1)</f>
        <v>2027</v>
      </c>
      <c r="D208" s="602">
        <f t="shared" si="11"/>
        <v>1650859.2200000014</v>
      </c>
      <c r="E208" s="658">
        <f t="shared" si="10"/>
        <v>55028.640666666666</v>
      </c>
      <c r="F208" s="602">
        <f t="shared" si="6"/>
        <v>1595830.5793333347</v>
      </c>
      <c r="G208" s="1167">
        <f t="shared" si="7"/>
        <v>233397.14623715472</v>
      </c>
      <c r="H208" s="1170">
        <f t="shared" si="8"/>
        <v>233397.14623715472</v>
      </c>
      <c r="I208" s="655">
        <f t="shared" si="9"/>
        <v>0</v>
      </c>
      <c r="J208" s="655"/>
      <c r="K208" s="793"/>
      <c r="L208" s="661"/>
      <c r="M208" s="793"/>
      <c r="N208" s="661"/>
      <c r="O208" s="661"/>
      <c r="P208" s="603"/>
    </row>
    <row r="209" spans="1:16">
      <c r="A209" s="285"/>
      <c r="B209" s="285"/>
      <c r="C209" s="651">
        <f>IF(D186="","-",+C208+1)</f>
        <v>2028</v>
      </c>
      <c r="D209" s="602">
        <f t="shared" si="11"/>
        <v>1595830.5793333347</v>
      </c>
      <c r="E209" s="658">
        <f t="shared" si="10"/>
        <v>55028.640666666666</v>
      </c>
      <c r="F209" s="602">
        <f t="shared" si="6"/>
        <v>1540801.938666668</v>
      </c>
      <c r="G209" s="1167">
        <f t="shared" si="7"/>
        <v>227350.75621781618</v>
      </c>
      <c r="H209" s="1170">
        <f t="shared" si="8"/>
        <v>227350.75621781618</v>
      </c>
      <c r="I209" s="655">
        <f t="shared" si="9"/>
        <v>0</v>
      </c>
      <c r="J209" s="655"/>
      <c r="K209" s="793"/>
      <c r="L209" s="661"/>
      <c r="M209" s="793"/>
      <c r="N209" s="661"/>
      <c r="O209" s="661"/>
      <c r="P209" s="603"/>
    </row>
    <row r="210" spans="1:16">
      <c r="A210" s="285"/>
      <c r="B210" s="285"/>
      <c r="C210" s="651">
        <f>IF(D186="","-",+C209+1)</f>
        <v>2029</v>
      </c>
      <c r="D210" s="602">
        <f t="shared" si="11"/>
        <v>1540801.938666668</v>
      </c>
      <c r="E210" s="658">
        <f t="shared" si="10"/>
        <v>55028.640666666666</v>
      </c>
      <c r="F210" s="602">
        <f t="shared" si="6"/>
        <v>1485773.2980000013</v>
      </c>
      <c r="G210" s="1167">
        <f t="shared" si="7"/>
        <v>221304.36619847757</v>
      </c>
      <c r="H210" s="1170">
        <f t="shared" si="8"/>
        <v>221304.36619847757</v>
      </c>
      <c r="I210" s="655">
        <f t="shared" si="9"/>
        <v>0</v>
      </c>
      <c r="J210" s="655"/>
      <c r="K210" s="793"/>
      <c r="L210" s="661"/>
      <c r="M210" s="793"/>
      <c r="N210" s="661"/>
      <c r="O210" s="661"/>
      <c r="P210" s="603"/>
    </row>
    <row r="211" spans="1:16">
      <c r="A211" s="285"/>
      <c r="B211" s="285"/>
      <c r="C211" s="651">
        <f>IF(D186="","-",+C210+1)</f>
        <v>2030</v>
      </c>
      <c r="D211" s="602">
        <f t="shared" si="11"/>
        <v>1485773.2980000013</v>
      </c>
      <c r="E211" s="658">
        <f t="shared" si="10"/>
        <v>55028.640666666666</v>
      </c>
      <c r="F211" s="602">
        <f t="shared" si="6"/>
        <v>1430744.6573333347</v>
      </c>
      <c r="G211" s="1167">
        <f t="shared" si="7"/>
        <v>215257.97617913902</v>
      </c>
      <c r="H211" s="1170">
        <f t="shared" si="8"/>
        <v>215257.97617913902</v>
      </c>
      <c r="I211" s="655">
        <f t="shared" si="9"/>
        <v>0</v>
      </c>
      <c r="J211" s="655"/>
      <c r="K211" s="793"/>
      <c r="L211" s="661"/>
      <c r="M211" s="793"/>
      <c r="N211" s="661"/>
      <c r="O211" s="661"/>
      <c r="P211" s="603"/>
    </row>
    <row r="212" spans="1:16">
      <c r="A212" s="285"/>
      <c r="B212" s="285"/>
      <c r="C212" s="651">
        <f>IF(D186="","-",+C211+1)</f>
        <v>2031</v>
      </c>
      <c r="D212" s="602">
        <f t="shared" si="11"/>
        <v>1430744.6573333347</v>
      </c>
      <c r="E212" s="658">
        <f t="shared" si="10"/>
        <v>55028.640666666666</v>
      </c>
      <c r="F212" s="602">
        <f t="shared" si="6"/>
        <v>1375716.016666668</v>
      </c>
      <c r="G212" s="1167">
        <f t="shared" si="7"/>
        <v>209211.58615980044</v>
      </c>
      <c r="H212" s="1170">
        <f t="shared" si="8"/>
        <v>209211.58615980044</v>
      </c>
      <c r="I212" s="655">
        <f t="shared" si="9"/>
        <v>0</v>
      </c>
      <c r="J212" s="655"/>
      <c r="K212" s="793"/>
      <c r="L212" s="661"/>
      <c r="M212" s="793"/>
      <c r="N212" s="661"/>
      <c r="O212" s="661"/>
      <c r="P212" s="603"/>
    </row>
    <row r="213" spans="1:16">
      <c r="A213" s="285"/>
      <c r="B213" s="285"/>
      <c r="C213" s="651">
        <f>IF(D186="","-",+C212+1)</f>
        <v>2032</v>
      </c>
      <c r="D213" s="602">
        <f t="shared" si="11"/>
        <v>1375716.016666668</v>
      </c>
      <c r="E213" s="658">
        <f t="shared" si="10"/>
        <v>55028.640666666666</v>
      </c>
      <c r="F213" s="602">
        <f t="shared" si="6"/>
        <v>1320687.3760000013</v>
      </c>
      <c r="G213" s="1167">
        <f t="shared" si="7"/>
        <v>203165.19614046189</v>
      </c>
      <c r="H213" s="1170">
        <f t="shared" si="8"/>
        <v>203165.19614046189</v>
      </c>
      <c r="I213" s="655">
        <f t="shared" si="9"/>
        <v>0</v>
      </c>
      <c r="J213" s="655"/>
      <c r="K213" s="793"/>
      <c r="L213" s="661"/>
      <c r="M213" s="793"/>
      <c r="N213" s="661"/>
      <c r="O213" s="661"/>
      <c r="P213" s="603"/>
    </row>
    <row r="214" spans="1:16">
      <c r="A214" s="285"/>
      <c r="B214" s="285"/>
      <c r="C214" s="651">
        <f>IF(D186="","-",+C213+1)</f>
        <v>2033</v>
      </c>
      <c r="D214" s="602">
        <f t="shared" si="11"/>
        <v>1320687.3760000013</v>
      </c>
      <c r="E214" s="658">
        <f t="shared" si="10"/>
        <v>55028.640666666666</v>
      </c>
      <c r="F214" s="602">
        <f t="shared" si="6"/>
        <v>1265658.7353333347</v>
      </c>
      <c r="G214" s="1167">
        <f t="shared" si="7"/>
        <v>197118.80612112329</v>
      </c>
      <c r="H214" s="1170">
        <f t="shared" si="8"/>
        <v>197118.80612112329</v>
      </c>
      <c r="I214" s="655">
        <f t="shared" si="9"/>
        <v>0</v>
      </c>
      <c r="J214" s="655"/>
      <c r="K214" s="793"/>
      <c r="L214" s="661"/>
      <c r="M214" s="793"/>
      <c r="N214" s="661"/>
      <c r="O214" s="661"/>
      <c r="P214" s="603"/>
    </row>
    <row r="215" spans="1:16">
      <c r="A215" s="285"/>
      <c r="B215" s="285"/>
      <c r="C215" s="651">
        <f>IF(D186="","-",+C214+1)</f>
        <v>2034</v>
      </c>
      <c r="D215" s="602">
        <f t="shared" si="11"/>
        <v>1265658.7353333347</v>
      </c>
      <c r="E215" s="658">
        <f t="shared" si="10"/>
        <v>55028.640666666666</v>
      </c>
      <c r="F215" s="602">
        <f t="shared" si="6"/>
        <v>1210630.094666668</v>
      </c>
      <c r="G215" s="1167">
        <f t="shared" si="7"/>
        <v>191072.41610178474</v>
      </c>
      <c r="H215" s="1170">
        <f t="shared" si="8"/>
        <v>191072.41610178474</v>
      </c>
      <c r="I215" s="655">
        <f t="shared" si="9"/>
        <v>0</v>
      </c>
      <c r="J215" s="655"/>
      <c r="K215" s="793"/>
      <c r="L215" s="661"/>
      <c r="M215" s="793"/>
      <c r="N215" s="661"/>
      <c r="O215" s="661"/>
      <c r="P215" s="603"/>
    </row>
    <row r="216" spans="1:16">
      <c r="A216" s="285"/>
      <c r="B216" s="285"/>
      <c r="C216" s="651">
        <f>IF(D186="","-",+C215+1)</f>
        <v>2035</v>
      </c>
      <c r="D216" s="602">
        <f t="shared" si="11"/>
        <v>1210630.094666668</v>
      </c>
      <c r="E216" s="658">
        <f t="shared" si="10"/>
        <v>55028.640666666666</v>
      </c>
      <c r="F216" s="602">
        <f t="shared" si="6"/>
        <v>1155601.4540000013</v>
      </c>
      <c r="G216" s="1167">
        <f t="shared" si="7"/>
        <v>185026.02608244613</v>
      </c>
      <c r="H216" s="1170">
        <f t="shared" si="8"/>
        <v>185026.02608244613</v>
      </c>
      <c r="I216" s="655">
        <f t="shared" si="9"/>
        <v>0</v>
      </c>
      <c r="J216" s="655"/>
      <c r="K216" s="793"/>
      <c r="L216" s="661"/>
      <c r="M216" s="793"/>
      <c r="N216" s="661"/>
      <c r="O216" s="661"/>
      <c r="P216" s="603"/>
    </row>
    <row r="217" spans="1:16">
      <c r="A217" s="285"/>
      <c r="B217" s="285"/>
      <c r="C217" s="651">
        <f>IF(D186="","-",+C216+1)</f>
        <v>2036</v>
      </c>
      <c r="D217" s="602">
        <f t="shared" si="11"/>
        <v>1155601.4540000013</v>
      </c>
      <c r="E217" s="658">
        <f t="shared" si="10"/>
        <v>55028.640666666666</v>
      </c>
      <c r="F217" s="602">
        <f t="shared" si="6"/>
        <v>1100572.8133333346</v>
      </c>
      <c r="G217" s="1167">
        <f t="shared" si="7"/>
        <v>178979.63606310758</v>
      </c>
      <c r="H217" s="1170">
        <f t="shared" si="8"/>
        <v>178979.63606310758</v>
      </c>
      <c r="I217" s="655">
        <f t="shared" si="9"/>
        <v>0</v>
      </c>
      <c r="J217" s="655"/>
      <c r="K217" s="793"/>
      <c r="L217" s="661"/>
      <c r="M217" s="793"/>
      <c r="N217" s="661"/>
      <c r="O217" s="661"/>
      <c r="P217" s="603"/>
    </row>
    <row r="218" spans="1:16">
      <c r="A218" s="285"/>
      <c r="B218" s="285"/>
      <c r="C218" s="651">
        <f>IF(D186="","-",+C217+1)</f>
        <v>2037</v>
      </c>
      <c r="D218" s="602">
        <f t="shared" si="11"/>
        <v>1100572.8133333346</v>
      </c>
      <c r="E218" s="658">
        <f t="shared" si="10"/>
        <v>55028.640666666666</v>
      </c>
      <c r="F218" s="602">
        <f t="shared" si="6"/>
        <v>1045544.172666668</v>
      </c>
      <c r="G218" s="1167">
        <f t="shared" si="7"/>
        <v>172933.24604376897</v>
      </c>
      <c r="H218" s="1170">
        <f t="shared" si="8"/>
        <v>172933.24604376897</v>
      </c>
      <c r="I218" s="655">
        <f t="shared" si="9"/>
        <v>0</v>
      </c>
      <c r="J218" s="655"/>
      <c r="K218" s="793"/>
      <c r="L218" s="661"/>
      <c r="M218" s="793"/>
      <c r="N218" s="661"/>
      <c r="O218" s="661"/>
      <c r="P218" s="603"/>
    </row>
    <row r="219" spans="1:16">
      <c r="A219" s="285"/>
      <c r="B219" s="285"/>
      <c r="C219" s="651">
        <f>IF(D186="","-",+C218+1)</f>
        <v>2038</v>
      </c>
      <c r="D219" s="602">
        <f t="shared" si="11"/>
        <v>1045544.172666668</v>
      </c>
      <c r="E219" s="658">
        <f t="shared" si="10"/>
        <v>55028.640666666666</v>
      </c>
      <c r="F219" s="602">
        <f t="shared" si="6"/>
        <v>990515.53200000129</v>
      </c>
      <c r="G219" s="1167">
        <f t="shared" si="7"/>
        <v>166886.85602443042</v>
      </c>
      <c r="H219" s="1170">
        <f t="shared" si="8"/>
        <v>166886.85602443042</v>
      </c>
      <c r="I219" s="655">
        <f t="shared" si="9"/>
        <v>0</v>
      </c>
      <c r="J219" s="655"/>
      <c r="K219" s="793"/>
      <c r="L219" s="661"/>
      <c r="M219" s="793"/>
      <c r="N219" s="661"/>
      <c r="O219" s="661"/>
      <c r="P219" s="603"/>
    </row>
    <row r="220" spans="1:16">
      <c r="A220" s="285"/>
      <c r="B220" s="285"/>
      <c r="C220" s="651">
        <f>IF(D186="","-",+C219+1)</f>
        <v>2039</v>
      </c>
      <c r="D220" s="602">
        <f t="shared" si="11"/>
        <v>990515.53200000129</v>
      </c>
      <c r="E220" s="658">
        <f t="shared" si="10"/>
        <v>55028.640666666666</v>
      </c>
      <c r="F220" s="602">
        <f t="shared" si="6"/>
        <v>935486.89133333461</v>
      </c>
      <c r="G220" s="1176">
        <f t="shared" si="7"/>
        <v>160840.46600509185</v>
      </c>
      <c r="H220" s="1170">
        <f t="shared" si="8"/>
        <v>160840.46600509185</v>
      </c>
      <c r="I220" s="655">
        <f t="shared" si="9"/>
        <v>0</v>
      </c>
      <c r="J220" s="655"/>
      <c r="K220" s="793"/>
      <c r="L220" s="661"/>
      <c r="M220" s="793"/>
      <c r="N220" s="661"/>
      <c r="O220" s="661"/>
      <c r="P220" s="603"/>
    </row>
    <row r="221" spans="1:16">
      <c r="A221" s="285"/>
      <c r="B221" s="285"/>
      <c r="C221" s="651">
        <f>IF(D186="","-",+C220+1)</f>
        <v>2040</v>
      </c>
      <c r="D221" s="602">
        <f t="shared" si="11"/>
        <v>935486.89133333461</v>
      </c>
      <c r="E221" s="658">
        <f t="shared" si="10"/>
        <v>55028.640666666666</v>
      </c>
      <c r="F221" s="602">
        <f t="shared" si="6"/>
        <v>880458.25066666794</v>
      </c>
      <c r="G221" s="1167">
        <f t="shared" si="7"/>
        <v>154794.07598575327</v>
      </c>
      <c r="H221" s="1170">
        <f t="shared" si="8"/>
        <v>154794.07598575327</v>
      </c>
      <c r="I221" s="655">
        <f t="shared" si="9"/>
        <v>0</v>
      </c>
      <c r="J221" s="655"/>
      <c r="K221" s="793"/>
      <c r="L221" s="661"/>
      <c r="M221" s="793"/>
      <c r="N221" s="661"/>
      <c r="O221" s="661"/>
      <c r="P221" s="603"/>
    </row>
    <row r="222" spans="1:16">
      <c r="A222" s="285"/>
      <c r="B222" s="285"/>
      <c r="C222" s="651">
        <f>IF(D186="","-",+C221+1)</f>
        <v>2041</v>
      </c>
      <c r="D222" s="602">
        <f t="shared" si="11"/>
        <v>880458.25066666794</v>
      </c>
      <c r="E222" s="658">
        <f t="shared" si="10"/>
        <v>55028.640666666666</v>
      </c>
      <c r="F222" s="602">
        <f t="shared" si="6"/>
        <v>825429.61000000127</v>
      </c>
      <c r="G222" s="1167">
        <f t="shared" si="7"/>
        <v>148747.68596641469</v>
      </c>
      <c r="H222" s="1170">
        <f t="shared" si="8"/>
        <v>148747.68596641469</v>
      </c>
      <c r="I222" s="655">
        <f t="shared" si="9"/>
        <v>0</v>
      </c>
      <c r="J222" s="655"/>
      <c r="K222" s="793"/>
      <c r="L222" s="661"/>
      <c r="M222" s="793"/>
      <c r="N222" s="661"/>
      <c r="O222" s="661"/>
      <c r="P222" s="603"/>
    </row>
    <row r="223" spans="1:16">
      <c r="A223" s="285"/>
      <c r="B223" s="285"/>
      <c r="C223" s="651">
        <f>IF(D186="","-",+C222+1)</f>
        <v>2042</v>
      </c>
      <c r="D223" s="602">
        <f t="shared" si="11"/>
        <v>825429.61000000127</v>
      </c>
      <c r="E223" s="658">
        <f t="shared" si="10"/>
        <v>55028.640666666666</v>
      </c>
      <c r="F223" s="602">
        <f t="shared" si="6"/>
        <v>770400.96933333459</v>
      </c>
      <c r="G223" s="1167">
        <f t="shared" si="7"/>
        <v>142701.29594707611</v>
      </c>
      <c r="H223" s="1170">
        <f t="shared" si="8"/>
        <v>142701.29594707611</v>
      </c>
      <c r="I223" s="655">
        <f t="shared" si="9"/>
        <v>0</v>
      </c>
      <c r="J223" s="655"/>
      <c r="K223" s="793"/>
      <c r="L223" s="661"/>
      <c r="M223" s="793"/>
      <c r="N223" s="661"/>
      <c r="O223" s="661"/>
      <c r="P223" s="603"/>
    </row>
    <row r="224" spans="1:16">
      <c r="A224" s="285"/>
      <c r="B224" s="285"/>
      <c r="C224" s="651">
        <f>IF(D186="","-",+C223+1)</f>
        <v>2043</v>
      </c>
      <c r="D224" s="602">
        <f t="shared" si="11"/>
        <v>770400.96933333459</v>
      </c>
      <c r="E224" s="658">
        <f t="shared" si="10"/>
        <v>55028.640666666666</v>
      </c>
      <c r="F224" s="602">
        <f t="shared" si="6"/>
        <v>715372.32866666792</v>
      </c>
      <c r="G224" s="1167">
        <f t="shared" si="7"/>
        <v>136654.90592773753</v>
      </c>
      <c r="H224" s="1170">
        <f t="shared" si="8"/>
        <v>136654.90592773753</v>
      </c>
      <c r="I224" s="655">
        <f t="shared" si="9"/>
        <v>0</v>
      </c>
      <c r="J224" s="655"/>
      <c r="K224" s="793"/>
      <c r="L224" s="661"/>
      <c r="M224" s="793"/>
      <c r="N224" s="661"/>
      <c r="O224" s="661"/>
      <c r="P224" s="603"/>
    </row>
    <row r="225" spans="1:16">
      <c r="A225" s="285"/>
      <c r="B225" s="285"/>
      <c r="C225" s="651">
        <f>IF(D186="","-",+C224+1)</f>
        <v>2044</v>
      </c>
      <c r="D225" s="602">
        <f t="shared" si="11"/>
        <v>715372.32866666792</v>
      </c>
      <c r="E225" s="658">
        <f t="shared" si="10"/>
        <v>55028.640666666666</v>
      </c>
      <c r="F225" s="602">
        <f t="shared" si="6"/>
        <v>660343.68800000125</v>
      </c>
      <c r="G225" s="1167">
        <f t="shared" si="7"/>
        <v>130608.51590839896</v>
      </c>
      <c r="H225" s="1170">
        <f t="shared" si="8"/>
        <v>130608.51590839896</v>
      </c>
      <c r="I225" s="655">
        <f t="shared" si="9"/>
        <v>0</v>
      </c>
      <c r="J225" s="655"/>
      <c r="K225" s="793"/>
      <c r="L225" s="661"/>
      <c r="M225" s="793"/>
      <c r="N225" s="661"/>
      <c r="O225" s="661"/>
      <c r="P225" s="603"/>
    </row>
    <row r="226" spans="1:16">
      <c r="A226" s="285"/>
      <c r="B226" s="285"/>
      <c r="C226" s="651">
        <f>IF(D186="","-",+C225+1)</f>
        <v>2045</v>
      </c>
      <c r="D226" s="602">
        <f t="shared" si="11"/>
        <v>660343.68800000125</v>
      </c>
      <c r="E226" s="658">
        <f t="shared" si="10"/>
        <v>55028.640666666666</v>
      </c>
      <c r="F226" s="602">
        <f t="shared" si="6"/>
        <v>605315.04733333457</v>
      </c>
      <c r="G226" s="1167">
        <f t="shared" si="7"/>
        <v>124562.12588906041</v>
      </c>
      <c r="H226" s="1170">
        <f t="shared" si="8"/>
        <v>124562.12588906041</v>
      </c>
      <c r="I226" s="655">
        <f t="shared" si="9"/>
        <v>0</v>
      </c>
      <c r="J226" s="655"/>
      <c r="K226" s="793"/>
      <c r="L226" s="661"/>
      <c r="M226" s="793"/>
      <c r="N226" s="661"/>
      <c r="O226" s="661"/>
      <c r="P226" s="603"/>
    </row>
    <row r="227" spans="1:16">
      <c r="A227" s="285"/>
      <c r="B227" s="285"/>
      <c r="C227" s="651">
        <f>IF(D186="","-",+C226+1)</f>
        <v>2046</v>
      </c>
      <c r="D227" s="602">
        <f t="shared" si="11"/>
        <v>605315.04733333457</v>
      </c>
      <c r="E227" s="658">
        <f t="shared" si="10"/>
        <v>55028.640666666666</v>
      </c>
      <c r="F227" s="602">
        <f t="shared" si="6"/>
        <v>550286.4066666679</v>
      </c>
      <c r="G227" s="1167">
        <f t="shared" si="7"/>
        <v>118515.73586972183</v>
      </c>
      <c r="H227" s="1170">
        <f t="shared" si="8"/>
        <v>118515.73586972183</v>
      </c>
      <c r="I227" s="655">
        <f t="shared" si="9"/>
        <v>0</v>
      </c>
      <c r="J227" s="655"/>
      <c r="K227" s="793"/>
      <c r="L227" s="661"/>
      <c r="M227" s="793"/>
      <c r="N227" s="661"/>
      <c r="O227" s="661"/>
      <c r="P227" s="603"/>
    </row>
    <row r="228" spans="1:16">
      <c r="A228" s="285"/>
      <c r="B228" s="285"/>
      <c r="C228" s="651">
        <f>IF(D186="","-",+C227+1)</f>
        <v>2047</v>
      </c>
      <c r="D228" s="602">
        <f t="shared" si="11"/>
        <v>550286.4066666679</v>
      </c>
      <c r="E228" s="658">
        <f t="shared" si="10"/>
        <v>55028.640666666666</v>
      </c>
      <c r="F228" s="602">
        <f t="shared" si="6"/>
        <v>495257.76600000123</v>
      </c>
      <c r="G228" s="1167">
        <f t="shared" si="7"/>
        <v>112469.34585038325</v>
      </c>
      <c r="H228" s="1170">
        <f t="shared" si="8"/>
        <v>112469.34585038325</v>
      </c>
      <c r="I228" s="655">
        <f t="shared" si="9"/>
        <v>0</v>
      </c>
      <c r="J228" s="655"/>
      <c r="K228" s="793"/>
      <c r="L228" s="661"/>
      <c r="M228" s="793"/>
      <c r="N228" s="661"/>
      <c r="O228" s="661"/>
      <c r="P228" s="603"/>
    </row>
    <row r="229" spans="1:16">
      <c r="A229" s="285"/>
      <c r="B229" s="285"/>
      <c r="C229" s="651">
        <f>IF(D186="","-",+C228+1)</f>
        <v>2048</v>
      </c>
      <c r="D229" s="602">
        <f t="shared" si="11"/>
        <v>495257.76600000123</v>
      </c>
      <c r="E229" s="658">
        <f t="shared" si="10"/>
        <v>55028.640666666666</v>
      </c>
      <c r="F229" s="602">
        <f t="shared" si="6"/>
        <v>440229.12533333455</v>
      </c>
      <c r="G229" s="1167">
        <f t="shared" si="7"/>
        <v>106422.95583104467</v>
      </c>
      <c r="H229" s="1170">
        <f t="shared" si="8"/>
        <v>106422.95583104467</v>
      </c>
      <c r="I229" s="655">
        <f t="shared" si="9"/>
        <v>0</v>
      </c>
      <c r="J229" s="655"/>
      <c r="K229" s="793"/>
      <c r="L229" s="661"/>
      <c r="M229" s="793"/>
      <c r="N229" s="661"/>
      <c r="O229" s="661"/>
      <c r="P229" s="603"/>
    </row>
    <row r="230" spans="1:16">
      <c r="A230" s="285"/>
      <c r="B230" s="285"/>
      <c r="C230" s="651">
        <f>IF(D186="","-",+C229+1)</f>
        <v>2049</v>
      </c>
      <c r="D230" s="602">
        <f t="shared" si="11"/>
        <v>440229.12533333455</v>
      </c>
      <c r="E230" s="658">
        <f t="shared" si="10"/>
        <v>55028.640666666666</v>
      </c>
      <c r="F230" s="602">
        <f t="shared" si="6"/>
        <v>385200.48466666788</v>
      </c>
      <c r="G230" s="1167">
        <f t="shared" si="7"/>
        <v>100376.5658117061</v>
      </c>
      <c r="H230" s="1170">
        <f t="shared" si="8"/>
        <v>100376.5658117061</v>
      </c>
      <c r="I230" s="655">
        <f t="shared" si="9"/>
        <v>0</v>
      </c>
      <c r="J230" s="655"/>
      <c r="K230" s="793"/>
      <c r="L230" s="661"/>
      <c r="M230" s="793"/>
      <c r="N230" s="661"/>
      <c r="O230" s="661"/>
      <c r="P230" s="603"/>
    </row>
    <row r="231" spans="1:16">
      <c r="A231" s="285"/>
      <c r="B231" s="285"/>
      <c r="C231" s="651">
        <f>IF(D186="","-",+C230+1)</f>
        <v>2050</v>
      </c>
      <c r="D231" s="602">
        <f t="shared" si="11"/>
        <v>385200.48466666788</v>
      </c>
      <c r="E231" s="658">
        <f t="shared" si="10"/>
        <v>55028.640666666666</v>
      </c>
      <c r="F231" s="602">
        <f t="shared" si="6"/>
        <v>330171.84400000121</v>
      </c>
      <c r="G231" s="1167">
        <f t="shared" si="7"/>
        <v>94330.175792367518</v>
      </c>
      <c r="H231" s="1170">
        <f t="shared" si="8"/>
        <v>94330.175792367518</v>
      </c>
      <c r="I231" s="655">
        <f t="shared" si="9"/>
        <v>0</v>
      </c>
      <c r="J231" s="655"/>
      <c r="K231" s="793"/>
      <c r="L231" s="661"/>
      <c r="M231" s="793"/>
      <c r="N231" s="661"/>
      <c r="O231" s="661"/>
      <c r="P231" s="603"/>
    </row>
    <row r="232" spans="1:16">
      <c r="A232" s="285"/>
      <c r="B232" s="285"/>
      <c r="C232" s="651">
        <f>IF(D186="","-",+C231+1)</f>
        <v>2051</v>
      </c>
      <c r="D232" s="602">
        <f t="shared" si="11"/>
        <v>330171.84400000121</v>
      </c>
      <c r="E232" s="658">
        <f t="shared" si="10"/>
        <v>55028.640666666666</v>
      </c>
      <c r="F232" s="602">
        <f t="shared" si="6"/>
        <v>275143.20333333453</v>
      </c>
      <c r="G232" s="1167">
        <f t="shared" si="7"/>
        <v>88283.785773028954</v>
      </c>
      <c r="H232" s="1170">
        <f t="shared" si="8"/>
        <v>88283.785773028954</v>
      </c>
      <c r="I232" s="655">
        <f t="shared" si="9"/>
        <v>0</v>
      </c>
      <c r="J232" s="655"/>
      <c r="K232" s="793"/>
      <c r="L232" s="661"/>
      <c r="M232" s="793"/>
      <c r="N232" s="661"/>
      <c r="O232" s="661"/>
      <c r="P232" s="603"/>
    </row>
    <row r="233" spans="1:16">
      <c r="A233" s="285"/>
      <c r="B233" s="285"/>
      <c r="C233" s="651">
        <f>IF(D186="","-",+C232+1)</f>
        <v>2052</v>
      </c>
      <c r="D233" s="602">
        <f t="shared" si="11"/>
        <v>275143.20333333453</v>
      </c>
      <c r="E233" s="658">
        <f t="shared" si="10"/>
        <v>55028.640666666666</v>
      </c>
      <c r="F233" s="602">
        <f t="shared" si="6"/>
        <v>220114.56266666786</v>
      </c>
      <c r="G233" s="1167">
        <f t="shared" si="7"/>
        <v>82237.395753690376</v>
      </c>
      <c r="H233" s="1170">
        <f t="shared" si="8"/>
        <v>82237.395753690376</v>
      </c>
      <c r="I233" s="655">
        <f t="shared" si="9"/>
        <v>0</v>
      </c>
      <c r="J233" s="655"/>
      <c r="K233" s="793"/>
      <c r="L233" s="661"/>
      <c r="M233" s="793"/>
      <c r="N233" s="661"/>
      <c r="O233" s="661"/>
      <c r="P233" s="603"/>
    </row>
    <row r="234" spans="1:16">
      <c r="A234" s="285"/>
      <c r="B234" s="285"/>
      <c r="C234" s="651">
        <f>IF(D186="","-",+C233+1)</f>
        <v>2053</v>
      </c>
      <c r="D234" s="602">
        <f t="shared" si="11"/>
        <v>220114.56266666786</v>
      </c>
      <c r="E234" s="658">
        <f t="shared" si="10"/>
        <v>55028.640666666666</v>
      </c>
      <c r="F234" s="602">
        <f t="shared" si="6"/>
        <v>165085.92200000118</v>
      </c>
      <c r="G234" s="1167">
        <f t="shared" si="7"/>
        <v>76191.005734351798</v>
      </c>
      <c r="H234" s="1170">
        <f t="shared" si="8"/>
        <v>76191.005734351798</v>
      </c>
      <c r="I234" s="655">
        <f t="shared" si="9"/>
        <v>0</v>
      </c>
      <c r="J234" s="655"/>
      <c r="K234" s="793"/>
      <c r="L234" s="661"/>
      <c r="M234" s="793"/>
      <c r="N234" s="661"/>
      <c r="O234" s="661"/>
      <c r="P234" s="603"/>
    </row>
    <row r="235" spans="1:16">
      <c r="A235" s="285"/>
      <c r="B235" s="285"/>
      <c r="C235" s="651">
        <f>IF(D186="","-",+C234+1)</f>
        <v>2054</v>
      </c>
      <c r="D235" s="602">
        <f t="shared" si="11"/>
        <v>165085.92200000118</v>
      </c>
      <c r="E235" s="658">
        <f t="shared" si="10"/>
        <v>55028.640666666666</v>
      </c>
      <c r="F235" s="602">
        <f t="shared" si="6"/>
        <v>110057.28133333451</v>
      </c>
      <c r="G235" s="1167">
        <f t="shared" si="7"/>
        <v>70144.615715013235</v>
      </c>
      <c r="H235" s="1170">
        <f t="shared" si="8"/>
        <v>70144.615715013235</v>
      </c>
      <c r="I235" s="655">
        <f t="shared" si="9"/>
        <v>0</v>
      </c>
      <c r="J235" s="655"/>
      <c r="K235" s="793"/>
      <c r="L235" s="661"/>
      <c r="M235" s="793"/>
      <c r="N235" s="661"/>
      <c r="O235" s="661"/>
      <c r="P235" s="603"/>
    </row>
    <row r="236" spans="1:16">
      <c r="A236" s="285"/>
      <c r="B236" s="285"/>
      <c r="C236" s="651">
        <f>IF(D186="","-",+C235+1)</f>
        <v>2055</v>
      </c>
      <c r="D236" s="602">
        <f t="shared" si="11"/>
        <v>110057.28133333451</v>
      </c>
      <c r="E236" s="658">
        <f t="shared" si="10"/>
        <v>55028.640666666666</v>
      </c>
      <c r="F236" s="602">
        <f t="shared" si="6"/>
        <v>55028.640666667845</v>
      </c>
      <c r="G236" s="1167">
        <f t="shared" si="7"/>
        <v>64098.225695674657</v>
      </c>
      <c r="H236" s="1170">
        <f t="shared" si="8"/>
        <v>64098.225695674657</v>
      </c>
      <c r="I236" s="655">
        <f t="shared" si="9"/>
        <v>0</v>
      </c>
      <c r="J236" s="655"/>
      <c r="K236" s="793"/>
      <c r="L236" s="661"/>
      <c r="M236" s="793"/>
      <c r="N236" s="661"/>
      <c r="O236" s="661"/>
      <c r="P236" s="603"/>
    </row>
    <row r="237" spans="1:16">
      <c r="A237" s="285"/>
      <c r="B237" s="285"/>
      <c r="C237" s="651">
        <f>IF(D186="","-",+C236+1)</f>
        <v>2056</v>
      </c>
      <c r="D237" s="602">
        <f t="shared" si="11"/>
        <v>55028.640666667845</v>
      </c>
      <c r="E237" s="658">
        <f t="shared" si="10"/>
        <v>55028.640666666666</v>
      </c>
      <c r="F237" s="602">
        <f t="shared" si="6"/>
        <v>1.178705133497715E-9</v>
      </c>
      <c r="G237" s="1167">
        <f t="shared" si="7"/>
        <v>58051.835676336079</v>
      </c>
      <c r="H237" s="1170">
        <f t="shared" si="8"/>
        <v>58051.835676336079</v>
      </c>
      <c r="I237" s="655">
        <f t="shared" si="9"/>
        <v>0</v>
      </c>
      <c r="J237" s="655"/>
      <c r="K237" s="793"/>
      <c r="L237" s="661"/>
      <c r="M237" s="793"/>
      <c r="N237" s="661"/>
      <c r="O237" s="661"/>
      <c r="P237" s="603"/>
    </row>
    <row r="238" spans="1:16">
      <c r="A238" s="285"/>
      <c r="B238" s="285"/>
      <c r="C238" s="651">
        <f>IF(D186="","-",+C237+1)</f>
        <v>2057</v>
      </c>
      <c r="D238" s="602">
        <f t="shared" si="11"/>
        <v>1.178705133497715E-9</v>
      </c>
      <c r="E238" s="658">
        <f t="shared" si="10"/>
        <v>1.178705133497715E-9</v>
      </c>
      <c r="F238" s="602">
        <f t="shared" si="6"/>
        <v>0</v>
      </c>
      <c r="G238" s="1167">
        <f t="shared" si="7"/>
        <v>1.2434615118906926E-9</v>
      </c>
      <c r="H238" s="1170">
        <f t="shared" si="8"/>
        <v>1.2434615118906926E-9</v>
      </c>
      <c r="I238" s="655">
        <f t="shared" si="9"/>
        <v>0</v>
      </c>
      <c r="J238" s="655"/>
      <c r="K238" s="793"/>
      <c r="L238" s="661"/>
      <c r="M238" s="793"/>
      <c r="N238" s="661"/>
      <c r="O238" s="661"/>
      <c r="P238" s="603"/>
    </row>
    <row r="239" spans="1:16">
      <c r="A239" s="285"/>
      <c r="B239" s="285"/>
      <c r="C239" s="651">
        <f>IF(D186="","-",+C238+1)</f>
        <v>2058</v>
      </c>
      <c r="D239" s="602">
        <f t="shared" si="11"/>
        <v>0</v>
      </c>
      <c r="E239" s="658">
        <f t="shared" si="10"/>
        <v>0</v>
      </c>
      <c r="F239" s="602">
        <f t="shared" si="6"/>
        <v>0</v>
      </c>
      <c r="G239" s="1167">
        <f t="shared" si="7"/>
        <v>0</v>
      </c>
      <c r="H239" s="1170">
        <f t="shared" si="8"/>
        <v>0</v>
      </c>
      <c r="I239" s="655">
        <f t="shared" si="9"/>
        <v>0</v>
      </c>
      <c r="J239" s="655"/>
      <c r="K239" s="793"/>
      <c r="L239" s="661"/>
      <c r="M239" s="793"/>
      <c r="N239" s="661"/>
      <c r="O239" s="661"/>
      <c r="P239" s="603"/>
    </row>
    <row r="240" spans="1:16">
      <c r="A240" s="285"/>
      <c r="B240" s="285"/>
      <c r="C240" s="651">
        <f>IF(D186="","-",+C239+1)</f>
        <v>2059</v>
      </c>
      <c r="D240" s="602">
        <f t="shared" si="11"/>
        <v>0</v>
      </c>
      <c r="E240" s="658">
        <f t="shared" si="10"/>
        <v>0</v>
      </c>
      <c r="F240" s="602">
        <f t="shared" si="6"/>
        <v>0</v>
      </c>
      <c r="G240" s="1167">
        <f t="shared" si="7"/>
        <v>0</v>
      </c>
      <c r="H240" s="1170">
        <f t="shared" si="8"/>
        <v>0</v>
      </c>
      <c r="I240" s="655">
        <f t="shared" si="9"/>
        <v>0</v>
      </c>
      <c r="J240" s="655"/>
      <c r="K240" s="793"/>
      <c r="L240" s="661"/>
      <c r="M240" s="793"/>
      <c r="N240" s="661"/>
      <c r="O240" s="661"/>
      <c r="P240" s="603"/>
    </row>
    <row r="241" spans="1:16">
      <c r="A241" s="285"/>
      <c r="B241" s="285"/>
      <c r="C241" s="651">
        <f>IF(D186="","-",+C240+1)</f>
        <v>2060</v>
      </c>
      <c r="D241" s="602">
        <f t="shared" si="11"/>
        <v>0</v>
      </c>
      <c r="E241" s="658">
        <f t="shared" si="10"/>
        <v>0</v>
      </c>
      <c r="F241" s="602">
        <f t="shared" si="6"/>
        <v>0</v>
      </c>
      <c r="G241" s="1167">
        <f t="shared" si="7"/>
        <v>0</v>
      </c>
      <c r="H241" s="1170">
        <f t="shared" si="8"/>
        <v>0</v>
      </c>
      <c r="I241" s="655">
        <f t="shared" si="9"/>
        <v>0</v>
      </c>
      <c r="J241" s="655"/>
      <c r="K241" s="793"/>
      <c r="L241" s="661"/>
      <c r="M241" s="793"/>
      <c r="N241" s="661"/>
      <c r="O241" s="661"/>
      <c r="P241" s="603"/>
    </row>
    <row r="242" spans="1:16">
      <c r="A242" s="285"/>
      <c r="B242" s="285"/>
      <c r="C242" s="651">
        <f>IF(D186="","-",+C241+1)</f>
        <v>2061</v>
      </c>
      <c r="D242" s="602">
        <f t="shared" si="11"/>
        <v>0</v>
      </c>
      <c r="E242" s="658">
        <f t="shared" si="10"/>
        <v>0</v>
      </c>
      <c r="F242" s="602">
        <f t="shared" si="6"/>
        <v>0</v>
      </c>
      <c r="G242" s="1167">
        <f t="shared" si="7"/>
        <v>0</v>
      </c>
      <c r="H242" s="1170">
        <f t="shared" si="8"/>
        <v>0</v>
      </c>
      <c r="I242" s="655">
        <f t="shared" si="9"/>
        <v>0</v>
      </c>
      <c r="J242" s="655"/>
      <c r="K242" s="793"/>
      <c r="L242" s="661"/>
      <c r="M242" s="793"/>
      <c r="N242" s="661"/>
      <c r="O242" s="661"/>
      <c r="P242" s="603"/>
    </row>
    <row r="243" spans="1:16">
      <c r="A243" s="285"/>
      <c r="B243" s="285"/>
      <c r="C243" s="651">
        <f>IF(D186="","-",+C242+1)</f>
        <v>2062</v>
      </c>
      <c r="D243" s="602">
        <f t="shared" si="11"/>
        <v>0</v>
      </c>
      <c r="E243" s="658">
        <f t="shared" si="10"/>
        <v>0</v>
      </c>
      <c r="F243" s="602">
        <f t="shared" si="6"/>
        <v>0</v>
      </c>
      <c r="G243" s="1167">
        <f t="shared" si="7"/>
        <v>0</v>
      </c>
      <c r="H243" s="1170">
        <f t="shared" si="8"/>
        <v>0</v>
      </c>
      <c r="I243" s="655">
        <f t="shared" si="9"/>
        <v>0</v>
      </c>
      <c r="J243" s="655"/>
      <c r="K243" s="793"/>
      <c r="L243" s="661"/>
      <c r="M243" s="793"/>
      <c r="N243" s="661"/>
      <c r="O243" s="661"/>
      <c r="P243" s="603"/>
    </row>
    <row r="244" spans="1:16">
      <c r="A244" s="285"/>
      <c r="B244" s="285"/>
      <c r="C244" s="651">
        <f>IF(D186="","-",+C243+1)</f>
        <v>2063</v>
      </c>
      <c r="D244" s="602">
        <f t="shared" si="11"/>
        <v>0</v>
      </c>
      <c r="E244" s="658">
        <f t="shared" si="10"/>
        <v>0</v>
      </c>
      <c r="F244" s="602">
        <f t="shared" si="6"/>
        <v>0</v>
      </c>
      <c r="G244" s="1167">
        <f t="shared" si="7"/>
        <v>0</v>
      </c>
      <c r="H244" s="1170">
        <f t="shared" si="8"/>
        <v>0</v>
      </c>
      <c r="I244" s="655">
        <f t="shared" si="9"/>
        <v>0</v>
      </c>
      <c r="J244" s="655"/>
      <c r="K244" s="793"/>
      <c r="L244" s="661"/>
      <c r="M244" s="793"/>
      <c r="N244" s="661"/>
      <c r="O244" s="661"/>
      <c r="P244" s="603"/>
    </row>
    <row r="245" spans="1:16">
      <c r="A245" s="285"/>
      <c r="B245" s="285"/>
      <c r="C245" s="651">
        <f>IF(D186="","-",+C244+1)</f>
        <v>2064</v>
      </c>
      <c r="D245" s="602">
        <f t="shared" si="11"/>
        <v>0</v>
      </c>
      <c r="E245" s="658">
        <f t="shared" si="10"/>
        <v>0</v>
      </c>
      <c r="F245" s="602">
        <f t="shared" si="6"/>
        <v>0</v>
      </c>
      <c r="G245" s="1167">
        <f t="shared" si="7"/>
        <v>0</v>
      </c>
      <c r="H245" s="1170">
        <f t="shared" si="8"/>
        <v>0</v>
      </c>
      <c r="I245" s="655">
        <f t="shared" si="9"/>
        <v>0</v>
      </c>
      <c r="J245" s="655"/>
      <c r="K245" s="793"/>
      <c r="L245" s="661"/>
      <c r="M245" s="793"/>
      <c r="N245" s="661"/>
      <c r="O245" s="661"/>
      <c r="P245" s="603"/>
    </row>
    <row r="246" spans="1:16">
      <c r="A246" s="285"/>
      <c r="B246" s="285"/>
      <c r="C246" s="651">
        <f>IF(D186="","-",+C245+1)</f>
        <v>2065</v>
      </c>
      <c r="D246" s="602">
        <f t="shared" si="11"/>
        <v>0</v>
      </c>
      <c r="E246" s="658">
        <f t="shared" si="10"/>
        <v>0</v>
      </c>
      <c r="F246" s="602">
        <f t="shared" si="6"/>
        <v>0</v>
      </c>
      <c r="G246" s="1167">
        <f t="shared" si="7"/>
        <v>0</v>
      </c>
      <c r="H246" s="1170">
        <f t="shared" si="8"/>
        <v>0</v>
      </c>
      <c r="I246" s="655">
        <f t="shared" si="9"/>
        <v>0</v>
      </c>
      <c r="J246" s="655"/>
      <c r="K246" s="793"/>
      <c r="L246" s="661"/>
      <c r="M246" s="793"/>
      <c r="N246" s="661"/>
      <c r="O246" s="661"/>
      <c r="P246" s="603"/>
    </row>
    <row r="247" spans="1:16">
      <c r="A247" s="285"/>
      <c r="B247" s="285"/>
      <c r="C247" s="651">
        <f>IF(D186="","-",+C246+1)</f>
        <v>2066</v>
      </c>
      <c r="D247" s="602">
        <f t="shared" si="11"/>
        <v>0</v>
      </c>
      <c r="E247" s="658">
        <f t="shared" si="10"/>
        <v>0</v>
      </c>
      <c r="F247" s="602">
        <f t="shared" si="6"/>
        <v>0</v>
      </c>
      <c r="G247" s="1167">
        <f t="shared" si="7"/>
        <v>0</v>
      </c>
      <c r="H247" s="1170">
        <f t="shared" si="8"/>
        <v>0</v>
      </c>
      <c r="I247" s="655">
        <f t="shared" si="9"/>
        <v>0</v>
      </c>
      <c r="J247" s="655"/>
      <c r="K247" s="793"/>
      <c r="L247" s="661"/>
      <c r="M247" s="793"/>
      <c r="N247" s="661"/>
      <c r="O247" s="661"/>
      <c r="P247" s="603"/>
    </row>
    <row r="248" spans="1:16">
      <c r="A248" s="285"/>
      <c r="B248" s="285"/>
      <c r="C248" s="651">
        <f>IF(D186="","-",+C247+1)</f>
        <v>2067</v>
      </c>
      <c r="D248" s="602">
        <f t="shared" si="11"/>
        <v>0</v>
      </c>
      <c r="E248" s="658">
        <f t="shared" si="10"/>
        <v>0</v>
      </c>
      <c r="F248" s="602">
        <f t="shared" si="6"/>
        <v>0</v>
      </c>
      <c r="G248" s="1167">
        <f t="shared" si="7"/>
        <v>0</v>
      </c>
      <c r="H248" s="1170">
        <f t="shared" si="8"/>
        <v>0</v>
      </c>
      <c r="I248" s="655">
        <f t="shared" si="9"/>
        <v>0</v>
      </c>
      <c r="J248" s="655"/>
      <c r="K248" s="793"/>
      <c r="L248" s="661"/>
      <c r="M248" s="793"/>
      <c r="N248" s="661"/>
      <c r="O248" s="661"/>
      <c r="P248" s="603"/>
    </row>
    <row r="249" spans="1:16">
      <c r="A249" s="285"/>
      <c r="B249" s="285"/>
      <c r="C249" s="651">
        <f>IF(D186="","-",+C248+1)</f>
        <v>2068</v>
      </c>
      <c r="D249" s="602">
        <f t="shared" si="11"/>
        <v>0</v>
      </c>
      <c r="E249" s="658">
        <f t="shared" si="10"/>
        <v>0</v>
      </c>
      <c r="F249" s="602">
        <f t="shared" si="6"/>
        <v>0</v>
      </c>
      <c r="G249" s="1167">
        <f t="shared" si="7"/>
        <v>0</v>
      </c>
      <c r="H249" s="1170">
        <f t="shared" si="8"/>
        <v>0</v>
      </c>
      <c r="I249" s="655">
        <f t="shared" si="9"/>
        <v>0</v>
      </c>
      <c r="J249" s="655"/>
      <c r="K249" s="793"/>
      <c r="L249" s="661"/>
      <c r="M249" s="793"/>
      <c r="N249" s="661"/>
      <c r="O249" s="661"/>
      <c r="P249" s="603"/>
    </row>
    <row r="250" spans="1:16">
      <c r="A250" s="285"/>
      <c r="B250" s="285"/>
      <c r="C250" s="651">
        <f>IF(D186="","-",+C249+1)</f>
        <v>2069</v>
      </c>
      <c r="D250" s="602">
        <f t="shared" si="11"/>
        <v>0</v>
      </c>
      <c r="E250" s="658">
        <f t="shared" si="10"/>
        <v>0</v>
      </c>
      <c r="F250" s="602">
        <f t="shared" si="6"/>
        <v>0</v>
      </c>
      <c r="G250" s="1167">
        <f t="shared" si="7"/>
        <v>0</v>
      </c>
      <c r="H250" s="1170">
        <f t="shared" si="8"/>
        <v>0</v>
      </c>
      <c r="I250" s="655">
        <f t="shared" si="9"/>
        <v>0</v>
      </c>
      <c r="J250" s="655"/>
      <c r="K250" s="793"/>
      <c r="L250" s="661"/>
      <c r="M250" s="793"/>
      <c r="N250" s="661"/>
      <c r="O250" s="661"/>
      <c r="P250" s="603"/>
    </row>
    <row r="251" spans="1:16" ht="13.5" thickBot="1">
      <c r="A251" s="285"/>
      <c r="B251" s="285"/>
      <c r="C251" s="663">
        <f>IF(D186="","-",+C250+1)</f>
        <v>2070</v>
      </c>
      <c r="D251" s="664">
        <f t="shared" si="11"/>
        <v>0</v>
      </c>
      <c r="E251" s="665">
        <f t="shared" si="10"/>
        <v>0</v>
      </c>
      <c r="F251" s="664">
        <f t="shared" si="6"/>
        <v>0</v>
      </c>
      <c r="G251" s="1177">
        <f t="shared" si="7"/>
        <v>0</v>
      </c>
      <c r="H251" s="1177">
        <f t="shared" si="8"/>
        <v>0</v>
      </c>
      <c r="I251" s="667">
        <f t="shared" si="9"/>
        <v>0</v>
      </c>
      <c r="J251" s="655"/>
      <c r="K251" s="794"/>
      <c r="L251" s="669"/>
      <c r="M251" s="794"/>
      <c r="N251" s="669"/>
      <c r="O251" s="669"/>
      <c r="P251" s="603"/>
    </row>
    <row r="252" spans="1:16">
      <c r="A252" s="285"/>
      <c r="B252" s="285"/>
      <c r="C252" s="602" t="s">
        <v>288</v>
      </c>
      <c r="D252" s="1148"/>
      <c r="E252" s="1148">
        <f>SUM(E192:E251)</f>
        <v>2476288.83</v>
      </c>
      <c r="F252" s="1148"/>
      <c r="G252" s="1148">
        <f>SUM(G192:G251)</f>
        <v>8870346.2754505444</v>
      </c>
      <c r="H252" s="1148">
        <f>SUM(H192:H251)</f>
        <v>8870346.2754505444</v>
      </c>
      <c r="I252" s="1148">
        <f>SUM(I192:I251)</f>
        <v>0</v>
      </c>
      <c r="J252" s="1148"/>
      <c r="K252" s="1148"/>
      <c r="L252" s="1148"/>
      <c r="M252" s="1148"/>
      <c r="N252" s="1148"/>
      <c r="O252" s="480"/>
      <c r="P252" s="1148"/>
    </row>
    <row r="253" spans="1:16">
      <c r="A253" s="285"/>
      <c r="B253" s="285"/>
      <c r="C253" s="285"/>
      <c r="D253" s="496"/>
      <c r="E253" s="480"/>
      <c r="F253" s="480"/>
      <c r="G253" s="480"/>
      <c r="H253" s="1147"/>
      <c r="I253" s="1147"/>
      <c r="J253" s="1148"/>
      <c r="K253" s="1147"/>
      <c r="L253" s="1147"/>
      <c r="M253" s="1147"/>
      <c r="N253" s="1147"/>
      <c r="O253" s="480"/>
      <c r="P253" s="1148"/>
    </row>
    <row r="254" spans="1:16">
      <c r="A254" s="285"/>
      <c r="B254" s="285"/>
      <c r="C254" s="480" t="s">
        <v>601</v>
      </c>
      <c r="D254" s="496"/>
      <c r="E254" s="480"/>
      <c r="F254" s="480"/>
      <c r="G254" s="480"/>
      <c r="H254" s="1147"/>
      <c r="I254" s="1147"/>
      <c r="J254" s="1148"/>
      <c r="K254" s="1147"/>
      <c r="L254" s="1147"/>
      <c r="M254" s="1147"/>
      <c r="N254" s="1147"/>
      <c r="O254" s="480"/>
      <c r="P254" s="1148"/>
    </row>
    <row r="255" spans="1:16">
      <c r="A255" s="285"/>
      <c r="B255" s="285"/>
      <c r="C255" s="285"/>
      <c r="D255" s="496"/>
      <c r="E255" s="480"/>
      <c r="F255" s="480"/>
      <c r="G255" s="480"/>
      <c r="H255" s="1147"/>
      <c r="I255" s="1147"/>
      <c r="J255" s="1148"/>
      <c r="K255" s="1147"/>
      <c r="L255" s="1147"/>
      <c r="M255" s="1147"/>
      <c r="N255" s="1147"/>
      <c r="O255" s="480"/>
      <c r="P255" s="1148"/>
    </row>
    <row r="256" spans="1:16">
      <c r="A256" s="285"/>
      <c r="B256" s="285"/>
      <c r="C256" s="508" t="s">
        <v>602</v>
      </c>
      <c r="D256" s="602"/>
      <c r="E256" s="602"/>
      <c r="F256" s="602"/>
      <c r="G256" s="1148"/>
      <c r="H256" s="1148"/>
      <c r="I256" s="603"/>
      <c r="J256" s="603"/>
      <c r="K256" s="603"/>
      <c r="L256" s="603"/>
      <c r="M256" s="603"/>
      <c r="N256" s="603"/>
      <c r="O256" s="480"/>
      <c r="P256" s="603"/>
    </row>
    <row r="257" spans="1:16">
      <c r="A257" s="285"/>
      <c r="B257" s="285"/>
      <c r="C257" s="508" t="s">
        <v>476</v>
      </c>
      <c r="D257" s="602"/>
      <c r="E257" s="602"/>
      <c r="F257" s="602"/>
      <c r="G257" s="1148"/>
      <c r="H257" s="1148"/>
      <c r="I257" s="603"/>
      <c r="J257" s="603"/>
      <c r="K257" s="603"/>
      <c r="L257" s="603"/>
      <c r="M257" s="603"/>
      <c r="N257" s="603"/>
      <c r="O257" s="480"/>
      <c r="P257" s="603"/>
    </row>
    <row r="258" spans="1:16">
      <c r="A258" s="285"/>
      <c r="B258" s="285"/>
      <c r="C258" s="508" t="s">
        <v>289</v>
      </c>
      <c r="D258" s="602"/>
      <c r="E258" s="602"/>
      <c r="F258" s="602"/>
      <c r="G258" s="1148"/>
      <c r="H258" s="1148"/>
      <c r="I258" s="603"/>
      <c r="J258" s="603"/>
      <c r="K258" s="603"/>
      <c r="L258" s="603"/>
      <c r="M258" s="603"/>
      <c r="N258" s="603"/>
      <c r="O258" s="480"/>
      <c r="P258" s="603"/>
    </row>
    <row r="259" spans="1:16">
      <c r="A259" s="285"/>
      <c r="B259" s="285"/>
      <c r="C259" s="601"/>
      <c r="D259" s="602"/>
      <c r="E259" s="602"/>
      <c r="F259" s="602"/>
      <c r="G259" s="1148"/>
      <c r="H259" s="1148"/>
      <c r="I259" s="603"/>
      <c r="J259" s="603"/>
      <c r="K259" s="603"/>
      <c r="L259" s="603"/>
      <c r="M259" s="603"/>
      <c r="N259" s="603"/>
      <c r="O259" s="480"/>
      <c r="P259" s="603"/>
    </row>
    <row r="260" spans="1:16">
      <c r="A260" s="285"/>
      <c r="B260" s="285"/>
      <c r="C260" s="1513" t="s">
        <v>460</v>
      </c>
      <c r="D260" s="1513"/>
      <c r="E260" s="1513"/>
      <c r="F260" s="1513"/>
      <c r="G260" s="1513"/>
      <c r="H260" s="1513"/>
      <c r="I260" s="1513"/>
      <c r="J260" s="1513"/>
      <c r="K260" s="1513"/>
      <c r="L260" s="1513"/>
      <c r="M260" s="1513"/>
      <c r="N260" s="1513"/>
      <c r="O260" s="1513"/>
      <c r="P260" s="480"/>
    </row>
    <row r="261" spans="1:16">
      <c r="A261" s="285"/>
      <c r="B261" s="285"/>
      <c r="C261" s="1513"/>
      <c r="D261" s="1513"/>
      <c r="E261" s="1513"/>
      <c r="F261" s="1513"/>
      <c r="G261" s="1513"/>
      <c r="H261" s="1513"/>
      <c r="I261" s="1513"/>
      <c r="J261" s="1513"/>
      <c r="K261" s="1513"/>
      <c r="L261" s="1513"/>
      <c r="M261" s="1513"/>
      <c r="N261" s="1513"/>
      <c r="O261" s="1513"/>
      <c r="P261" s="480"/>
    </row>
    <row r="262" spans="1:16" ht="20.25">
      <c r="A262" s="604" t="s">
        <v>947</v>
      </c>
      <c r="B262" s="480"/>
      <c r="C262" s="584"/>
      <c r="D262" s="496"/>
      <c r="E262" s="480"/>
      <c r="F262" s="574"/>
      <c r="G262" s="480"/>
      <c r="H262" s="1147"/>
      <c r="I262" s="285"/>
      <c r="J262" s="271"/>
      <c r="K262" s="605"/>
      <c r="L262" s="605"/>
      <c r="M262" s="605"/>
      <c r="N262" s="520" t="str">
        <f>"Page "&amp;SUM(P$6:P262)&amp;" of "</f>
        <v xml:space="preserve">Page 4 of </v>
      </c>
      <c r="O262" s="521">
        <f>COUNT(P$6:P$59606)</f>
        <v>15</v>
      </c>
      <c r="P262" s="480">
        <v>1</v>
      </c>
    </row>
    <row r="263" spans="1:16">
      <c r="A263" s="285"/>
      <c r="B263" s="480"/>
      <c r="C263" s="480"/>
      <c r="D263" s="496"/>
      <c r="E263" s="480"/>
      <c r="F263" s="480"/>
      <c r="G263" s="480"/>
      <c r="H263" s="1147"/>
      <c r="I263" s="480"/>
      <c r="J263" s="517"/>
      <c r="K263" s="480"/>
      <c r="L263" s="480"/>
      <c r="M263" s="480"/>
      <c r="N263" s="480"/>
      <c r="O263" s="480"/>
      <c r="P263" s="480"/>
    </row>
    <row r="264" spans="1:16" ht="18">
      <c r="A264" s="285"/>
      <c r="B264" s="524" t="s">
        <v>174</v>
      </c>
      <c r="C264" s="606" t="s">
        <v>290</v>
      </c>
      <c r="D264" s="496"/>
      <c r="E264" s="480"/>
      <c r="F264" s="480"/>
      <c r="G264" s="480"/>
      <c r="H264" s="1147"/>
      <c r="I264" s="1147"/>
      <c r="J264" s="1148"/>
      <c r="K264" s="1147"/>
      <c r="L264" s="1147"/>
      <c r="M264" s="1147"/>
      <c r="N264" s="1147"/>
      <c r="O264" s="480"/>
      <c r="P264" s="480"/>
    </row>
    <row r="265" spans="1:16" ht="18.75">
      <c r="A265" s="285"/>
      <c r="B265" s="524"/>
      <c r="C265" s="523"/>
      <c r="D265" s="496"/>
      <c r="E265" s="480"/>
      <c r="F265" s="480"/>
      <c r="G265" s="480"/>
      <c r="H265" s="1147"/>
      <c r="I265" s="1147"/>
      <c r="J265" s="1148"/>
      <c r="K265" s="1147"/>
      <c r="L265" s="1147"/>
      <c r="M265" s="1147"/>
      <c r="N265" s="1147"/>
      <c r="O265" s="480"/>
      <c r="P265" s="480"/>
    </row>
    <row r="266" spans="1:16" ht="18.75">
      <c r="A266" s="285"/>
      <c r="B266" s="524"/>
      <c r="C266" s="523" t="s">
        <v>291</v>
      </c>
      <c r="D266" s="496"/>
      <c r="E266" s="480"/>
      <c r="F266" s="480"/>
      <c r="G266" s="480"/>
      <c r="H266" s="1147"/>
      <c r="I266" s="1147"/>
      <c r="J266" s="1148"/>
      <c r="K266" s="1147"/>
      <c r="L266" s="1147"/>
      <c r="M266" s="1147"/>
      <c r="N266" s="1147"/>
      <c r="O266" s="480"/>
      <c r="P266" s="480"/>
    </row>
    <row r="267" spans="1:16" ht="15.75" thickBot="1">
      <c r="A267" s="285"/>
      <c r="B267" s="285"/>
      <c r="C267" s="347"/>
      <c r="D267" s="496"/>
      <c r="E267" s="480"/>
      <c r="F267" s="480"/>
      <c r="G267" s="480"/>
      <c r="H267" s="1147"/>
      <c r="I267" s="1147"/>
      <c r="J267" s="1148"/>
      <c r="K267" s="1147"/>
      <c r="L267" s="1147"/>
      <c r="M267" s="1147"/>
      <c r="N267" s="1147"/>
      <c r="O267" s="480"/>
      <c r="P267" s="480"/>
    </row>
    <row r="268" spans="1:16" ht="15.75">
      <c r="A268" s="285"/>
      <c r="B268" s="285"/>
      <c r="C268" s="525" t="s">
        <v>292</v>
      </c>
      <c r="D268" s="496"/>
      <c r="E268" s="480"/>
      <c r="F268" s="480"/>
      <c r="G268" s="1149"/>
      <c r="H268" s="480" t="s">
        <v>271</v>
      </c>
      <c r="I268" s="480"/>
      <c r="J268" s="517"/>
      <c r="K268" s="607" t="s">
        <v>296</v>
      </c>
      <c r="L268" s="608"/>
      <c r="M268" s="609"/>
      <c r="N268" s="1150">
        <f>VLOOKUP(I274,C281:O340,5)</f>
        <v>3094242.4500530576</v>
      </c>
      <c r="O268" s="480"/>
      <c r="P268" s="480"/>
    </row>
    <row r="269" spans="1:16" ht="15.75">
      <c r="A269" s="285"/>
      <c r="B269" s="285"/>
      <c r="C269" s="525"/>
      <c r="D269" s="496"/>
      <c r="E269" s="480"/>
      <c r="F269" s="480"/>
      <c r="G269" s="480"/>
      <c r="H269" s="1151"/>
      <c r="I269" s="1151"/>
      <c r="J269" s="1152"/>
      <c r="K269" s="612" t="s">
        <v>297</v>
      </c>
      <c r="L269" s="1153"/>
      <c r="M269" s="517"/>
      <c r="N269" s="1154">
        <f>VLOOKUP(I274,C281:O340,6)</f>
        <v>3094242.4500530576</v>
      </c>
      <c r="O269" s="480"/>
      <c r="P269" s="480"/>
    </row>
    <row r="270" spans="1:16" ht="13.5" thickBot="1">
      <c r="A270" s="285"/>
      <c r="B270" s="285"/>
      <c r="C270" s="613" t="s">
        <v>293</v>
      </c>
      <c r="D270" s="1514" t="s">
        <v>951</v>
      </c>
      <c r="E270" s="1514"/>
      <c r="F270" s="1514"/>
      <c r="G270" s="1514"/>
      <c r="H270" s="1147"/>
      <c r="I270" s="1147"/>
      <c r="J270" s="1148"/>
      <c r="K270" s="1155" t="s">
        <v>450</v>
      </c>
      <c r="L270" s="1156"/>
      <c r="M270" s="1156"/>
      <c r="N270" s="1157">
        <f>+N269-N268</f>
        <v>0</v>
      </c>
      <c r="O270" s="480"/>
      <c r="P270" s="480"/>
    </row>
    <row r="271" spans="1:16">
      <c r="A271" s="285"/>
      <c r="B271" s="285"/>
      <c r="C271" s="615"/>
      <c r="D271" s="616"/>
      <c r="E271" s="600"/>
      <c r="F271" s="600"/>
      <c r="G271" s="617"/>
      <c r="H271" s="1147"/>
      <c r="I271" s="1147"/>
      <c r="J271" s="1148"/>
      <c r="K271" s="1147"/>
      <c r="L271" s="1147"/>
      <c r="M271" s="1147"/>
      <c r="N271" s="1147"/>
      <c r="O271" s="480"/>
      <c r="P271" s="480"/>
    </row>
    <row r="272" spans="1:16" ht="13.5" thickBot="1">
      <c r="A272" s="285"/>
      <c r="B272" s="285"/>
      <c r="C272" s="618"/>
      <c r="D272" s="619"/>
      <c r="E272" s="617"/>
      <c r="F272" s="617"/>
      <c r="G272" s="617"/>
      <c r="H272" s="617"/>
      <c r="I272" s="617"/>
      <c r="J272" s="620"/>
      <c r="K272" s="617"/>
      <c r="L272" s="617"/>
      <c r="M272" s="617"/>
      <c r="N272" s="617"/>
      <c r="O272" s="508"/>
      <c r="P272" s="480"/>
    </row>
    <row r="273" spans="1:16" ht="13.5" thickBot="1">
      <c r="A273" s="285"/>
      <c r="B273" s="285"/>
      <c r="C273" s="622" t="s">
        <v>294</v>
      </c>
      <c r="D273" s="623"/>
      <c r="E273" s="623"/>
      <c r="F273" s="623"/>
      <c r="G273" s="623"/>
      <c r="H273" s="623"/>
      <c r="I273" s="624"/>
      <c r="J273" s="625"/>
      <c r="K273" s="480"/>
      <c r="L273" s="480"/>
      <c r="M273" s="480"/>
      <c r="N273" s="480"/>
      <c r="O273" s="626"/>
      <c r="P273" s="480"/>
    </row>
    <row r="274" spans="1:16" ht="15">
      <c r="A274" s="285"/>
      <c r="B274" s="621"/>
      <c r="C274" s="628" t="s">
        <v>272</v>
      </c>
      <c r="D274" s="1158">
        <v>28572967.260000002</v>
      </c>
      <c r="E274" s="584" t="s">
        <v>273</v>
      </c>
      <c r="F274" s="285"/>
      <c r="G274" s="629"/>
      <c r="H274" s="629"/>
      <c r="I274" s="630">
        <f>$L$26</f>
        <v>2024</v>
      </c>
      <c r="J274" s="515"/>
      <c r="K274" s="1515" t="s">
        <v>459</v>
      </c>
      <c r="L274" s="1515"/>
      <c r="M274" s="1515"/>
      <c r="N274" s="1515"/>
      <c r="O274" s="1515"/>
      <c r="P274" s="480"/>
    </row>
    <row r="275" spans="1:16">
      <c r="A275" s="285"/>
      <c r="B275" s="621"/>
      <c r="C275" s="628" t="s">
        <v>275</v>
      </c>
      <c r="D275" s="788">
        <v>2014</v>
      </c>
      <c r="E275" s="628" t="s">
        <v>276</v>
      </c>
      <c r="F275" s="629"/>
      <c r="G275" s="285"/>
      <c r="H275" s="285"/>
      <c r="I275" s="791">
        <f>IF(G268="",0,$F$15)</f>
        <v>0</v>
      </c>
      <c r="J275" s="631"/>
      <c r="K275" s="1148" t="s">
        <v>459</v>
      </c>
      <c r="L275" s="285"/>
      <c r="M275" s="285"/>
      <c r="N275" s="285"/>
      <c r="O275" s="285"/>
      <c r="P275" s="480"/>
    </row>
    <row r="276" spans="1:16">
      <c r="A276" s="285"/>
      <c r="B276" s="621"/>
      <c r="C276" s="628" t="s">
        <v>277</v>
      </c>
      <c r="D276" s="1159">
        <v>9</v>
      </c>
      <c r="E276" s="628" t="s">
        <v>278</v>
      </c>
      <c r="F276" s="629"/>
      <c r="G276" s="285"/>
      <c r="H276" s="285"/>
      <c r="I276" s="632">
        <f>$G$70</f>
        <v>0.10987714662923057</v>
      </c>
      <c r="J276" s="633"/>
      <c r="K276" s="285" t="str">
        <f>"          INPUT PROJECTED ARR (WITH &amp; WITHOUT INCENTIVES) FROM EACH PRIOR YEAR"</f>
        <v xml:space="preserve">          INPUT PROJECTED ARR (WITH &amp; WITHOUT INCENTIVES) FROM EACH PRIOR YEAR</v>
      </c>
      <c r="L276" s="285"/>
      <c r="M276" s="285"/>
      <c r="N276" s="285"/>
      <c r="O276" s="285"/>
      <c r="P276" s="480"/>
    </row>
    <row r="277" spans="1:16">
      <c r="A277" s="285"/>
      <c r="B277" s="621"/>
      <c r="C277" s="628" t="s">
        <v>279</v>
      </c>
      <c r="D277" s="634">
        <f>G$79</f>
        <v>45</v>
      </c>
      <c r="E277" s="628" t="s">
        <v>280</v>
      </c>
      <c r="F277" s="629"/>
      <c r="G277" s="285"/>
      <c r="H277" s="285"/>
      <c r="I277" s="632">
        <f>IF(G268="",I276,$G$67)</f>
        <v>0.10987714662923057</v>
      </c>
      <c r="J277" s="635"/>
      <c r="K277" s="285" t="s">
        <v>357</v>
      </c>
      <c r="L277" s="285"/>
      <c r="M277" s="285"/>
      <c r="N277" s="285"/>
      <c r="O277" s="285"/>
      <c r="P277" s="480"/>
    </row>
    <row r="278" spans="1:16" ht="13.5" thickBot="1">
      <c r="A278" s="285"/>
      <c r="B278" s="621"/>
      <c r="C278" s="628" t="s">
        <v>281</v>
      </c>
      <c r="D278" s="790" t="s">
        <v>949</v>
      </c>
      <c r="E278" s="636" t="s">
        <v>282</v>
      </c>
      <c r="F278" s="637"/>
      <c r="G278" s="638"/>
      <c r="H278" s="638"/>
      <c r="I278" s="1157">
        <f>IF(D274=0,0,D274/D277)</f>
        <v>634954.82799999998</v>
      </c>
      <c r="J278" s="1148"/>
      <c r="K278" s="1148" t="s">
        <v>363</v>
      </c>
      <c r="L278" s="1148"/>
      <c r="M278" s="1148"/>
      <c r="N278" s="1148"/>
      <c r="O278" s="517"/>
      <c r="P278" s="480"/>
    </row>
    <row r="279" spans="1:16" ht="51">
      <c r="A279" s="470"/>
      <c r="B279" s="470"/>
      <c r="C279" s="639" t="s">
        <v>272</v>
      </c>
      <c r="D279" s="1160" t="s">
        <v>283</v>
      </c>
      <c r="E279" s="1161" t="s">
        <v>284</v>
      </c>
      <c r="F279" s="1160" t="s">
        <v>285</v>
      </c>
      <c r="G279" s="1161" t="s">
        <v>356</v>
      </c>
      <c r="H279" s="1162" t="s">
        <v>356</v>
      </c>
      <c r="I279" s="639" t="s">
        <v>295</v>
      </c>
      <c r="J279" s="643"/>
      <c r="K279" s="1161" t="s">
        <v>365</v>
      </c>
      <c r="L279" s="1163"/>
      <c r="M279" s="1161" t="s">
        <v>365</v>
      </c>
      <c r="N279" s="1163"/>
      <c r="O279" s="1163"/>
      <c r="P279" s="480"/>
    </row>
    <row r="280" spans="1:16" ht="13.5" thickBot="1">
      <c r="A280" s="285"/>
      <c r="B280" s="285"/>
      <c r="C280" s="645" t="s">
        <v>177</v>
      </c>
      <c r="D280" s="646" t="s">
        <v>178</v>
      </c>
      <c r="E280" s="645" t="s">
        <v>37</v>
      </c>
      <c r="F280" s="646" t="s">
        <v>178</v>
      </c>
      <c r="G280" s="1164" t="s">
        <v>298</v>
      </c>
      <c r="H280" s="1165" t="s">
        <v>300</v>
      </c>
      <c r="I280" s="649" t="s">
        <v>389</v>
      </c>
      <c r="J280" s="650"/>
      <c r="K280" s="1164" t="s">
        <v>287</v>
      </c>
      <c r="L280" s="1166"/>
      <c r="M280" s="1164" t="s">
        <v>300</v>
      </c>
      <c r="N280" s="1166"/>
      <c r="O280" s="1166"/>
      <c r="P280" s="480"/>
    </row>
    <row r="281" spans="1:16">
      <c r="A281" s="285"/>
      <c r="B281" s="285"/>
      <c r="C281" s="651">
        <f>IF(D275= "","-",D275)</f>
        <v>2014</v>
      </c>
      <c r="D281" s="602">
        <f>+D274</f>
        <v>28572967.260000002</v>
      </c>
      <c r="E281" s="1182">
        <f>+I278/12*(12-D276)</f>
        <v>158738.70699999999</v>
      </c>
      <c r="F281" s="602">
        <f>+D281-E281</f>
        <v>28414228.553000003</v>
      </c>
      <c r="G281" s="1168">
        <f>+$I$276*((D281+F281)/2)+E281</f>
        <v>3289533.9421668379</v>
      </c>
      <c r="H281" s="1169">
        <f>+$I$277*((D281+F281)/2)+E281</f>
        <v>3289533.9421668379</v>
      </c>
      <c r="I281" s="655">
        <f>+H281-G281</f>
        <v>0</v>
      </c>
      <c r="J281" s="655"/>
      <c r="K281" s="792">
        <v>184681</v>
      </c>
      <c r="L281" s="657"/>
      <c r="M281" s="792">
        <v>184681</v>
      </c>
      <c r="N281" s="657"/>
      <c r="O281" s="657"/>
      <c r="P281" s="480"/>
    </row>
    <row r="282" spans="1:16">
      <c r="A282" s="285"/>
      <c r="B282" s="285"/>
      <c r="C282" s="651">
        <f>IF(D275="","-",+C281+1)</f>
        <v>2015</v>
      </c>
      <c r="D282" s="602">
        <f>F281</f>
        <v>28414228.553000003</v>
      </c>
      <c r="E282" s="658">
        <f>IF(D282&gt;$I$278,$I$278,D282)</f>
        <v>634954.82799999998</v>
      </c>
      <c r="F282" s="602">
        <f>+D282-E282</f>
        <v>27779273.725000001</v>
      </c>
      <c r="G282" s="1167">
        <f t="shared" ref="G282:G340" si="12">+$I$276*((D282+F282)/2)+E282</f>
        <v>3722145.6727049043</v>
      </c>
      <c r="H282" s="1170">
        <f t="shared" ref="H282:H340" si="13">+$I$277*((D282+F282)/2)+E282</f>
        <v>3722145.6727049043</v>
      </c>
      <c r="I282" s="655">
        <f t="shared" ref="I282:I340" si="14">+H282-G282</f>
        <v>0</v>
      </c>
      <c r="J282" s="655"/>
      <c r="K282" s="793">
        <v>1644963</v>
      </c>
      <c r="L282" s="661"/>
      <c r="M282" s="793">
        <v>1644963</v>
      </c>
      <c r="N282" s="661"/>
      <c r="O282" s="661"/>
      <c r="P282" s="480"/>
    </row>
    <row r="283" spans="1:16">
      <c r="A283" s="285"/>
      <c r="B283" s="285"/>
      <c r="C283" s="651">
        <f>IF(D275="","-",+C282+1)</f>
        <v>2016</v>
      </c>
      <c r="D283" s="602">
        <f>F282</f>
        <v>27779273.725000001</v>
      </c>
      <c r="E283" s="658">
        <f t="shared" ref="E283:E340" si="15">IF(D283&gt;$I$278,$I$278,D283)</f>
        <v>634954.82799999998</v>
      </c>
      <c r="F283" s="602">
        <f t="shared" ref="F283:F340" si="16">+D283-E283</f>
        <v>27144318.897</v>
      </c>
      <c r="G283" s="1167">
        <f t="shared" si="12"/>
        <v>3652378.6479658103</v>
      </c>
      <c r="H283" s="1170">
        <f t="shared" si="13"/>
        <v>3652378.6479658103</v>
      </c>
      <c r="I283" s="655">
        <f t="shared" si="14"/>
        <v>0</v>
      </c>
      <c r="J283" s="655"/>
      <c r="K283" s="793">
        <v>1563801</v>
      </c>
      <c r="L283" s="1180"/>
      <c r="M283" s="793">
        <v>1563801</v>
      </c>
      <c r="N283" s="661"/>
      <c r="O283" s="661"/>
      <c r="P283" s="480"/>
    </row>
    <row r="284" spans="1:16">
      <c r="A284" s="285"/>
      <c r="B284" s="285"/>
      <c r="C284" s="651">
        <f>IF(D275="","-",+C283+1)</f>
        <v>2017</v>
      </c>
      <c r="D284" s="602">
        <f t="shared" ref="D284:D340" si="17">F283</f>
        <v>27144318.897</v>
      </c>
      <c r="E284" s="658">
        <f t="shared" si="15"/>
        <v>634954.82799999998</v>
      </c>
      <c r="F284" s="602">
        <f t="shared" si="16"/>
        <v>26509364.068999998</v>
      </c>
      <c r="G284" s="1167">
        <f t="shared" si="12"/>
        <v>3582611.6232267162</v>
      </c>
      <c r="H284" s="1170">
        <f t="shared" si="13"/>
        <v>3582611.6232267162</v>
      </c>
      <c r="I284" s="655">
        <f t="shared" si="14"/>
        <v>0</v>
      </c>
      <c r="J284" s="655"/>
      <c r="K284" s="793">
        <v>1644963</v>
      </c>
      <c r="L284" s="661"/>
      <c r="M284" s="793">
        <v>1644963</v>
      </c>
      <c r="N284" s="661"/>
      <c r="O284" s="661"/>
      <c r="P284" s="480"/>
    </row>
    <row r="285" spans="1:16">
      <c r="A285" s="285"/>
      <c r="B285" s="285"/>
      <c r="C285" s="1194">
        <f>IF(D275="","-",+C284+1)</f>
        <v>2018</v>
      </c>
      <c r="D285" s="1172">
        <f t="shared" si="17"/>
        <v>26509364.068999998</v>
      </c>
      <c r="E285" s="1173">
        <f t="shared" si="15"/>
        <v>634954.82799999998</v>
      </c>
      <c r="F285" s="1172">
        <f t="shared" si="16"/>
        <v>25874409.240999997</v>
      </c>
      <c r="G285" s="1174">
        <f t="shared" si="12"/>
        <v>3512844.5984876221</v>
      </c>
      <c r="H285" s="1175">
        <f t="shared" si="13"/>
        <v>3512844.5984876221</v>
      </c>
      <c r="I285" s="1181">
        <f t="shared" si="14"/>
        <v>0</v>
      </c>
      <c r="J285" s="655"/>
      <c r="K285" s="793">
        <v>1909994</v>
      </c>
      <c r="L285" s="661"/>
      <c r="M285" s="793">
        <v>1909994</v>
      </c>
      <c r="N285" s="661"/>
      <c r="O285" s="661"/>
      <c r="P285" s="480"/>
    </row>
    <row r="286" spans="1:16">
      <c r="A286" s="285"/>
      <c r="B286" s="285"/>
      <c r="C286" s="1229">
        <f>IF(D277="","-",+C285+1)</f>
        <v>2019</v>
      </c>
      <c r="D286" s="602">
        <f t="shared" si="17"/>
        <v>25874409.240999997</v>
      </c>
      <c r="E286" s="658">
        <f t="shared" si="15"/>
        <v>634954.82799999998</v>
      </c>
      <c r="F286" s="602">
        <f t="shared" si="16"/>
        <v>25239454.412999995</v>
      </c>
      <c r="G286" s="1167">
        <f t="shared" si="12"/>
        <v>3443077.573748528</v>
      </c>
      <c r="H286" s="1170">
        <f t="shared" si="13"/>
        <v>3443077.573748528</v>
      </c>
      <c r="I286" s="655">
        <f t="shared" si="14"/>
        <v>0</v>
      </c>
      <c r="J286" s="655"/>
      <c r="K286" s="793">
        <v>1902584</v>
      </c>
      <c r="L286" s="661"/>
      <c r="M286" s="793">
        <v>1902584</v>
      </c>
      <c r="N286" s="661"/>
      <c r="O286" s="661"/>
      <c r="P286" s="480"/>
    </row>
    <row r="287" spans="1:16">
      <c r="A287" s="285"/>
      <c r="B287" s="285"/>
      <c r="C287" s="1229">
        <f>IF(D277="","-",+C286+1)</f>
        <v>2020</v>
      </c>
      <c r="D287" s="602">
        <f t="shared" si="17"/>
        <v>25239454.412999995</v>
      </c>
      <c r="E287" s="658">
        <f t="shared" si="15"/>
        <v>634954.82799999998</v>
      </c>
      <c r="F287" s="602">
        <f t="shared" si="16"/>
        <v>24604499.584999993</v>
      </c>
      <c r="G287" s="1167">
        <f t="shared" si="12"/>
        <v>3373310.5490094339</v>
      </c>
      <c r="H287" s="1170">
        <f t="shared" si="13"/>
        <v>3373310.5490094339</v>
      </c>
      <c r="I287" s="655">
        <f t="shared" si="14"/>
        <v>0</v>
      </c>
      <c r="J287" s="655"/>
      <c r="K287" s="793">
        <v>2304570.9304921119</v>
      </c>
      <c r="L287" s="661"/>
      <c r="M287" s="793">
        <v>2304570.9304921119</v>
      </c>
      <c r="N287" s="661"/>
      <c r="O287" s="661"/>
      <c r="P287" s="480"/>
    </row>
    <row r="288" spans="1:16">
      <c r="A288" s="285"/>
      <c r="B288" s="285"/>
      <c r="C288" s="1229">
        <f>IF(D275="","-",+C287+1)</f>
        <v>2021</v>
      </c>
      <c r="D288" s="602">
        <f t="shared" si="17"/>
        <v>24604499.584999993</v>
      </c>
      <c r="E288" s="658">
        <f t="shared" si="15"/>
        <v>634954.82799999998</v>
      </c>
      <c r="F288" s="602">
        <f t="shared" si="16"/>
        <v>23969544.756999992</v>
      </c>
      <c r="G288" s="1167">
        <f t="shared" si="12"/>
        <v>3303543.5242703399</v>
      </c>
      <c r="H288" s="1170">
        <f t="shared" si="13"/>
        <v>3303543.5242703399</v>
      </c>
      <c r="I288" s="655">
        <f t="shared" si="14"/>
        <v>0</v>
      </c>
      <c r="J288" s="655"/>
      <c r="K288" s="793">
        <v>3141410.4901078856</v>
      </c>
      <c r="L288" s="661"/>
      <c r="M288" s="1230">
        <v>3141410.4901078856</v>
      </c>
      <c r="N288" s="661"/>
      <c r="O288" s="661"/>
      <c r="P288" s="480"/>
    </row>
    <row r="289" spans="1:16">
      <c r="A289" s="285"/>
      <c r="B289" s="285"/>
      <c r="C289" s="1229">
        <f>IF(D280="","-",+C288+1)</f>
        <v>2022</v>
      </c>
      <c r="D289" s="602">
        <f t="shared" si="17"/>
        <v>23969544.756999992</v>
      </c>
      <c r="E289" s="658">
        <f t="shared" si="15"/>
        <v>634954.82799999998</v>
      </c>
      <c r="F289" s="602">
        <f t="shared" si="16"/>
        <v>23334589.92899999</v>
      </c>
      <c r="G289" s="1167">
        <f t="shared" si="12"/>
        <v>3233776.4995312458</v>
      </c>
      <c r="H289" s="1170">
        <f t="shared" si="13"/>
        <v>3233776.4995312458</v>
      </c>
      <c r="I289" s="655">
        <f t="shared" si="14"/>
        <v>0</v>
      </c>
      <c r="J289" s="655"/>
      <c r="K289" s="793">
        <v>3099440.2308815834</v>
      </c>
      <c r="L289" s="661"/>
      <c r="M289" s="1230">
        <v>3099440.2308815834</v>
      </c>
      <c r="N289" s="661"/>
      <c r="O289" s="661"/>
      <c r="P289" s="480"/>
    </row>
    <row r="290" spans="1:16">
      <c r="A290" s="285"/>
      <c r="B290" s="285"/>
      <c r="C290" s="1229">
        <f>IF(D280="","-",+C289+1)</f>
        <v>2023</v>
      </c>
      <c r="D290" s="602">
        <f t="shared" si="17"/>
        <v>23334589.92899999</v>
      </c>
      <c r="E290" s="658">
        <f t="shared" si="15"/>
        <v>634954.82799999998</v>
      </c>
      <c r="F290" s="602">
        <f t="shared" si="16"/>
        <v>22699635.100999989</v>
      </c>
      <c r="G290" s="1167">
        <f t="shared" si="12"/>
        <v>3164009.4747921517</v>
      </c>
      <c r="H290" s="1170">
        <f t="shared" si="13"/>
        <v>3164009.4747921517</v>
      </c>
      <c r="I290" s="655">
        <f t="shared" si="14"/>
        <v>0</v>
      </c>
      <c r="J290" s="655"/>
      <c r="K290" s="793">
        <v>3188927.0201244252</v>
      </c>
      <c r="L290" s="661"/>
      <c r="M290" s="1230">
        <v>3188927.0201244252</v>
      </c>
      <c r="N290" s="661"/>
      <c r="O290" s="661"/>
      <c r="P290" s="480"/>
    </row>
    <row r="291" spans="1:16">
      <c r="A291" s="285"/>
      <c r="B291" s="285"/>
      <c r="C291" s="1171">
        <f>IF(D275="","-",+C290+1)</f>
        <v>2024</v>
      </c>
      <c r="D291" s="602">
        <f t="shared" si="17"/>
        <v>22699635.100999989</v>
      </c>
      <c r="E291" s="658">
        <f t="shared" si="15"/>
        <v>634954.82799999998</v>
      </c>
      <c r="F291" s="602">
        <f t="shared" si="16"/>
        <v>22064680.272999987</v>
      </c>
      <c r="G291" s="1167">
        <f t="shared" si="12"/>
        <v>3094242.4500530576</v>
      </c>
      <c r="H291" s="1170">
        <f t="shared" si="13"/>
        <v>3094242.4500530576</v>
      </c>
      <c r="I291" s="655">
        <f t="shared" si="14"/>
        <v>0</v>
      </c>
      <c r="J291" s="655"/>
      <c r="K291" s="793"/>
      <c r="L291" s="661"/>
      <c r="M291" s="793"/>
      <c r="N291" s="661"/>
      <c r="O291" s="661"/>
      <c r="P291" s="480"/>
    </row>
    <row r="292" spans="1:16">
      <c r="A292" s="285"/>
      <c r="B292" s="285"/>
      <c r="C292" s="651">
        <f>IF(D275="","-",+C291+1)</f>
        <v>2025</v>
      </c>
      <c r="D292" s="602">
        <f t="shared" si="17"/>
        <v>22064680.272999987</v>
      </c>
      <c r="E292" s="658">
        <f t="shared" si="15"/>
        <v>634954.82799999998</v>
      </c>
      <c r="F292" s="602">
        <f t="shared" si="16"/>
        <v>21429725.444999985</v>
      </c>
      <c r="G292" s="1167">
        <f t="shared" si="12"/>
        <v>3024475.4253139636</v>
      </c>
      <c r="H292" s="1170">
        <f t="shared" si="13"/>
        <v>3024475.4253139636</v>
      </c>
      <c r="I292" s="655">
        <f t="shared" si="14"/>
        <v>0</v>
      </c>
      <c r="J292" s="655"/>
      <c r="K292" s="793"/>
      <c r="L292" s="661"/>
      <c r="M292" s="793"/>
      <c r="N292" s="661"/>
      <c r="O292" s="661"/>
      <c r="P292" s="480"/>
    </row>
    <row r="293" spans="1:16">
      <c r="A293" s="285"/>
      <c r="B293" s="285"/>
      <c r="C293" s="651">
        <f>IF(D275="","-",+C292+1)</f>
        <v>2026</v>
      </c>
      <c r="D293" s="602">
        <f t="shared" si="17"/>
        <v>21429725.444999985</v>
      </c>
      <c r="E293" s="658">
        <f t="shared" si="15"/>
        <v>634954.82799999998</v>
      </c>
      <c r="F293" s="602">
        <f t="shared" si="16"/>
        <v>20794770.616999984</v>
      </c>
      <c r="G293" s="1167">
        <f t="shared" si="12"/>
        <v>2954708.4005748695</v>
      </c>
      <c r="H293" s="1170">
        <f t="shared" si="13"/>
        <v>2954708.4005748695</v>
      </c>
      <c r="I293" s="655">
        <f t="shared" si="14"/>
        <v>0</v>
      </c>
      <c r="J293" s="655"/>
      <c r="K293" s="793"/>
      <c r="L293" s="661"/>
      <c r="M293" s="793"/>
      <c r="N293" s="662"/>
      <c r="O293" s="661"/>
      <c r="P293" s="480"/>
    </row>
    <row r="294" spans="1:16">
      <c r="A294" s="285"/>
      <c r="B294" s="285"/>
      <c r="C294" s="651">
        <f>IF(D275="","-",+C293+1)</f>
        <v>2027</v>
      </c>
      <c r="D294" s="602">
        <f t="shared" si="17"/>
        <v>20794770.616999984</v>
      </c>
      <c r="E294" s="658">
        <f t="shared" si="15"/>
        <v>634954.82799999998</v>
      </c>
      <c r="F294" s="602">
        <f t="shared" si="16"/>
        <v>20159815.788999982</v>
      </c>
      <c r="G294" s="1167">
        <f t="shared" si="12"/>
        <v>2884941.3758357754</v>
      </c>
      <c r="H294" s="1170">
        <f t="shared" si="13"/>
        <v>2884941.3758357754</v>
      </c>
      <c r="I294" s="655">
        <f t="shared" si="14"/>
        <v>0</v>
      </c>
      <c r="J294" s="655"/>
      <c r="K294" s="793"/>
      <c r="L294" s="661"/>
      <c r="M294" s="793"/>
      <c r="N294" s="661"/>
      <c r="O294" s="661"/>
      <c r="P294" s="480"/>
    </row>
    <row r="295" spans="1:16">
      <c r="A295" s="285"/>
      <c r="B295" s="285"/>
      <c r="C295" s="651">
        <f>IF(D275="","-",+C294+1)</f>
        <v>2028</v>
      </c>
      <c r="D295" s="602">
        <f t="shared" si="17"/>
        <v>20159815.788999982</v>
      </c>
      <c r="E295" s="658">
        <f t="shared" si="15"/>
        <v>634954.82799999998</v>
      </c>
      <c r="F295" s="602">
        <f t="shared" si="16"/>
        <v>19524860.960999981</v>
      </c>
      <c r="G295" s="1167">
        <f t="shared" si="12"/>
        <v>2815174.3510966813</v>
      </c>
      <c r="H295" s="1170">
        <f t="shared" si="13"/>
        <v>2815174.3510966813</v>
      </c>
      <c r="I295" s="655">
        <f t="shared" si="14"/>
        <v>0</v>
      </c>
      <c r="J295" s="655"/>
      <c r="K295" s="793"/>
      <c r="L295" s="661"/>
      <c r="M295" s="793"/>
      <c r="N295" s="661"/>
      <c r="O295" s="661"/>
      <c r="P295" s="480"/>
    </row>
    <row r="296" spans="1:16">
      <c r="A296" s="285"/>
      <c r="B296" s="285"/>
      <c r="C296" s="651">
        <f>IF(D275="","-",+C295+1)</f>
        <v>2029</v>
      </c>
      <c r="D296" s="602">
        <f t="shared" si="17"/>
        <v>19524860.960999981</v>
      </c>
      <c r="E296" s="658">
        <f t="shared" si="15"/>
        <v>634954.82799999998</v>
      </c>
      <c r="F296" s="602">
        <f t="shared" si="16"/>
        <v>18889906.132999979</v>
      </c>
      <c r="G296" s="1167">
        <f t="shared" si="12"/>
        <v>2745407.3263575872</v>
      </c>
      <c r="H296" s="1170">
        <f t="shared" si="13"/>
        <v>2745407.3263575872</v>
      </c>
      <c r="I296" s="655">
        <f t="shared" si="14"/>
        <v>0</v>
      </c>
      <c r="J296" s="655"/>
      <c r="K296" s="793"/>
      <c r="L296" s="661"/>
      <c r="M296" s="793"/>
      <c r="N296" s="661"/>
      <c r="O296" s="661"/>
      <c r="P296" s="480"/>
    </row>
    <row r="297" spans="1:16">
      <c r="A297" s="285"/>
      <c r="B297" s="285"/>
      <c r="C297" s="651">
        <f>IF(D275="","-",+C296+1)</f>
        <v>2030</v>
      </c>
      <c r="D297" s="602">
        <f t="shared" si="17"/>
        <v>18889906.132999979</v>
      </c>
      <c r="E297" s="658">
        <f t="shared" si="15"/>
        <v>634954.82799999998</v>
      </c>
      <c r="F297" s="602">
        <f t="shared" si="16"/>
        <v>18254951.304999977</v>
      </c>
      <c r="G297" s="1167">
        <f t="shared" si="12"/>
        <v>2675640.3016184932</v>
      </c>
      <c r="H297" s="1170">
        <f t="shared" si="13"/>
        <v>2675640.3016184932</v>
      </c>
      <c r="I297" s="655">
        <f t="shared" si="14"/>
        <v>0</v>
      </c>
      <c r="J297" s="655"/>
      <c r="K297" s="793"/>
      <c r="L297" s="661"/>
      <c r="M297" s="793"/>
      <c r="N297" s="661"/>
      <c r="O297" s="661"/>
      <c r="P297" s="480"/>
    </row>
    <row r="298" spans="1:16">
      <c r="A298" s="285"/>
      <c r="B298" s="285"/>
      <c r="C298" s="651">
        <f>IF(D275="","-",+C297+1)</f>
        <v>2031</v>
      </c>
      <c r="D298" s="602">
        <f t="shared" si="17"/>
        <v>18254951.304999977</v>
      </c>
      <c r="E298" s="658">
        <f t="shared" si="15"/>
        <v>634954.82799999998</v>
      </c>
      <c r="F298" s="602">
        <f t="shared" si="16"/>
        <v>17619996.476999976</v>
      </c>
      <c r="G298" s="1167">
        <f t="shared" si="12"/>
        <v>2605873.2768793991</v>
      </c>
      <c r="H298" s="1170">
        <f t="shared" si="13"/>
        <v>2605873.2768793991</v>
      </c>
      <c r="I298" s="655">
        <f t="shared" si="14"/>
        <v>0</v>
      </c>
      <c r="J298" s="655"/>
      <c r="K298" s="793"/>
      <c r="L298" s="661"/>
      <c r="M298" s="793"/>
      <c r="N298" s="661"/>
      <c r="O298" s="661"/>
      <c r="P298" s="480"/>
    </row>
    <row r="299" spans="1:16">
      <c r="A299" s="285"/>
      <c r="B299" s="285"/>
      <c r="C299" s="651">
        <f>IF(D275="","-",+C298+1)</f>
        <v>2032</v>
      </c>
      <c r="D299" s="602">
        <f t="shared" si="17"/>
        <v>17619996.476999976</v>
      </c>
      <c r="E299" s="658">
        <f t="shared" si="15"/>
        <v>634954.82799999998</v>
      </c>
      <c r="F299" s="602">
        <f t="shared" si="16"/>
        <v>16985041.648999974</v>
      </c>
      <c r="G299" s="1167">
        <f t="shared" si="12"/>
        <v>2536106.252140305</v>
      </c>
      <c r="H299" s="1170">
        <f t="shared" si="13"/>
        <v>2536106.252140305</v>
      </c>
      <c r="I299" s="655">
        <f t="shared" si="14"/>
        <v>0</v>
      </c>
      <c r="J299" s="655"/>
      <c r="K299" s="793"/>
      <c r="L299" s="661"/>
      <c r="M299" s="793"/>
      <c r="N299" s="661"/>
      <c r="O299" s="661"/>
      <c r="P299" s="480"/>
    </row>
    <row r="300" spans="1:16">
      <c r="A300" s="285"/>
      <c r="B300" s="285"/>
      <c r="C300" s="651">
        <f>IF(D275="","-",+C299+1)</f>
        <v>2033</v>
      </c>
      <c r="D300" s="602">
        <f t="shared" si="17"/>
        <v>16985041.648999974</v>
      </c>
      <c r="E300" s="658">
        <f t="shared" si="15"/>
        <v>634954.82799999998</v>
      </c>
      <c r="F300" s="602">
        <f t="shared" si="16"/>
        <v>16350086.820999974</v>
      </c>
      <c r="G300" s="1167">
        <f t="shared" si="12"/>
        <v>2466339.2274012109</v>
      </c>
      <c r="H300" s="1170">
        <f t="shared" si="13"/>
        <v>2466339.2274012109</v>
      </c>
      <c r="I300" s="655">
        <f t="shared" si="14"/>
        <v>0</v>
      </c>
      <c r="J300" s="655"/>
      <c r="K300" s="793"/>
      <c r="L300" s="661"/>
      <c r="M300" s="793"/>
      <c r="N300" s="661"/>
      <c r="O300" s="661"/>
      <c r="P300" s="480"/>
    </row>
    <row r="301" spans="1:16">
      <c r="A301" s="285"/>
      <c r="B301" s="285"/>
      <c r="C301" s="651">
        <f>IF(D275="","-",+C300+1)</f>
        <v>2034</v>
      </c>
      <c r="D301" s="602">
        <f t="shared" si="17"/>
        <v>16350086.820999974</v>
      </c>
      <c r="E301" s="658">
        <f t="shared" si="15"/>
        <v>634954.82799999998</v>
      </c>
      <c r="F301" s="602">
        <f t="shared" si="16"/>
        <v>15715131.992999975</v>
      </c>
      <c r="G301" s="1167">
        <f t="shared" si="12"/>
        <v>2396572.2026621178</v>
      </c>
      <c r="H301" s="1170">
        <f t="shared" si="13"/>
        <v>2396572.2026621178</v>
      </c>
      <c r="I301" s="655">
        <f t="shared" si="14"/>
        <v>0</v>
      </c>
      <c r="J301" s="655"/>
      <c r="K301" s="793"/>
      <c r="L301" s="661"/>
      <c r="M301" s="793"/>
      <c r="N301" s="661"/>
      <c r="O301" s="661"/>
      <c r="P301" s="480"/>
    </row>
    <row r="302" spans="1:16">
      <c r="A302" s="285"/>
      <c r="B302" s="285"/>
      <c r="C302" s="651">
        <f>IF(D275="","-",+C301+1)</f>
        <v>2035</v>
      </c>
      <c r="D302" s="602">
        <f t="shared" si="17"/>
        <v>15715131.992999975</v>
      </c>
      <c r="E302" s="658">
        <f t="shared" si="15"/>
        <v>634954.82799999998</v>
      </c>
      <c r="F302" s="602">
        <f t="shared" si="16"/>
        <v>15080177.164999975</v>
      </c>
      <c r="G302" s="1167">
        <f t="shared" si="12"/>
        <v>2326805.1779230237</v>
      </c>
      <c r="H302" s="1170">
        <f t="shared" si="13"/>
        <v>2326805.1779230237</v>
      </c>
      <c r="I302" s="655">
        <f t="shared" si="14"/>
        <v>0</v>
      </c>
      <c r="J302" s="655"/>
      <c r="K302" s="793"/>
      <c r="L302" s="661"/>
      <c r="M302" s="793"/>
      <c r="N302" s="661"/>
      <c r="O302" s="661"/>
      <c r="P302" s="480"/>
    </row>
    <row r="303" spans="1:16">
      <c r="A303" s="285"/>
      <c r="B303" s="285"/>
      <c r="C303" s="651">
        <f>IF(D275="","-",+C302+1)</f>
        <v>2036</v>
      </c>
      <c r="D303" s="602">
        <f t="shared" si="17"/>
        <v>15080177.164999975</v>
      </c>
      <c r="E303" s="658">
        <f t="shared" si="15"/>
        <v>634954.82799999998</v>
      </c>
      <c r="F303" s="602">
        <f t="shared" si="16"/>
        <v>14445222.336999975</v>
      </c>
      <c r="G303" s="1167">
        <f t="shared" si="12"/>
        <v>2257038.1531839296</v>
      </c>
      <c r="H303" s="1170">
        <f t="shared" si="13"/>
        <v>2257038.1531839296</v>
      </c>
      <c r="I303" s="655">
        <f t="shared" si="14"/>
        <v>0</v>
      </c>
      <c r="J303" s="655"/>
      <c r="K303" s="793"/>
      <c r="L303" s="661"/>
      <c r="M303" s="793"/>
      <c r="N303" s="661"/>
      <c r="O303" s="661"/>
      <c r="P303" s="480"/>
    </row>
    <row r="304" spans="1:16">
      <c r="A304" s="285"/>
      <c r="B304" s="285"/>
      <c r="C304" s="651">
        <f>IF(D275="","-",+C303+1)</f>
        <v>2037</v>
      </c>
      <c r="D304" s="602">
        <f t="shared" si="17"/>
        <v>14445222.336999975</v>
      </c>
      <c r="E304" s="658">
        <f t="shared" si="15"/>
        <v>634954.82799999998</v>
      </c>
      <c r="F304" s="602">
        <f t="shared" si="16"/>
        <v>13810267.508999975</v>
      </c>
      <c r="G304" s="1167">
        <f t="shared" si="12"/>
        <v>2187271.1284448355</v>
      </c>
      <c r="H304" s="1170">
        <f t="shared" si="13"/>
        <v>2187271.1284448355</v>
      </c>
      <c r="I304" s="655">
        <f t="shared" si="14"/>
        <v>0</v>
      </c>
      <c r="J304" s="655"/>
      <c r="K304" s="793"/>
      <c r="L304" s="661"/>
      <c r="M304" s="793"/>
      <c r="N304" s="661"/>
      <c r="O304" s="661"/>
      <c r="P304" s="480"/>
    </row>
    <row r="305" spans="1:16">
      <c r="A305" s="285"/>
      <c r="B305" s="285"/>
      <c r="C305" s="651">
        <f>IF(D275="","-",+C304+1)</f>
        <v>2038</v>
      </c>
      <c r="D305" s="602">
        <f t="shared" si="17"/>
        <v>13810267.508999975</v>
      </c>
      <c r="E305" s="658">
        <f t="shared" si="15"/>
        <v>634954.82799999998</v>
      </c>
      <c r="F305" s="602">
        <f t="shared" si="16"/>
        <v>13175312.680999976</v>
      </c>
      <c r="G305" s="1167">
        <f t="shared" si="12"/>
        <v>2117504.1037057424</v>
      </c>
      <c r="H305" s="1170">
        <f t="shared" si="13"/>
        <v>2117504.1037057424</v>
      </c>
      <c r="I305" s="655">
        <f t="shared" si="14"/>
        <v>0</v>
      </c>
      <c r="J305" s="655"/>
      <c r="K305" s="793"/>
      <c r="L305" s="661"/>
      <c r="M305" s="793"/>
      <c r="N305" s="661"/>
      <c r="O305" s="661"/>
      <c r="P305" s="480"/>
    </row>
    <row r="306" spans="1:16">
      <c r="A306" s="285"/>
      <c r="B306" s="285"/>
      <c r="C306" s="651">
        <f>IF(D275="","-",+C305+1)</f>
        <v>2039</v>
      </c>
      <c r="D306" s="602">
        <f t="shared" si="17"/>
        <v>13175312.680999976</v>
      </c>
      <c r="E306" s="658">
        <f t="shared" si="15"/>
        <v>634954.82799999998</v>
      </c>
      <c r="F306" s="602">
        <f t="shared" si="16"/>
        <v>12540357.852999976</v>
      </c>
      <c r="G306" s="1167">
        <f t="shared" si="12"/>
        <v>2047737.0789666481</v>
      </c>
      <c r="H306" s="1170">
        <f t="shared" si="13"/>
        <v>2047737.0789666481</v>
      </c>
      <c r="I306" s="655">
        <f t="shared" si="14"/>
        <v>0</v>
      </c>
      <c r="J306" s="655"/>
      <c r="K306" s="793"/>
      <c r="L306" s="661"/>
      <c r="M306" s="793"/>
      <c r="N306" s="661"/>
      <c r="O306" s="661"/>
      <c r="P306" s="480"/>
    </row>
    <row r="307" spans="1:16">
      <c r="A307" s="285"/>
      <c r="B307" s="285"/>
      <c r="C307" s="651">
        <f>IF(D275="","-",+C306+1)</f>
        <v>2040</v>
      </c>
      <c r="D307" s="602">
        <f t="shared" si="17"/>
        <v>12540357.852999976</v>
      </c>
      <c r="E307" s="658">
        <f t="shared" si="15"/>
        <v>634954.82799999998</v>
      </c>
      <c r="F307" s="602">
        <f t="shared" si="16"/>
        <v>11905403.024999976</v>
      </c>
      <c r="G307" s="1167">
        <f t="shared" si="12"/>
        <v>1977970.0542275545</v>
      </c>
      <c r="H307" s="1170">
        <f t="shared" si="13"/>
        <v>1977970.0542275545</v>
      </c>
      <c r="I307" s="655">
        <f t="shared" si="14"/>
        <v>0</v>
      </c>
      <c r="J307" s="655"/>
      <c r="K307" s="793"/>
      <c r="L307" s="661"/>
      <c r="M307" s="793"/>
      <c r="N307" s="661"/>
      <c r="O307" s="661"/>
      <c r="P307" s="480"/>
    </row>
    <row r="308" spans="1:16">
      <c r="A308" s="285"/>
      <c r="B308" s="285"/>
      <c r="C308" s="651">
        <f>IF(D275="","-",+C307+1)</f>
        <v>2041</v>
      </c>
      <c r="D308" s="602">
        <f t="shared" si="17"/>
        <v>11905403.024999976</v>
      </c>
      <c r="E308" s="658">
        <f t="shared" si="15"/>
        <v>634954.82799999998</v>
      </c>
      <c r="F308" s="602">
        <f t="shared" si="16"/>
        <v>11270448.196999976</v>
      </c>
      <c r="G308" s="1167">
        <f t="shared" si="12"/>
        <v>1908203.0294884604</v>
      </c>
      <c r="H308" s="1170">
        <f t="shared" si="13"/>
        <v>1908203.0294884604</v>
      </c>
      <c r="I308" s="655">
        <f t="shared" si="14"/>
        <v>0</v>
      </c>
      <c r="J308" s="655"/>
      <c r="K308" s="793"/>
      <c r="L308" s="661"/>
      <c r="M308" s="793"/>
      <c r="N308" s="661"/>
      <c r="O308" s="661"/>
      <c r="P308" s="480"/>
    </row>
    <row r="309" spans="1:16">
      <c r="A309" s="285"/>
      <c r="B309" s="285"/>
      <c r="C309" s="651">
        <f>IF(D275="","-",+C308+1)</f>
        <v>2042</v>
      </c>
      <c r="D309" s="602">
        <f t="shared" si="17"/>
        <v>11270448.196999976</v>
      </c>
      <c r="E309" s="658">
        <f t="shared" si="15"/>
        <v>634954.82799999998</v>
      </c>
      <c r="F309" s="602">
        <f t="shared" si="16"/>
        <v>10635493.368999977</v>
      </c>
      <c r="G309" s="1176">
        <f t="shared" si="12"/>
        <v>1838436.0047493668</v>
      </c>
      <c r="H309" s="1170">
        <f t="shared" si="13"/>
        <v>1838436.0047493668</v>
      </c>
      <c r="I309" s="655">
        <f t="shared" si="14"/>
        <v>0</v>
      </c>
      <c r="J309" s="655"/>
      <c r="K309" s="793"/>
      <c r="L309" s="661"/>
      <c r="M309" s="793"/>
      <c r="N309" s="661"/>
      <c r="O309" s="661"/>
      <c r="P309" s="480"/>
    </row>
    <row r="310" spans="1:16">
      <c r="A310" s="285"/>
      <c r="B310" s="285"/>
      <c r="C310" s="651">
        <f>IF(D275="","-",+C309+1)</f>
        <v>2043</v>
      </c>
      <c r="D310" s="602">
        <f t="shared" si="17"/>
        <v>10635493.368999977</v>
      </c>
      <c r="E310" s="658">
        <f t="shared" si="15"/>
        <v>634954.82799999998</v>
      </c>
      <c r="F310" s="602">
        <f t="shared" si="16"/>
        <v>10000538.540999977</v>
      </c>
      <c r="G310" s="1167">
        <f t="shared" si="12"/>
        <v>1768668.9800102727</v>
      </c>
      <c r="H310" s="1170">
        <f t="shared" si="13"/>
        <v>1768668.9800102727</v>
      </c>
      <c r="I310" s="655">
        <f t="shared" si="14"/>
        <v>0</v>
      </c>
      <c r="J310" s="655"/>
      <c r="K310" s="793"/>
      <c r="L310" s="661"/>
      <c r="M310" s="793"/>
      <c r="N310" s="661"/>
      <c r="O310" s="661"/>
      <c r="P310" s="480"/>
    </row>
    <row r="311" spans="1:16">
      <c r="A311" s="285"/>
      <c r="B311" s="285"/>
      <c r="C311" s="651">
        <f>IF(D275="","-",+C310+1)</f>
        <v>2044</v>
      </c>
      <c r="D311" s="602">
        <f t="shared" si="17"/>
        <v>10000538.540999977</v>
      </c>
      <c r="E311" s="658">
        <f t="shared" si="15"/>
        <v>634954.82799999998</v>
      </c>
      <c r="F311" s="602">
        <f t="shared" si="16"/>
        <v>9365583.7129999772</v>
      </c>
      <c r="G311" s="1167">
        <f t="shared" si="12"/>
        <v>1698901.9552711791</v>
      </c>
      <c r="H311" s="1170">
        <f t="shared" si="13"/>
        <v>1698901.9552711791</v>
      </c>
      <c r="I311" s="655">
        <f t="shared" si="14"/>
        <v>0</v>
      </c>
      <c r="J311" s="655"/>
      <c r="K311" s="793"/>
      <c r="L311" s="661"/>
      <c r="M311" s="793"/>
      <c r="N311" s="661"/>
      <c r="O311" s="661"/>
      <c r="P311" s="480"/>
    </row>
    <row r="312" spans="1:16">
      <c r="A312" s="285"/>
      <c r="B312" s="285"/>
      <c r="C312" s="651">
        <f>IF(D275="","-",+C311+1)</f>
        <v>2045</v>
      </c>
      <c r="D312" s="602">
        <f t="shared" si="17"/>
        <v>9365583.7129999772</v>
      </c>
      <c r="E312" s="658">
        <f t="shared" si="15"/>
        <v>634954.82799999998</v>
      </c>
      <c r="F312" s="602">
        <f t="shared" si="16"/>
        <v>8730628.8849999774</v>
      </c>
      <c r="G312" s="1167">
        <f t="shared" si="12"/>
        <v>1629134.9305320852</v>
      </c>
      <c r="H312" s="1170">
        <f t="shared" si="13"/>
        <v>1629134.9305320852</v>
      </c>
      <c r="I312" s="655">
        <f t="shared" si="14"/>
        <v>0</v>
      </c>
      <c r="J312" s="655"/>
      <c r="K312" s="793"/>
      <c r="L312" s="661"/>
      <c r="M312" s="793"/>
      <c r="N312" s="661"/>
      <c r="O312" s="661"/>
      <c r="P312" s="480"/>
    </row>
    <row r="313" spans="1:16">
      <c r="A313" s="285"/>
      <c r="B313" s="285"/>
      <c r="C313" s="651">
        <f>IF(D275="","-",+C312+1)</f>
        <v>2046</v>
      </c>
      <c r="D313" s="602">
        <f t="shared" si="17"/>
        <v>8730628.8849999774</v>
      </c>
      <c r="E313" s="658">
        <f t="shared" si="15"/>
        <v>634954.82799999998</v>
      </c>
      <c r="F313" s="602">
        <f t="shared" si="16"/>
        <v>8095674.0569999777</v>
      </c>
      <c r="G313" s="1167">
        <f t="shared" si="12"/>
        <v>1559367.9057929914</v>
      </c>
      <c r="H313" s="1170">
        <f t="shared" si="13"/>
        <v>1559367.9057929914</v>
      </c>
      <c r="I313" s="655">
        <f t="shared" si="14"/>
        <v>0</v>
      </c>
      <c r="J313" s="655"/>
      <c r="K313" s="793"/>
      <c r="L313" s="661"/>
      <c r="M313" s="793"/>
      <c r="N313" s="661"/>
      <c r="O313" s="661"/>
      <c r="P313" s="480"/>
    </row>
    <row r="314" spans="1:16">
      <c r="A314" s="285"/>
      <c r="B314" s="285"/>
      <c r="C314" s="651">
        <f>IF(D275="","-",+C313+1)</f>
        <v>2047</v>
      </c>
      <c r="D314" s="602">
        <f t="shared" si="17"/>
        <v>8095674.0569999777</v>
      </c>
      <c r="E314" s="658">
        <f t="shared" si="15"/>
        <v>634954.82799999998</v>
      </c>
      <c r="F314" s="602">
        <f t="shared" si="16"/>
        <v>7460719.2289999779</v>
      </c>
      <c r="G314" s="1167">
        <f t="shared" si="12"/>
        <v>1489600.8810538976</v>
      </c>
      <c r="H314" s="1170">
        <f t="shared" si="13"/>
        <v>1489600.8810538976</v>
      </c>
      <c r="I314" s="655">
        <f t="shared" si="14"/>
        <v>0</v>
      </c>
      <c r="J314" s="655"/>
      <c r="K314" s="793"/>
      <c r="L314" s="661"/>
      <c r="M314" s="793"/>
      <c r="N314" s="661"/>
      <c r="O314" s="661"/>
      <c r="P314" s="480"/>
    </row>
    <row r="315" spans="1:16">
      <c r="A315" s="285"/>
      <c r="B315" s="285"/>
      <c r="C315" s="651">
        <f>IF(D275="","-",+C314+1)</f>
        <v>2048</v>
      </c>
      <c r="D315" s="602">
        <f t="shared" si="17"/>
        <v>7460719.2289999779</v>
      </c>
      <c r="E315" s="658">
        <f t="shared" si="15"/>
        <v>634954.82799999998</v>
      </c>
      <c r="F315" s="602">
        <f t="shared" si="16"/>
        <v>6825764.4009999782</v>
      </c>
      <c r="G315" s="1167">
        <f t="shared" si="12"/>
        <v>1419833.8563148035</v>
      </c>
      <c r="H315" s="1170">
        <f t="shared" si="13"/>
        <v>1419833.8563148035</v>
      </c>
      <c r="I315" s="655">
        <f t="shared" si="14"/>
        <v>0</v>
      </c>
      <c r="J315" s="655"/>
      <c r="K315" s="793"/>
      <c r="L315" s="661"/>
      <c r="M315" s="793"/>
      <c r="N315" s="661"/>
      <c r="O315" s="661"/>
      <c r="P315" s="480"/>
    </row>
    <row r="316" spans="1:16">
      <c r="A316" s="285"/>
      <c r="B316" s="285"/>
      <c r="C316" s="651">
        <f>IF(D275="","-",+C315+1)</f>
        <v>2049</v>
      </c>
      <c r="D316" s="602">
        <f t="shared" si="17"/>
        <v>6825764.4009999782</v>
      </c>
      <c r="E316" s="658">
        <f t="shared" si="15"/>
        <v>634954.82799999998</v>
      </c>
      <c r="F316" s="602">
        <f t="shared" si="16"/>
        <v>6190809.5729999784</v>
      </c>
      <c r="G316" s="1167">
        <f t="shared" si="12"/>
        <v>1350066.8315757099</v>
      </c>
      <c r="H316" s="1170">
        <f t="shared" si="13"/>
        <v>1350066.8315757099</v>
      </c>
      <c r="I316" s="655">
        <f t="shared" si="14"/>
        <v>0</v>
      </c>
      <c r="J316" s="655"/>
      <c r="K316" s="793"/>
      <c r="L316" s="661"/>
      <c r="M316" s="793"/>
      <c r="N316" s="661"/>
      <c r="O316" s="661"/>
      <c r="P316" s="480"/>
    </row>
    <row r="317" spans="1:16">
      <c r="A317" s="285"/>
      <c r="B317" s="285"/>
      <c r="C317" s="651">
        <f>IF(D275="","-",+C316+1)</f>
        <v>2050</v>
      </c>
      <c r="D317" s="602">
        <f t="shared" si="17"/>
        <v>6190809.5729999784</v>
      </c>
      <c r="E317" s="658">
        <f t="shared" si="15"/>
        <v>634954.82799999998</v>
      </c>
      <c r="F317" s="602">
        <f t="shared" si="16"/>
        <v>5555854.7449999787</v>
      </c>
      <c r="G317" s="1167">
        <f t="shared" si="12"/>
        <v>1280299.8068366158</v>
      </c>
      <c r="H317" s="1170">
        <f t="shared" si="13"/>
        <v>1280299.8068366158</v>
      </c>
      <c r="I317" s="655">
        <f t="shared" si="14"/>
        <v>0</v>
      </c>
      <c r="J317" s="655"/>
      <c r="K317" s="793"/>
      <c r="L317" s="661"/>
      <c r="M317" s="793"/>
      <c r="N317" s="661"/>
      <c r="O317" s="661"/>
      <c r="P317" s="480"/>
    </row>
    <row r="318" spans="1:16">
      <c r="A318" s="285"/>
      <c r="B318" s="285"/>
      <c r="C318" s="651">
        <f>IF(D275="","-",+C317+1)</f>
        <v>2051</v>
      </c>
      <c r="D318" s="602">
        <f t="shared" si="17"/>
        <v>5555854.7449999787</v>
      </c>
      <c r="E318" s="658">
        <f t="shared" si="15"/>
        <v>634954.82799999998</v>
      </c>
      <c r="F318" s="602">
        <f t="shared" si="16"/>
        <v>4920899.9169999789</v>
      </c>
      <c r="G318" s="1167">
        <f t="shared" si="12"/>
        <v>1210532.7820975222</v>
      </c>
      <c r="H318" s="1170">
        <f t="shared" si="13"/>
        <v>1210532.7820975222</v>
      </c>
      <c r="I318" s="655">
        <f t="shared" si="14"/>
        <v>0</v>
      </c>
      <c r="J318" s="655"/>
      <c r="K318" s="793"/>
      <c r="L318" s="661"/>
      <c r="M318" s="793"/>
      <c r="N318" s="661"/>
      <c r="O318" s="661"/>
      <c r="P318" s="480"/>
    </row>
    <row r="319" spans="1:16">
      <c r="A319" s="285"/>
      <c r="B319" s="285"/>
      <c r="C319" s="651">
        <f>IF(D275="","-",+C318+1)</f>
        <v>2052</v>
      </c>
      <c r="D319" s="602">
        <f t="shared" si="17"/>
        <v>4920899.9169999789</v>
      </c>
      <c r="E319" s="658">
        <f t="shared" si="15"/>
        <v>634954.82799999998</v>
      </c>
      <c r="F319" s="602">
        <f t="shared" si="16"/>
        <v>4285945.0889999792</v>
      </c>
      <c r="G319" s="1167">
        <f t="shared" si="12"/>
        <v>1140765.7573584283</v>
      </c>
      <c r="H319" s="1170">
        <f t="shared" si="13"/>
        <v>1140765.7573584283</v>
      </c>
      <c r="I319" s="655">
        <f t="shared" si="14"/>
        <v>0</v>
      </c>
      <c r="J319" s="655"/>
      <c r="K319" s="793"/>
      <c r="L319" s="661"/>
      <c r="M319" s="793"/>
      <c r="N319" s="661"/>
      <c r="O319" s="661"/>
      <c r="P319" s="480"/>
    </row>
    <row r="320" spans="1:16">
      <c r="A320" s="285"/>
      <c r="B320" s="285"/>
      <c r="C320" s="651">
        <f>IF(D275="","-",+C319+1)</f>
        <v>2053</v>
      </c>
      <c r="D320" s="602">
        <f t="shared" si="17"/>
        <v>4285945.0889999792</v>
      </c>
      <c r="E320" s="658">
        <f t="shared" si="15"/>
        <v>634954.82799999998</v>
      </c>
      <c r="F320" s="602">
        <f t="shared" si="16"/>
        <v>3650990.2609999795</v>
      </c>
      <c r="G320" s="1167">
        <f t="shared" si="12"/>
        <v>1070998.7326193345</v>
      </c>
      <c r="H320" s="1170">
        <f t="shared" si="13"/>
        <v>1070998.7326193345</v>
      </c>
      <c r="I320" s="655">
        <f t="shared" si="14"/>
        <v>0</v>
      </c>
      <c r="J320" s="655"/>
      <c r="K320" s="793"/>
      <c r="L320" s="661"/>
      <c r="M320" s="793"/>
      <c r="N320" s="661"/>
      <c r="O320" s="661"/>
      <c r="P320" s="480"/>
    </row>
    <row r="321" spans="1:16">
      <c r="A321" s="285"/>
      <c r="B321" s="285"/>
      <c r="C321" s="651">
        <f>IF(D275="","-",+C320+1)</f>
        <v>2054</v>
      </c>
      <c r="D321" s="602">
        <f t="shared" si="17"/>
        <v>3650990.2609999795</v>
      </c>
      <c r="E321" s="658">
        <f t="shared" si="15"/>
        <v>634954.82799999998</v>
      </c>
      <c r="F321" s="602">
        <f t="shared" si="16"/>
        <v>3016035.4329999797</v>
      </c>
      <c r="G321" s="1167">
        <f t="shared" si="12"/>
        <v>1001231.7078802406</v>
      </c>
      <c r="H321" s="1170">
        <f t="shared" si="13"/>
        <v>1001231.7078802406</v>
      </c>
      <c r="I321" s="655">
        <f t="shared" si="14"/>
        <v>0</v>
      </c>
      <c r="J321" s="655"/>
      <c r="K321" s="793"/>
      <c r="L321" s="661"/>
      <c r="M321" s="793"/>
      <c r="N321" s="661"/>
      <c r="O321" s="661"/>
      <c r="P321" s="480"/>
    </row>
    <row r="322" spans="1:16">
      <c r="A322" s="285"/>
      <c r="B322" s="285"/>
      <c r="C322" s="651">
        <f>IF(D275="","-",+C321+1)</f>
        <v>2055</v>
      </c>
      <c r="D322" s="602">
        <f t="shared" si="17"/>
        <v>3016035.4329999797</v>
      </c>
      <c r="E322" s="658">
        <f t="shared" si="15"/>
        <v>634954.82799999998</v>
      </c>
      <c r="F322" s="602">
        <f t="shared" si="16"/>
        <v>2381080.60499998</v>
      </c>
      <c r="G322" s="1167">
        <f t="shared" si="12"/>
        <v>931464.68314114679</v>
      </c>
      <c r="H322" s="1170">
        <f t="shared" si="13"/>
        <v>931464.68314114679</v>
      </c>
      <c r="I322" s="655">
        <f t="shared" si="14"/>
        <v>0</v>
      </c>
      <c r="J322" s="655"/>
      <c r="K322" s="793"/>
      <c r="L322" s="661"/>
      <c r="M322" s="793"/>
      <c r="N322" s="661"/>
      <c r="O322" s="661"/>
      <c r="P322" s="480"/>
    </row>
    <row r="323" spans="1:16">
      <c r="A323" s="285"/>
      <c r="B323" s="285"/>
      <c r="C323" s="651">
        <f>IF(D275="","-",+C322+1)</f>
        <v>2056</v>
      </c>
      <c r="D323" s="602">
        <f t="shared" si="17"/>
        <v>2381080.60499998</v>
      </c>
      <c r="E323" s="658">
        <f t="shared" si="15"/>
        <v>634954.82799999998</v>
      </c>
      <c r="F323" s="602">
        <f t="shared" si="16"/>
        <v>1746125.77699998</v>
      </c>
      <c r="G323" s="1167">
        <f t="shared" si="12"/>
        <v>861697.65840205294</v>
      </c>
      <c r="H323" s="1170">
        <f t="shared" si="13"/>
        <v>861697.65840205294</v>
      </c>
      <c r="I323" s="655">
        <f t="shared" si="14"/>
        <v>0</v>
      </c>
      <c r="J323" s="655"/>
      <c r="K323" s="793"/>
      <c r="L323" s="661"/>
      <c r="M323" s="793"/>
      <c r="N323" s="661"/>
      <c r="O323" s="661"/>
      <c r="P323" s="480"/>
    </row>
    <row r="324" spans="1:16">
      <c r="A324" s="285"/>
      <c r="B324" s="285"/>
      <c r="C324" s="651">
        <f>IF(D275="","-",+C323+1)</f>
        <v>2057</v>
      </c>
      <c r="D324" s="602">
        <f t="shared" si="17"/>
        <v>1746125.77699998</v>
      </c>
      <c r="E324" s="658">
        <f t="shared" si="15"/>
        <v>634954.82799999998</v>
      </c>
      <c r="F324" s="602">
        <f t="shared" si="16"/>
        <v>1111170.94899998</v>
      </c>
      <c r="G324" s="1167">
        <f t="shared" si="12"/>
        <v>791930.63366295898</v>
      </c>
      <c r="H324" s="1170">
        <f t="shared" si="13"/>
        <v>791930.63366295898</v>
      </c>
      <c r="I324" s="655">
        <f t="shared" si="14"/>
        <v>0</v>
      </c>
      <c r="J324" s="655"/>
      <c r="K324" s="793"/>
      <c r="L324" s="661"/>
      <c r="M324" s="793"/>
      <c r="N324" s="661"/>
      <c r="O324" s="661"/>
      <c r="P324" s="480"/>
    </row>
    <row r="325" spans="1:16">
      <c r="A325" s="285"/>
      <c r="B325" s="285"/>
      <c r="C325" s="651">
        <f>IF(D275="","-",+C324+1)</f>
        <v>2058</v>
      </c>
      <c r="D325" s="602">
        <f t="shared" si="17"/>
        <v>1111170.94899998</v>
      </c>
      <c r="E325" s="658">
        <f t="shared" si="15"/>
        <v>634954.82799999998</v>
      </c>
      <c r="F325" s="602">
        <f t="shared" si="16"/>
        <v>476216.12099998002</v>
      </c>
      <c r="G325" s="1167">
        <f t="shared" si="12"/>
        <v>722163.60892386513</v>
      </c>
      <c r="H325" s="1170">
        <f t="shared" si="13"/>
        <v>722163.60892386513</v>
      </c>
      <c r="I325" s="655">
        <f t="shared" si="14"/>
        <v>0</v>
      </c>
      <c r="J325" s="655"/>
      <c r="K325" s="793"/>
      <c r="L325" s="661"/>
      <c r="M325" s="793"/>
      <c r="N325" s="661"/>
      <c r="O325" s="661"/>
      <c r="P325" s="480"/>
    </row>
    <row r="326" spans="1:16">
      <c r="A326" s="285"/>
      <c r="B326" s="285"/>
      <c r="C326" s="651">
        <f>IF(D275="","-",+C325+1)</f>
        <v>2059</v>
      </c>
      <c r="D326" s="602">
        <f t="shared" si="17"/>
        <v>476216.12099998002</v>
      </c>
      <c r="E326" s="658">
        <f t="shared" si="15"/>
        <v>476216.12099998002</v>
      </c>
      <c r="F326" s="602">
        <f t="shared" si="16"/>
        <v>0</v>
      </c>
      <c r="G326" s="1167">
        <f t="shared" si="12"/>
        <v>502378.75527713913</v>
      </c>
      <c r="H326" s="1170">
        <f t="shared" si="13"/>
        <v>502378.75527713913</v>
      </c>
      <c r="I326" s="655">
        <f t="shared" si="14"/>
        <v>0</v>
      </c>
      <c r="J326" s="655"/>
      <c r="K326" s="793"/>
      <c r="L326" s="661"/>
      <c r="M326" s="793"/>
      <c r="N326" s="661"/>
      <c r="O326" s="661"/>
      <c r="P326" s="480"/>
    </row>
    <row r="327" spans="1:16">
      <c r="A327" s="285"/>
      <c r="B327" s="285"/>
      <c r="C327" s="651">
        <f>IF(D275="","-",+C326+1)</f>
        <v>2060</v>
      </c>
      <c r="D327" s="602">
        <f t="shared" si="17"/>
        <v>0</v>
      </c>
      <c r="E327" s="658">
        <f t="shared" si="15"/>
        <v>0</v>
      </c>
      <c r="F327" s="602">
        <f t="shared" si="16"/>
        <v>0</v>
      </c>
      <c r="G327" s="1167">
        <f t="shared" si="12"/>
        <v>0</v>
      </c>
      <c r="H327" s="1170">
        <f t="shared" si="13"/>
        <v>0</v>
      </c>
      <c r="I327" s="655">
        <f t="shared" si="14"/>
        <v>0</v>
      </c>
      <c r="J327" s="655"/>
      <c r="K327" s="793"/>
      <c r="L327" s="661"/>
      <c r="M327" s="793"/>
      <c r="N327" s="661"/>
      <c r="O327" s="661"/>
      <c r="P327" s="480"/>
    </row>
    <row r="328" spans="1:16">
      <c r="A328" s="285"/>
      <c r="B328" s="285"/>
      <c r="C328" s="651">
        <f>IF(D275="","-",+C327+1)</f>
        <v>2061</v>
      </c>
      <c r="D328" s="602">
        <f t="shared" si="17"/>
        <v>0</v>
      </c>
      <c r="E328" s="658">
        <f t="shared" si="15"/>
        <v>0</v>
      </c>
      <c r="F328" s="602">
        <f t="shared" si="16"/>
        <v>0</v>
      </c>
      <c r="G328" s="1167">
        <f t="shared" si="12"/>
        <v>0</v>
      </c>
      <c r="H328" s="1170">
        <f t="shared" si="13"/>
        <v>0</v>
      </c>
      <c r="I328" s="655">
        <f t="shared" si="14"/>
        <v>0</v>
      </c>
      <c r="J328" s="655"/>
      <c r="K328" s="793"/>
      <c r="L328" s="661"/>
      <c r="M328" s="793"/>
      <c r="N328" s="661"/>
      <c r="O328" s="661"/>
      <c r="P328" s="480"/>
    </row>
    <row r="329" spans="1:16">
      <c r="A329" s="285"/>
      <c r="B329" s="285"/>
      <c r="C329" s="651">
        <f>IF(D275="","-",+C328+1)</f>
        <v>2062</v>
      </c>
      <c r="D329" s="602">
        <f t="shared" si="17"/>
        <v>0</v>
      </c>
      <c r="E329" s="658">
        <f t="shared" si="15"/>
        <v>0</v>
      </c>
      <c r="F329" s="602">
        <f t="shared" si="16"/>
        <v>0</v>
      </c>
      <c r="G329" s="1167">
        <f t="shared" si="12"/>
        <v>0</v>
      </c>
      <c r="H329" s="1170">
        <f t="shared" si="13"/>
        <v>0</v>
      </c>
      <c r="I329" s="655">
        <f t="shared" si="14"/>
        <v>0</v>
      </c>
      <c r="J329" s="655"/>
      <c r="K329" s="793"/>
      <c r="L329" s="661"/>
      <c r="M329" s="793"/>
      <c r="N329" s="661"/>
      <c r="O329" s="661"/>
      <c r="P329" s="480"/>
    </row>
    <row r="330" spans="1:16">
      <c r="A330" s="285"/>
      <c r="B330" s="285"/>
      <c r="C330" s="651">
        <f>IF(D275="","-",+C329+1)</f>
        <v>2063</v>
      </c>
      <c r="D330" s="602">
        <f t="shared" si="17"/>
        <v>0</v>
      </c>
      <c r="E330" s="658">
        <f t="shared" si="15"/>
        <v>0</v>
      </c>
      <c r="F330" s="602">
        <f t="shared" si="16"/>
        <v>0</v>
      </c>
      <c r="G330" s="1167">
        <f t="shared" si="12"/>
        <v>0</v>
      </c>
      <c r="H330" s="1170">
        <f t="shared" si="13"/>
        <v>0</v>
      </c>
      <c r="I330" s="655">
        <f t="shared" si="14"/>
        <v>0</v>
      </c>
      <c r="J330" s="655"/>
      <c r="K330" s="793"/>
      <c r="L330" s="661"/>
      <c r="M330" s="793"/>
      <c r="N330" s="661"/>
      <c r="O330" s="661"/>
      <c r="P330" s="480"/>
    </row>
    <row r="331" spans="1:16">
      <c r="A331" s="285"/>
      <c r="B331" s="285"/>
      <c r="C331" s="651">
        <f>IF(D275="","-",+C330+1)</f>
        <v>2064</v>
      </c>
      <c r="D331" s="602">
        <f t="shared" si="17"/>
        <v>0</v>
      </c>
      <c r="E331" s="658">
        <f t="shared" si="15"/>
        <v>0</v>
      </c>
      <c r="F331" s="602">
        <f t="shared" si="16"/>
        <v>0</v>
      </c>
      <c r="G331" s="1167">
        <f t="shared" si="12"/>
        <v>0</v>
      </c>
      <c r="H331" s="1170">
        <f t="shared" si="13"/>
        <v>0</v>
      </c>
      <c r="I331" s="655">
        <f t="shared" si="14"/>
        <v>0</v>
      </c>
      <c r="J331" s="655"/>
      <c r="K331" s="793"/>
      <c r="L331" s="661"/>
      <c r="M331" s="793"/>
      <c r="N331" s="661"/>
      <c r="O331" s="661"/>
      <c r="P331" s="480"/>
    </row>
    <row r="332" spans="1:16">
      <c r="A332" s="285"/>
      <c r="B332" s="285"/>
      <c r="C332" s="651">
        <f>IF(D275="","-",+C331+1)</f>
        <v>2065</v>
      </c>
      <c r="D332" s="602">
        <f t="shared" si="17"/>
        <v>0</v>
      </c>
      <c r="E332" s="658">
        <f t="shared" si="15"/>
        <v>0</v>
      </c>
      <c r="F332" s="602">
        <f t="shared" si="16"/>
        <v>0</v>
      </c>
      <c r="G332" s="1167">
        <f t="shared" si="12"/>
        <v>0</v>
      </c>
      <c r="H332" s="1170">
        <f t="shared" si="13"/>
        <v>0</v>
      </c>
      <c r="I332" s="655">
        <f t="shared" si="14"/>
        <v>0</v>
      </c>
      <c r="J332" s="655"/>
      <c r="K332" s="793"/>
      <c r="L332" s="661"/>
      <c r="M332" s="793"/>
      <c r="N332" s="661"/>
      <c r="O332" s="661"/>
      <c r="P332" s="480"/>
    </row>
    <row r="333" spans="1:16">
      <c r="A333" s="285"/>
      <c r="B333" s="285"/>
      <c r="C333" s="651">
        <f>IF(D275="","-",+C332+1)</f>
        <v>2066</v>
      </c>
      <c r="D333" s="602">
        <f t="shared" si="17"/>
        <v>0</v>
      </c>
      <c r="E333" s="658">
        <f t="shared" si="15"/>
        <v>0</v>
      </c>
      <c r="F333" s="602">
        <f t="shared" si="16"/>
        <v>0</v>
      </c>
      <c r="G333" s="1167">
        <f t="shared" si="12"/>
        <v>0</v>
      </c>
      <c r="H333" s="1170">
        <f t="shared" si="13"/>
        <v>0</v>
      </c>
      <c r="I333" s="655">
        <f t="shared" si="14"/>
        <v>0</v>
      </c>
      <c r="J333" s="655"/>
      <c r="K333" s="793"/>
      <c r="L333" s="661"/>
      <c r="M333" s="793"/>
      <c r="N333" s="661"/>
      <c r="O333" s="661"/>
      <c r="P333" s="480"/>
    </row>
    <row r="334" spans="1:16">
      <c r="A334" s="285"/>
      <c r="B334" s="285"/>
      <c r="C334" s="651">
        <f>IF(D275="","-",+C333+1)</f>
        <v>2067</v>
      </c>
      <c r="D334" s="602">
        <f t="shared" si="17"/>
        <v>0</v>
      </c>
      <c r="E334" s="658">
        <f t="shared" si="15"/>
        <v>0</v>
      </c>
      <c r="F334" s="602">
        <f t="shared" si="16"/>
        <v>0</v>
      </c>
      <c r="G334" s="1167">
        <f t="shared" si="12"/>
        <v>0</v>
      </c>
      <c r="H334" s="1170">
        <f t="shared" si="13"/>
        <v>0</v>
      </c>
      <c r="I334" s="655">
        <f t="shared" si="14"/>
        <v>0</v>
      </c>
      <c r="J334" s="655"/>
      <c r="K334" s="793"/>
      <c r="L334" s="661"/>
      <c r="M334" s="793"/>
      <c r="N334" s="661"/>
      <c r="O334" s="661"/>
      <c r="P334" s="480"/>
    </row>
    <row r="335" spans="1:16">
      <c r="A335" s="285"/>
      <c r="B335" s="285"/>
      <c r="C335" s="651">
        <f>IF(D275="","-",+C334+1)</f>
        <v>2068</v>
      </c>
      <c r="D335" s="602">
        <f t="shared" si="17"/>
        <v>0</v>
      </c>
      <c r="E335" s="658">
        <f t="shared" si="15"/>
        <v>0</v>
      </c>
      <c r="F335" s="602">
        <f t="shared" si="16"/>
        <v>0</v>
      </c>
      <c r="G335" s="1167">
        <f t="shared" si="12"/>
        <v>0</v>
      </c>
      <c r="H335" s="1170">
        <f t="shared" si="13"/>
        <v>0</v>
      </c>
      <c r="I335" s="655">
        <f t="shared" si="14"/>
        <v>0</v>
      </c>
      <c r="J335" s="655"/>
      <c r="K335" s="793"/>
      <c r="L335" s="661"/>
      <c r="M335" s="793"/>
      <c r="N335" s="661"/>
      <c r="O335" s="661"/>
      <c r="P335" s="480"/>
    </row>
    <row r="336" spans="1:16">
      <c r="A336" s="285"/>
      <c r="B336" s="285"/>
      <c r="C336" s="651">
        <f>IF(D275="","-",+C335+1)</f>
        <v>2069</v>
      </c>
      <c r="D336" s="602">
        <f t="shared" si="17"/>
        <v>0</v>
      </c>
      <c r="E336" s="658">
        <f t="shared" si="15"/>
        <v>0</v>
      </c>
      <c r="F336" s="602">
        <f t="shared" si="16"/>
        <v>0</v>
      </c>
      <c r="G336" s="1167">
        <f t="shared" si="12"/>
        <v>0</v>
      </c>
      <c r="H336" s="1170">
        <f t="shared" si="13"/>
        <v>0</v>
      </c>
      <c r="I336" s="655">
        <f t="shared" si="14"/>
        <v>0</v>
      </c>
      <c r="J336" s="655"/>
      <c r="K336" s="793"/>
      <c r="L336" s="661"/>
      <c r="M336" s="793"/>
      <c r="N336" s="661"/>
      <c r="O336" s="661"/>
      <c r="P336" s="480"/>
    </row>
    <row r="337" spans="1:16">
      <c r="A337" s="285"/>
      <c r="B337" s="285"/>
      <c r="C337" s="651">
        <f>IF(D275="","-",+C336+1)</f>
        <v>2070</v>
      </c>
      <c r="D337" s="602">
        <f t="shared" si="17"/>
        <v>0</v>
      </c>
      <c r="E337" s="658">
        <f t="shared" si="15"/>
        <v>0</v>
      </c>
      <c r="F337" s="602">
        <f t="shared" si="16"/>
        <v>0</v>
      </c>
      <c r="G337" s="1167">
        <f t="shared" si="12"/>
        <v>0</v>
      </c>
      <c r="H337" s="1170">
        <f t="shared" si="13"/>
        <v>0</v>
      </c>
      <c r="I337" s="655">
        <f t="shared" si="14"/>
        <v>0</v>
      </c>
      <c r="J337" s="655"/>
      <c r="K337" s="793"/>
      <c r="L337" s="661"/>
      <c r="M337" s="793"/>
      <c r="N337" s="661"/>
      <c r="O337" s="661"/>
      <c r="P337" s="480"/>
    </row>
    <row r="338" spans="1:16">
      <c r="A338" s="285"/>
      <c r="B338" s="285"/>
      <c r="C338" s="651">
        <f>IF(D275="","-",+C337+1)</f>
        <v>2071</v>
      </c>
      <c r="D338" s="602">
        <f t="shared" si="17"/>
        <v>0</v>
      </c>
      <c r="E338" s="658">
        <f t="shared" si="15"/>
        <v>0</v>
      </c>
      <c r="F338" s="602">
        <f t="shared" si="16"/>
        <v>0</v>
      </c>
      <c r="G338" s="1167">
        <f t="shared" si="12"/>
        <v>0</v>
      </c>
      <c r="H338" s="1170">
        <f t="shared" si="13"/>
        <v>0</v>
      </c>
      <c r="I338" s="655">
        <f t="shared" si="14"/>
        <v>0</v>
      </c>
      <c r="J338" s="655"/>
      <c r="K338" s="793"/>
      <c r="L338" s="661"/>
      <c r="M338" s="793"/>
      <c r="N338" s="661"/>
      <c r="O338" s="661"/>
      <c r="P338" s="480"/>
    </row>
    <row r="339" spans="1:16">
      <c r="A339" s="285"/>
      <c r="B339" s="285"/>
      <c r="C339" s="651">
        <f>IF(D275="","-",+C338+1)</f>
        <v>2072</v>
      </c>
      <c r="D339" s="602">
        <f t="shared" si="17"/>
        <v>0</v>
      </c>
      <c r="E339" s="658">
        <f t="shared" si="15"/>
        <v>0</v>
      </c>
      <c r="F339" s="602">
        <f t="shared" si="16"/>
        <v>0</v>
      </c>
      <c r="G339" s="1167">
        <f t="shared" si="12"/>
        <v>0</v>
      </c>
      <c r="H339" s="1170">
        <f t="shared" si="13"/>
        <v>0</v>
      </c>
      <c r="I339" s="655">
        <f t="shared" si="14"/>
        <v>0</v>
      </c>
      <c r="J339" s="655"/>
      <c r="K339" s="793"/>
      <c r="L339" s="661"/>
      <c r="M339" s="793"/>
      <c r="N339" s="661"/>
      <c r="O339" s="661"/>
      <c r="P339" s="480"/>
    </row>
    <row r="340" spans="1:16" ht="13.5" thickBot="1">
      <c r="A340" s="285"/>
      <c r="B340" s="285"/>
      <c r="C340" s="663">
        <f>IF(D275="","-",+C339+1)</f>
        <v>2073</v>
      </c>
      <c r="D340" s="664">
        <f t="shared" si="17"/>
        <v>0</v>
      </c>
      <c r="E340" s="665">
        <f t="shared" si="15"/>
        <v>0</v>
      </c>
      <c r="F340" s="664">
        <f t="shared" si="16"/>
        <v>0</v>
      </c>
      <c r="G340" s="1177">
        <f t="shared" si="12"/>
        <v>0</v>
      </c>
      <c r="H340" s="1177">
        <f t="shared" si="13"/>
        <v>0</v>
      </c>
      <c r="I340" s="667">
        <f t="shared" si="14"/>
        <v>0</v>
      </c>
      <c r="J340" s="655"/>
      <c r="K340" s="794"/>
      <c r="L340" s="669"/>
      <c r="M340" s="794"/>
      <c r="N340" s="669"/>
      <c r="O340" s="669"/>
      <c r="P340" s="480"/>
    </row>
    <row r="341" spans="1:16">
      <c r="A341" s="285"/>
      <c r="B341" s="285"/>
      <c r="C341" s="602" t="s">
        <v>288</v>
      </c>
      <c r="D341" s="1148"/>
      <c r="E341" s="1148">
        <f>SUM(E281:E340)</f>
        <v>28572967.260000005</v>
      </c>
      <c r="F341" s="1148"/>
      <c r="G341" s="1148">
        <f>SUM(G281:G340)</f>
        <v>101566716.89327689</v>
      </c>
      <c r="H341" s="1148">
        <f>SUM(H281:H340)</f>
        <v>101566716.89327689</v>
      </c>
      <c r="I341" s="1148">
        <f>SUM(I281:I340)</f>
        <v>0</v>
      </c>
      <c r="J341" s="1148"/>
      <c r="K341" s="1148"/>
      <c r="L341" s="1148"/>
      <c r="M341" s="1148"/>
      <c r="N341" s="1148"/>
      <c r="O341" s="480"/>
      <c r="P341" s="480"/>
    </row>
    <row r="342" spans="1:16">
      <c r="A342" s="285"/>
      <c r="B342" s="285"/>
      <c r="C342" s="285"/>
      <c r="D342" s="496"/>
      <c r="E342" s="480"/>
      <c r="F342" s="480"/>
      <c r="G342" s="480"/>
      <c r="H342" s="1147"/>
      <c r="I342" s="1147"/>
      <c r="J342" s="1148"/>
      <c r="K342" s="1147"/>
      <c r="L342" s="1147"/>
      <c r="M342" s="1147"/>
      <c r="N342" s="1147"/>
      <c r="O342" s="480"/>
      <c r="P342" s="480"/>
    </row>
    <row r="343" spans="1:16">
      <c r="A343" s="285"/>
      <c r="B343" s="285"/>
      <c r="C343" s="480" t="s">
        <v>601</v>
      </c>
      <c r="D343" s="496"/>
      <c r="E343" s="480"/>
      <c r="F343" s="480"/>
      <c r="G343" s="480"/>
      <c r="H343" s="1147"/>
      <c r="I343" s="1147"/>
      <c r="J343" s="1148"/>
      <c r="K343" s="1147"/>
      <c r="L343" s="1147"/>
      <c r="M343" s="1147"/>
      <c r="N343" s="1147"/>
      <c r="O343" s="480"/>
      <c r="P343" s="480"/>
    </row>
    <row r="344" spans="1:16">
      <c r="A344" s="285"/>
      <c r="B344" s="285"/>
      <c r="C344" s="285"/>
      <c r="D344" s="496"/>
      <c r="E344" s="480"/>
      <c r="F344" s="480"/>
      <c r="G344" s="480"/>
      <c r="H344" s="1147"/>
      <c r="I344" s="1147"/>
      <c r="J344" s="1148"/>
      <c r="K344" s="1147"/>
      <c r="L344" s="1147"/>
      <c r="M344" s="1147"/>
      <c r="N344" s="1147"/>
      <c r="O344" s="480"/>
      <c r="P344" s="480"/>
    </row>
    <row r="345" spans="1:16">
      <c r="A345" s="285"/>
      <c r="B345" s="285"/>
      <c r="C345" s="508" t="s">
        <v>602</v>
      </c>
      <c r="D345" s="602"/>
      <c r="E345" s="602"/>
      <c r="F345" s="602"/>
      <c r="G345" s="1148"/>
      <c r="H345" s="1148"/>
      <c r="I345" s="603"/>
      <c r="J345" s="603"/>
      <c r="K345" s="603"/>
      <c r="L345" s="603"/>
      <c r="M345" s="603"/>
      <c r="N345" s="603"/>
      <c r="O345" s="480"/>
      <c r="P345" s="480"/>
    </row>
    <row r="346" spans="1:16">
      <c r="A346" s="285"/>
      <c r="B346" s="285"/>
      <c r="C346" s="508" t="s">
        <v>476</v>
      </c>
      <c r="D346" s="602"/>
      <c r="E346" s="602"/>
      <c r="F346" s="602"/>
      <c r="G346" s="1148"/>
      <c r="H346" s="1148"/>
      <c r="I346" s="603"/>
      <c r="J346" s="603"/>
      <c r="K346" s="603"/>
      <c r="L346" s="603"/>
      <c r="M346" s="603"/>
      <c r="N346" s="603"/>
      <c r="O346" s="480"/>
      <c r="P346" s="480"/>
    </row>
    <row r="347" spans="1:16">
      <c r="A347" s="285"/>
      <c r="B347" s="285"/>
      <c r="C347" s="508" t="s">
        <v>289</v>
      </c>
      <c r="D347" s="602"/>
      <c r="E347" s="602"/>
      <c r="F347" s="602"/>
      <c r="G347" s="1148"/>
      <c r="H347" s="1148"/>
      <c r="I347" s="603"/>
      <c r="J347" s="603"/>
      <c r="K347" s="603"/>
      <c r="L347" s="603"/>
      <c r="M347" s="603"/>
      <c r="N347" s="603"/>
      <c r="O347" s="480"/>
      <c r="P347" s="480"/>
    </row>
    <row r="348" spans="1:16">
      <c r="A348" s="285"/>
      <c r="B348" s="285"/>
      <c r="C348" s="601"/>
      <c r="D348" s="602"/>
      <c r="E348" s="602"/>
      <c r="F348" s="602"/>
      <c r="G348" s="1148"/>
      <c r="H348" s="1148"/>
      <c r="I348" s="603"/>
      <c r="J348" s="603"/>
      <c r="K348" s="603"/>
      <c r="L348" s="603"/>
      <c r="M348" s="603"/>
      <c r="N348" s="603"/>
      <c r="O348" s="480"/>
      <c r="P348" s="480"/>
    </row>
    <row r="349" spans="1:16">
      <c r="A349" s="285"/>
      <c r="B349" s="285"/>
      <c r="C349" s="1513" t="s">
        <v>460</v>
      </c>
      <c r="D349" s="1513"/>
      <c r="E349" s="1513"/>
      <c r="F349" s="1513"/>
      <c r="G349" s="1513"/>
      <c r="H349" s="1513"/>
      <c r="I349" s="1513"/>
      <c r="J349" s="1513"/>
      <c r="K349" s="1513"/>
      <c r="L349" s="1513"/>
      <c r="M349" s="1513"/>
      <c r="N349" s="1513"/>
      <c r="O349" s="1513"/>
      <c r="P349" s="480"/>
    </row>
    <row r="350" spans="1:16">
      <c r="A350" s="285"/>
      <c r="B350" s="285"/>
      <c r="C350" s="1513"/>
      <c r="D350" s="1513"/>
      <c r="E350" s="1513"/>
      <c r="F350" s="1513"/>
      <c r="G350" s="1513"/>
      <c r="H350" s="1513"/>
      <c r="I350" s="1513"/>
      <c r="J350" s="1513"/>
      <c r="K350" s="1513"/>
      <c r="L350" s="1513"/>
      <c r="M350" s="1513"/>
      <c r="N350" s="1513"/>
      <c r="O350" s="1513"/>
      <c r="P350" s="480"/>
    </row>
    <row r="351" spans="1:16" ht="20.25">
      <c r="A351" s="604" t="s">
        <v>947</v>
      </c>
      <c r="B351" s="480"/>
      <c r="C351" s="584"/>
      <c r="D351" s="496"/>
      <c r="E351" s="480"/>
      <c r="F351" s="574"/>
      <c r="G351" s="480"/>
      <c r="H351" s="1147"/>
      <c r="I351" s="285"/>
      <c r="J351" s="271"/>
      <c r="K351" s="605"/>
      <c r="L351" s="605"/>
      <c r="M351" s="605"/>
      <c r="N351" s="520" t="str">
        <f>"Page "&amp;SUM(P$6:P351)&amp;" of "</f>
        <v xml:space="preserve">Page 5 of </v>
      </c>
      <c r="O351" s="521">
        <f>COUNT(P$6:P$59606)</f>
        <v>15</v>
      </c>
      <c r="P351" s="480">
        <v>1</v>
      </c>
    </row>
    <row r="352" spans="1:16">
      <c r="A352" s="285"/>
      <c r="B352" s="480"/>
      <c r="C352" s="480"/>
      <c r="D352" s="496"/>
      <c r="E352" s="480"/>
      <c r="F352" s="480"/>
      <c r="G352" s="480"/>
      <c r="H352" s="1147"/>
      <c r="I352" s="480"/>
      <c r="J352" s="517"/>
      <c r="K352" s="480"/>
      <c r="L352" s="480"/>
      <c r="M352" s="480"/>
      <c r="N352" s="480"/>
      <c r="O352" s="480"/>
      <c r="P352" s="480"/>
    </row>
    <row r="353" spans="1:16" ht="18">
      <c r="A353" s="285"/>
      <c r="B353" s="524" t="s">
        <v>174</v>
      </c>
      <c r="C353" s="606" t="s">
        <v>290</v>
      </c>
      <c r="D353" s="496"/>
      <c r="E353" s="480"/>
      <c r="F353" s="480"/>
      <c r="G353" s="480"/>
      <c r="H353" s="1147"/>
      <c r="I353" s="1147"/>
      <c r="J353" s="1148"/>
      <c r="K353" s="1147"/>
      <c r="L353" s="1147"/>
      <c r="M353" s="1147"/>
      <c r="N353" s="1147"/>
      <c r="O353" s="480"/>
      <c r="P353" s="480"/>
    </row>
    <row r="354" spans="1:16" ht="18.75">
      <c r="A354" s="285"/>
      <c r="B354" s="524"/>
      <c r="C354" s="523"/>
      <c r="D354" s="496"/>
      <c r="E354" s="480"/>
      <c r="F354" s="480"/>
      <c r="G354" s="480"/>
      <c r="H354" s="1147"/>
      <c r="I354" s="1147"/>
      <c r="J354" s="1148"/>
      <c r="K354" s="1147"/>
      <c r="L354" s="1147"/>
      <c r="M354" s="1147"/>
      <c r="N354" s="1147"/>
      <c r="O354" s="480"/>
      <c r="P354" s="480"/>
    </row>
    <row r="355" spans="1:16" ht="18.75">
      <c r="A355" s="285"/>
      <c r="B355" s="524"/>
      <c r="C355" s="523" t="s">
        <v>291</v>
      </c>
      <c r="D355" s="496"/>
      <c r="E355" s="480"/>
      <c r="F355" s="480"/>
      <c r="G355" s="480"/>
      <c r="H355" s="1147"/>
      <c r="I355" s="1147"/>
      <c r="J355" s="1148"/>
      <c r="K355" s="1147"/>
      <c r="L355" s="1147"/>
      <c r="M355" s="1147"/>
      <c r="N355" s="1147"/>
      <c r="O355" s="480"/>
      <c r="P355" s="480"/>
    </row>
    <row r="356" spans="1:16" ht="15.75" thickBot="1">
      <c r="A356" s="285"/>
      <c r="B356" s="285"/>
      <c r="C356" s="347"/>
      <c r="D356" s="496"/>
      <c r="E356" s="480"/>
      <c r="F356" s="480"/>
      <c r="G356" s="480"/>
      <c r="H356" s="1147"/>
      <c r="I356" s="1147"/>
      <c r="J356" s="1148"/>
      <c r="K356" s="1147"/>
      <c r="L356" s="1147"/>
      <c r="M356" s="1147"/>
      <c r="N356" s="1147"/>
      <c r="O356" s="480"/>
      <c r="P356" s="480"/>
    </row>
    <row r="357" spans="1:16" ht="15.75">
      <c r="A357" s="285"/>
      <c r="B357" s="285"/>
      <c r="C357" s="525" t="s">
        <v>292</v>
      </c>
      <c r="D357" s="496"/>
      <c r="E357" s="480"/>
      <c r="F357" s="480"/>
      <c r="G357" s="1149"/>
      <c r="H357" s="480" t="s">
        <v>271</v>
      </c>
      <c r="I357" s="480"/>
      <c r="J357" s="517"/>
      <c r="K357" s="607" t="s">
        <v>296</v>
      </c>
      <c r="L357" s="608"/>
      <c r="M357" s="609"/>
      <c r="N357" s="1150">
        <f>VLOOKUP(I363,C370:O429,5)</f>
        <v>263535.65580935439</v>
      </c>
      <c r="O357" s="480"/>
      <c r="P357" s="480"/>
    </row>
    <row r="358" spans="1:16" ht="15.75">
      <c r="A358" s="285"/>
      <c r="B358" s="285"/>
      <c r="C358" s="525"/>
      <c r="D358" s="496"/>
      <c r="E358" s="480"/>
      <c r="F358" s="480"/>
      <c r="G358" s="480"/>
      <c r="H358" s="1151"/>
      <c r="I358" s="1151"/>
      <c r="J358" s="1152"/>
      <c r="K358" s="612" t="s">
        <v>297</v>
      </c>
      <c r="L358" s="1153"/>
      <c r="M358" s="517"/>
      <c r="N358" s="1154">
        <f>VLOOKUP(I363,C370:O429,6)</f>
        <v>263535.65580935439</v>
      </c>
      <c r="O358" s="480"/>
      <c r="P358" s="480"/>
    </row>
    <row r="359" spans="1:16" ht="13.5" thickBot="1">
      <c r="A359" s="285"/>
      <c r="B359" s="285"/>
      <c r="C359" s="613" t="s">
        <v>293</v>
      </c>
      <c r="D359" s="1514" t="s">
        <v>952</v>
      </c>
      <c r="E359" s="1514"/>
      <c r="F359" s="1514"/>
      <c r="G359" s="1514"/>
      <c r="H359" s="1147"/>
      <c r="I359" s="1147"/>
      <c r="J359" s="1148"/>
      <c r="K359" s="1155" t="s">
        <v>450</v>
      </c>
      <c r="L359" s="1156"/>
      <c r="M359" s="1156"/>
      <c r="N359" s="1157">
        <f>N357-N358</f>
        <v>0</v>
      </c>
      <c r="O359" s="480"/>
      <c r="P359" s="480"/>
    </row>
    <row r="360" spans="1:16">
      <c r="A360" s="285"/>
      <c r="B360" s="285"/>
      <c r="C360" s="615"/>
      <c r="D360" s="616"/>
      <c r="E360" s="600"/>
      <c r="F360" s="600"/>
      <c r="G360" s="617"/>
      <c r="H360" s="1147"/>
      <c r="I360" s="1147"/>
      <c r="J360" s="1148"/>
      <c r="K360" s="1147"/>
      <c r="L360" s="1147"/>
      <c r="M360" s="1147"/>
      <c r="N360" s="1147"/>
      <c r="O360" s="480"/>
      <c r="P360" s="480"/>
    </row>
    <row r="361" spans="1:16" ht="13.5" thickBot="1">
      <c r="A361" s="285"/>
      <c r="B361" s="285"/>
      <c r="C361" s="618"/>
      <c r="D361" s="619"/>
      <c r="E361" s="617"/>
      <c r="F361" s="617"/>
      <c r="G361" s="617"/>
      <c r="H361" s="617"/>
      <c r="I361" s="617"/>
      <c r="J361" s="620"/>
      <c r="K361" s="617"/>
      <c r="L361" s="617"/>
      <c r="M361" s="617"/>
      <c r="N361" s="617"/>
      <c r="O361" s="508"/>
      <c r="P361" s="480"/>
    </row>
    <row r="362" spans="1:16" ht="13.5" thickBot="1">
      <c r="A362" s="285"/>
      <c r="B362" s="285"/>
      <c r="C362" s="622" t="s">
        <v>294</v>
      </c>
      <c r="D362" s="623"/>
      <c r="E362" s="623"/>
      <c r="F362" s="623"/>
      <c r="G362" s="623"/>
      <c r="H362" s="623"/>
      <c r="I362" s="624"/>
      <c r="J362" s="625"/>
      <c r="K362" s="480"/>
      <c r="L362" s="480"/>
      <c r="M362" s="480"/>
      <c r="N362" s="480"/>
      <c r="O362" s="626"/>
      <c r="P362" s="480"/>
    </row>
    <row r="363" spans="1:16" ht="15">
      <c r="A363" s="285"/>
      <c r="B363" s="362"/>
      <c r="C363" s="628" t="s">
        <v>272</v>
      </c>
      <c r="D363" s="1158">
        <v>2419909.98</v>
      </c>
      <c r="E363" s="584" t="s">
        <v>273</v>
      </c>
      <c r="F363" s="285"/>
      <c r="G363" s="629"/>
      <c r="H363" s="629"/>
      <c r="I363" s="630">
        <f>$L$26</f>
        <v>2024</v>
      </c>
      <c r="J363" s="515"/>
      <c r="K363" s="1515" t="s">
        <v>459</v>
      </c>
      <c r="L363" s="1515"/>
      <c r="M363" s="1515"/>
      <c r="N363" s="1515"/>
      <c r="O363" s="1515"/>
      <c r="P363" s="480"/>
    </row>
    <row r="364" spans="1:16">
      <c r="A364" s="285"/>
      <c r="B364" s="362"/>
      <c r="C364" s="628" t="s">
        <v>275</v>
      </c>
      <c r="D364" s="788">
        <v>2014</v>
      </c>
      <c r="E364" s="628" t="s">
        <v>276</v>
      </c>
      <c r="F364" s="629"/>
      <c r="G364" s="285"/>
      <c r="H364" s="285"/>
      <c r="I364" s="791">
        <f>IF(G351="",0,$F$15)</f>
        <v>0</v>
      </c>
      <c r="J364" s="631"/>
      <c r="K364" s="1148" t="s">
        <v>459</v>
      </c>
      <c r="L364" s="285"/>
      <c r="M364" s="285"/>
      <c r="N364" s="285"/>
      <c r="O364" s="285"/>
      <c r="P364" s="480"/>
    </row>
    <row r="365" spans="1:16">
      <c r="A365" s="285"/>
      <c r="B365" s="362"/>
      <c r="C365" s="628" t="s">
        <v>277</v>
      </c>
      <c r="D365" s="1159">
        <v>12</v>
      </c>
      <c r="E365" s="628" t="s">
        <v>278</v>
      </c>
      <c r="F365" s="629"/>
      <c r="G365" s="285"/>
      <c r="H365" s="285"/>
      <c r="I365" s="632">
        <f>$G$70</f>
        <v>0.10987714662923057</v>
      </c>
      <c r="J365" s="633"/>
      <c r="K365" s="285" t="str">
        <f>"          INPUT PROJECTED ARR (WITH &amp; WITHOUT INCENTIVES) FROM EACH PRIOR YEAR"</f>
        <v xml:space="preserve">          INPUT PROJECTED ARR (WITH &amp; WITHOUT INCENTIVES) FROM EACH PRIOR YEAR</v>
      </c>
      <c r="L365" s="285"/>
      <c r="M365" s="285"/>
      <c r="N365" s="285"/>
      <c r="O365" s="285"/>
      <c r="P365" s="480"/>
    </row>
    <row r="366" spans="1:16">
      <c r="A366" s="285"/>
      <c r="B366" s="362"/>
      <c r="C366" s="628" t="s">
        <v>279</v>
      </c>
      <c r="D366" s="634">
        <f>G$79</f>
        <v>45</v>
      </c>
      <c r="E366" s="628" t="s">
        <v>280</v>
      </c>
      <c r="F366" s="629"/>
      <c r="G366" s="285"/>
      <c r="H366" s="285"/>
      <c r="I366" s="632">
        <f>IF(G351="",I365,$G$67)</f>
        <v>0.10987714662923057</v>
      </c>
      <c r="J366" s="635"/>
      <c r="K366" s="285" t="s">
        <v>357</v>
      </c>
      <c r="L366" s="285"/>
      <c r="M366" s="285"/>
      <c r="N366" s="285"/>
      <c r="O366" s="285"/>
      <c r="P366" s="480"/>
    </row>
    <row r="367" spans="1:16" ht="13.5" thickBot="1">
      <c r="A367" s="285"/>
      <c r="B367" s="362"/>
      <c r="C367" s="628" t="s">
        <v>281</v>
      </c>
      <c r="D367" s="790" t="s">
        <v>949</v>
      </c>
      <c r="E367" s="636" t="s">
        <v>282</v>
      </c>
      <c r="F367" s="637"/>
      <c r="G367" s="638"/>
      <c r="H367" s="638"/>
      <c r="I367" s="1157">
        <f>IF(D363=0,0,D363/D366)</f>
        <v>53775.777333333332</v>
      </c>
      <c r="J367" s="1148"/>
      <c r="K367" s="1148" t="s">
        <v>363</v>
      </c>
      <c r="L367" s="1148"/>
      <c r="M367" s="1148"/>
      <c r="N367" s="1148"/>
      <c r="O367" s="517"/>
      <c r="P367" s="480"/>
    </row>
    <row r="368" spans="1:16" ht="51">
      <c r="A368" s="470"/>
      <c r="B368" s="470"/>
      <c r="C368" s="639" t="s">
        <v>272</v>
      </c>
      <c r="D368" s="1160" t="s">
        <v>283</v>
      </c>
      <c r="E368" s="1161" t="s">
        <v>284</v>
      </c>
      <c r="F368" s="1160" t="s">
        <v>285</v>
      </c>
      <c r="G368" s="1161" t="s">
        <v>356</v>
      </c>
      <c r="H368" s="1162" t="s">
        <v>356</v>
      </c>
      <c r="I368" s="639" t="s">
        <v>295</v>
      </c>
      <c r="J368" s="643"/>
      <c r="K368" s="1161" t="s">
        <v>365</v>
      </c>
      <c r="L368" s="1163"/>
      <c r="M368" s="1161" t="s">
        <v>365</v>
      </c>
      <c r="N368" s="1163"/>
      <c r="O368" s="1163"/>
      <c r="P368" s="480"/>
    </row>
    <row r="369" spans="1:16" ht="13.5" thickBot="1">
      <c r="A369" s="285"/>
      <c r="B369" s="285"/>
      <c r="C369" s="645" t="s">
        <v>177</v>
      </c>
      <c r="D369" s="646" t="s">
        <v>178</v>
      </c>
      <c r="E369" s="645" t="s">
        <v>37</v>
      </c>
      <c r="F369" s="646" t="s">
        <v>178</v>
      </c>
      <c r="G369" s="1164" t="s">
        <v>298</v>
      </c>
      <c r="H369" s="1165" t="s">
        <v>300</v>
      </c>
      <c r="I369" s="649" t="s">
        <v>389</v>
      </c>
      <c r="J369" s="650"/>
      <c r="K369" s="1164" t="s">
        <v>287</v>
      </c>
      <c r="L369" s="1166"/>
      <c r="M369" s="1164" t="s">
        <v>300</v>
      </c>
      <c r="N369" s="1166"/>
      <c r="O369" s="1166"/>
      <c r="P369" s="480"/>
    </row>
    <row r="370" spans="1:16">
      <c r="A370" s="285"/>
      <c r="B370" s="285"/>
      <c r="C370" s="651">
        <f>IF(D364= "","-",D364)</f>
        <v>2014</v>
      </c>
      <c r="D370" s="602">
        <f>+D363</f>
        <v>2419909.98</v>
      </c>
      <c r="E370" s="1167">
        <f>+I367/12*(12-D365)</f>
        <v>0</v>
      </c>
      <c r="F370" s="602">
        <f>+D370-E370</f>
        <v>2419909.98</v>
      </c>
      <c r="G370" s="1168">
        <f>+$I$365*((D370+F370)/2)+E370</f>
        <v>265892.80370199837</v>
      </c>
      <c r="H370" s="1169">
        <f>+$I$366*((D370+F370)/2)+E370</f>
        <v>265892.80370199837</v>
      </c>
      <c r="I370" s="655">
        <f>+H370-G370</f>
        <v>0</v>
      </c>
      <c r="J370" s="655"/>
      <c r="K370" s="792">
        <v>222712</v>
      </c>
      <c r="L370" s="657"/>
      <c r="M370" s="792">
        <v>222712</v>
      </c>
      <c r="N370" s="657"/>
      <c r="O370" s="657"/>
      <c r="P370" s="480"/>
    </row>
    <row r="371" spans="1:16">
      <c r="A371" s="285"/>
      <c r="B371" s="285"/>
      <c r="C371" s="651">
        <f>IF(D364="","-",+C370+1)</f>
        <v>2015</v>
      </c>
      <c r="D371" s="602">
        <f>F370</f>
        <v>2419909.98</v>
      </c>
      <c r="E371" s="658">
        <f>IF(D371&gt;$I$367,$I$367,D371)</f>
        <v>53775.777333333332</v>
      </c>
      <c r="F371" s="602">
        <f>+D371-E371</f>
        <v>2366134.2026666668</v>
      </c>
      <c r="G371" s="1167">
        <f t="shared" ref="G371:G429" si="18">+$I$365*((D371+F371)/2)+E371</f>
        <v>316714.21654975397</v>
      </c>
      <c r="H371" s="1170">
        <f t="shared" ref="H371:H429" si="19">+$I$366*((D371+F371)/2)+E371</f>
        <v>316714.21654975397</v>
      </c>
      <c r="I371" s="655">
        <f t="shared" ref="I371:I429" si="20">+H371-G371</f>
        <v>0</v>
      </c>
      <c r="J371" s="655"/>
      <c r="K371" s="793">
        <v>317491</v>
      </c>
      <c r="L371" s="661"/>
      <c r="M371" s="793">
        <v>317491</v>
      </c>
      <c r="N371" s="661"/>
      <c r="O371" s="661"/>
      <c r="P371" s="480"/>
    </row>
    <row r="372" spans="1:16">
      <c r="A372" s="285"/>
      <c r="B372" s="285"/>
      <c r="C372" s="651">
        <f>IF(D364="","-",+C371+1)</f>
        <v>2016</v>
      </c>
      <c r="D372" s="602">
        <f>F371</f>
        <v>2366134.2026666668</v>
      </c>
      <c r="E372" s="658">
        <f t="shared" ref="E372:E429" si="21">IF(D372&gt;$I$367,$I$367,D372)</f>
        <v>53775.777333333332</v>
      </c>
      <c r="F372" s="602">
        <f t="shared" ref="F372:F429" si="22">+D372-E372</f>
        <v>2312358.4253333337</v>
      </c>
      <c r="G372" s="1167">
        <f t="shared" si="18"/>
        <v>310805.48757859849</v>
      </c>
      <c r="H372" s="1170">
        <f t="shared" si="19"/>
        <v>310805.48757859849</v>
      </c>
      <c r="I372" s="655">
        <f t="shared" si="20"/>
        <v>0</v>
      </c>
      <c r="J372" s="655"/>
      <c r="K372" s="793">
        <v>303455</v>
      </c>
      <c r="L372" s="1180"/>
      <c r="M372" s="793">
        <v>303455</v>
      </c>
      <c r="N372" s="661"/>
      <c r="O372" s="661"/>
      <c r="P372" s="480"/>
    </row>
    <row r="373" spans="1:16">
      <c r="A373" s="285"/>
      <c r="B373" s="285"/>
      <c r="C373" s="651">
        <f>IF(D364="","-",+C372+1)</f>
        <v>2017</v>
      </c>
      <c r="D373" s="602">
        <f t="shared" ref="D373:D429" si="23">F372</f>
        <v>2312358.4253333337</v>
      </c>
      <c r="E373" s="658">
        <f t="shared" si="21"/>
        <v>53775.777333333332</v>
      </c>
      <c r="F373" s="602">
        <f t="shared" si="22"/>
        <v>2258582.6480000005</v>
      </c>
      <c r="G373" s="1167">
        <f t="shared" si="18"/>
        <v>304896.75860744296</v>
      </c>
      <c r="H373" s="1170">
        <f t="shared" si="19"/>
        <v>304896.75860744296</v>
      </c>
      <c r="I373" s="655">
        <f t="shared" si="20"/>
        <v>0</v>
      </c>
      <c r="J373" s="655"/>
      <c r="K373" s="793">
        <v>317491</v>
      </c>
      <c r="L373" s="661"/>
      <c r="M373" s="793">
        <v>317491</v>
      </c>
      <c r="N373" s="661"/>
      <c r="O373" s="661"/>
      <c r="P373" s="480"/>
    </row>
    <row r="374" spans="1:16">
      <c r="A374" s="285"/>
      <c r="B374" s="285"/>
      <c r="C374" s="1194">
        <f>IF(D364="","-",+C373+1)</f>
        <v>2018</v>
      </c>
      <c r="D374" s="1172">
        <f t="shared" si="23"/>
        <v>2258582.6480000005</v>
      </c>
      <c r="E374" s="1173">
        <f t="shared" si="21"/>
        <v>53775.777333333332</v>
      </c>
      <c r="F374" s="1172">
        <f t="shared" si="22"/>
        <v>2204806.8706666674</v>
      </c>
      <c r="G374" s="1174">
        <f t="shared" si="18"/>
        <v>298988.02963628748</v>
      </c>
      <c r="H374" s="1175">
        <f t="shared" si="19"/>
        <v>298988.02963628748</v>
      </c>
      <c r="I374" s="1181">
        <f t="shared" si="20"/>
        <v>0</v>
      </c>
      <c r="J374" s="1181"/>
      <c r="K374" s="793">
        <v>292574</v>
      </c>
      <c r="L374" s="661"/>
      <c r="M374" s="793">
        <v>292574</v>
      </c>
      <c r="N374" s="661"/>
      <c r="O374" s="661"/>
      <c r="P374" s="480"/>
    </row>
    <row r="375" spans="1:16">
      <c r="A375" s="285"/>
      <c r="B375" s="285"/>
      <c r="C375" s="1229">
        <f>IF(D366="","-",+C374+1)</f>
        <v>2019</v>
      </c>
      <c r="D375" s="602">
        <f t="shared" si="23"/>
        <v>2204806.8706666674</v>
      </c>
      <c r="E375" s="658">
        <f t="shared" si="21"/>
        <v>53775.777333333332</v>
      </c>
      <c r="F375" s="602">
        <f t="shared" si="22"/>
        <v>2151031.0933333342</v>
      </c>
      <c r="G375" s="1167">
        <f t="shared" si="18"/>
        <v>293079.300665132</v>
      </c>
      <c r="H375" s="1170">
        <f t="shared" si="19"/>
        <v>293079.300665132</v>
      </c>
      <c r="I375" s="655">
        <f t="shared" si="20"/>
        <v>0</v>
      </c>
      <c r="J375" s="655"/>
      <c r="K375" s="793">
        <v>285753</v>
      </c>
      <c r="L375" s="661"/>
      <c r="M375" s="793">
        <v>285753</v>
      </c>
      <c r="N375" s="661"/>
      <c r="O375" s="661"/>
      <c r="P375" s="480"/>
    </row>
    <row r="376" spans="1:16">
      <c r="A376" s="285"/>
      <c r="B376" s="285"/>
      <c r="C376" s="1229">
        <f>IF(D366="","-",+C375+1)</f>
        <v>2020</v>
      </c>
      <c r="D376" s="602">
        <f t="shared" si="23"/>
        <v>2151031.0933333342</v>
      </c>
      <c r="E376" s="658">
        <f t="shared" si="21"/>
        <v>53775.777333333332</v>
      </c>
      <c r="F376" s="602">
        <f t="shared" si="22"/>
        <v>2097255.316000001</v>
      </c>
      <c r="G376" s="1167">
        <f t="shared" si="18"/>
        <v>287170.57169397647</v>
      </c>
      <c r="H376" s="1170">
        <f t="shared" si="19"/>
        <v>287170.57169397647</v>
      </c>
      <c r="I376" s="655">
        <f t="shared" si="20"/>
        <v>0</v>
      </c>
      <c r="J376" s="655"/>
      <c r="K376" s="793">
        <v>271872.09064445226</v>
      </c>
      <c r="L376" s="661"/>
      <c r="M376" s="793">
        <v>271872.09064445226</v>
      </c>
      <c r="N376" s="661"/>
      <c r="O376" s="661"/>
      <c r="P376" s="480"/>
    </row>
    <row r="377" spans="1:16">
      <c r="A377" s="285"/>
      <c r="B377" s="285"/>
      <c r="C377" s="1229">
        <f>IF(D364="","-",+C376+1)</f>
        <v>2021</v>
      </c>
      <c r="D377" s="602">
        <f t="shared" si="23"/>
        <v>2097255.316000001</v>
      </c>
      <c r="E377" s="658">
        <f t="shared" si="21"/>
        <v>53775.777333333332</v>
      </c>
      <c r="F377" s="602">
        <f t="shared" si="22"/>
        <v>2043479.5386666676</v>
      </c>
      <c r="G377" s="1167">
        <f t="shared" si="18"/>
        <v>281261.84272282099</v>
      </c>
      <c r="H377" s="1170">
        <f t="shared" si="19"/>
        <v>281261.84272282099</v>
      </c>
      <c r="I377" s="655">
        <f t="shared" si="20"/>
        <v>0</v>
      </c>
      <c r="J377" s="655"/>
      <c r="K377" s="793">
        <v>267412.77468551655</v>
      </c>
      <c r="L377" s="661"/>
      <c r="M377" s="1230">
        <v>267412.77468551655</v>
      </c>
      <c r="N377" s="661"/>
      <c r="O377" s="661"/>
      <c r="P377" s="480"/>
    </row>
    <row r="378" spans="1:16">
      <c r="A378" s="285"/>
      <c r="B378" s="285"/>
      <c r="C378" s="1229">
        <f>IF(D369="","-",+C377+1)</f>
        <v>2022</v>
      </c>
      <c r="D378" s="602">
        <f t="shared" si="23"/>
        <v>2043479.5386666676</v>
      </c>
      <c r="E378" s="658">
        <f t="shared" si="21"/>
        <v>53775.777333333332</v>
      </c>
      <c r="F378" s="602">
        <f t="shared" si="22"/>
        <v>1989703.7613333343</v>
      </c>
      <c r="G378" s="1167">
        <f t="shared" si="18"/>
        <v>275353.11375166546</v>
      </c>
      <c r="H378" s="1170">
        <f t="shared" si="19"/>
        <v>275353.11375166546</v>
      </c>
      <c r="I378" s="655">
        <f t="shared" si="20"/>
        <v>0</v>
      </c>
      <c r="J378" s="655"/>
      <c r="K378" s="793">
        <v>263899.51040602638</v>
      </c>
      <c r="L378" s="661"/>
      <c r="M378" s="1230">
        <v>263899.51040602638</v>
      </c>
      <c r="N378" s="661"/>
      <c r="O378" s="661"/>
      <c r="P378" s="480"/>
    </row>
    <row r="379" spans="1:16">
      <c r="A379" s="285"/>
      <c r="B379" s="285"/>
      <c r="C379" s="1229">
        <f>IF(D369="","-",+C378+1)</f>
        <v>2023</v>
      </c>
      <c r="D379" s="602">
        <f t="shared" si="23"/>
        <v>1989703.7613333343</v>
      </c>
      <c r="E379" s="658">
        <f t="shared" si="21"/>
        <v>53775.777333333332</v>
      </c>
      <c r="F379" s="602">
        <f t="shared" si="22"/>
        <v>1935927.9840000009</v>
      </c>
      <c r="G379" s="1167">
        <f t="shared" si="18"/>
        <v>269444.38478050992</v>
      </c>
      <c r="H379" s="1170">
        <f t="shared" si="19"/>
        <v>269444.38478050992</v>
      </c>
      <c r="I379" s="655">
        <f t="shared" si="20"/>
        <v>0</v>
      </c>
      <c r="J379" s="655"/>
      <c r="K379" s="793">
        <v>271713.61431374738</v>
      </c>
      <c r="L379" s="661"/>
      <c r="M379" s="1230">
        <v>271713.61431374738</v>
      </c>
      <c r="N379" s="661"/>
      <c r="O379" s="661"/>
      <c r="P379" s="480"/>
    </row>
    <row r="380" spans="1:16">
      <c r="A380" s="285"/>
      <c r="B380" s="285"/>
      <c r="C380" s="1171">
        <f>IF(D364="","-",+C379+1)</f>
        <v>2024</v>
      </c>
      <c r="D380" s="602">
        <f t="shared" si="23"/>
        <v>1935927.9840000009</v>
      </c>
      <c r="E380" s="658">
        <f t="shared" si="21"/>
        <v>53775.777333333332</v>
      </c>
      <c r="F380" s="602">
        <f t="shared" si="22"/>
        <v>1882152.2066666675</v>
      </c>
      <c r="G380" s="1167">
        <f t="shared" si="18"/>
        <v>263535.65580935439</v>
      </c>
      <c r="H380" s="1170">
        <f t="shared" si="19"/>
        <v>263535.65580935439</v>
      </c>
      <c r="I380" s="655">
        <f t="shared" si="20"/>
        <v>0</v>
      </c>
      <c r="J380" s="655"/>
      <c r="K380" s="793"/>
      <c r="L380" s="661"/>
      <c r="M380" s="793"/>
      <c r="N380" s="661"/>
      <c r="O380" s="661"/>
      <c r="P380" s="480"/>
    </row>
    <row r="381" spans="1:16">
      <c r="A381" s="285"/>
      <c r="B381" s="285"/>
      <c r="C381" s="651">
        <f>IF(D364="","-",+C380+1)</f>
        <v>2025</v>
      </c>
      <c r="D381" s="602">
        <f t="shared" si="23"/>
        <v>1882152.2066666675</v>
      </c>
      <c r="E381" s="658">
        <f t="shared" si="21"/>
        <v>53775.777333333332</v>
      </c>
      <c r="F381" s="602">
        <f t="shared" si="22"/>
        <v>1828376.4293333341</v>
      </c>
      <c r="G381" s="1167">
        <f t="shared" si="18"/>
        <v>257626.92683819888</v>
      </c>
      <c r="H381" s="1170">
        <f t="shared" si="19"/>
        <v>257626.92683819888</v>
      </c>
      <c r="I381" s="655">
        <f t="shared" si="20"/>
        <v>0</v>
      </c>
      <c r="J381" s="655"/>
      <c r="K381" s="793"/>
      <c r="L381" s="661"/>
      <c r="M381" s="793"/>
      <c r="N381" s="661"/>
      <c r="O381" s="661"/>
      <c r="P381" s="480"/>
    </row>
    <row r="382" spans="1:16">
      <c r="A382" s="285"/>
      <c r="B382" s="285"/>
      <c r="C382" s="651">
        <f>IF(D364="","-",+C381+1)</f>
        <v>2026</v>
      </c>
      <c r="D382" s="602">
        <f t="shared" si="23"/>
        <v>1828376.4293333341</v>
      </c>
      <c r="E382" s="658">
        <f t="shared" si="21"/>
        <v>53775.777333333332</v>
      </c>
      <c r="F382" s="602">
        <f t="shared" si="22"/>
        <v>1774600.6520000007</v>
      </c>
      <c r="G382" s="1167">
        <f t="shared" si="18"/>
        <v>251718.19786704332</v>
      </c>
      <c r="H382" s="1170">
        <f t="shared" si="19"/>
        <v>251718.19786704332</v>
      </c>
      <c r="I382" s="655">
        <f t="shared" si="20"/>
        <v>0</v>
      </c>
      <c r="J382" s="655"/>
      <c r="K382" s="793"/>
      <c r="L382" s="661"/>
      <c r="M382" s="793"/>
      <c r="N382" s="662"/>
      <c r="O382" s="661"/>
      <c r="P382" s="480"/>
    </row>
    <row r="383" spans="1:16">
      <c r="A383" s="285"/>
      <c r="B383" s="285"/>
      <c r="C383" s="651">
        <f>IF(D364="","-",+C382+1)</f>
        <v>2027</v>
      </c>
      <c r="D383" s="602">
        <f t="shared" si="23"/>
        <v>1774600.6520000007</v>
      </c>
      <c r="E383" s="658">
        <f t="shared" si="21"/>
        <v>53775.777333333332</v>
      </c>
      <c r="F383" s="602">
        <f t="shared" si="22"/>
        <v>1720824.8746666673</v>
      </c>
      <c r="G383" s="1167">
        <f t="shared" si="18"/>
        <v>245809.46889588781</v>
      </c>
      <c r="H383" s="1170">
        <f t="shared" si="19"/>
        <v>245809.46889588781</v>
      </c>
      <c r="I383" s="655">
        <f t="shared" si="20"/>
        <v>0</v>
      </c>
      <c r="J383" s="655"/>
      <c r="K383" s="793"/>
      <c r="L383" s="661"/>
      <c r="M383" s="793"/>
      <c r="N383" s="661"/>
      <c r="O383" s="661"/>
      <c r="P383" s="480"/>
    </row>
    <row r="384" spans="1:16">
      <c r="A384" s="285"/>
      <c r="B384" s="285"/>
      <c r="C384" s="651">
        <f>IF(D364="","-",+C383+1)</f>
        <v>2028</v>
      </c>
      <c r="D384" s="602">
        <f t="shared" si="23"/>
        <v>1720824.8746666673</v>
      </c>
      <c r="E384" s="658">
        <f t="shared" si="21"/>
        <v>53775.777333333332</v>
      </c>
      <c r="F384" s="602">
        <f t="shared" si="22"/>
        <v>1667049.0973333339</v>
      </c>
      <c r="G384" s="1167">
        <f t="shared" si="18"/>
        <v>239900.73992473228</v>
      </c>
      <c r="H384" s="1170">
        <f t="shared" si="19"/>
        <v>239900.73992473228</v>
      </c>
      <c r="I384" s="655">
        <f t="shared" si="20"/>
        <v>0</v>
      </c>
      <c r="J384" s="655"/>
      <c r="K384" s="793"/>
      <c r="L384" s="661"/>
      <c r="M384" s="793"/>
      <c r="N384" s="661"/>
      <c r="O384" s="661"/>
      <c r="P384" s="480"/>
    </row>
    <row r="385" spans="1:16">
      <c r="A385" s="285"/>
      <c r="B385" s="285"/>
      <c r="C385" s="651">
        <f>IF(D364="","-",+C384+1)</f>
        <v>2029</v>
      </c>
      <c r="D385" s="602">
        <f t="shared" ref="D385:D392" si="24">F384</f>
        <v>1667049.0973333339</v>
      </c>
      <c r="E385" s="658">
        <f t="shared" ref="E385:E392" si="25">IF(D385&gt;$I$367,$I$367,D385)</f>
        <v>53775.777333333332</v>
      </c>
      <c r="F385" s="602">
        <f t="shared" ref="F385:F392" si="26">+D385-E385</f>
        <v>1613273.3200000005</v>
      </c>
      <c r="G385" s="1167">
        <f t="shared" ref="G385:G392" si="27">+$I$365*((D385+F385)/2)+E385</f>
        <v>233992.01095357677</v>
      </c>
      <c r="H385" s="1170">
        <f t="shared" ref="H385:H392" si="28">+$I$366*((D385+F385)/2)+E385</f>
        <v>233992.01095357677</v>
      </c>
      <c r="I385" s="655">
        <f t="shared" si="20"/>
        <v>0</v>
      </c>
      <c r="J385" s="655"/>
      <c r="K385" s="793"/>
      <c r="L385" s="661"/>
      <c r="M385" s="793"/>
      <c r="N385" s="661"/>
      <c r="O385" s="661"/>
      <c r="P385" s="480"/>
    </row>
    <row r="386" spans="1:16">
      <c r="A386" s="285"/>
      <c r="B386" s="285"/>
      <c r="C386" s="651">
        <f>IF(D364="","-",+C385+1)</f>
        <v>2030</v>
      </c>
      <c r="D386" s="602">
        <f t="shared" si="24"/>
        <v>1613273.3200000005</v>
      </c>
      <c r="E386" s="658">
        <f t="shared" si="25"/>
        <v>53775.777333333332</v>
      </c>
      <c r="F386" s="602">
        <f t="shared" si="26"/>
        <v>1559497.5426666671</v>
      </c>
      <c r="G386" s="1167">
        <f t="shared" si="27"/>
        <v>228083.28198242121</v>
      </c>
      <c r="H386" s="1170">
        <f t="shared" si="28"/>
        <v>228083.28198242121</v>
      </c>
      <c r="I386" s="655">
        <f>+H351-G351</f>
        <v>0</v>
      </c>
      <c r="J386" s="655"/>
      <c r="K386" s="793"/>
      <c r="L386" s="661"/>
      <c r="M386" s="793"/>
      <c r="N386" s="661"/>
      <c r="O386" s="661"/>
      <c r="P386" s="480"/>
    </row>
    <row r="387" spans="1:16">
      <c r="A387" s="285"/>
      <c r="B387" s="285"/>
      <c r="C387" s="651">
        <f>IF(D365="","-",+C386+1)</f>
        <v>2031</v>
      </c>
      <c r="D387" s="602">
        <f t="shared" si="24"/>
        <v>1559497.5426666671</v>
      </c>
      <c r="E387" s="658">
        <f t="shared" si="25"/>
        <v>53775.777333333332</v>
      </c>
      <c r="F387" s="602">
        <f t="shared" si="26"/>
        <v>1505721.7653333338</v>
      </c>
      <c r="G387" s="1167">
        <f t="shared" si="27"/>
        <v>222174.55301126573</v>
      </c>
      <c r="H387" s="1170">
        <f t="shared" si="28"/>
        <v>222174.55301126573</v>
      </c>
      <c r="I387" s="655">
        <f t="shared" si="20"/>
        <v>0</v>
      </c>
      <c r="J387" s="655"/>
      <c r="K387" s="793"/>
      <c r="L387" s="661"/>
      <c r="M387" s="793"/>
      <c r="N387" s="661"/>
      <c r="O387" s="661"/>
      <c r="P387" s="480"/>
    </row>
    <row r="388" spans="1:16">
      <c r="A388" s="285"/>
      <c r="B388" s="285"/>
      <c r="C388" s="651">
        <f>IF(D364="","-",+C387+1)</f>
        <v>2032</v>
      </c>
      <c r="D388" s="602">
        <f t="shared" si="24"/>
        <v>1505721.7653333338</v>
      </c>
      <c r="E388" s="658">
        <f t="shared" si="25"/>
        <v>53775.777333333332</v>
      </c>
      <c r="F388" s="602">
        <f t="shared" si="26"/>
        <v>1451945.9880000004</v>
      </c>
      <c r="G388" s="1167">
        <f t="shared" si="27"/>
        <v>216265.82404011016</v>
      </c>
      <c r="H388" s="1170">
        <f t="shared" si="28"/>
        <v>216265.82404011016</v>
      </c>
      <c r="I388" s="655">
        <f t="shared" si="20"/>
        <v>0</v>
      </c>
      <c r="J388" s="655"/>
      <c r="K388" s="793"/>
      <c r="L388" s="661"/>
      <c r="M388" s="793"/>
      <c r="N388" s="661"/>
      <c r="O388" s="661"/>
      <c r="P388" s="480"/>
    </row>
    <row r="389" spans="1:16">
      <c r="A389" s="285"/>
      <c r="B389" s="285"/>
      <c r="C389" s="651">
        <f>IF(D364="","-",+C388+1)</f>
        <v>2033</v>
      </c>
      <c r="D389" s="602">
        <f t="shared" si="24"/>
        <v>1451945.9880000004</v>
      </c>
      <c r="E389" s="658">
        <f t="shared" si="25"/>
        <v>53775.777333333332</v>
      </c>
      <c r="F389" s="602">
        <f t="shared" si="26"/>
        <v>1398170.210666667</v>
      </c>
      <c r="G389" s="1167">
        <f t="shared" si="27"/>
        <v>210357.09506895466</v>
      </c>
      <c r="H389" s="1170">
        <f t="shared" si="28"/>
        <v>210357.09506895466</v>
      </c>
      <c r="I389" s="655">
        <f t="shared" si="20"/>
        <v>0</v>
      </c>
      <c r="J389" s="655"/>
      <c r="K389" s="793"/>
      <c r="L389" s="661"/>
      <c r="M389" s="793"/>
      <c r="N389" s="661"/>
      <c r="O389" s="661"/>
      <c r="P389" s="480"/>
    </row>
    <row r="390" spans="1:16">
      <c r="A390" s="285"/>
      <c r="B390" s="285"/>
      <c r="C390" s="651">
        <f>IF(D364="","-",+C389+1)</f>
        <v>2034</v>
      </c>
      <c r="D390" s="602">
        <f t="shared" si="24"/>
        <v>1398170.210666667</v>
      </c>
      <c r="E390" s="658">
        <f t="shared" si="25"/>
        <v>53775.777333333332</v>
      </c>
      <c r="F390" s="602">
        <f t="shared" si="26"/>
        <v>1344394.4333333336</v>
      </c>
      <c r="G390" s="1167">
        <f t="shared" si="27"/>
        <v>204448.36609779912</v>
      </c>
      <c r="H390" s="1170">
        <f t="shared" si="28"/>
        <v>204448.36609779912</v>
      </c>
      <c r="I390" s="655">
        <f t="shared" si="20"/>
        <v>0</v>
      </c>
      <c r="J390" s="655"/>
      <c r="K390" s="793"/>
      <c r="L390" s="661"/>
      <c r="M390" s="793"/>
      <c r="N390" s="661"/>
      <c r="O390" s="661"/>
      <c r="P390" s="480"/>
    </row>
    <row r="391" spans="1:16">
      <c r="A391" s="285"/>
      <c r="B391" s="285"/>
      <c r="C391" s="651">
        <f>IF(D364="","-",+C390+1)</f>
        <v>2035</v>
      </c>
      <c r="D391" s="602">
        <f t="shared" si="24"/>
        <v>1344394.4333333336</v>
      </c>
      <c r="E391" s="658">
        <f t="shared" si="25"/>
        <v>53775.777333333332</v>
      </c>
      <c r="F391" s="602">
        <f t="shared" si="26"/>
        <v>1290618.6560000002</v>
      </c>
      <c r="G391" s="1167">
        <f t="shared" si="27"/>
        <v>198539.63712664362</v>
      </c>
      <c r="H391" s="1170">
        <f t="shared" si="28"/>
        <v>198539.63712664362</v>
      </c>
      <c r="I391" s="655">
        <f t="shared" si="20"/>
        <v>0</v>
      </c>
      <c r="J391" s="655"/>
      <c r="K391" s="793"/>
      <c r="L391" s="661"/>
      <c r="M391" s="793"/>
      <c r="N391" s="661"/>
      <c r="O391" s="661"/>
      <c r="P391" s="480"/>
    </row>
    <row r="392" spans="1:16">
      <c r="A392" s="285"/>
      <c r="B392" s="285"/>
      <c r="C392" s="651">
        <f>IF(D364="","-",+C391+1)</f>
        <v>2036</v>
      </c>
      <c r="D392" s="602">
        <f t="shared" si="24"/>
        <v>1290618.6560000002</v>
      </c>
      <c r="E392" s="658">
        <f t="shared" si="25"/>
        <v>53775.777333333332</v>
      </c>
      <c r="F392" s="602">
        <f t="shared" si="26"/>
        <v>1236842.8786666668</v>
      </c>
      <c r="G392" s="1167">
        <f t="shared" si="27"/>
        <v>192630.90815548805</v>
      </c>
      <c r="H392" s="1170">
        <f t="shared" si="28"/>
        <v>192630.90815548805</v>
      </c>
      <c r="I392" s="655">
        <f t="shared" si="20"/>
        <v>0</v>
      </c>
      <c r="J392" s="655"/>
      <c r="K392" s="793"/>
      <c r="L392" s="661"/>
      <c r="M392" s="793"/>
      <c r="N392" s="661"/>
      <c r="O392" s="661"/>
      <c r="P392" s="480"/>
    </row>
    <row r="393" spans="1:16">
      <c r="A393" s="285"/>
      <c r="B393" s="285"/>
      <c r="C393" s="651">
        <f>IF(D364="","-",+C392+1)</f>
        <v>2037</v>
      </c>
      <c r="D393" s="602">
        <f t="shared" si="23"/>
        <v>1236842.8786666668</v>
      </c>
      <c r="E393" s="658">
        <f t="shared" si="21"/>
        <v>53775.777333333332</v>
      </c>
      <c r="F393" s="602">
        <f t="shared" si="22"/>
        <v>1183067.1013333334</v>
      </c>
      <c r="G393" s="1167">
        <f t="shared" si="18"/>
        <v>186722.17918433255</v>
      </c>
      <c r="H393" s="1170">
        <f t="shared" si="19"/>
        <v>186722.17918433255</v>
      </c>
      <c r="I393" s="655">
        <f t="shared" si="20"/>
        <v>0</v>
      </c>
      <c r="J393" s="655"/>
      <c r="K393" s="793"/>
      <c r="L393" s="661"/>
      <c r="M393" s="793"/>
      <c r="N393" s="661"/>
      <c r="O393" s="661"/>
      <c r="P393" s="480"/>
    </row>
    <row r="394" spans="1:16">
      <c r="A394" s="285"/>
      <c r="B394" s="285"/>
      <c r="C394" s="651">
        <f>IF(D364="","-",+C393+1)</f>
        <v>2038</v>
      </c>
      <c r="D394" s="602">
        <f t="shared" si="23"/>
        <v>1183067.1013333334</v>
      </c>
      <c r="E394" s="658">
        <f t="shared" si="21"/>
        <v>53775.777333333332</v>
      </c>
      <c r="F394" s="602">
        <f t="shared" si="22"/>
        <v>1129291.324</v>
      </c>
      <c r="G394" s="1167">
        <f t="shared" si="18"/>
        <v>180813.45021317701</v>
      </c>
      <c r="H394" s="1170">
        <f t="shared" si="19"/>
        <v>180813.45021317701</v>
      </c>
      <c r="I394" s="655">
        <f t="shared" si="20"/>
        <v>0</v>
      </c>
      <c r="J394" s="655"/>
      <c r="K394" s="793"/>
      <c r="L394" s="661"/>
      <c r="M394" s="793"/>
      <c r="N394" s="661"/>
      <c r="O394" s="661"/>
      <c r="P394" s="480"/>
    </row>
    <row r="395" spans="1:16">
      <c r="A395" s="285"/>
      <c r="B395" s="285"/>
      <c r="C395" s="651">
        <f>IF(D364="","-",+C394+1)</f>
        <v>2039</v>
      </c>
      <c r="D395" s="602">
        <f t="shared" si="23"/>
        <v>1129291.324</v>
      </c>
      <c r="E395" s="658">
        <f t="shared" si="21"/>
        <v>53775.777333333332</v>
      </c>
      <c r="F395" s="602">
        <f t="shared" si="22"/>
        <v>1075515.5466666666</v>
      </c>
      <c r="G395" s="1167">
        <f t="shared" si="18"/>
        <v>174904.72124202151</v>
      </c>
      <c r="H395" s="1170">
        <f t="shared" si="19"/>
        <v>174904.72124202151</v>
      </c>
      <c r="I395" s="655">
        <f t="shared" si="20"/>
        <v>0</v>
      </c>
      <c r="J395" s="655"/>
      <c r="K395" s="793"/>
      <c r="L395" s="661"/>
      <c r="M395" s="793"/>
      <c r="N395" s="661"/>
      <c r="O395" s="661"/>
      <c r="P395" s="480"/>
    </row>
    <row r="396" spans="1:16">
      <c r="A396" s="285"/>
      <c r="B396" s="285"/>
      <c r="C396" s="651">
        <f>IF(D364="","-",+C395+1)</f>
        <v>2040</v>
      </c>
      <c r="D396" s="602">
        <f t="shared" si="23"/>
        <v>1075515.5466666666</v>
      </c>
      <c r="E396" s="658">
        <f t="shared" si="21"/>
        <v>53775.777333333332</v>
      </c>
      <c r="F396" s="602">
        <f t="shared" si="22"/>
        <v>1021739.7693333332</v>
      </c>
      <c r="G396" s="1167">
        <f t="shared" si="18"/>
        <v>168995.99227086594</v>
      </c>
      <c r="H396" s="1170">
        <f t="shared" si="19"/>
        <v>168995.99227086594</v>
      </c>
      <c r="I396" s="655">
        <f t="shared" si="20"/>
        <v>0</v>
      </c>
      <c r="J396" s="655"/>
      <c r="K396" s="793"/>
      <c r="L396" s="661"/>
      <c r="M396" s="793"/>
      <c r="N396" s="661"/>
      <c r="O396" s="661"/>
      <c r="P396" s="480"/>
    </row>
    <row r="397" spans="1:16">
      <c r="A397" s="285"/>
      <c r="B397" s="285"/>
      <c r="C397" s="651">
        <f>IF(D364="","-",+C396+1)</f>
        <v>2041</v>
      </c>
      <c r="D397" s="602">
        <f t="shared" si="23"/>
        <v>1021739.7693333332</v>
      </c>
      <c r="E397" s="658">
        <f t="shared" si="21"/>
        <v>53775.777333333332</v>
      </c>
      <c r="F397" s="602">
        <f t="shared" si="22"/>
        <v>967963.99199999985</v>
      </c>
      <c r="G397" s="1167">
        <f t="shared" si="18"/>
        <v>163087.26329971044</v>
      </c>
      <c r="H397" s="1170">
        <f t="shared" si="19"/>
        <v>163087.26329971044</v>
      </c>
      <c r="I397" s="655">
        <f t="shared" si="20"/>
        <v>0</v>
      </c>
      <c r="J397" s="655"/>
      <c r="K397" s="793"/>
      <c r="L397" s="661"/>
      <c r="M397" s="793"/>
      <c r="N397" s="661"/>
      <c r="O397" s="661"/>
      <c r="P397" s="480"/>
    </row>
    <row r="398" spans="1:16">
      <c r="A398" s="285"/>
      <c r="B398" s="285"/>
      <c r="C398" s="651">
        <f>IF(D364="","-",+C397+1)</f>
        <v>2042</v>
      </c>
      <c r="D398" s="602">
        <f t="shared" si="23"/>
        <v>967963.99199999985</v>
      </c>
      <c r="E398" s="658">
        <f t="shared" si="21"/>
        <v>53775.777333333332</v>
      </c>
      <c r="F398" s="602">
        <f t="shared" si="22"/>
        <v>914188.21466666646</v>
      </c>
      <c r="G398" s="1176">
        <f t="shared" si="18"/>
        <v>157178.53432855493</v>
      </c>
      <c r="H398" s="1170">
        <f t="shared" si="19"/>
        <v>157178.53432855493</v>
      </c>
      <c r="I398" s="655">
        <f t="shared" si="20"/>
        <v>0</v>
      </c>
      <c r="J398" s="655"/>
      <c r="K398" s="793"/>
      <c r="L398" s="661"/>
      <c r="M398" s="793"/>
      <c r="N398" s="661"/>
      <c r="O398" s="661"/>
      <c r="P398" s="480"/>
    </row>
    <row r="399" spans="1:16">
      <c r="A399" s="285"/>
      <c r="B399" s="285"/>
      <c r="C399" s="651">
        <f>IF(D364="","-",+C398+1)</f>
        <v>2043</v>
      </c>
      <c r="D399" s="602">
        <f t="shared" si="23"/>
        <v>914188.21466666646</v>
      </c>
      <c r="E399" s="658">
        <f t="shared" si="21"/>
        <v>53775.777333333332</v>
      </c>
      <c r="F399" s="602">
        <f t="shared" si="22"/>
        <v>860412.43733333307</v>
      </c>
      <c r="G399" s="1167">
        <f t="shared" si="18"/>
        <v>151269.8053573994</v>
      </c>
      <c r="H399" s="1170">
        <f t="shared" si="19"/>
        <v>151269.8053573994</v>
      </c>
      <c r="I399" s="655">
        <f t="shared" si="20"/>
        <v>0</v>
      </c>
      <c r="J399" s="655"/>
      <c r="K399" s="793"/>
      <c r="L399" s="661"/>
      <c r="M399" s="793"/>
      <c r="N399" s="661"/>
      <c r="O399" s="661"/>
      <c r="P399" s="480"/>
    </row>
    <row r="400" spans="1:16">
      <c r="A400" s="285"/>
      <c r="B400" s="285"/>
      <c r="C400" s="651">
        <f>IF(D364="","-",+C399+1)</f>
        <v>2044</v>
      </c>
      <c r="D400" s="602">
        <f t="shared" si="23"/>
        <v>860412.43733333307</v>
      </c>
      <c r="E400" s="658">
        <f t="shared" si="21"/>
        <v>53775.777333333332</v>
      </c>
      <c r="F400" s="602">
        <f t="shared" si="22"/>
        <v>806636.65999999968</v>
      </c>
      <c r="G400" s="1167">
        <f t="shared" si="18"/>
        <v>145361.07638624386</v>
      </c>
      <c r="H400" s="1170">
        <f t="shared" si="19"/>
        <v>145361.07638624386</v>
      </c>
      <c r="I400" s="655">
        <f t="shared" si="20"/>
        <v>0</v>
      </c>
      <c r="J400" s="655"/>
      <c r="K400" s="793"/>
      <c r="L400" s="661"/>
      <c r="M400" s="793"/>
      <c r="N400" s="661"/>
      <c r="O400" s="661"/>
      <c r="P400" s="480"/>
    </row>
    <row r="401" spans="1:16">
      <c r="A401" s="285"/>
      <c r="B401" s="285"/>
      <c r="C401" s="651">
        <f>IF(D364="","-",+C400+1)</f>
        <v>2045</v>
      </c>
      <c r="D401" s="602">
        <f t="shared" si="23"/>
        <v>806636.65999999968</v>
      </c>
      <c r="E401" s="658">
        <f t="shared" si="21"/>
        <v>53775.777333333332</v>
      </c>
      <c r="F401" s="602">
        <f t="shared" si="22"/>
        <v>752860.88266666629</v>
      </c>
      <c r="G401" s="1167">
        <f t="shared" si="18"/>
        <v>139452.34741508833</v>
      </c>
      <c r="H401" s="1170">
        <f t="shared" si="19"/>
        <v>139452.34741508833</v>
      </c>
      <c r="I401" s="655">
        <f t="shared" si="20"/>
        <v>0</v>
      </c>
      <c r="J401" s="655"/>
      <c r="K401" s="793"/>
      <c r="L401" s="661"/>
      <c r="M401" s="793"/>
      <c r="N401" s="661"/>
      <c r="O401" s="661"/>
      <c r="P401" s="480"/>
    </row>
    <row r="402" spans="1:16">
      <c r="A402" s="285"/>
      <c r="B402" s="285"/>
      <c r="C402" s="651">
        <f>IF(D364="","-",+C401+1)</f>
        <v>2046</v>
      </c>
      <c r="D402" s="602">
        <f t="shared" si="23"/>
        <v>752860.88266666629</v>
      </c>
      <c r="E402" s="658">
        <f t="shared" si="21"/>
        <v>53775.777333333332</v>
      </c>
      <c r="F402" s="602">
        <f t="shared" si="22"/>
        <v>699085.1053333329</v>
      </c>
      <c r="G402" s="1167">
        <f t="shared" si="18"/>
        <v>133543.61844393279</v>
      </c>
      <c r="H402" s="1170">
        <f t="shared" si="19"/>
        <v>133543.61844393279</v>
      </c>
      <c r="I402" s="655">
        <f t="shared" si="20"/>
        <v>0</v>
      </c>
      <c r="J402" s="655"/>
      <c r="K402" s="793"/>
      <c r="L402" s="661"/>
      <c r="M402" s="793"/>
      <c r="N402" s="661"/>
      <c r="O402" s="661"/>
      <c r="P402" s="480"/>
    </row>
    <row r="403" spans="1:16">
      <c r="A403" s="285"/>
      <c r="B403" s="285"/>
      <c r="C403" s="651">
        <f>IF(D364="","-",+C402+1)</f>
        <v>2047</v>
      </c>
      <c r="D403" s="602">
        <f t="shared" si="23"/>
        <v>699085.1053333329</v>
      </c>
      <c r="E403" s="658">
        <f t="shared" si="21"/>
        <v>53775.777333333332</v>
      </c>
      <c r="F403" s="602">
        <f t="shared" si="22"/>
        <v>645309.32799999951</v>
      </c>
      <c r="G403" s="1167">
        <f t="shared" si="18"/>
        <v>127634.88947277729</v>
      </c>
      <c r="H403" s="1170">
        <f t="shared" si="19"/>
        <v>127634.88947277729</v>
      </c>
      <c r="I403" s="655">
        <f t="shared" si="20"/>
        <v>0</v>
      </c>
      <c r="J403" s="655"/>
      <c r="K403" s="793"/>
      <c r="L403" s="661"/>
      <c r="M403" s="793"/>
      <c r="N403" s="661"/>
      <c r="O403" s="661"/>
      <c r="P403" s="480"/>
    </row>
    <row r="404" spans="1:16">
      <c r="A404" s="285"/>
      <c r="B404" s="285"/>
      <c r="C404" s="651">
        <f>IF(D364="","-",+C403+1)</f>
        <v>2048</v>
      </c>
      <c r="D404" s="602">
        <f t="shared" si="23"/>
        <v>645309.32799999951</v>
      </c>
      <c r="E404" s="658">
        <f t="shared" si="21"/>
        <v>53775.777333333332</v>
      </c>
      <c r="F404" s="602">
        <f t="shared" si="22"/>
        <v>591533.55066666612</v>
      </c>
      <c r="G404" s="1167">
        <f t="shared" si="18"/>
        <v>121726.16050162175</v>
      </c>
      <c r="H404" s="1170">
        <f t="shared" si="19"/>
        <v>121726.16050162175</v>
      </c>
      <c r="I404" s="655">
        <f t="shared" si="20"/>
        <v>0</v>
      </c>
      <c r="J404" s="655"/>
      <c r="K404" s="793"/>
      <c r="L404" s="661"/>
      <c r="M404" s="793"/>
      <c r="N404" s="661"/>
      <c r="O404" s="661"/>
      <c r="P404" s="480"/>
    </row>
    <row r="405" spans="1:16">
      <c r="A405" s="285"/>
      <c r="B405" s="285"/>
      <c r="C405" s="651">
        <f>IF(D364="","-",+C404+1)</f>
        <v>2049</v>
      </c>
      <c r="D405" s="602">
        <f t="shared" si="23"/>
        <v>591533.55066666612</v>
      </c>
      <c r="E405" s="658">
        <f t="shared" si="21"/>
        <v>53775.777333333332</v>
      </c>
      <c r="F405" s="602">
        <f t="shared" si="22"/>
        <v>537757.77333333273</v>
      </c>
      <c r="G405" s="1167">
        <f t="shared" si="18"/>
        <v>115817.43153046623</v>
      </c>
      <c r="H405" s="1170">
        <f t="shared" si="19"/>
        <v>115817.43153046623</v>
      </c>
      <c r="I405" s="655">
        <f t="shared" si="20"/>
        <v>0</v>
      </c>
      <c r="J405" s="655"/>
      <c r="K405" s="793"/>
      <c r="L405" s="661"/>
      <c r="M405" s="793"/>
      <c r="N405" s="661"/>
      <c r="O405" s="661"/>
      <c r="P405" s="480"/>
    </row>
    <row r="406" spans="1:16">
      <c r="A406" s="285"/>
      <c r="B406" s="285"/>
      <c r="C406" s="651">
        <f>IF(D364="","-",+C405+1)</f>
        <v>2050</v>
      </c>
      <c r="D406" s="602">
        <f t="shared" si="23"/>
        <v>537757.77333333273</v>
      </c>
      <c r="E406" s="658">
        <f t="shared" si="21"/>
        <v>53775.777333333332</v>
      </c>
      <c r="F406" s="602">
        <f t="shared" si="22"/>
        <v>483981.9959999994</v>
      </c>
      <c r="G406" s="1167">
        <f t="shared" si="18"/>
        <v>109908.70255931071</v>
      </c>
      <c r="H406" s="1170">
        <f t="shared" si="19"/>
        <v>109908.70255931071</v>
      </c>
      <c r="I406" s="655">
        <f t="shared" si="20"/>
        <v>0</v>
      </c>
      <c r="J406" s="655"/>
      <c r="K406" s="793"/>
      <c r="L406" s="661"/>
      <c r="M406" s="793"/>
      <c r="N406" s="661"/>
      <c r="O406" s="661"/>
      <c r="P406" s="480"/>
    </row>
    <row r="407" spans="1:16">
      <c r="A407" s="285"/>
      <c r="B407" s="285"/>
      <c r="C407" s="651">
        <f>IF(D364="","-",+C406+1)</f>
        <v>2051</v>
      </c>
      <c r="D407" s="602">
        <f t="shared" si="23"/>
        <v>483981.9959999994</v>
      </c>
      <c r="E407" s="658">
        <f t="shared" si="21"/>
        <v>53775.777333333332</v>
      </c>
      <c r="F407" s="602">
        <f t="shared" si="22"/>
        <v>430206.21866666607</v>
      </c>
      <c r="G407" s="1167">
        <f t="shared" si="18"/>
        <v>103999.97358815519</v>
      </c>
      <c r="H407" s="1170">
        <f t="shared" si="19"/>
        <v>103999.97358815519</v>
      </c>
      <c r="I407" s="655">
        <f t="shared" si="20"/>
        <v>0</v>
      </c>
      <c r="J407" s="655"/>
      <c r="K407" s="793"/>
      <c r="L407" s="661"/>
      <c r="M407" s="793"/>
      <c r="N407" s="661"/>
      <c r="O407" s="661"/>
      <c r="P407" s="480"/>
    </row>
    <row r="408" spans="1:16">
      <c r="A408" s="285"/>
      <c r="B408" s="285"/>
      <c r="C408" s="651">
        <f>IF(D364="","-",+C407+1)</f>
        <v>2052</v>
      </c>
      <c r="D408" s="602">
        <f t="shared" si="23"/>
        <v>430206.21866666607</v>
      </c>
      <c r="E408" s="658">
        <f t="shared" si="21"/>
        <v>53775.777333333332</v>
      </c>
      <c r="F408" s="602">
        <f t="shared" si="22"/>
        <v>376430.44133333274</v>
      </c>
      <c r="G408" s="1167">
        <f t="shared" si="18"/>
        <v>98091.244616999669</v>
      </c>
      <c r="H408" s="1170">
        <f t="shared" si="19"/>
        <v>98091.244616999669</v>
      </c>
      <c r="I408" s="655">
        <f t="shared" si="20"/>
        <v>0</v>
      </c>
      <c r="J408" s="655"/>
      <c r="K408" s="793"/>
      <c r="L408" s="661"/>
      <c r="M408" s="793"/>
      <c r="N408" s="661"/>
      <c r="O408" s="661"/>
      <c r="P408" s="480"/>
    </row>
    <row r="409" spans="1:16">
      <c r="A409" s="285"/>
      <c r="B409" s="285"/>
      <c r="C409" s="651">
        <f>IF(D364="","-",+C408+1)</f>
        <v>2053</v>
      </c>
      <c r="D409" s="602">
        <f t="shared" si="23"/>
        <v>376430.44133333274</v>
      </c>
      <c r="E409" s="658">
        <f t="shared" si="21"/>
        <v>53775.777333333332</v>
      </c>
      <c r="F409" s="602">
        <f t="shared" si="22"/>
        <v>322654.66399999941</v>
      </c>
      <c r="G409" s="1167">
        <f t="shared" si="18"/>
        <v>92182.515645844149</v>
      </c>
      <c r="H409" s="1170">
        <f t="shared" si="19"/>
        <v>92182.515645844149</v>
      </c>
      <c r="I409" s="655">
        <f t="shared" si="20"/>
        <v>0</v>
      </c>
      <c r="J409" s="655"/>
      <c r="K409" s="793"/>
      <c r="L409" s="661"/>
      <c r="M409" s="793"/>
      <c r="N409" s="661"/>
      <c r="O409" s="661"/>
      <c r="P409" s="480"/>
    </row>
    <row r="410" spans="1:16">
      <c r="A410" s="285"/>
      <c r="B410" s="285"/>
      <c r="C410" s="651">
        <f>IF(D364="","-",+C409+1)</f>
        <v>2054</v>
      </c>
      <c r="D410" s="602">
        <f t="shared" si="23"/>
        <v>322654.66399999941</v>
      </c>
      <c r="E410" s="658">
        <f t="shared" si="21"/>
        <v>53775.777333333332</v>
      </c>
      <c r="F410" s="602">
        <f t="shared" si="22"/>
        <v>268878.88666666608</v>
      </c>
      <c r="G410" s="1167">
        <f t="shared" si="18"/>
        <v>86273.786674688628</v>
      </c>
      <c r="H410" s="1170">
        <f t="shared" si="19"/>
        <v>86273.786674688628</v>
      </c>
      <c r="I410" s="655">
        <f t="shared" si="20"/>
        <v>0</v>
      </c>
      <c r="J410" s="655"/>
      <c r="K410" s="793"/>
      <c r="L410" s="661"/>
      <c r="M410" s="793"/>
      <c r="N410" s="661"/>
      <c r="O410" s="661"/>
      <c r="P410" s="480"/>
    </row>
    <row r="411" spans="1:16">
      <c r="A411" s="285"/>
      <c r="B411" s="285"/>
      <c r="C411" s="651">
        <f>IF(D364="","-",+C410+1)</f>
        <v>2055</v>
      </c>
      <c r="D411" s="602">
        <f t="shared" si="23"/>
        <v>268878.88666666608</v>
      </c>
      <c r="E411" s="658">
        <f t="shared" si="21"/>
        <v>53775.777333333332</v>
      </c>
      <c r="F411" s="602">
        <f t="shared" si="22"/>
        <v>215103.10933333274</v>
      </c>
      <c r="G411" s="1167">
        <f t="shared" si="18"/>
        <v>80365.057703533108</v>
      </c>
      <c r="H411" s="1170">
        <f t="shared" si="19"/>
        <v>80365.057703533108</v>
      </c>
      <c r="I411" s="655">
        <f t="shared" si="20"/>
        <v>0</v>
      </c>
      <c r="J411" s="655"/>
      <c r="K411" s="793"/>
      <c r="L411" s="661"/>
      <c r="M411" s="793"/>
      <c r="N411" s="661"/>
      <c r="O411" s="661"/>
      <c r="P411" s="480"/>
    </row>
    <row r="412" spans="1:16">
      <c r="A412" s="285"/>
      <c r="B412" s="285"/>
      <c r="C412" s="651">
        <f>IF(D364="","-",+C411+1)</f>
        <v>2056</v>
      </c>
      <c r="D412" s="602">
        <f t="shared" si="23"/>
        <v>215103.10933333274</v>
      </c>
      <c r="E412" s="658">
        <f t="shared" si="21"/>
        <v>53775.777333333332</v>
      </c>
      <c r="F412" s="602">
        <f t="shared" si="22"/>
        <v>161327.33199999941</v>
      </c>
      <c r="G412" s="1167">
        <f t="shared" si="18"/>
        <v>74456.328732377588</v>
      </c>
      <c r="H412" s="1170">
        <f t="shared" si="19"/>
        <v>74456.328732377588</v>
      </c>
      <c r="I412" s="655">
        <f t="shared" si="20"/>
        <v>0</v>
      </c>
      <c r="J412" s="655"/>
      <c r="K412" s="793"/>
      <c r="L412" s="661"/>
      <c r="M412" s="793"/>
      <c r="N412" s="661"/>
      <c r="O412" s="661"/>
      <c r="P412" s="480"/>
    </row>
    <row r="413" spans="1:16">
      <c r="A413" s="285"/>
      <c r="B413" s="285"/>
      <c r="C413" s="651">
        <f>IF(D364="","-",+C412+1)</f>
        <v>2057</v>
      </c>
      <c r="D413" s="602">
        <f t="shared" si="23"/>
        <v>161327.33199999941</v>
      </c>
      <c r="E413" s="658">
        <f t="shared" si="21"/>
        <v>53775.777333333332</v>
      </c>
      <c r="F413" s="602">
        <f t="shared" si="22"/>
        <v>107551.55466666608</v>
      </c>
      <c r="G413" s="1167">
        <f t="shared" si="18"/>
        <v>68547.599761222067</v>
      </c>
      <c r="H413" s="1170">
        <f t="shared" si="19"/>
        <v>68547.599761222067</v>
      </c>
      <c r="I413" s="655">
        <f t="shared" si="20"/>
        <v>0</v>
      </c>
      <c r="J413" s="655"/>
      <c r="K413" s="793"/>
      <c r="L413" s="661"/>
      <c r="M413" s="793"/>
      <c r="N413" s="661"/>
      <c r="O413" s="661"/>
      <c r="P413" s="480"/>
    </row>
    <row r="414" spans="1:16">
      <c r="A414" s="285"/>
      <c r="B414" s="285"/>
      <c r="C414" s="651">
        <f>IF(D364="","-",+C413+1)</f>
        <v>2058</v>
      </c>
      <c r="D414" s="602">
        <f t="shared" si="23"/>
        <v>107551.55466666608</v>
      </c>
      <c r="E414" s="658">
        <f t="shared" si="21"/>
        <v>53775.777333333332</v>
      </c>
      <c r="F414" s="602">
        <f t="shared" si="22"/>
        <v>53775.77733333275</v>
      </c>
      <c r="G414" s="1167">
        <f t="shared" si="18"/>
        <v>62638.870790066547</v>
      </c>
      <c r="H414" s="1170">
        <f t="shared" si="19"/>
        <v>62638.870790066547</v>
      </c>
      <c r="I414" s="655">
        <f t="shared" si="20"/>
        <v>0</v>
      </c>
      <c r="J414" s="655"/>
      <c r="K414" s="793"/>
      <c r="L414" s="661"/>
      <c r="M414" s="793"/>
      <c r="N414" s="661"/>
      <c r="O414" s="661"/>
      <c r="P414" s="480"/>
    </row>
    <row r="415" spans="1:16">
      <c r="A415" s="285"/>
      <c r="B415" s="285"/>
      <c r="C415" s="651">
        <f>IF(D364="","-",+C414+1)</f>
        <v>2059</v>
      </c>
      <c r="D415" s="602">
        <f t="shared" si="23"/>
        <v>53775.77733333275</v>
      </c>
      <c r="E415" s="658">
        <f t="shared" si="21"/>
        <v>53775.77733333275</v>
      </c>
      <c r="F415" s="602">
        <f t="shared" si="22"/>
        <v>0</v>
      </c>
      <c r="G415" s="1167">
        <f t="shared" si="18"/>
        <v>56730.141818910481</v>
      </c>
      <c r="H415" s="1170">
        <f t="shared" si="19"/>
        <v>56730.141818910481</v>
      </c>
      <c r="I415" s="655">
        <f t="shared" si="20"/>
        <v>0</v>
      </c>
      <c r="J415" s="655"/>
      <c r="K415" s="793"/>
      <c r="L415" s="661"/>
      <c r="M415" s="793"/>
      <c r="N415" s="661"/>
      <c r="O415" s="661"/>
      <c r="P415" s="480"/>
    </row>
    <row r="416" spans="1:16">
      <c r="A416" s="285"/>
      <c r="B416" s="285"/>
      <c r="C416" s="651">
        <f>IF(D364="","-",+C415+1)</f>
        <v>2060</v>
      </c>
      <c r="D416" s="602">
        <f t="shared" si="23"/>
        <v>0</v>
      </c>
      <c r="E416" s="658">
        <f t="shared" si="21"/>
        <v>0</v>
      </c>
      <c r="F416" s="602">
        <f t="shared" si="22"/>
        <v>0</v>
      </c>
      <c r="G416" s="1167">
        <f t="shared" si="18"/>
        <v>0</v>
      </c>
      <c r="H416" s="1170">
        <f t="shared" si="19"/>
        <v>0</v>
      </c>
      <c r="I416" s="655">
        <f t="shared" si="20"/>
        <v>0</v>
      </c>
      <c r="J416" s="655"/>
      <c r="K416" s="793"/>
      <c r="L416" s="661"/>
      <c r="M416" s="793"/>
      <c r="N416" s="661"/>
      <c r="O416" s="661"/>
      <c r="P416" s="480"/>
    </row>
    <row r="417" spans="1:16">
      <c r="A417" s="285"/>
      <c r="B417" s="285"/>
      <c r="C417" s="651">
        <f>IF(D364="","-",+C416+1)</f>
        <v>2061</v>
      </c>
      <c r="D417" s="602">
        <f t="shared" si="23"/>
        <v>0</v>
      </c>
      <c r="E417" s="658">
        <f t="shared" si="21"/>
        <v>0</v>
      </c>
      <c r="F417" s="602">
        <f t="shared" si="22"/>
        <v>0</v>
      </c>
      <c r="G417" s="1167">
        <f t="shared" si="18"/>
        <v>0</v>
      </c>
      <c r="H417" s="1170">
        <f t="shared" si="19"/>
        <v>0</v>
      </c>
      <c r="I417" s="655">
        <f t="shared" si="20"/>
        <v>0</v>
      </c>
      <c r="J417" s="655"/>
      <c r="K417" s="793"/>
      <c r="L417" s="661"/>
      <c r="M417" s="793"/>
      <c r="N417" s="661"/>
      <c r="O417" s="661"/>
      <c r="P417" s="480"/>
    </row>
    <row r="418" spans="1:16">
      <c r="A418" s="285"/>
      <c r="B418" s="285"/>
      <c r="C418" s="651">
        <f>IF(D364="","-",+C417+1)</f>
        <v>2062</v>
      </c>
      <c r="D418" s="602">
        <f t="shared" si="23"/>
        <v>0</v>
      </c>
      <c r="E418" s="658">
        <f t="shared" si="21"/>
        <v>0</v>
      </c>
      <c r="F418" s="602">
        <f t="shared" si="22"/>
        <v>0</v>
      </c>
      <c r="G418" s="1167">
        <f t="shared" si="18"/>
        <v>0</v>
      </c>
      <c r="H418" s="1170">
        <f t="shared" si="19"/>
        <v>0</v>
      </c>
      <c r="I418" s="655">
        <f t="shared" si="20"/>
        <v>0</v>
      </c>
      <c r="J418" s="655"/>
      <c r="K418" s="793"/>
      <c r="L418" s="661"/>
      <c r="M418" s="793"/>
      <c r="N418" s="661"/>
      <c r="O418" s="661"/>
      <c r="P418" s="480"/>
    </row>
    <row r="419" spans="1:16">
      <c r="A419" s="285"/>
      <c r="B419" s="285"/>
      <c r="C419" s="651">
        <f>IF(D364="","-",+C418+1)</f>
        <v>2063</v>
      </c>
      <c r="D419" s="602">
        <f t="shared" si="23"/>
        <v>0</v>
      </c>
      <c r="E419" s="658">
        <f t="shared" si="21"/>
        <v>0</v>
      </c>
      <c r="F419" s="602">
        <f t="shared" si="22"/>
        <v>0</v>
      </c>
      <c r="G419" s="1167">
        <f t="shared" si="18"/>
        <v>0</v>
      </c>
      <c r="H419" s="1170">
        <f t="shared" si="19"/>
        <v>0</v>
      </c>
      <c r="I419" s="655">
        <f t="shared" si="20"/>
        <v>0</v>
      </c>
      <c r="J419" s="655"/>
      <c r="K419" s="793"/>
      <c r="L419" s="661"/>
      <c r="M419" s="793"/>
      <c r="N419" s="661"/>
      <c r="O419" s="661"/>
      <c r="P419" s="480"/>
    </row>
    <row r="420" spans="1:16">
      <c r="A420" s="285"/>
      <c r="B420" s="285"/>
      <c r="C420" s="651">
        <f>IF(D364="","-",+C419+1)</f>
        <v>2064</v>
      </c>
      <c r="D420" s="602">
        <f t="shared" si="23"/>
        <v>0</v>
      </c>
      <c r="E420" s="658">
        <f t="shared" si="21"/>
        <v>0</v>
      </c>
      <c r="F420" s="602">
        <f t="shared" si="22"/>
        <v>0</v>
      </c>
      <c r="G420" s="1167">
        <f t="shared" si="18"/>
        <v>0</v>
      </c>
      <c r="H420" s="1170">
        <f t="shared" si="19"/>
        <v>0</v>
      </c>
      <c r="I420" s="655">
        <f t="shared" si="20"/>
        <v>0</v>
      </c>
      <c r="J420" s="655"/>
      <c r="K420" s="793"/>
      <c r="L420" s="661"/>
      <c r="M420" s="793"/>
      <c r="N420" s="661"/>
      <c r="O420" s="661"/>
      <c r="P420" s="480"/>
    </row>
    <row r="421" spans="1:16">
      <c r="A421" s="285"/>
      <c r="B421" s="285"/>
      <c r="C421" s="651">
        <f>IF(D364="","-",+C420+1)</f>
        <v>2065</v>
      </c>
      <c r="D421" s="602">
        <f t="shared" si="23"/>
        <v>0</v>
      </c>
      <c r="E421" s="658">
        <f t="shared" si="21"/>
        <v>0</v>
      </c>
      <c r="F421" s="602">
        <f t="shared" si="22"/>
        <v>0</v>
      </c>
      <c r="G421" s="1167">
        <f t="shared" si="18"/>
        <v>0</v>
      </c>
      <c r="H421" s="1170">
        <f t="shared" si="19"/>
        <v>0</v>
      </c>
      <c r="I421" s="655">
        <f t="shared" si="20"/>
        <v>0</v>
      </c>
      <c r="J421" s="655"/>
      <c r="K421" s="793"/>
      <c r="L421" s="661"/>
      <c r="M421" s="793"/>
      <c r="N421" s="661"/>
      <c r="O421" s="661"/>
      <c r="P421" s="480"/>
    </row>
    <row r="422" spans="1:16">
      <c r="A422" s="285"/>
      <c r="B422" s="285"/>
      <c r="C422" s="651">
        <f>IF(D364="","-",+C421+1)</f>
        <v>2066</v>
      </c>
      <c r="D422" s="602">
        <f t="shared" si="23"/>
        <v>0</v>
      </c>
      <c r="E422" s="658">
        <f t="shared" si="21"/>
        <v>0</v>
      </c>
      <c r="F422" s="602">
        <f t="shared" si="22"/>
        <v>0</v>
      </c>
      <c r="G422" s="1167">
        <f t="shared" si="18"/>
        <v>0</v>
      </c>
      <c r="H422" s="1170">
        <f t="shared" si="19"/>
        <v>0</v>
      </c>
      <c r="I422" s="655">
        <f t="shared" si="20"/>
        <v>0</v>
      </c>
      <c r="J422" s="655"/>
      <c r="K422" s="793"/>
      <c r="L422" s="661"/>
      <c r="M422" s="793"/>
      <c r="N422" s="661"/>
      <c r="O422" s="661"/>
      <c r="P422" s="480"/>
    </row>
    <row r="423" spans="1:16">
      <c r="A423" s="285"/>
      <c r="B423" s="285"/>
      <c r="C423" s="651">
        <f>IF(D364="","-",+C422+1)</f>
        <v>2067</v>
      </c>
      <c r="D423" s="602">
        <f t="shared" si="23"/>
        <v>0</v>
      </c>
      <c r="E423" s="658">
        <f t="shared" si="21"/>
        <v>0</v>
      </c>
      <c r="F423" s="602">
        <f t="shared" si="22"/>
        <v>0</v>
      </c>
      <c r="G423" s="1167">
        <f t="shared" si="18"/>
        <v>0</v>
      </c>
      <c r="H423" s="1170">
        <f t="shared" si="19"/>
        <v>0</v>
      </c>
      <c r="I423" s="655">
        <f t="shared" si="20"/>
        <v>0</v>
      </c>
      <c r="J423" s="655"/>
      <c r="K423" s="793"/>
      <c r="L423" s="661"/>
      <c r="M423" s="793"/>
      <c r="N423" s="661"/>
      <c r="O423" s="661"/>
      <c r="P423" s="480"/>
    </row>
    <row r="424" spans="1:16">
      <c r="A424" s="285"/>
      <c r="B424" s="285"/>
      <c r="C424" s="651">
        <f>IF(D364="","-",+C423+1)</f>
        <v>2068</v>
      </c>
      <c r="D424" s="602">
        <f t="shared" si="23"/>
        <v>0</v>
      </c>
      <c r="E424" s="658">
        <f t="shared" si="21"/>
        <v>0</v>
      </c>
      <c r="F424" s="602">
        <f t="shared" si="22"/>
        <v>0</v>
      </c>
      <c r="G424" s="1167">
        <f t="shared" si="18"/>
        <v>0</v>
      </c>
      <c r="H424" s="1170">
        <f t="shared" si="19"/>
        <v>0</v>
      </c>
      <c r="I424" s="655">
        <f t="shared" si="20"/>
        <v>0</v>
      </c>
      <c r="J424" s="655"/>
      <c r="K424" s="793"/>
      <c r="L424" s="661"/>
      <c r="M424" s="793"/>
      <c r="N424" s="661"/>
      <c r="O424" s="661"/>
      <c r="P424" s="480"/>
    </row>
    <row r="425" spans="1:16">
      <c r="A425" s="285"/>
      <c r="B425" s="285"/>
      <c r="C425" s="651">
        <f>IF(D364="","-",+C424+1)</f>
        <v>2069</v>
      </c>
      <c r="D425" s="602">
        <f t="shared" si="23"/>
        <v>0</v>
      </c>
      <c r="E425" s="658">
        <f t="shared" si="21"/>
        <v>0</v>
      </c>
      <c r="F425" s="602">
        <f t="shared" si="22"/>
        <v>0</v>
      </c>
      <c r="G425" s="1167">
        <f t="shared" si="18"/>
        <v>0</v>
      </c>
      <c r="H425" s="1170">
        <f t="shared" si="19"/>
        <v>0</v>
      </c>
      <c r="I425" s="655">
        <f t="shared" si="20"/>
        <v>0</v>
      </c>
      <c r="J425" s="655"/>
      <c r="K425" s="793"/>
      <c r="L425" s="661"/>
      <c r="M425" s="793"/>
      <c r="N425" s="661"/>
      <c r="O425" s="661"/>
      <c r="P425" s="480"/>
    </row>
    <row r="426" spans="1:16">
      <c r="A426" s="285"/>
      <c r="B426" s="285"/>
      <c r="C426" s="651">
        <f>IF(D364="","-",+C425+1)</f>
        <v>2070</v>
      </c>
      <c r="D426" s="602">
        <f t="shared" si="23"/>
        <v>0</v>
      </c>
      <c r="E426" s="658">
        <f t="shared" si="21"/>
        <v>0</v>
      </c>
      <c r="F426" s="602">
        <f t="shared" si="22"/>
        <v>0</v>
      </c>
      <c r="G426" s="1167">
        <f t="shared" si="18"/>
        <v>0</v>
      </c>
      <c r="H426" s="1170">
        <f t="shared" si="19"/>
        <v>0</v>
      </c>
      <c r="I426" s="655">
        <f t="shared" si="20"/>
        <v>0</v>
      </c>
      <c r="J426" s="655"/>
      <c r="K426" s="793"/>
      <c r="L426" s="661"/>
      <c r="M426" s="793"/>
      <c r="N426" s="661"/>
      <c r="O426" s="661"/>
      <c r="P426" s="480"/>
    </row>
    <row r="427" spans="1:16">
      <c r="A427" s="285"/>
      <c r="B427" s="285"/>
      <c r="C427" s="651">
        <f>IF(D364="","-",+C426+1)</f>
        <v>2071</v>
      </c>
      <c r="D427" s="602">
        <f t="shared" si="23"/>
        <v>0</v>
      </c>
      <c r="E427" s="658">
        <f t="shared" si="21"/>
        <v>0</v>
      </c>
      <c r="F427" s="602">
        <f t="shared" si="22"/>
        <v>0</v>
      </c>
      <c r="G427" s="1167">
        <f t="shared" si="18"/>
        <v>0</v>
      </c>
      <c r="H427" s="1170">
        <f t="shared" si="19"/>
        <v>0</v>
      </c>
      <c r="I427" s="655">
        <f t="shared" si="20"/>
        <v>0</v>
      </c>
      <c r="J427" s="655"/>
      <c r="K427" s="793"/>
      <c r="L427" s="661"/>
      <c r="M427" s="793"/>
      <c r="N427" s="661"/>
      <c r="O427" s="661"/>
      <c r="P427" s="480"/>
    </row>
    <row r="428" spans="1:16">
      <c r="A428" s="285"/>
      <c r="B428" s="285"/>
      <c r="C428" s="651">
        <f>IF(D364="","-",+C427+1)</f>
        <v>2072</v>
      </c>
      <c r="D428" s="602">
        <f t="shared" si="23"/>
        <v>0</v>
      </c>
      <c r="E428" s="658">
        <f t="shared" si="21"/>
        <v>0</v>
      </c>
      <c r="F428" s="602">
        <f t="shared" si="22"/>
        <v>0</v>
      </c>
      <c r="G428" s="1167">
        <f t="shared" si="18"/>
        <v>0</v>
      </c>
      <c r="H428" s="1170">
        <f t="shared" si="19"/>
        <v>0</v>
      </c>
      <c r="I428" s="655">
        <f t="shared" si="20"/>
        <v>0</v>
      </c>
      <c r="J428" s="655"/>
      <c r="K428" s="793"/>
      <c r="L428" s="661"/>
      <c r="M428" s="793"/>
      <c r="N428" s="661"/>
      <c r="O428" s="661"/>
      <c r="P428" s="480"/>
    </row>
    <row r="429" spans="1:16" ht="13.5" thickBot="1">
      <c r="A429" s="285"/>
      <c r="B429" s="285"/>
      <c r="C429" s="663">
        <f>IF(D364="","-",+C428+1)</f>
        <v>2073</v>
      </c>
      <c r="D429" s="664">
        <f t="shared" si="23"/>
        <v>0</v>
      </c>
      <c r="E429" s="665">
        <f t="shared" si="21"/>
        <v>0</v>
      </c>
      <c r="F429" s="664">
        <f t="shared" si="22"/>
        <v>0</v>
      </c>
      <c r="G429" s="1177">
        <f t="shared" si="18"/>
        <v>0</v>
      </c>
      <c r="H429" s="1177">
        <f t="shared" si="19"/>
        <v>0</v>
      </c>
      <c r="I429" s="667">
        <f t="shared" si="20"/>
        <v>0</v>
      </c>
      <c r="J429" s="655"/>
      <c r="K429" s="794"/>
      <c r="L429" s="669"/>
      <c r="M429" s="794"/>
      <c r="N429" s="669"/>
      <c r="O429" s="669"/>
      <c r="P429" s="480"/>
    </row>
    <row r="430" spans="1:16">
      <c r="A430" s="285"/>
      <c r="B430" s="285"/>
      <c r="C430" s="602" t="s">
        <v>288</v>
      </c>
      <c r="D430" s="1148"/>
      <c r="E430" s="1148">
        <f>SUM(E370:E429)</f>
        <v>2419909.98</v>
      </c>
      <c r="F430" s="1148"/>
      <c r="G430" s="1148">
        <f>SUM(G370:G429)</f>
        <v>8668390.8669969589</v>
      </c>
      <c r="H430" s="1148">
        <f>SUM(H370:H429)</f>
        <v>8668390.8669969589</v>
      </c>
      <c r="I430" s="1148">
        <f>SUM(I370:I429)</f>
        <v>0</v>
      </c>
      <c r="J430" s="1148"/>
      <c r="K430" s="1148"/>
      <c r="L430" s="1148"/>
      <c r="M430" s="1148"/>
      <c r="N430" s="1148"/>
      <c r="O430" s="480"/>
      <c r="P430" s="480"/>
    </row>
    <row r="431" spans="1:16">
      <c r="A431" s="285"/>
      <c r="B431" s="285"/>
      <c r="C431" s="285"/>
      <c r="D431" s="496"/>
      <c r="E431" s="480"/>
      <c r="F431" s="480"/>
      <c r="G431" s="480"/>
      <c r="H431" s="1147"/>
      <c r="I431" s="1147"/>
      <c r="J431" s="1148"/>
      <c r="K431" s="1147"/>
      <c r="L431" s="1147"/>
      <c r="M431" s="1147"/>
      <c r="N431" s="1147"/>
      <c r="O431" s="480"/>
      <c r="P431" s="480"/>
    </row>
    <row r="432" spans="1:16">
      <c r="A432" s="285"/>
      <c r="B432" s="285"/>
      <c r="C432" s="480" t="s">
        <v>601</v>
      </c>
      <c r="D432" s="496"/>
      <c r="E432" s="480"/>
      <c r="F432" s="480"/>
      <c r="G432" s="480"/>
      <c r="H432" s="1147"/>
      <c r="I432" s="1147"/>
      <c r="J432" s="1148"/>
      <c r="K432" s="1147"/>
      <c r="L432" s="1147"/>
      <c r="M432" s="1147"/>
      <c r="N432" s="1147"/>
      <c r="O432" s="480"/>
      <c r="P432" s="480"/>
    </row>
    <row r="433" spans="1:16">
      <c r="A433" s="285"/>
      <c r="B433" s="285"/>
      <c r="C433" s="285"/>
      <c r="D433" s="496"/>
      <c r="E433" s="480"/>
      <c r="F433" s="480"/>
      <c r="G433" s="480"/>
      <c r="H433" s="1147"/>
      <c r="I433" s="1147"/>
      <c r="J433" s="1148"/>
      <c r="K433" s="1147"/>
      <c r="L433" s="1147"/>
      <c r="M433" s="1147"/>
      <c r="N433" s="1147"/>
      <c r="O433" s="480"/>
      <c r="P433" s="480"/>
    </row>
    <row r="434" spans="1:16">
      <c r="A434" s="285"/>
      <c r="B434" s="285"/>
      <c r="C434" s="508" t="s">
        <v>602</v>
      </c>
      <c r="D434" s="602"/>
      <c r="E434" s="602"/>
      <c r="F434" s="602"/>
      <c r="G434" s="1148"/>
      <c r="H434" s="1148"/>
      <c r="I434" s="603"/>
      <c r="J434" s="603"/>
      <c r="K434" s="603"/>
      <c r="L434" s="603"/>
      <c r="M434" s="603"/>
      <c r="N434" s="603"/>
      <c r="O434" s="480"/>
      <c r="P434" s="480"/>
    </row>
    <row r="435" spans="1:16">
      <c r="A435" s="285"/>
      <c r="B435" s="285"/>
      <c r="C435" s="508" t="s">
        <v>476</v>
      </c>
      <c r="D435" s="602"/>
      <c r="E435" s="602"/>
      <c r="F435" s="602"/>
      <c r="G435" s="1148"/>
      <c r="H435" s="1148"/>
      <c r="I435" s="603"/>
      <c r="J435" s="603"/>
      <c r="K435" s="603"/>
      <c r="L435" s="603"/>
      <c r="M435" s="603"/>
      <c r="N435" s="603"/>
      <c r="O435" s="480"/>
      <c r="P435" s="480"/>
    </row>
    <row r="436" spans="1:16">
      <c r="A436" s="285"/>
      <c r="B436" s="285"/>
      <c r="C436" s="508" t="s">
        <v>289</v>
      </c>
      <c r="D436" s="602"/>
      <c r="E436" s="602"/>
      <c r="F436" s="602"/>
      <c r="G436" s="1148"/>
      <c r="H436" s="1148"/>
      <c r="I436" s="603"/>
      <c r="J436" s="603"/>
      <c r="K436" s="603"/>
      <c r="L436" s="603"/>
      <c r="M436" s="603"/>
      <c r="N436" s="603"/>
      <c r="O436" s="480"/>
      <c r="P436" s="480"/>
    </row>
    <row r="437" spans="1:16">
      <c r="A437" s="285"/>
      <c r="B437" s="285"/>
      <c r="C437" s="601"/>
      <c r="D437" s="602"/>
      <c r="E437" s="602"/>
      <c r="F437" s="602"/>
      <c r="G437" s="1148"/>
      <c r="H437" s="1148"/>
      <c r="I437" s="603"/>
      <c r="J437" s="603"/>
      <c r="K437" s="603"/>
      <c r="L437" s="603"/>
      <c r="M437" s="603"/>
      <c r="N437" s="603"/>
      <c r="O437" s="480"/>
      <c r="P437" s="480"/>
    </row>
    <row r="438" spans="1:16">
      <c r="A438" s="285"/>
      <c r="B438" s="285"/>
      <c r="C438" s="1513" t="s">
        <v>460</v>
      </c>
      <c r="D438" s="1513"/>
      <c r="E438" s="1513"/>
      <c r="F438" s="1513"/>
      <c r="G438" s="1513"/>
      <c r="H438" s="1513"/>
      <c r="I438" s="1513"/>
      <c r="J438" s="1513"/>
      <c r="K438" s="1513"/>
      <c r="L438" s="1513"/>
      <c r="M438" s="1513"/>
      <c r="N438" s="1513"/>
      <c r="O438" s="1513"/>
      <c r="P438" s="480"/>
    </row>
    <row r="439" spans="1:16">
      <c r="A439" s="285"/>
      <c r="B439" s="285"/>
      <c r="C439" s="1513"/>
      <c r="D439" s="1513"/>
      <c r="E439" s="1513"/>
      <c r="F439" s="1513"/>
      <c r="G439" s="1513"/>
      <c r="H439" s="1513"/>
      <c r="I439" s="1513"/>
      <c r="J439" s="1513"/>
      <c r="K439" s="1513"/>
      <c r="L439" s="1513"/>
      <c r="M439" s="1513"/>
      <c r="N439" s="1513"/>
      <c r="O439" s="1513"/>
      <c r="P439" s="480"/>
    </row>
    <row r="440" spans="1:16" ht="20.25">
      <c r="A440" s="604" t="s">
        <v>947</v>
      </c>
      <c r="B440" s="480"/>
      <c r="C440" s="584"/>
      <c r="D440" s="496"/>
      <c r="E440" s="480"/>
      <c r="F440" s="574"/>
      <c r="G440" s="480"/>
      <c r="H440" s="1147"/>
      <c r="I440" s="285"/>
      <c r="J440" s="271"/>
      <c r="K440" s="605"/>
      <c r="L440" s="605"/>
      <c r="M440" s="605"/>
      <c r="N440" s="520" t="str">
        <f>"Page "&amp;SUM(P$6:P440)&amp;" of "</f>
        <v xml:space="preserve">Page 6 of </v>
      </c>
      <c r="O440" s="521">
        <f>COUNT(P$6:P$59606)</f>
        <v>15</v>
      </c>
      <c r="P440" s="480">
        <v>1</v>
      </c>
    </row>
    <row r="441" spans="1:16">
      <c r="A441" s="285"/>
      <c r="B441" s="480"/>
      <c r="C441" s="480"/>
      <c r="D441" s="496"/>
      <c r="E441" s="480"/>
      <c r="F441" s="480"/>
      <c r="G441" s="480"/>
      <c r="H441" s="1147"/>
      <c r="I441" s="480"/>
      <c r="J441" s="517"/>
      <c r="K441" s="480"/>
      <c r="L441" s="480"/>
      <c r="M441" s="480"/>
      <c r="N441" s="480"/>
      <c r="O441" s="480"/>
      <c r="P441" s="480"/>
    </row>
    <row r="442" spans="1:16" ht="18">
      <c r="A442" s="285"/>
      <c r="B442" s="524" t="s">
        <v>174</v>
      </c>
      <c r="C442" s="606" t="s">
        <v>290</v>
      </c>
      <c r="D442" s="496"/>
      <c r="E442" s="480"/>
      <c r="F442" s="480"/>
      <c r="G442" s="480"/>
      <c r="H442" s="1147"/>
      <c r="I442" s="1147"/>
      <c r="J442" s="1148"/>
      <c r="K442" s="1147"/>
      <c r="L442" s="1147"/>
      <c r="M442" s="1147"/>
      <c r="N442" s="1147"/>
      <c r="O442" s="480"/>
      <c r="P442" s="480"/>
    </row>
    <row r="443" spans="1:16" ht="18.75">
      <c r="A443" s="285"/>
      <c r="B443" s="524"/>
      <c r="C443" s="523"/>
      <c r="D443" s="496"/>
      <c r="E443" s="480"/>
      <c r="F443" s="480"/>
      <c r="G443" s="480"/>
      <c r="H443" s="1147"/>
      <c r="I443" s="1147"/>
      <c r="J443" s="1148"/>
      <c r="K443" s="1147"/>
      <c r="L443" s="1147"/>
      <c r="M443" s="1147"/>
      <c r="N443" s="1147"/>
      <c r="O443" s="480"/>
      <c r="P443" s="480"/>
    </row>
    <row r="444" spans="1:16" ht="18.75">
      <c r="A444" s="285"/>
      <c r="B444" s="524"/>
      <c r="C444" s="523" t="s">
        <v>291</v>
      </c>
      <c r="D444" s="496"/>
      <c r="E444" s="480"/>
      <c r="F444" s="480"/>
      <c r="G444" s="480"/>
      <c r="H444" s="1147"/>
      <c r="I444" s="1147"/>
      <c r="J444" s="1148"/>
      <c r="K444" s="1147"/>
      <c r="L444" s="1147"/>
      <c r="M444" s="1147"/>
      <c r="N444" s="1147"/>
      <c r="O444" s="480"/>
      <c r="P444" s="480"/>
    </row>
    <row r="445" spans="1:16" ht="15.75" thickBot="1">
      <c r="A445" s="285"/>
      <c r="B445" s="285"/>
      <c r="C445" s="347"/>
      <c r="D445" s="496"/>
      <c r="E445" s="480"/>
      <c r="F445" s="480"/>
      <c r="G445" s="480"/>
      <c r="H445" s="1147"/>
      <c r="I445" s="1147"/>
      <c r="J445" s="1148"/>
      <c r="K445" s="1147"/>
      <c r="L445" s="1147"/>
      <c r="M445" s="1147"/>
      <c r="N445" s="1147"/>
      <c r="O445" s="480"/>
      <c r="P445" s="480"/>
    </row>
    <row r="446" spans="1:16" ht="15.75">
      <c r="A446" s="285"/>
      <c r="B446" s="285"/>
      <c r="C446" s="525" t="s">
        <v>292</v>
      </c>
      <c r="D446" s="496"/>
      <c r="E446" s="480"/>
      <c r="F446" s="480"/>
      <c r="G446" s="1149"/>
      <c r="H446" s="480" t="s">
        <v>271</v>
      </c>
      <c r="I446" s="480"/>
      <c r="J446" s="517"/>
      <c r="K446" s="607" t="s">
        <v>296</v>
      </c>
      <c r="L446" s="608"/>
      <c r="M446" s="609"/>
      <c r="N446" s="1150">
        <f>VLOOKUP(I452,C459:O518,5)</f>
        <v>1666854.8754347814</v>
      </c>
      <c r="O446" s="480"/>
      <c r="P446" s="480"/>
    </row>
    <row r="447" spans="1:16" ht="15.75">
      <c r="A447" s="285"/>
      <c r="B447" s="285"/>
      <c r="C447" s="525"/>
      <c r="D447" s="496"/>
      <c r="E447" s="480"/>
      <c r="F447" s="480"/>
      <c r="G447" s="480"/>
      <c r="H447" s="1151"/>
      <c r="I447" s="1151"/>
      <c r="J447" s="1152"/>
      <c r="K447" s="612" t="s">
        <v>297</v>
      </c>
      <c r="L447" s="1153"/>
      <c r="M447" s="517"/>
      <c r="N447" s="1154">
        <f>VLOOKUP(I452,C459:O518,6)</f>
        <v>1666854.8754347814</v>
      </c>
      <c r="O447" s="480"/>
      <c r="P447" s="480"/>
    </row>
    <row r="448" spans="1:16" ht="13.5" thickBot="1">
      <c r="A448" s="285"/>
      <c r="B448" s="285"/>
      <c r="C448" s="613" t="s">
        <v>293</v>
      </c>
      <c r="D448" s="1514" t="s">
        <v>953</v>
      </c>
      <c r="E448" s="1514"/>
      <c r="F448" s="1514"/>
      <c r="G448" s="1514"/>
      <c r="H448" s="1514"/>
      <c r="I448" s="1147"/>
      <c r="J448" s="1148"/>
      <c r="K448" s="1155" t="s">
        <v>450</v>
      </c>
      <c r="L448" s="1156"/>
      <c r="M448" s="1156"/>
      <c r="N448" s="1157">
        <f>+N447-N446</f>
        <v>0</v>
      </c>
      <c r="O448" s="480"/>
      <c r="P448" s="480"/>
    </row>
    <row r="449" spans="1:16">
      <c r="A449" s="285"/>
      <c r="B449" s="285"/>
      <c r="C449" s="615"/>
      <c r="D449" s="616"/>
      <c r="E449" s="600"/>
      <c r="F449" s="600"/>
      <c r="G449" s="617"/>
      <c r="H449" s="1147"/>
      <c r="I449" s="1147"/>
      <c r="J449" s="1148"/>
      <c r="K449" s="1147"/>
      <c r="L449" s="1147"/>
      <c r="M449" s="1147"/>
      <c r="N449" s="1147"/>
      <c r="O449" s="480"/>
      <c r="P449" s="480"/>
    </row>
    <row r="450" spans="1:16" ht="13.5" thickBot="1">
      <c r="A450" s="285"/>
      <c r="B450" s="285"/>
      <c r="C450" s="618"/>
      <c r="D450" s="619"/>
      <c r="E450" s="617"/>
      <c r="F450" s="617"/>
      <c r="G450" s="617"/>
      <c r="H450" s="617"/>
      <c r="I450" s="617"/>
      <c r="J450" s="620"/>
      <c r="K450" s="617"/>
      <c r="L450" s="617"/>
      <c r="M450" s="617"/>
      <c r="N450" s="617"/>
      <c r="O450" s="508"/>
      <c r="P450" s="480"/>
    </row>
    <row r="451" spans="1:16" ht="13.5" thickBot="1">
      <c r="A451" s="285"/>
      <c r="B451" s="285"/>
      <c r="C451" s="622" t="s">
        <v>294</v>
      </c>
      <c r="D451" s="623"/>
      <c r="E451" s="623"/>
      <c r="F451" s="623"/>
      <c r="G451" s="623"/>
      <c r="H451" s="623"/>
      <c r="I451" s="624"/>
      <c r="J451" s="625"/>
      <c r="K451" s="480"/>
      <c r="L451" s="480"/>
      <c r="M451" s="480"/>
      <c r="N451" s="480"/>
      <c r="O451" s="626"/>
      <c r="P451" s="480"/>
    </row>
    <row r="452" spans="1:16" ht="15">
      <c r="A452" s="285"/>
      <c r="B452" s="362"/>
      <c r="C452" s="628" t="s">
        <v>272</v>
      </c>
      <c r="D452" s="1158">
        <v>15164190.77</v>
      </c>
      <c r="E452" s="584" t="s">
        <v>273</v>
      </c>
      <c r="F452" s="285"/>
      <c r="G452" s="629"/>
      <c r="H452" s="629"/>
      <c r="I452" s="630">
        <f>$L$26</f>
        <v>2024</v>
      </c>
      <c r="J452" s="515"/>
      <c r="K452" s="1515" t="s">
        <v>459</v>
      </c>
      <c r="L452" s="1515"/>
      <c r="M452" s="1515"/>
      <c r="N452" s="1515"/>
      <c r="O452" s="1515"/>
      <c r="P452" s="480"/>
    </row>
    <row r="453" spans="1:16">
      <c r="A453" s="285"/>
      <c r="B453" s="362"/>
      <c r="C453" s="628" t="s">
        <v>275</v>
      </c>
      <c r="D453" s="788">
        <v>2015</v>
      </c>
      <c r="E453" s="628" t="s">
        <v>276</v>
      </c>
      <c r="F453" s="629"/>
      <c r="G453" s="285"/>
      <c r="H453" s="285"/>
      <c r="I453" s="791">
        <f>IF(G446="",0,$F$15)</f>
        <v>0</v>
      </c>
      <c r="J453" s="631"/>
      <c r="K453" s="1148" t="s">
        <v>459</v>
      </c>
      <c r="L453" s="285"/>
      <c r="M453" s="285"/>
      <c r="N453" s="285"/>
      <c r="O453" s="285"/>
      <c r="P453" s="480"/>
    </row>
    <row r="454" spans="1:16">
      <c r="A454" s="285"/>
      <c r="B454" s="362"/>
      <c r="C454" s="628" t="s">
        <v>277</v>
      </c>
      <c r="D454" s="1159">
        <v>5</v>
      </c>
      <c r="E454" s="628" t="s">
        <v>278</v>
      </c>
      <c r="F454" s="629"/>
      <c r="G454" s="285"/>
      <c r="H454" s="285"/>
      <c r="I454" s="632">
        <f>$G$70</f>
        <v>0.10987714662923057</v>
      </c>
      <c r="J454" s="633"/>
      <c r="K454" s="285" t="str">
        <f>"          INPUT PROJECTED ARR (WITH &amp; WITHOUT INCENTIVES) FROM EACH PRIOR YEAR"</f>
        <v xml:space="preserve">          INPUT PROJECTED ARR (WITH &amp; WITHOUT INCENTIVES) FROM EACH PRIOR YEAR</v>
      </c>
      <c r="L454" s="285"/>
      <c r="M454" s="285"/>
      <c r="N454" s="285"/>
      <c r="O454" s="285"/>
      <c r="P454" s="480"/>
    </row>
    <row r="455" spans="1:16">
      <c r="A455" s="285"/>
      <c r="B455" s="362"/>
      <c r="C455" s="628" t="s">
        <v>279</v>
      </c>
      <c r="D455" s="634">
        <f>G$79</f>
        <v>45</v>
      </c>
      <c r="E455" s="628" t="s">
        <v>280</v>
      </c>
      <c r="F455" s="629"/>
      <c r="G455" s="285"/>
      <c r="H455" s="285"/>
      <c r="I455" s="632">
        <f>IF(G446="",I454,$G$67)</f>
        <v>0.10987714662923057</v>
      </c>
      <c r="J455" s="635"/>
      <c r="K455" s="285" t="s">
        <v>357</v>
      </c>
      <c r="L455" s="285"/>
      <c r="M455" s="285"/>
      <c r="N455" s="285"/>
      <c r="O455" s="285"/>
      <c r="P455" s="480"/>
    </row>
    <row r="456" spans="1:16" ht="13.5" thickBot="1">
      <c r="A456" s="285"/>
      <c r="B456" s="362"/>
      <c r="C456" s="628" t="s">
        <v>281</v>
      </c>
      <c r="D456" s="790" t="s">
        <v>949</v>
      </c>
      <c r="E456" s="636" t="s">
        <v>282</v>
      </c>
      <c r="F456" s="637"/>
      <c r="G456" s="638"/>
      <c r="H456" s="638"/>
      <c r="I456" s="1157">
        <f>IF(D452=0,0,D452/D455)</f>
        <v>336982.01711111108</v>
      </c>
      <c r="J456" s="1148"/>
      <c r="K456" s="1148" t="s">
        <v>363</v>
      </c>
      <c r="L456" s="1148"/>
      <c r="M456" s="1148"/>
      <c r="N456" s="1148"/>
      <c r="O456" s="517"/>
      <c r="P456" s="480"/>
    </row>
    <row r="457" spans="1:16" ht="51">
      <c r="A457" s="470"/>
      <c r="B457" s="470"/>
      <c r="C457" s="639" t="s">
        <v>272</v>
      </c>
      <c r="D457" s="1160" t="s">
        <v>283</v>
      </c>
      <c r="E457" s="1161" t="s">
        <v>284</v>
      </c>
      <c r="F457" s="1160" t="s">
        <v>285</v>
      </c>
      <c r="G457" s="1161" t="s">
        <v>356</v>
      </c>
      <c r="H457" s="1162" t="s">
        <v>356</v>
      </c>
      <c r="I457" s="639" t="s">
        <v>295</v>
      </c>
      <c r="J457" s="643"/>
      <c r="K457" s="1161" t="s">
        <v>365</v>
      </c>
      <c r="L457" s="1163"/>
      <c r="M457" s="1161" t="s">
        <v>365</v>
      </c>
      <c r="N457" s="1163"/>
      <c r="O457" s="1163"/>
      <c r="P457" s="480"/>
    </row>
    <row r="458" spans="1:16" ht="13.5" thickBot="1">
      <c r="A458" s="285"/>
      <c r="B458" s="285"/>
      <c r="C458" s="645" t="s">
        <v>177</v>
      </c>
      <c r="D458" s="646" t="s">
        <v>178</v>
      </c>
      <c r="E458" s="645" t="s">
        <v>37</v>
      </c>
      <c r="F458" s="646" t="s">
        <v>178</v>
      </c>
      <c r="G458" s="1164" t="s">
        <v>298</v>
      </c>
      <c r="H458" s="1165" t="s">
        <v>300</v>
      </c>
      <c r="I458" s="649" t="s">
        <v>389</v>
      </c>
      <c r="J458" s="650"/>
      <c r="K458" s="1183" t="s">
        <v>287</v>
      </c>
      <c r="L458" s="1166"/>
      <c r="M458" s="1183" t="s">
        <v>300</v>
      </c>
      <c r="N458" s="1166"/>
      <c r="O458" s="1166"/>
      <c r="P458" s="480"/>
    </row>
    <row r="459" spans="1:16">
      <c r="A459" s="285"/>
      <c r="B459" s="285"/>
      <c r="C459" s="651">
        <f>IF(D453= "","-",D453)</f>
        <v>2015</v>
      </c>
      <c r="D459" s="602">
        <f>+D452</f>
        <v>15164190.77</v>
      </c>
      <c r="E459" s="1167">
        <f>+I456/12*(12-D454)</f>
        <v>196572.84331481482</v>
      </c>
      <c r="F459" s="602">
        <f t="shared" ref="F459:F518" si="29">+D459-E459</f>
        <v>14967617.926685184</v>
      </c>
      <c r="G459" s="1168">
        <f>+$I$454*((D459+F459)/2)+E459</f>
        <v>1851971.4244996163</v>
      </c>
      <c r="H459" s="1169">
        <f>+$I$455*((D459+F459)/2)+E459</f>
        <v>1851971.4244996163</v>
      </c>
      <c r="I459" s="655">
        <f t="shared" ref="I459:I518" si="30">+H459-G459</f>
        <v>0</v>
      </c>
      <c r="J459" s="1184"/>
      <c r="K459" s="1185">
        <v>2647738</v>
      </c>
      <c r="L459" s="1186"/>
      <c r="M459" s="1185">
        <v>2647738</v>
      </c>
      <c r="N459" s="1187"/>
      <c r="O459" s="657"/>
      <c r="P459" s="480"/>
    </row>
    <row r="460" spans="1:16">
      <c r="A460" s="285"/>
      <c r="B460" s="285"/>
      <c r="C460" s="651">
        <f>IF(D453="","-",+C459+1)</f>
        <v>2016</v>
      </c>
      <c r="D460" s="602">
        <f t="shared" ref="D460:D518" si="31">F459</f>
        <v>14967617.926685184</v>
      </c>
      <c r="E460" s="658">
        <f>IF(D460&gt;$I$456,$I$456,D460)</f>
        <v>336982.01711111108</v>
      </c>
      <c r="F460" s="602">
        <f t="shared" si="29"/>
        <v>14630635.909574073</v>
      </c>
      <c r="G460" s="1167">
        <f t="shared" ref="G460:G518" si="32">+$I$454*((D460+F460)/2)+E460</f>
        <v>1963067.8554790332</v>
      </c>
      <c r="H460" s="1170">
        <f t="shared" ref="H460:H518" si="33">+$I$455*((D460+F460)/2)+E460</f>
        <v>1963067.8554790332</v>
      </c>
      <c r="I460" s="655">
        <f t="shared" si="30"/>
        <v>0</v>
      </c>
      <c r="J460" s="1184"/>
      <c r="K460" s="1185">
        <v>2089493</v>
      </c>
      <c r="L460" s="1188"/>
      <c r="M460" s="1185">
        <v>2089493</v>
      </c>
      <c r="N460" s="1189"/>
      <c r="O460" s="661"/>
      <c r="P460" s="480"/>
    </row>
    <row r="461" spans="1:16">
      <c r="A461" s="285"/>
      <c r="B461" s="285"/>
      <c r="C461" s="651">
        <f>IF(D453="","-",+C460+1)</f>
        <v>2017</v>
      </c>
      <c r="D461" s="602">
        <f t="shared" si="31"/>
        <v>14630635.909574073</v>
      </c>
      <c r="E461" s="658">
        <f t="shared" ref="E461:E518" si="34">IF(D461&gt;$I$456,$I$456,D461)</f>
        <v>336982.01711111108</v>
      </c>
      <c r="F461" s="602">
        <f t="shared" si="29"/>
        <v>14293653.892462961</v>
      </c>
      <c r="G461" s="1167">
        <f t="shared" si="32"/>
        <v>1926041.232973502</v>
      </c>
      <c r="H461" s="1170">
        <f t="shared" si="33"/>
        <v>1926041.232973502</v>
      </c>
      <c r="I461" s="655">
        <f t="shared" si="30"/>
        <v>0</v>
      </c>
      <c r="J461" s="655"/>
      <c r="K461" s="793">
        <v>2647738</v>
      </c>
      <c r="L461" s="1180"/>
      <c r="M461" s="793">
        <v>2647738</v>
      </c>
      <c r="N461" s="661"/>
      <c r="O461" s="661"/>
      <c r="P461" s="480"/>
    </row>
    <row r="462" spans="1:16">
      <c r="A462" s="285"/>
      <c r="B462" s="285"/>
      <c r="C462" s="1194">
        <f>IF(D453="","-",+C461+1)</f>
        <v>2018</v>
      </c>
      <c r="D462" s="1172">
        <f t="shared" si="31"/>
        <v>14293653.892462961</v>
      </c>
      <c r="E462" s="1173">
        <f t="shared" si="34"/>
        <v>336982.01711111108</v>
      </c>
      <c r="F462" s="1172">
        <f t="shared" si="29"/>
        <v>13956671.87535185</v>
      </c>
      <c r="G462" s="1174">
        <f t="shared" si="32"/>
        <v>1889014.6104679704</v>
      </c>
      <c r="H462" s="1175">
        <f t="shared" si="33"/>
        <v>1889014.6104679704</v>
      </c>
      <c r="I462" s="1181">
        <f t="shared" si="30"/>
        <v>0</v>
      </c>
      <c r="J462" s="655"/>
      <c r="K462" s="793">
        <v>1845050</v>
      </c>
      <c r="L462" s="661"/>
      <c r="M462" s="793">
        <v>1845050</v>
      </c>
      <c r="N462" s="661"/>
      <c r="O462" s="661"/>
      <c r="P462" s="480"/>
    </row>
    <row r="463" spans="1:16">
      <c r="A463" s="285"/>
      <c r="B463" s="285"/>
      <c r="C463" s="1229">
        <f>IF(D454="","-",+C462+1)</f>
        <v>2019</v>
      </c>
      <c r="D463" s="602">
        <f t="shared" si="31"/>
        <v>13956671.87535185</v>
      </c>
      <c r="E463" s="658">
        <f t="shared" si="34"/>
        <v>336982.01711111108</v>
      </c>
      <c r="F463" s="602">
        <f t="shared" si="29"/>
        <v>13619689.858240739</v>
      </c>
      <c r="G463" s="1167">
        <f t="shared" si="32"/>
        <v>1851987.9879624387</v>
      </c>
      <c r="H463" s="1170">
        <f t="shared" si="33"/>
        <v>1851987.9879624387</v>
      </c>
      <c r="I463" s="655">
        <f t="shared" si="30"/>
        <v>0</v>
      </c>
      <c r="J463" s="655"/>
      <c r="K463" s="793">
        <v>1803579</v>
      </c>
      <c r="L463" s="661"/>
      <c r="M463" s="793">
        <v>1803579</v>
      </c>
      <c r="N463" s="661"/>
      <c r="O463" s="661"/>
      <c r="P463" s="480"/>
    </row>
    <row r="464" spans="1:16">
      <c r="A464" s="285"/>
      <c r="B464" s="285"/>
      <c r="C464" s="1229">
        <f>IF(D454="","-",+C463+1)</f>
        <v>2020</v>
      </c>
      <c r="D464" s="602">
        <f t="shared" si="31"/>
        <v>13619689.858240739</v>
      </c>
      <c r="E464" s="658">
        <f t="shared" si="34"/>
        <v>336982.01711111108</v>
      </c>
      <c r="F464" s="602">
        <f t="shared" si="29"/>
        <v>13282707.841129627</v>
      </c>
      <c r="G464" s="1167">
        <f t="shared" si="32"/>
        <v>1814961.3654569075</v>
      </c>
      <c r="H464" s="1170">
        <f t="shared" si="33"/>
        <v>1814961.3654569075</v>
      </c>
      <c r="I464" s="655">
        <f t="shared" si="30"/>
        <v>0</v>
      </c>
      <c r="J464" s="655"/>
      <c r="K464" s="793">
        <v>1715890.5772976056</v>
      </c>
      <c r="L464" s="661"/>
      <c r="M464" s="793">
        <v>1715890.5772976056</v>
      </c>
      <c r="N464" s="661"/>
      <c r="O464" s="661"/>
      <c r="P464" s="480"/>
    </row>
    <row r="465" spans="1:16">
      <c r="A465" s="285"/>
      <c r="B465" s="285"/>
      <c r="C465" s="1229">
        <f>IF(D453="","-",+C464+1)</f>
        <v>2021</v>
      </c>
      <c r="D465" s="602">
        <f t="shared" si="31"/>
        <v>13282707.841129627</v>
      </c>
      <c r="E465" s="658">
        <f t="shared" si="34"/>
        <v>336982.01711111108</v>
      </c>
      <c r="F465" s="602">
        <f t="shared" si="29"/>
        <v>12945725.824018516</v>
      </c>
      <c r="G465" s="1167">
        <f t="shared" si="32"/>
        <v>1777934.7429513759</v>
      </c>
      <c r="H465" s="1170">
        <f t="shared" si="33"/>
        <v>1777934.7429513759</v>
      </c>
      <c r="I465" s="655">
        <f t="shared" si="30"/>
        <v>0</v>
      </c>
      <c r="J465" s="655"/>
      <c r="K465" s="793">
        <v>1689921.8144229958</v>
      </c>
      <c r="L465" s="661"/>
      <c r="M465" s="1230">
        <v>1689921.8144229958</v>
      </c>
      <c r="N465" s="661"/>
      <c r="O465" s="661"/>
      <c r="P465" s="480"/>
    </row>
    <row r="466" spans="1:16">
      <c r="A466" s="285"/>
      <c r="B466" s="285"/>
      <c r="C466" s="1229">
        <f>IF(D457="","-",+C465+1)</f>
        <v>2022</v>
      </c>
      <c r="D466" s="602">
        <f t="shared" si="31"/>
        <v>12945725.824018516</v>
      </c>
      <c r="E466" s="658">
        <f t="shared" si="34"/>
        <v>336982.01711111108</v>
      </c>
      <c r="F466" s="602">
        <f t="shared" si="29"/>
        <v>12608743.806907404</v>
      </c>
      <c r="G466" s="1167">
        <f t="shared" si="32"/>
        <v>1740908.1204458443</v>
      </c>
      <c r="H466" s="1170">
        <f t="shared" si="33"/>
        <v>1740908.1204458443</v>
      </c>
      <c r="I466" s="655">
        <f t="shared" si="30"/>
        <v>0</v>
      </c>
      <c r="J466" s="655"/>
      <c r="K466" s="793">
        <v>1668337.4641950356</v>
      </c>
      <c r="L466" s="661"/>
      <c r="M466" s="1230">
        <v>1668337.4641950356</v>
      </c>
      <c r="N466" s="661"/>
      <c r="O466" s="661"/>
      <c r="P466" s="480"/>
    </row>
    <row r="467" spans="1:16">
      <c r="A467" s="285"/>
      <c r="B467" s="285"/>
      <c r="C467" s="1229">
        <f>IF(D457="","-",+C466+1)</f>
        <v>2023</v>
      </c>
      <c r="D467" s="602">
        <f t="shared" si="31"/>
        <v>12608743.806907404</v>
      </c>
      <c r="E467" s="658">
        <f t="shared" si="34"/>
        <v>336982.01711111108</v>
      </c>
      <c r="F467" s="602">
        <f t="shared" si="29"/>
        <v>12271761.789796293</v>
      </c>
      <c r="G467" s="1167">
        <f t="shared" si="32"/>
        <v>1703881.4979403131</v>
      </c>
      <c r="H467" s="1170">
        <f t="shared" si="33"/>
        <v>1703881.4979403131</v>
      </c>
      <c r="I467" s="655">
        <f t="shared" si="30"/>
        <v>0</v>
      </c>
      <c r="J467" s="655"/>
      <c r="K467" s="793">
        <v>1719761.0780092617</v>
      </c>
      <c r="L467" s="661"/>
      <c r="M467" s="1230">
        <v>1719761.0780092617</v>
      </c>
      <c r="N467" s="661"/>
      <c r="O467" s="661"/>
      <c r="P467" s="480"/>
    </row>
    <row r="468" spans="1:16">
      <c r="A468" s="285"/>
      <c r="B468" s="285"/>
      <c r="C468" s="1171">
        <f>IF(D453="","-",+C467+1)</f>
        <v>2024</v>
      </c>
      <c r="D468" s="602">
        <f t="shared" si="31"/>
        <v>12271761.789796293</v>
      </c>
      <c r="E468" s="658">
        <f t="shared" si="34"/>
        <v>336982.01711111108</v>
      </c>
      <c r="F468" s="602">
        <f t="shared" si="29"/>
        <v>11934779.772685181</v>
      </c>
      <c r="G468" s="1167">
        <f t="shared" si="32"/>
        <v>1666854.8754347814</v>
      </c>
      <c r="H468" s="1170">
        <f t="shared" si="33"/>
        <v>1666854.8754347814</v>
      </c>
      <c r="I468" s="655">
        <f t="shared" si="30"/>
        <v>0</v>
      </c>
      <c r="J468" s="655"/>
      <c r="K468" s="793"/>
      <c r="L468" s="661"/>
      <c r="M468" s="793"/>
      <c r="N468" s="661"/>
      <c r="O468" s="661"/>
      <c r="P468" s="480"/>
    </row>
    <row r="469" spans="1:16">
      <c r="A469" s="285"/>
      <c r="B469" s="285"/>
      <c r="C469" s="651">
        <f>IF(D453="","-",+C468+1)</f>
        <v>2025</v>
      </c>
      <c r="D469" s="602">
        <f t="shared" si="31"/>
        <v>11934779.772685181</v>
      </c>
      <c r="E469" s="658">
        <f t="shared" si="34"/>
        <v>336982.01711111108</v>
      </c>
      <c r="F469" s="602">
        <f t="shared" si="29"/>
        <v>11597797.75557407</v>
      </c>
      <c r="G469" s="1167">
        <f t="shared" si="32"/>
        <v>1629828.2529292502</v>
      </c>
      <c r="H469" s="1170">
        <f t="shared" si="33"/>
        <v>1629828.2529292502</v>
      </c>
      <c r="I469" s="655">
        <f t="shared" si="30"/>
        <v>0</v>
      </c>
      <c r="J469" s="655"/>
      <c r="K469" s="793"/>
      <c r="L469" s="661"/>
      <c r="M469" s="793"/>
      <c r="N469" s="661"/>
      <c r="O469" s="661"/>
      <c r="P469" s="480"/>
    </row>
    <row r="470" spans="1:16">
      <c r="A470" s="285"/>
      <c r="B470" s="285"/>
      <c r="C470" s="651">
        <f>IF(D453="","-",+C469+1)</f>
        <v>2026</v>
      </c>
      <c r="D470" s="602">
        <f t="shared" si="31"/>
        <v>11597797.75557407</v>
      </c>
      <c r="E470" s="658">
        <f t="shared" si="34"/>
        <v>336982.01711111108</v>
      </c>
      <c r="F470" s="602">
        <f t="shared" si="29"/>
        <v>11260815.738462958</v>
      </c>
      <c r="G470" s="1167">
        <f t="shared" si="32"/>
        <v>1592801.6304237186</v>
      </c>
      <c r="H470" s="1170">
        <f t="shared" si="33"/>
        <v>1592801.6304237186</v>
      </c>
      <c r="I470" s="655">
        <f t="shared" si="30"/>
        <v>0</v>
      </c>
      <c r="J470" s="655"/>
      <c r="K470" s="793"/>
      <c r="L470" s="661"/>
      <c r="M470" s="793"/>
      <c r="N470" s="661"/>
      <c r="O470" s="661"/>
      <c r="P470" s="480"/>
    </row>
    <row r="471" spans="1:16">
      <c r="A471" s="285"/>
      <c r="B471" s="285"/>
      <c r="C471" s="651">
        <f>IF(D453="","-",+C470+1)</f>
        <v>2027</v>
      </c>
      <c r="D471" s="602">
        <f t="shared" si="31"/>
        <v>11260815.738462958</v>
      </c>
      <c r="E471" s="658">
        <f t="shared" si="34"/>
        <v>336982.01711111108</v>
      </c>
      <c r="F471" s="602">
        <f t="shared" si="29"/>
        <v>10923833.721351847</v>
      </c>
      <c r="G471" s="1167">
        <f t="shared" si="32"/>
        <v>1555775.007918187</v>
      </c>
      <c r="H471" s="1170">
        <f t="shared" si="33"/>
        <v>1555775.007918187</v>
      </c>
      <c r="I471" s="655">
        <f t="shared" si="30"/>
        <v>0</v>
      </c>
      <c r="J471" s="655"/>
      <c r="K471" s="793"/>
      <c r="L471" s="661"/>
      <c r="M471" s="793"/>
      <c r="N471" s="662"/>
      <c r="O471" s="661"/>
      <c r="P471" s="480"/>
    </row>
    <row r="472" spans="1:16">
      <c r="A472" s="285"/>
      <c r="B472" s="285"/>
      <c r="C472" s="651">
        <f>IF(D453="","-",+C471+1)</f>
        <v>2028</v>
      </c>
      <c r="D472" s="602">
        <f t="shared" si="31"/>
        <v>10923833.721351847</v>
      </c>
      <c r="E472" s="658">
        <f t="shared" si="34"/>
        <v>336982.01711111108</v>
      </c>
      <c r="F472" s="602">
        <f t="shared" si="29"/>
        <v>10586851.704240736</v>
      </c>
      <c r="G472" s="1167">
        <f t="shared" si="32"/>
        <v>1518748.3854126558</v>
      </c>
      <c r="H472" s="1170">
        <f t="shared" si="33"/>
        <v>1518748.3854126558</v>
      </c>
      <c r="I472" s="655">
        <f t="shared" si="30"/>
        <v>0</v>
      </c>
      <c r="J472" s="655"/>
      <c r="K472" s="793"/>
      <c r="L472" s="661"/>
      <c r="M472" s="793"/>
      <c r="N472" s="661"/>
      <c r="O472" s="661"/>
      <c r="P472" s="480"/>
    </row>
    <row r="473" spans="1:16">
      <c r="A473" s="285"/>
      <c r="B473" s="285"/>
      <c r="C473" s="651">
        <f>IF(D453="","-",+C472+1)</f>
        <v>2029</v>
      </c>
      <c r="D473" s="602">
        <f t="shared" si="31"/>
        <v>10586851.704240736</v>
      </c>
      <c r="E473" s="658">
        <f t="shared" si="34"/>
        <v>336982.01711111108</v>
      </c>
      <c r="F473" s="602">
        <f t="shared" si="29"/>
        <v>10249869.687129624</v>
      </c>
      <c r="G473" s="1167">
        <f t="shared" si="32"/>
        <v>1481721.7629071241</v>
      </c>
      <c r="H473" s="1170">
        <f t="shared" si="33"/>
        <v>1481721.7629071241</v>
      </c>
      <c r="I473" s="655">
        <f t="shared" si="30"/>
        <v>0</v>
      </c>
      <c r="J473" s="655"/>
      <c r="K473" s="793"/>
      <c r="L473" s="661"/>
      <c r="M473" s="793"/>
      <c r="N473" s="661"/>
      <c r="O473" s="661"/>
      <c r="P473" s="480"/>
    </row>
    <row r="474" spans="1:16">
      <c r="A474" s="285"/>
      <c r="B474" s="285"/>
      <c r="C474" s="651">
        <f>IF(D453="","-",+C473+1)</f>
        <v>2030</v>
      </c>
      <c r="D474" s="602">
        <f t="shared" si="31"/>
        <v>10249869.687129624</v>
      </c>
      <c r="E474" s="658">
        <f t="shared" si="34"/>
        <v>336982.01711111108</v>
      </c>
      <c r="F474" s="602">
        <f t="shared" si="29"/>
        <v>9912887.6700185128</v>
      </c>
      <c r="G474" s="1167">
        <f t="shared" si="32"/>
        <v>1444695.1404015925</v>
      </c>
      <c r="H474" s="1170">
        <f t="shared" si="33"/>
        <v>1444695.1404015925</v>
      </c>
      <c r="I474" s="655">
        <f t="shared" si="30"/>
        <v>0</v>
      </c>
      <c r="J474" s="655"/>
      <c r="K474" s="793"/>
      <c r="L474" s="661"/>
      <c r="M474" s="793"/>
      <c r="N474" s="661"/>
      <c r="O474" s="661"/>
      <c r="P474" s="480"/>
    </row>
    <row r="475" spans="1:16">
      <c r="A475" s="285"/>
      <c r="B475" s="285"/>
      <c r="C475" s="651">
        <f>IF(D453="","-",+C474+1)</f>
        <v>2031</v>
      </c>
      <c r="D475" s="602">
        <f t="shared" si="31"/>
        <v>9912887.6700185128</v>
      </c>
      <c r="E475" s="658">
        <f t="shared" si="34"/>
        <v>336982.01711111108</v>
      </c>
      <c r="F475" s="602">
        <f t="shared" si="29"/>
        <v>9575905.6529074013</v>
      </c>
      <c r="G475" s="1167">
        <f t="shared" si="32"/>
        <v>1407668.5178960613</v>
      </c>
      <c r="H475" s="1170">
        <f t="shared" si="33"/>
        <v>1407668.5178960613</v>
      </c>
      <c r="I475" s="655">
        <f t="shared" si="30"/>
        <v>0</v>
      </c>
      <c r="J475" s="655"/>
      <c r="K475" s="793"/>
      <c r="L475" s="661"/>
      <c r="M475" s="793"/>
      <c r="N475" s="661"/>
      <c r="O475" s="661"/>
      <c r="P475" s="480"/>
    </row>
    <row r="476" spans="1:16">
      <c r="A476" s="285"/>
      <c r="B476" s="285"/>
      <c r="C476" s="651">
        <f>IF(D453="","-",+C475+1)</f>
        <v>2032</v>
      </c>
      <c r="D476" s="602">
        <f t="shared" si="31"/>
        <v>9575905.6529074013</v>
      </c>
      <c r="E476" s="658">
        <f t="shared" si="34"/>
        <v>336982.01711111108</v>
      </c>
      <c r="F476" s="602">
        <f t="shared" si="29"/>
        <v>9238923.6357962899</v>
      </c>
      <c r="G476" s="1167">
        <f t="shared" si="32"/>
        <v>1370641.8953905297</v>
      </c>
      <c r="H476" s="1170">
        <f t="shared" si="33"/>
        <v>1370641.8953905297</v>
      </c>
      <c r="I476" s="655">
        <f t="shared" si="30"/>
        <v>0</v>
      </c>
      <c r="J476" s="655"/>
      <c r="K476" s="793"/>
      <c r="L476" s="661"/>
      <c r="M476" s="793"/>
      <c r="N476" s="661"/>
      <c r="O476" s="661"/>
      <c r="P476" s="480"/>
    </row>
    <row r="477" spans="1:16">
      <c r="A477" s="285"/>
      <c r="B477" s="285"/>
      <c r="C477" s="651">
        <f>IF(D453="","-",+C476+1)</f>
        <v>2033</v>
      </c>
      <c r="D477" s="602">
        <f t="shared" si="31"/>
        <v>9238923.6357962899</v>
      </c>
      <c r="E477" s="658">
        <f t="shared" si="34"/>
        <v>336982.01711111108</v>
      </c>
      <c r="F477" s="602">
        <f t="shared" si="29"/>
        <v>8901941.6186851785</v>
      </c>
      <c r="G477" s="1167">
        <f t="shared" si="32"/>
        <v>1333615.2728849982</v>
      </c>
      <c r="H477" s="1170">
        <f t="shared" si="33"/>
        <v>1333615.2728849982</v>
      </c>
      <c r="I477" s="655">
        <f t="shared" si="30"/>
        <v>0</v>
      </c>
      <c r="J477" s="655"/>
      <c r="K477" s="793"/>
      <c r="L477" s="661"/>
      <c r="M477" s="793"/>
      <c r="N477" s="661"/>
      <c r="O477" s="661"/>
      <c r="P477" s="480"/>
    </row>
    <row r="478" spans="1:16">
      <c r="A478" s="285"/>
      <c r="B478" s="285"/>
      <c r="C478" s="651">
        <f>IF(D453="","-",+C477+1)</f>
        <v>2034</v>
      </c>
      <c r="D478" s="602">
        <f t="shared" si="31"/>
        <v>8901941.6186851785</v>
      </c>
      <c r="E478" s="658">
        <f t="shared" si="34"/>
        <v>336982.01711111108</v>
      </c>
      <c r="F478" s="602">
        <f t="shared" si="29"/>
        <v>8564959.601574067</v>
      </c>
      <c r="G478" s="1167">
        <f t="shared" si="32"/>
        <v>1296588.6503794668</v>
      </c>
      <c r="H478" s="1170">
        <f t="shared" si="33"/>
        <v>1296588.6503794668</v>
      </c>
      <c r="I478" s="655">
        <f t="shared" si="30"/>
        <v>0</v>
      </c>
      <c r="J478" s="655"/>
      <c r="K478" s="793"/>
      <c r="L478" s="661"/>
      <c r="M478" s="793"/>
      <c r="N478" s="661"/>
      <c r="O478" s="661"/>
      <c r="P478" s="480"/>
    </row>
    <row r="479" spans="1:16">
      <c r="A479" s="285"/>
      <c r="B479" s="285"/>
      <c r="C479" s="651">
        <f>IF(D453="","-",+C478+1)</f>
        <v>2035</v>
      </c>
      <c r="D479" s="602">
        <f t="shared" si="31"/>
        <v>8564959.601574067</v>
      </c>
      <c r="E479" s="658">
        <f t="shared" si="34"/>
        <v>336982.01711111108</v>
      </c>
      <c r="F479" s="602">
        <f t="shared" si="29"/>
        <v>8227977.5844629556</v>
      </c>
      <c r="G479" s="1167">
        <f t="shared" si="32"/>
        <v>1259562.0278739352</v>
      </c>
      <c r="H479" s="1170">
        <f t="shared" si="33"/>
        <v>1259562.0278739352</v>
      </c>
      <c r="I479" s="655">
        <f t="shared" si="30"/>
        <v>0</v>
      </c>
      <c r="J479" s="655"/>
      <c r="K479" s="793"/>
      <c r="L479" s="661"/>
      <c r="M479" s="793"/>
      <c r="N479" s="661"/>
      <c r="O479" s="661"/>
      <c r="P479" s="480"/>
    </row>
    <row r="480" spans="1:16">
      <c r="A480" s="285"/>
      <c r="B480" s="285"/>
      <c r="C480" s="651">
        <f>IF(D453="","-",+C479+1)</f>
        <v>2036</v>
      </c>
      <c r="D480" s="602">
        <f t="shared" si="31"/>
        <v>8227977.5844629556</v>
      </c>
      <c r="E480" s="658">
        <f t="shared" si="34"/>
        <v>336982.01711111108</v>
      </c>
      <c r="F480" s="602">
        <f t="shared" si="29"/>
        <v>7890995.5673518442</v>
      </c>
      <c r="G480" s="1167">
        <f t="shared" si="32"/>
        <v>1222535.405368404</v>
      </c>
      <c r="H480" s="1170">
        <f t="shared" si="33"/>
        <v>1222535.405368404</v>
      </c>
      <c r="I480" s="655">
        <f t="shared" si="30"/>
        <v>0</v>
      </c>
      <c r="J480" s="655"/>
      <c r="K480" s="793"/>
      <c r="L480" s="661"/>
      <c r="M480" s="793"/>
      <c r="N480" s="661"/>
      <c r="O480" s="661"/>
      <c r="P480" s="480"/>
    </row>
    <row r="481" spans="1:16">
      <c r="A481" s="285"/>
      <c r="B481" s="285"/>
      <c r="C481" s="651">
        <f>IF(D453="","-",+C480+1)</f>
        <v>2037</v>
      </c>
      <c r="D481" s="602">
        <f t="shared" si="31"/>
        <v>7890995.5673518442</v>
      </c>
      <c r="E481" s="658">
        <f t="shared" si="34"/>
        <v>336982.01711111108</v>
      </c>
      <c r="F481" s="602">
        <f t="shared" si="29"/>
        <v>7554013.5502407327</v>
      </c>
      <c r="G481" s="1167">
        <f t="shared" si="32"/>
        <v>1185508.7828628724</v>
      </c>
      <c r="H481" s="1170">
        <f t="shared" si="33"/>
        <v>1185508.7828628724</v>
      </c>
      <c r="I481" s="655">
        <f t="shared" si="30"/>
        <v>0</v>
      </c>
      <c r="J481" s="655"/>
      <c r="K481" s="793"/>
      <c r="L481" s="661"/>
      <c r="M481" s="793"/>
      <c r="N481" s="661"/>
      <c r="O481" s="661"/>
      <c r="P481" s="480"/>
    </row>
    <row r="482" spans="1:16">
      <c r="A482" s="285"/>
      <c r="B482" s="285"/>
      <c r="C482" s="651">
        <f>IF(D453="","-",+C481+1)</f>
        <v>2038</v>
      </c>
      <c r="D482" s="602">
        <f t="shared" si="31"/>
        <v>7554013.5502407327</v>
      </c>
      <c r="E482" s="658">
        <f t="shared" si="34"/>
        <v>336982.01711111108</v>
      </c>
      <c r="F482" s="602">
        <f t="shared" si="29"/>
        <v>7217031.5331296213</v>
      </c>
      <c r="G482" s="1167">
        <f t="shared" si="32"/>
        <v>1148482.1603573409</v>
      </c>
      <c r="H482" s="1170">
        <f t="shared" si="33"/>
        <v>1148482.1603573409</v>
      </c>
      <c r="I482" s="655">
        <f t="shared" si="30"/>
        <v>0</v>
      </c>
      <c r="J482" s="655"/>
      <c r="K482" s="793"/>
      <c r="L482" s="661"/>
      <c r="M482" s="793"/>
      <c r="N482" s="661"/>
      <c r="O482" s="661"/>
      <c r="P482" s="480"/>
    </row>
    <row r="483" spans="1:16">
      <c r="A483" s="285"/>
      <c r="B483" s="285"/>
      <c r="C483" s="651">
        <f>IF(D453="","-",+C482+1)</f>
        <v>2039</v>
      </c>
      <c r="D483" s="602">
        <f t="shared" si="31"/>
        <v>7217031.5331296213</v>
      </c>
      <c r="E483" s="658">
        <f t="shared" si="34"/>
        <v>336982.01711111108</v>
      </c>
      <c r="F483" s="602">
        <f t="shared" si="29"/>
        <v>6880049.5160185099</v>
      </c>
      <c r="G483" s="1167">
        <f t="shared" si="32"/>
        <v>1111455.5378518095</v>
      </c>
      <c r="H483" s="1170">
        <f t="shared" si="33"/>
        <v>1111455.5378518095</v>
      </c>
      <c r="I483" s="655">
        <f t="shared" si="30"/>
        <v>0</v>
      </c>
      <c r="J483" s="655"/>
      <c r="K483" s="793"/>
      <c r="L483" s="661"/>
      <c r="M483" s="793"/>
      <c r="N483" s="661"/>
      <c r="O483" s="661"/>
      <c r="P483" s="480"/>
    </row>
    <row r="484" spans="1:16">
      <c r="A484" s="285"/>
      <c r="B484" s="285"/>
      <c r="C484" s="651">
        <f>IF(D453="","-",+C483+1)</f>
        <v>2040</v>
      </c>
      <c r="D484" s="602">
        <f t="shared" si="31"/>
        <v>6880049.5160185099</v>
      </c>
      <c r="E484" s="658">
        <f t="shared" si="34"/>
        <v>336982.01711111108</v>
      </c>
      <c r="F484" s="602">
        <f t="shared" si="29"/>
        <v>6543067.4989073984</v>
      </c>
      <c r="G484" s="1167">
        <f t="shared" si="32"/>
        <v>1074428.9153462779</v>
      </c>
      <c r="H484" s="1170">
        <f t="shared" si="33"/>
        <v>1074428.9153462779</v>
      </c>
      <c r="I484" s="655">
        <f t="shared" si="30"/>
        <v>0</v>
      </c>
      <c r="J484" s="655"/>
      <c r="K484" s="793"/>
      <c r="L484" s="661"/>
      <c r="M484" s="793"/>
      <c r="N484" s="661"/>
      <c r="O484" s="661"/>
      <c r="P484" s="480"/>
    </row>
    <row r="485" spans="1:16">
      <c r="A485" s="285"/>
      <c r="B485" s="285"/>
      <c r="C485" s="651">
        <f>IF(D453="","-",+C484+1)</f>
        <v>2041</v>
      </c>
      <c r="D485" s="602">
        <f t="shared" si="31"/>
        <v>6543067.4989073984</v>
      </c>
      <c r="E485" s="658">
        <f t="shared" si="34"/>
        <v>336982.01711111108</v>
      </c>
      <c r="F485" s="602">
        <f t="shared" si="29"/>
        <v>6206085.481796287</v>
      </c>
      <c r="G485" s="1167">
        <f t="shared" si="32"/>
        <v>1037402.2928407465</v>
      </c>
      <c r="H485" s="1170">
        <f t="shared" si="33"/>
        <v>1037402.2928407465</v>
      </c>
      <c r="I485" s="655">
        <f t="shared" si="30"/>
        <v>0</v>
      </c>
      <c r="J485" s="655"/>
      <c r="K485" s="793"/>
      <c r="L485" s="661"/>
      <c r="M485" s="793"/>
      <c r="N485" s="661"/>
      <c r="O485" s="661"/>
      <c r="P485" s="480"/>
    </row>
    <row r="486" spans="1:16">
      <c r="A486" s="285"/>
      <c r="B486" s="285"/>
      <c r="C486" s="651">
        <f>IF(D453="","-",+C485+1)</f>
        <v>2042</v>
      </c>
      <c r="D486" s="602">
        <f t="shared" si="31"/>
        <v>6206085.481796287</v>
      </c>
      <c r="E486" s="658">
        <f t="shared" si="34"/>
        <v>336982.01711111108</v>
      </c>
      <c r="F486" s="602">
        <f t="shared" si="29"/>
        <v>5869103.4646851756</v>
      </c>
      <c r="G486" s="1167">
        <f t="shared" si="32"/>
        <v>1000375.6703352149</v>
      </c>
      <c r="H486" s="1170">
        <f t="shared" si="33"/>
        <v>1000375.6703352149</v>
      </c>
      <c r="I486" s="655">
        <f t="shared" si="30"/>
        <v>0</v>
      </c>
      <c r="J486" s="655"/>
      <c r="K486" s="793"/>
      <c r="L486" s="661"/>
      <c r="M486" s="793"/>
      <c r="N486" s="661"/>
      <c r="O486" s="661"/>
      <c r="P486" s="480"/>
    </row>
    <row r="487" spans="1:16">
      <c r="A487" s="285"/>
      <c r="B487" s="285"/>
      <c r="C487" s="651">
        <f>IF(D453="","-",+C486+1)</f>
        <v>2043</v>
      </c>
      <c r="D487" s="602">
        <f t="shared" si="31"/>
        <v>5869103.4646851756</v>
      </c>
      <c r="E487" s="658">
        <f t="shared" si="34"/>
        <v>336982.01711111108</v>
      </c>
      <c r="F487" s="602">
        <f t="shared" si="29"/>
        <v>5532121.4475740641</v>
      </c>
      <c r="G487" s="1176">
        <f t="shared" si="32"/>
        <v>963349.04782968352</v>
      </c>
      <c r="H487" s="1170">
        <f t="shared" si="33"/>
        <v>963349.04782968352</v>
      </c>
      <c r="I487" s="655">
        <f t="shared" si="30"/>
        <v>0</v>
      </c>
      <c r="J487" s="655"/>
      <c r="K487" s="793"/>
      <c r="L487" s="661"/>
      <c r="M487" s="793"/>
      <c r="N487" s="661"/>
      <c r="O487" s="661"/>
      <c r="P487" s="480"/>
    </row>
    <row r="488" spans="1:16">
      <c r="A488" s="285"/>
      <c r="B488" s="285"/>
      <c r="C488" s="651">
        <f>IF(D453="","-",+C487+1)</f>
        <v>2044</v>
      </c>
      <c r="D488" s="602">
        <f t="shared" si="31"/>
        <v>5532121.4475740641</v>
      </c>
      <c r="E488" s="658">
        <f t="shared" si="34"/>
        <v>336982.01711111108</v>
      </c>
      <c r="F488" s="602">
        <f t="shared" si="29"/>
        <v>5195139.4304629527</v>
      </c>
      <c r="G488" s="1167">
        <f t="shared" si="32"/>
        <v>926322.42532415199</v>
      </c>
      <c r="H488" s="1170">
        <f t="shared" si="33"/>
        <v>926322.42532415199</v>
      </c>
      <c r="I488" s="655">
        <f t="shared" si="30"/>
        <v>0</v>
      </c>
      <c r="J488" s="655"/>
      <c r="K488" s="793"/>
      <c r="L488" s="661"/>
      <c r="M488" s="793"/>
      <c r="N488" s="661"/>
      <c r="O488" s="661"/>
      <c r="P488" s="480"/>
    </row>
    <row r="489" spans="1:16">
      <c r="A489" s="285"/>
      <c r="B489" s="285"/>
      <c r="C489" s="651">
        <f>IF(D453="","-",+C488+1)</f>
        <v>2045</v>
      </c>
      <c r="D489" s="602">
        <f t="shared" si="31"/>
        <v>5195139.4304629527</v>
      </c>
      <c r="E489" s="658">
        <f t="shared" si="34"/>
        <v>336982.01711111108</v>
      </c>
      <c r="F489" s="602">
        <f t="shared" si="29"/>
        <v>4858157.4133518413</v>
      </c>
      <c r="G489" s="1167">
        <f t="shared" si="32"/>
        <v>889295.80281862058</v>
      </c>
      <c r="H489" s="1170">
        <f t="shared" si="33"/>
        <v>889295.80281862058</v>
      </c>
      <c r="I489" s="655">
        <f t="shared" si="30"/>
        <v>0</v>
      </c>
      <c r="J489" s="655"/>
      <c r="K489" s="793"/>
      <c r="L489" s="661"/>
      <c r="M489" s="793"/>
      <c r="N489" s="661"/>
      <c r="O489" s="661"/>
      <c r="P489" s="480"/>
    </row>
    <row r="490" spans="1:16">
      <c r="A490" s="285"/>
      <c r="B490" s="285"/>
      <c r="C490" s="651">
        <f>IF(D453="","-",+C489+1)</f>
        <v>2046</v>
      </c>
      <c r="D490" s="602">
        <f t="shared" si="31"/>
        <v>4858157.4133518413</v>
      </c>
      <c r="E490" s="658">
        <f t="shared" si="34"/>
        <v>336982.01711111108</v>
      </c>
      <c r="F490" s="602">
        <f t="shared" si="29"/>
        <v>4521175.3962407298</v>
      </c>
      <c r="G490" s="1167">
        <f t="shared" si="32"/>
        <v>852269.18031308916</v>
      </c>
      <c r="H490" s="1170">
        <f t="shared" si="33"/>
        <v>852269.18031308916</v>
      </c>
      <c r="I490" s="655">
        <f t="shared" si="30"/>
        <v>0</v>
      </c>
      <c r="J490" s="655"/>
      <c r="K490" s="793"/>
      <c r="L490" s="661"/>
      <c r="M490" s="793"/>
      <c r="N490" s="661"/>
      <c r="O490" s="661"/>
      <c r="P490" s="480"/>
    </row>
    <row r="491" spans="1:16">
      <c r="A491" s="285"/>
      <c r="B491" s="285"/>
      <c r="C491" s="651">
        <f>IF(D453="","-",+C490+1)</f>
        <v>2047</v>
      </c>
      <c r="D491" s="602">
        <f t="shared" si="31"/>
        <v>4521175.3962407298</v>
      </c>
      <c r="E491" s="658">
        <f t="shared" si="34"/>
        <v>336982.01711111108</v>
      </c>
      <c r="F491" s="602">
        <f t="shared" si="29"/>
        <v>4184193.3791296189</v>
      </c>
      <c r="G491" s="1167">
        <f t="shared" si="32"/>
        <v>815242.55780755763</v>
      </c>
      <c r="H491" s="1170">
        <f t="shared" si="33"/>
        <v>815242.55780755763</v>
      </c>
      <c r="I491" s="655">
        <f t="shared" si="30"/>
        <v>0</v>
      </c>
      <c r="J491" s="655"/>
      <c r="K491" s="793"/>
      <c r="L491" s="661"/>
      <c r="M491" s="793"/>
      <c r="N491" s="661"/>
      <c r="O491" s="661"/>
      <c r="P491" s="480"/>
    </row>
    <row r="492" spans="1:16">
      <c r="A492" s="285"/>
      <c r="B492" s="285"/>
      <c r="C492" s="651">
        <f>IF(D453="","-",+C491+1)</f>
        <v>2048</v>
      </c>
      <c r="D492" s="602">
        <f t="shared" si="31"/>
        <v>4184193.3791296189</v>
      </c>
      <c r="E492" s="658">
        <f t="shared" si="34"/>
        <v>336982.01711111108</v>
      </c>
      <c r="F492" s="602">
        <f t="shared" si="29"/>
        <v>3847211.3620185079</v>
      </c>
      <c r="G492" s="1167">
        <f t="shared" si="32"/>
        <v>778215.93530202622</v>
      </c>
      <c r="H492" s="1170">
        <f t="shared" si="33"/>
        <v>778215.93530202622</v>
      </c>
      <c r="I492" s="655">
        <f t="shared" si="30"/>
        <v>0</v>
      </c>
      <c r="J492" s="655"/>
      <c r="K492" s="793"/>
      <c r="L492" s="661"/>
      <c r="M492" s="793"/>
      <c r="N492" s="661"/>
      <c r="O492" s="661"/>
      <c r="P492" s="480"/>
    </row>
    <row r="493" spans="1:16">
      <c r="A493" s="285"/>
      <c r="B493" s="285"/>
      <c r="C493" s="651">
        <f>IF(D453="","-",+C492+1)</f>
        <v>2049</v>
      </c>
      <c r="D493" s="602">
        <f t="shared" si="31"/>
        <v>3847211.3620185079</v>
      </c>
      <c r="E493" s="658">
        <f t="shared" si="34"/>
        <v>336982.01711111108</v>
      </c>
      <c r="F493" s="602">
        <f t="shared" si="29"/>
        <v>3510229.3449073969</v>
      </c>
      <c r="G493" s="1167">
        <f t="shared" si="32"/>
        <v>741189.31279649469</v>
      </c>
      <c r="H493" s="1170">
        <f t="shared" si="33"/>
        <v>741189.31279649469</v>
      </c>
      <c r="I493" s="655">
        <f t="shared" si="30"/>
        <v>0</v>
      </c>
      <c r="J493" s="655"/>
      <c r="K493" s="793"/>
      <c r="L493" s="661"/>
      <c r="M493" s="793"/>
      <c r="N493" s="661"/>
      <c r="O493" s="661"/>
      <c r="P493" s="480"/>
    </row>
    <row r="494" spans="1:16">
      <c r="A494" s="285"/>
      <c r="B494" s="285"/>
      <c r="C494" s="651">
        <f>IF(D453="","-",+C493+1)</f>
        <v>2050</v>
      </c>
      <c r="D494" s="602">
        <f t="shared" si="31"/>
        <v>3510229.3449073969</v>
      </c>
      <c r="E494" s="658">
        <f t="shared" si="34"/>
        <v>336982.01711111108</v>
      </c>
      <c r="F494" s="602">
        <f t="shared" si="29"/>
        <v>3173247.327796286</v>
      </c>
      <c r="G494" s="1167">
        <f t="shared" si="32"/>
        <v>704162.69029096339</v>
      </c>
      <c r="H494" s="1170">
        <f t="shared" si="33"/>
        <v>704162.69029096339</v>
      </c>
      <c r="I494" s="655">
        <f t="shared" si="30"/>
        <v>0</v>
      </c>
      <c r="J494" s="655"/>
      <c r="K494" s="793"/>
      <c r="L494" s="661"/>
      <c r="M494" s="793"/>
      <c r="N494" s="661"/>
      <c r="O494" s="661"/>
      <c r="P494" s="480"/>
    </row>
    <row r="495" spans="1:16">
      <c r="A495" s="285"/>
      <c r="B495" s="285"/>
      <c r="C495" s="651">
        <f>IF(D453="","-",+C494+1)</f>
        <v>2051</v>
      </c>
      <c r="D495" s="602">
        <f t="shared" si="31"/>
        <v>3173247.327796286</v>
      </c>
      <c r="E495" s="658">
        <f t="shared" si="34"/>
        <v>336982.01711111108</v>
      </c>
      <c r="F495" s="602">
        <f t="shared" si="29"/>
        <v>2836265.310685175</v>
      </c>
      <c r="G495" s="1167">
        <f t="shared" si="32"/>
        <v>667136.06778543186</v>
      </c>
      <c r="H495" s="1170">
        <f t="shared" si="33"/>
        <v>667136.06778543186</v>
      </c>
      <c r="I495" s="655">
        <f t="shared" si="30"/>
        <v>0</v>
      </c>
      <c r="J495" s="655"/>
      <c r="K495" s="793"/>
      <c r="L495" s="661"/>
      <c r="M495" s="793"/>
      <c r="N495" s="661"/>
      <c r="O495" s="661"/>
      <c r="P495" s="480"/>
    </row>
    <row r="496" spans="1:16">
      <c r="A496" s="285"/>
      <c r="B496" s="285"/>
      <c r="C496" s="651">
        <f>IF(D453="","-",+C495+1)</f>
        <v>2052</v>
      </c>
      <c r="D496" s="602">
        <f t="shared" si="31"/>
        <v>2836265.310685175</v>
      </c>
      <c r="E496" s="658">
        <f t="shared" si="34"/>
        <v>336982.01711111108</v>
      </c>
      <c r="F496" s="602">
        <f t="shared" si="29"/>
        <v>2499283.293574064</v>
      </c>
      <c r="G496" s="1167">
        <f t="shared" si="32"/>
        <v>630109.44527990057</v>
      </c>
      <c r="H496" s="1170">
        <f t="shared" si="33"/>
        <v>630109.44527990057</v>
      </c>
      <c r="I496" s="655">
        <f t="shared" si="30"/>
        <v>0</v>
      </c>
      <c r="J496" s="655"/>
      <c r="K496" s="793"/>
      <c r="L496" s="661"/>
      <c r="M496" s="793"/>
      <c r="N496" s="661"/>
      <c r="O496" s="661"/>
      <c r="P496" s="480"/>
    </row>
    <row r="497" spans="1:16">
      <c r="A497" s="285"/>
      <c r="B497" s="285"/>
      <c r="C497" s="651">
        <f>IF(D453="","-",+C496+1)</f>
        <v>2053</v>
      </c>
      <c r="D497" s="602">
        <f t="shared" si="31"/>
        <v>2499283.293574064</v>
      </c>
      <c r="E497" s="658">
        <f t="shared" si="34"/>
        <v>336982.01711111108</v>
      </c>
      <c r="F497" s="602">
        <f t="shared" si="29"/>
        <v>2162301.2764629531</v>
      </c>
      <c r="G497" s="1167">
        <f t="shared" si="32"/>
        <v>593082.82277436904</v>
      </c>
      <c r="H497" s="1170">
        <f t="shared" si="33"/>
        <v>593082.82277436904</v>
      </c>
      <c r="I497" s="655">
        <f t="shared" si="30"/>
        <v>0</v>
      </c>
      <c r="J497" s="655"/>
      <c r="K497" s="793"/>
      <c r="L497" s="661"/>
      <c r="M497" s="793"/>
      <c r="N497" s="661"/>
      <c r="O497" s="661"/>
      <c r="P497" s="480"/>
    </row>
    <row r="498" spans="1:16">
      <c r="A498" s="285"/>
      <c r="B498" s="285"/>
      <c r="C498" s="651">
        <f>IF(D453="","-",+C497+1)</f>
        <v>2054</v>
      </c>
      <c r="D498" s="602">
        <f t="shared" si="31"/>
        <v>2162301.2764629531</v>
      </c>
      <c r="E498" s="658">
        <f t="shared" si="34"/>
        <v>336982.01711111108</v>
      </c>
      <c r="F498" s="602">
        <f t="shared" si="29"/>
        <v>1825319.2593518421</v>
      </c>
      <c r="G498" s="1167">
        <f t="shared" si="32"/>
        <v>556056.20026883762</v>
      </c>
      <c r="H498" s="1170">
        <f t="shared" si="33"/>
        <v>556056.20026883762</v>
      </c>
      <c r="I498" s="655">
        <f t="shared" si="30"/>
        <v>0</v>
      </c>
      <c r="J498" s="655"/>
      <c r="K498" s="793"/>
      <c r="L498" s="661"/>
      <c r="M498" s="793"/>
      <c r="N498" s="661"/>
      <c r="O498" s="661"/>
      <c r="P498" s="480"/>
    </row>
    <row r="499" spans="1:16">
      <c r="A499" s="285"/>
      <c r="B499" s="285"/>
      <c r="C499" s="651">
        <f>IF(D453="","-",+C498+1)</f>
        <v>2055</v>
      </c>
      <c r="D499" s="602">
        <f t="shared" si="31"/>
        <v>1825319.2593518421</v>
      </c>
      <c r="E499" s="658">
        <f t="shared" si="34"/>
        <v>336982.01711111108</v>
      </c>
      <c r="F499" s="602">
        <f t="shared" si="29"/>
        <v>1488337.2422407311</v>
      </c>
      <c r="G499" s="1167">
        <f t="shared" si="32"/>
        <v>519029.57776330627</v>
      </c>
      <c r="H499" s="1170">
        <f t="shared" si="33"/>
        <v>519029.57776330627</v>
      </c>
      <c r="I499" s="655">
        <f t="shared" si="30"/>
        <v>0</v>
      </c>
      <c r="J499" s="655"/>
      <c r="K499" s="793"/>
      <c r="L499" s="661"/>
      <c r="M499" s="793"/>
      <c r="N499" s="661"/>
      <c r="O499" s="661"/>
      <c r="P499" s="480"/>
    </row>
    <row r="500" spans="1:16">
      <c r="A500" s="285"/>
      <c r="B500" s="285"/>
      <c r="C500" s="651">
        <f>IF(D453="","-",+C499+1)</f>
        <v>2056</v>
      </c>
      <c r="D500" s="602">
        <f t="shared" si="31"/>
        <v>1488337.2422407311</v>
      </c>
      <c r="E500" s="658">
        <f t="shared" si="34"/>
        <v>336982.01711111108</v>
      </c>
      <c r="F500" s="602">
        <f t="shared" si="29"/>
        <v>1151355.2251296202</v>
      </c>
      <c r="G500" s="1167">
        <f t="shared" si="32"/>
        <v>482002.9552577748</v>
      </c>
      <c r="H500" s="1170">
        <f t="shared" si="33"/>
        <v>482002.9552577748</v>
      </c>
      <c r="I500" s="655">
        <f t="shared" si="30"/>
        <v>0</v>
      </c>
      <c r="J500" s="655"/>
      <c r="K500" s="793"/>
      <c r="L500" s="661"/>
      <c r="M500" s="793"/>
      <c r="N500" s="661"/>
      <c r="O500" s="661"/>
      <c r="P500" s="480"/>
    </row>
    <row r="501" spans="1:16">
      <c r="A501" s="285"/>
      <c r="B501" s="285"/>
      <c r="C501" s="651">
        <f>IF(D453="","-",+C500+1)</f>
        <v>2057</v>
      </c>
      <c r="D501" s="602">
        <f t="shared" si="31"/>
        <v>1151355.2251296202</v>
      </c>
      <c r="E501" s="658">
        <f t="shared" si="34"/>
        <v>336982.01711111108</v>
      </c>
      <c r="F501" s="602">
        <f t="shared" si="29"/>
        <v>814373.20801850909</v>
      </c>
      <c r="G501" s="1167">
        <f t="shared" si="32"/>
        <v>444976.33275224338</v>
      </c>
      <c r="H501" s="1170">
        <f t="shared" si="33"/>
        <v>444976.33275224338</v>
      </c>
      <c r="I501" s="655">
        <f t="shared" si="30"/>
        <v>0</v>
      </c>
      <c r="J501" s="655"/>
      <c r="K501" s="793"/>
      <c r="L501" s="661"/>
      <c r="M501" s="793"/>
      <c r="N501" s="661"/>
      <c r="O501" s="661"/>
      <c r="P501" s="480"/>
    </row>
    <row r="502" spans="1:16">
      <c r="A502" s="285"/>
      <c r="B502" s="285"/>
      <c r="C502" s="651">
        <f>IF(D453="","-",+C501+1)</f>
        <v>2058</v>
      </c>
      <c r="D502" s="602">
        <f t="shared" si="31"/>
        <v>814373.20801850909</v>
      </c>
      <c r="E502" s="658">
        <f t="shared" si="34"/>
        <v>336982.01711111108</v>
      </c>
      <c r="F502" s="602">
        <f t="shared" si="29"/>
        <v>477391.19090739801</v>
      </c>
      <c r="G502" s="1167">
        <f t="shared" si="32"/>
        <v>407949.71024671197</v>
      </c>
      <c r="H502" s="1170">
        <f t="shared" si="33"/>
        <v>407949.71024671197</v>
      </c>
      <c r="I502" s="655">
        <f t="shared" si="30"/>
        <v>0</v>
      </c>
      <c r="J502" s="655"/>
      <c r="K502" s="793"/>
      <c r="L502" s="661"/>
      <c r="M502" s="793"/>
      <c r="N502" s="661"/>
      <c r="O502" s="661"/>
      <c r="P502" s="480"/>
    </row>
    <row r="503" spans="1:16">
      <c r="A503" s="285"/>
      <c r="B503" s="285"/>
      <c r="C503" s="651">
        <f>IF(D453="","-",+C502+1)</f>
        <v>2059</v>
      </c>
      <c r="D503" s="602">
        <f t="shared" si="31"/>
        <v>477391.19090739801</v>
      </c>
      <c r="E503" s="658">
        <f t="shared" si="34"/>
        <v>336982.01711111108</v>
      </c>
      <c r="F503" s="602">
        <f t="shared" si="29"/>
        <v>140409.17379628692</v>
      </c>
      <c r="G503" s="1167">
        <f t="shared" si="32"/>
        <v>370923.08774118056</v>
      </c>
      <c r="H503" s="1170">
        <f t="shared" si="33"/>
        <v>370923.08774118056</v>
      </c>
      <c r="I503" s="655">
        <f t="shared" si="30"/>
        <v>0</v>
      </c>
      <c r="J503" s="655"/>
      <c r="K503" s="793"/>
      <c r="L503" s="661"/>
      <c r="M503" s="793"/>
      <c r="N503" s="661"/>
      <c r="O503" s="661"/>
      <c r="P503" s="480"/>
    </row>
    <row r="504" spans="1:16">
      <c r="A504" s="285"/>
      <c r="B504" s="285"/>
      <c r="C504" s="651">
        <f>IF(D453="","-",+C503+1)</f>
        <v>2060</v>
      </c>
      <c r="D504" s="602">
        <f t="shared" si="31"/>
        <v>140409.17379628692</v>
      </c>
      <c r="E504" s="658">
        <f t="shared" si="34"/>
        <v>140409.17379628692</v>
      </c>
      <c r="F504" s="602">
        <f t="shared" si="29"/>
        <v>0</v>
      </c>
      <c r="G504" s="1167">
        <f t="shared" si="32"/>
        <v>148123.05348493881</v>
      </c>
      <c r="H504" s="1170">
        <f t="shared" si="33"/>
        <v>148123.05348493881</v>
      </c>
      <c r="I504" s="655">
        <f t="shared" si="30"/>
        <v>0</v>
      </c>
      <c r="J504" s="655"/>
      <c r="K504" s="793"/>
      <c r="L504" s="661"/>
      <c r="M504" s="793"/>
      <c r="N504" s="661"/>
      <c r="O504" s="661"/>
      <c r="P504" s="480"/>
    </row>
    <row r="505" spans="1:16">
      <c r="A505" s="285"/>
      <c r="B505" s="285"/>
      <c r="C505" s="651">
        <f>IF(D453="","-",+C504+1)</f>
        <v>2061</v>
      </c>
      <c r="D505" s="602">
        <f t="shared" si="31"/>
        <v>0</v>
      </c>
      <c r="E505" s="658">
        <f t="shared" si="34"/>
        <v>0</v>
      </c>
      <c r="F505" s="602">
        <f t="shared" si="29"/>
        <v>0</v>
      </c>
      <c r="G505" s="1167">
        <f t="shared" si="32"/>
        <v>0</v>
      </c>
      <c r="H505" s="1170">
        <f t="shared" si="33"/>
        <v>0</v>
      </c>
      <c r="I505" s="655">
        <f t="shared" si="30"/>
        <v>0</v>
      </c>
      <c r="J505" s="655"/>
      <c r="K505" s="793"/>
      <c r="L505" s="661"/>
      <c r="M505" s="793"/>
      <c r="N505" s="661"/>
      <c r="O505" s="661"/>
      <c r="P505" s="480"/>
    </row>
    <row r="506" spans="1:16">
      <c r="A506" s="285"/>
      <c r="B506" s="285"/>
      <c r="C506" s="651">
        <f>IF(D453="","-",+C505+1)</f>
        <v>2062</v>
      </c>
      <c r="D506" s="602">
        <f t="shared" si="31"/>
        <v>0</v>
      </c>
      <c r="E506" s="658">
        <f t="shared" si="34"/>
        <v>0</v>
      </c>
      <c r="F506" s="602">
        <f t="shared" si="29"/>
        <v>0</v>
      </c>
      <c r="G506" s="1167">
        <f t="shared" si="32"/>
        <v>0</v>
      </c>
      <c r="H506" s="1170">
        <f t="shared" si="33"/>
        <v>0</v>
      </c>
      <c r="I506" s="655">
        <f t="shared" si="30"/>
        <v>0</v>
      </c>
      <c r="J506" s="655"/>
      <c r="K506" s="793"/>
      <c r="L506" s="661"/>
      <c r="M506" s="793"/>
      <c r="N506" s="661"/>
      <c r="O506" s="661"/>
      <c r="P506" s="480"/>
    </row>
    <row r="507" spans="1:16">
      <c r="A507" s="285"/>
      <c r="B507" s="285"/>
      <c r="C507" s="651">
        <f>IF(D453="","-",+C506+1)</f>
        <v>2063</v>
      </c>
      <c r="D507" s="602">
        <f t="shared" si="31"/>
        <v>0</v>
      </c>
      <c r="E507" s="658">
        <f t="shared" si="34"/>
        <v>0</v>
      </c>
      <c r="F507" s="602">
        <f t="shared" si="29"/>
        <v>0</v>
      </c>
      <c r="G507" s="1167">
        <f t="shared" si="32"/>
        <v>0</v>
      </c>
      <c r="H507" s="1170">
        <f t="shared" si="33"/>
        <v>0</v>
      </c>
      <c r="I507" s="655">
        <f t="shared" si="30"/>
        <v>0</v>
      </c>
      <c r="J507" s="655"/>
      <c r="K507" s="793"/>
      <c r="L507" s="661"/>
      <c r="M507" s="793"/>
      <c r="N507" s="661"/>
      <c r="O507" s="661"/>
      <c r="P507" s="480"/>
    </row>
    <row r="508" spans="1:16">
      <c r="A508" s="285"/>
      <c r="B508" s="285"/>
      <c r="C508" s="651">
        <f>IF(D453="","-",+C507+1)</f>
        <v>2064</v>
      </c>
      <c r="D508" s="602">
        <f t="shared" si="31"/>
        <v>0</v>
      </c>
      <c r="E508" s="658">
        <f t="shared" si="34"/>
        <v>0</v>
      </c>
      <c r="F508" s="602">
        <f t="shared" si="29"/>
        <v>0</v>
      </c>
      <c r="G508" s="1167">
        <f t="shared" si="32"/>
        <v>0</v>
      </c>
      <c r="H508" s="1170">
        <f t="shared" si="33"/>
        <v>0</v>
      </c>
      <c r="I508" s="655">
        <f t="shared" si="30"/>
        <v>0</v>
      </c>
      <c r="J508" s="655"/>
      <c r="K508" s="793"/>
      <c r="L508" s="661"/>
      <c r="M508" s="793"/>
      <c r="N508" s="661"/>
      <c r="O508" s="661"/>
      <c r="P508" s="480"/>
    </row>
    <row r="509" spans="1:16">
      <c r="A509" s="285"/>
      <c r="B509" s="285"/>
      <c r="C509" s="651">
        <f>IF(D453="","-",+C508+1)</f>
        <v>2065</v>
      </c>
      <c r="D509" s="602">
        <f t="shared" si="31"/>
        <v>0</v>
      </c>
      <c r="E509" s="658">
        <f t="shared" si="34"/>
        <v>0</v>
      </c>
      <c r="F509" s="602">
        <f t="shared" si="29"/>
        <v>0</v>
      </c>
      <c r="G509" s="1167">
        <f t="shared" si="32"/>
        <v>0</v>
      </c>
      <c r="H509" s="1170">
        <f t="shared" si="33"/>
        <v>0</v>
      </c>
      <c r="I509" s="655">
        <f t="shared" si="30"/>
        <v>0</v>
      </c>
      <c r="J509" s="655"/>
      <c r="K509" s="793"/>
      <c r="L509" s="661"/>
      <c r="M509" s="793"/>
      <c r="N509" s="661"/>
      <c r="O509" s="661"/>
      <c r="P509" s="480"/>
    </row>
    <row r="510" spans="1:16">
      <c r="A510" s="285"/>
      <c r="B510" s="285"/>
      <c r="C510" s="651">
        <f>IF(D453="","-",+C509+1)</f>
        <v>2066</v>
      </c>
      <c r="D510" s="602">
        <f t="shared" si="31"/>
        <v>0</v>
      </c>
      <c r="E510" s="658">
        <f t="shared" si="34"/>
        <v>0</v>
      </c>
      <c r="F510" s="602">
        <f t="shared" si="29"/>
        <v>0</v>
      </c>
      <c r="G510" s="1167">
        <f t="shared" si="32"/>
        <v>0</v>
      </c>
      <c r="H510" s="1170">
        <f t="shared" si="33"/>
        <v>0</v>
      </c>
      <c r="I510" s="655">
        <f t="shared" si="30"/>
        <v>0</v>
      </c>
      <c r="J510" s="655"/>
      <c r="K510" s="793"/>
      <c r="L510" s="661"/>
      <c r="M510" s="793"/>
      <c r="N510" s="661"/>
      <c r="O510" s="661"/>
      <c r="P510" s="480"/>
    </row>
    <row r="511" spans="1:16">
      <c r="A511" s="285"/>
      <c r="B511" s="285"/>
      <c r="C511" s="651">
        <f>IF(D453="","-",+C510+1)</f>
        <v>2067</v>
      </c>
      <c r="D511" s="602">
        <f t="shared" si="31"/>
        <v>0</v>
      </c>
      <c r="E511" s="658">
        <f t="shared" si="34"/>
        <v>0</v>
      </c>
      <c r="F511" s="602">
        <f t="shared" si="29"/>
        <v>0</v>
      </c>
      <c r="G511" s="1167">
        <f t="shared" si="32"/>
        <v>0</v>
      </c>
      <c r="H511" s="1170">
        <f t="shared" si="33"/>
        <v>0</v>
      </c>
      <c r="I511" s="655">
        <f t="shared" si="30"/>
        <v>0</v>
      </c>
      <c r="J511" s="655"/>
      <c r="K511" s="793"/>
      <c r="L511" s="661"/>
      <c r="M511" s="793"/>
      <c r="N511" s="661"/>
      <c r="O511" s="661"/>
      <c r="P511" s="480"/>
    </row>
    <row r="512" spans="1:16">
      <c r="A512" s="285"/>
      <c r="B512" s="285"/>
      <c r="C512" s="651">
        <f>IF(D453="","-",+C511+1)</f>
        <v>2068</v>
      </c>
      <c r="D512" s="602">
        <f t="shared" si="31"/>
        <v>0</v>
      </c>
      <c r="E512" s="658">
        <f t="shared" si="34"/>
        <v>0</v>
      </c>
      <c r="F512" s="602">
        <f t="shared" si="29"/>
        <v>0</v>
      </c>
      <c r="G512" s="1167">
        <f t="shared" si="32"/>
        <v>0</v>
      </c>
      <c r="H512" s="1170">
        <f t="shared" si="33"/>
        <v>0</v>
      </c>
      <c r="I512" s="655">
        <f t="shared" si="30"/>
        <v>0</v>
      </c>
      <c r="J512" s="655"/>
      <c r="K512" s="793"/>
      <c r="L512" s="661"/>
      <c r="M512" s="793"/>
      <c r="N512" s="661"/>
      <c r="O512" s="661"/>
      <c r="P512" s="480"/>
    </row>
    <row r="513" spans="1:16">
      <c r="A513" s="285"/>
      <c r="B513" s="285"/>
      <c r="C513" s="651">
        <f>IF(D453="","-",+C512+1)</f>
        <v>2069</v>
      </c>
      <c r="D513" s="602">
        <f t="shared" si="31"/>
        <v>0</v>
      </c>
      <c r="E513" s="658">
        <f t="shared" si="34"/>
        <v>0</v>
      </c>
      <c r="F513" s="602">
        <f t="shared" si="29"/>
        <v>0</v>
      </c>
      <c r="G513" s="1167">
        <f t="shared" si="32"/>
        <v>0</v>
      </c>
      <c r="H513" s="1170">
        <f t="shared" si="33"/>
        <v>0</v>
      </c>
      <c r="I513" s="655">
        <f t="shared" si="30"/>
        <v>0</v>
      </c>
      <c r="J513" s="655"/>
      <c r="K513" s="793"/>
      <c r="L513" s="661"/>
      <c r="M513" s="793"/>
      <c r="N513" s="661"/>
      <c r="O513" s="661"/>
      <c r="P513" s="480"/>
    </row>
    <row r="514" spans="1:16">
      <c r="A514" s="285"/>
      <c r="B514" s="285"/>
      <c r="C514" s="651">
        <f>IF(D453="","-",+C513+1)</f>
        <v>2070</v>
      </c>
      <c r="D514" s="602">
        <f t="shared" si="31"/>
        <v>0</v>
      </c>
      <c r="E514" s="658">
        <f t="shared" si="34"/>
        <v>0</v>
      </c>
      <c r="F514" s="602">
        <f t="shared" si="29"/>
        <v>0</v>
      </c>
      <c r="G514" s="1167">
        <f t="shared" si="32"/>
        <v>0</v>
      </c>
      <c r="H514" s="1170">
        <f t="shared" si="33"/>
        <v>0</v>
      </c>
      <c r="I514" s="655">
        <f t="shared" si="30"/>
        <v>0</v>
      </c>
      <c r="J514" s="655"/>
      <c r="K514" s="793"/>
      <c r="L514" s="661"/>
      <c r="M514" s="793"/>
      <c r="N514" s="661"/>
      <c r="O514" s="661"/>
      <c r="P514" s="480"/>
    </row>
    <row r="515" spans="1:16">
      <c r="A515" s="285"/>
      <c r="B515" s="285"/>
      <c r="C515" s="651">
        <f>IF(D453="","-",+C514+1)</f>
        <v>2071</v>
      </c>
      <c r="D515" s="602">
        <f t="shared" si="31"/>
        <v>0</v>
      </c>
      <c r="E515" s="658">
        <f t="shared" si="34"/>
        <v>0</v>
      </c>
      <c r="F515" s="602">
        <f t="shared" si="29"/>
        <v>0</v>
      </c>
      <c r="G515" s="1167">
        <f t="shared" si="32"/>
        <v>0</v>
      </c>
      <c r="H515" s="1170">
        <f t="shared" si="33"/>
        <v>0</v>
      </c>
      <c r="I515" s="655">
        <f t="shared" si="30"/>
        <v>0</v>
      </c>
      <c r="J515" s="655"/>
      <c r="K515" s="793"/>
      <c r="L515" s="661"/>
      <c r="M515" s="793"/>
      <c r="N515" s="661"/>
      <c r="O515" s="661"/>
      <c r="P515" s="480"/>
    </row>
    <row r="516" spans="1:16">
      <c r="A516" s="285"/>
      <c r="B516" s="285"/>
      <c r="C516" s="651">
        <f>IF(D453="","-",+C515+1)</f>
        <v>2072</v>
      </c>
      <c r="D516" s="602">
        <f t="shared" si="31"/>
        <v>0</v>
      </c>
      <c r="E516" s="658">
        <f t="shared" si="34"/>
        <v>0</v>
      </c>
      <c r="F516" s="602">
        <f t="shared" si="29"/>
        <v>0</v>
      </c>
      <c r="G516" s="1167">
        <f t="shared" si="32"/>
        <v>0</v>
      </c>
      <c r="H516" s="1170">
        <f t="shared" si="33"/>
        <v>0</v>
      </c>
      <c r="I516" s="655">
        <f t="shared" si="30"/>
        <v>0</v>
      </c>
      <c r="J516" s="655"/>
      <c r="K516" s="793"/>
      <c r="L516" s="661"/>
      <c r="M516" s="793"/>
      <c r="N516" s="661"/>
      <c r="O516" s="661"/>
      <c r="P516" s="480"/>
    </row>
    <row r="517" spans="1:16">
      <c r="A517" s="285"/>
      <c r="B517" s="285"/>
      <c r="C517" s="651">
        <f>IF(D453="","-",+C516+1)</f>
        <v>2073</v>
      </c>
      <c r="D517" s="602">
        <f t="shared" si="31"/>
        <v>0</v>
      </c>
      <c r="E517" s="658">
        <f t="shared" si="34"/>
        <v>0</v>
      </c>
      <c r="F517" s="602">
        <f t="shared" si="29"/>
        <v>0</v>
      </c>
      <c r="G517" s="1167">
        <f t="shared" si="32"/>
        <v>0</v>
      </c>
      <c r="H517" s="1170">
        <f t="shared" si="33"/>
        <v>0</v>
      </c>
      <c r="I517" s="655">
        <f t="shared" si="30"/>
        <v>0</v>
      </c>
      <c r="J517" s="655"/>
      <c r="K517" s="793"/>
      <c r="L517" s="661"/>
      <c r="M517" s="793"/>
      <c r="N517" s="661"/>
      <c r="O517" s="661"/>
      <c r="P517" s="480"/>
    </row>
    <row r="518" spans="1:16" ht="13.5" thickBot="1">
      <c r="A518" s="285"/>
      <c r="B518" s="285"/>
      <c r="C518" s="663">
        <f>IF(D453="","-",+C517+1)</f>
        <v>2074</v>
      </c>
      <c r="D518" s="664">
        <f t="shared" si="31"/>
        <v>0</v>
      </c>
      <c r="E518" s="665">
        <f t="shared" si="34"/>
        <v>0</v>
      </c>
      <c r="F518" s="664">
        <f t="shared" si="29"/>
        <v>0</v>
      </c>
      <c r="G518" s="1177">
        <f t="shared" si="32"/>
        <v>0</v>
      </c>
      <c r="H518" s="1177">
        <f t="shared" si="33"/>
        <v>0</v>
      </c>
      <c r="I518" s="667">
        <f t="shared" si="30"/>
        <v>0</v>
      </c>
      <c r="J518" s="655"/>
      <c r="K518" s="794"/>
      <c r="L518" s="669"/>
      <c r="M518" s="794"/>
      <c r="N518" s="669"/>
      <c r="O518" s="669"/>
      <c r="P518" s="480"/>
    </row>
    <row r="519" spans="1:16">
      <c r="A519" s="285"/>
      <c r="B519" s="285"/>
      <c r="C519" s="602" t="s">
        <v>288</v>
      </c>
      <c r="D519" s="1148"/>
      <c r="E519" s="1148">
        <f>SUM(E459:E518)</f>
        <v>15164190.77</v>
      </c>
      <c r="F519" s="1148"/>
      <c r="G519" s="1148">
        <f>SUM(G459:G518)</f>
        <v>53347895.228829242</v>
      </c>
      <c r="H519" s="1148">
        <f>SUM(H459:H518)</f>
        <v>53347895.228829242</v>
      </c>
      <c r="I519" s="1148">
        <f>SUM(I459:I518)</f>
        <v>0</v>
      </c>
      <c r="J519" s="1148"/>
      <c r="K519" s="1148"/>
      <c r="L519" s="1148"/>
      <c r="M519" s="1148"/>
      <c r="N519" s="1148"/>
      <c r="O519" s="480"/>
      <c r="P519" s="480"/>
    </row>
    <row r="520" spans="1:16">
      <c r="A520" s="285"/>
      <c r="B520" s="285"/>
      <c r="C520" s="285"/>
      <c r="D520" s="496"/>
      <c r="E520" s="480"/>
      <c r="F520" s="480"/>
      <c r="G520" s="480"/>
      <c r="H520" s="1147"/>
      <c r="I520" s="1147"/>
      <c r="J520" s="1148"/>
      <c r="K520" s="1147"/>
      <c r="L520" s="1147"/>
      <c r="M520" s="1147"/>
      <c r="N520" s="1147"/>
      <c r="O520" s="480"/>
      <c r="P520" s="480"/>
    </row>
    <row r="521" spans="1:16">
      <c r="A521" s="285"/>
      <c r="B521" s="285"/>
      <c r="C521" s="480" t="s">
        <v>601</v>
      </c>
      <c r="D521" s="496"/>
      <c r="E521" s="480"/>
      <c r="F521" s="480"/>
      <c r="G521" s="480"/>
      <c r="H521" s="1147"/>
      <c r="I521" s="1147"/>
      <c r="J521" s="1148"/>
      <c r="K521" s="1147"/>
      <c r="L521" s="1147"/>
      <c r="M521" s="1147"/>
      <c r="N521" s="1147"/>
      <c r="O521" s="480"/>
      <c r="P521" s="480"/>
    </row>
    <row r="522" spans="1:16">
      <c r="A522" s="285"/>
      <c r="B522" s="285"/>
      <c r="C522" s="285"/>
      <c r="D522" s="496"/>
      <c r="E522" s="480"/>
      <c r="F522" s="480"/>
      <c r="G522" s="480"/>
      <c r="H522" s="1147"/>
      <c r="I522" s="1147"/>
      <c r="J522" s="1148"/>
      <c r="K522" s="1147"/>
      <c r="L522" s="1147"/>
      <c r="M522" s="1147"/>
      <c r="N522" s="1147"/>
      <c r="O522" s="480"/>
      <c r="P522" s="480"/>
    </row>
    <row r="523" spans="1:16">
      <c r="A523" s="285"/>
      <c r="B523" s="285"/>
      <c r="C523" s="508" t="s">
        <v>602</v>
      </c>
      <c r="D523" s="602"/>
      <c r="E523" s="602"/>
      <c r="F523" s="602"/>
      <c r="G523" s="1148"/>
      <c r="H523" s="1148"/>
      <c r="I523" s="603"/>
      <c r="J523" s="603"/>
      <c r="K523" s="603"/>
      <c r="L523" s="603"/>
      <c r="M523" s="603"/>
      <c r="N523" s="603"/>
      <c r="O523" s="480"/>
      <c r="P523" s="480"/>
    </row>
    <row r="524" spans="1:16">
      <c r="A524" s="285"/>
      <c r="B524" s="285"/>
      <c r="C524" s="508" t="s">
        <v>476</v>
      </c>
      <c r="D524" s="602"/>
      <c r="E524" s="602"/>
      <c r="F524" s="602"/>
      <c r="G524" s="1148"/>
      <c r="H524" s="1148"/>
      <c r="I524" s="603"/>
      <c r="J524" s="603"/>
      <c r="K524" s="603"/>
      <c r="L524" s="603"/>
      <c r="M524" s="603"/>
      <c r="N524" s="603"/>
      <c r="O524" s="480"/>
      <c r="P524" s="480"/>
    </row>
    <row r="525" spans="1:16">
      <c r="A525" s="285"/>
      <c r="B525" s="285"/>
      <c r="C525" s="508" t="s">
        <v>289</v>
      </c>
      <c r="D525" s="602"/>
      <c r="E525" s="602"/>
      <c r="F525" s="602"/>
      <c r="G525" s="1148"/>
      <c r="H525" s="1148"/>
      <c r="I525" s="603"/>
      <c r="J525" s="603"/>
      <c r="K525" s="603"/>
      <c r="L525" s="603"/>
      <c r="M525" s="603"/>
      <c r="N525" s="603"/>
      <c r="O525" s="480"/>
      <c r="P525" s="480"/>
    </row>
    <row r="526" spans="1:16">
      <c r="A526" s="285"/>
      <c r="B526" s="285"/>
      <c r="C526" s="601"/>
      <c r="D526" s="602"/>
      <c r="E526" s="602"/>
      <c r="F526" s="602"/>
      <c r="G526" s="1148"/>
      <c r="H526" s="1148"/>
      <c r="I526" s="603"/>
      <c r="J526" s="603"/>
      <c r="K526" s="603"/>
      <c r="L526" s="603"/>
      <c r="M526" s="603"/>
      <c r="N526" s="603"/>
      <c r="O526" s="480"/>
      <c r="P526" s="480"/>
    </row>
    <row r="527" spans="1:16">
      <c r="A527" s="285"/>
      <c r="B527" s="285"/>
      <c r="C527" s="1513" t="s">
        <v>460</v>
      </c>
      <c r="D527" s="1513"/>
      <c r="E527" s="1513"/>
      <c r="F527" s="1513"/>
      <c r="G527" s="1513"/>
      <c r="H527" s="1513"/>
      <c r="I527" s="1513"/>
      <c r="J527" s="1513"/>
      <c r="K527" s="1513"/>
      <c r="L527" s="1513"/>
      <c r="M527" s="1513"/>
      <c r="N527" s="1513"/>
      <c r="O527" s="1513"/>
      <c r="P527" s="480"/>
    </row>
    <row r="528" spans="1:16">
      <c r="A528" s="285"/>
      <c r="B528" s="285"/>
      <c r="C528" s="1513"/>
      <c r="D528" s="1513"/>
      <c r="E528" s="1513"/>
      <c r="F528" s="1513"/>
      <c r="G528" s="1513"/>
      <c r="H528" s="1513"/>
      <c r="I528" s="1513"/>
      <c r="J528" s="1513"/>
      <c r="K528" s="1513"/>
      <c r="L528" s="1513"/>
      <c r="M528" s="1513"/>
      <c r="N528" s="1513"/>
      <c r="O528" s="1513"/>
      <c r="P528" s="480"/>
    </row>
    <row r="529" spans="1:16" ht="20.25">
      <c r="A529" s="604" t="s">
        <v>947</v>
      </c>
      <c r="B529" s="480"/>
      <c r="C529" s="584"/>
      <c r="D529" s="496"/>
      <c r="E529" s="480"/>
      <c r="F529" s="574"/>
      <c r="G529" s="480"/>
      <c r="H529" s="1147"/>
      <c r="I529" s="285"/>
      <c r="J529" s="271"/>
      <c r="K529" s="605"/>
      <c r="L529" s="605"/>
      <c r="M529" s="605"/>
      <c r="N529" s="520" t="str">
        <f>"Page "&amp;SUM(P$6:P529)&amp;" of "</f>
        <v xml:space="preserve">Page 7 of </v>
      </c>
      <c r="O529" s="521">
        <f>COUNT(P$6:P$59606)</f>
        <v>15</v>
      </c>
      <c r="P529" s="480">
        <v>1</v>
      </c>
    </row>
    <row r="530" spans="1:16">
      <c r="A530" s="285"/>
      <c r="B530" s="480"/>
      <c r="C530" s="480"/>
      <c r="D530" s="496"/>
      <c r="E530" s="480"/>
      <c r="F530" s="480"/>
      <c r="G530" s="480"/>
      <c r="H530" s="1147"/>
      <c r="I530" s="480"/>
      <c r="J530" s="517"/>
      <c r="K530" s="480"/>
      <c r="L530" s="480"/>
      <c r="M530" s="480"/>
      <c r="N530" s="480"/>
      <c r="O530" s="480"/>
      <c r="P530" s="480"/>
    </row>
    <row r="531" spans="1:16" ht="18">
      <c r="A531" s="285"/>
      <c r="B531" s="524" t="s">
        <v>174</v>
      </c>
      <c r="C531" s="606" t="s">
        <v>290</v>
      </c>
      <c r="D531" s="496"/>
      <c r="E531" s="480"/>
      <c r="F531" s="480"/>
      <c r="G531" s="480"/>
      <c r="H531" s="1147"/>
      <c r="I531" s="1147"/>
      <c r="J531" s="1148"/>
      <c r="K531" s="1147"/>
      <c r="L531" s="1147"/>
      <c r="M531" s="1147"/>
      <c r="N531" s="1147"/>
      <c r="O531" s="480"/>
      <c r="P531" s="480"/>
    </row>
    <row r="532" spans="1:16" ht="18.75">
      <c r="A532" s="285"/>
      <c r="B532" s="524"/>
      <c r="C532" s="523"/>
      <c r="D532" s="496"/>
      <c r="E532" s="480"/>
      <c r="F532" s="480"/>
      <c r="G532" s="480"/>
      <c r="H532" s="1147"/>
      <c r="I532" s="1147"/>
      <c r="J532" s="1148"/>
      <c r="K532" s="1147"/>
      <c r="L532" s="1147"/>
      <c r="M532" s="1147"/>
      <c r="N532" s="1147"/>
      <c r="O532" s="480"/>
      <c r="P532" s="480"/>
    </row>
    <row r="533" spans="1:16" ht="18.75">
      <c r="A533" s="285"/>
      <c r="B533" s="524"/>
      <c r="C533" s="523" t="s">
        <v>291</v>
      </c>
      <c r="D533" s="496"/>
      <c r="E533" s="480"/>
      <c r="F533" s="480"/>
      <c r="G533" s="480"/>
      <c r="H533" s="1147"/>
      <c r="I533" s="1147"/>
      <c r="J533" s="1148"/>
      <c r="K533" s="1147"/>
      <c r="L533" s="1147"/>
      <c r="M533" s="1147"/>
      <c r="N533" s="1147"/>
      <c r="O533" s="480"/>
      <c r="P533" s="480"/>
    </row>
    <row r="534" spans="1:16" ht="15.75" thickBot="1">
      <c r="A534" s="285"/>
      <c r="B534" s="285"/>
      <c r="C534" s="347"/>
      <c r="D534" s="496"/>
      <c r="E534" s="480"/>
      <c r="F534" s="480"/>
      <c r="G534" s="480"/>
      <c r="H534" s="1147"/>
      <c r="I534" s="1147"/>
      <c r="J534" s="1148"/>
      <c r="K534" s="1147"/>
      <c r="L534" s="1147"/>
      <c r="M534" s="1147"/>
      <c r="N534" s="1147"/>
      <c r="O534" s="480"/>
      <c r="P534" s="480"/>
    </row>
    <row r="535" spans="1:16" ht="15.75">
      <c r="A535" s="285"/>
      <c r="B535" s="285"/>
      <c r="C535" s="525" t="s">
        <v>292</v>
      </c>
      <c r="D535" s="496"/>
      <c r="E535" s="480"/>
      <c r="F535" s="480"/>
      <c r="G535" s="1149"/>
      <c r="H535" s="480" t="s">
        <v>271</v>
      </c>
      <c r="I535" s="480"/>
      <c r="J535" s="517"/>
      <c r="K535" s="607" t="s">
        <v>296</v>
      </c>
      <c r="L535" s="608"/>
      <c r="M535" s="609"/>
      <c r="N535" s="1150">
        <f>VLOOKUP(I541,C548:O607,5)</f>
        <v>389518.48406694492</v>
      </c>
      <c r="O535" s="480"/>
      <c r="P535" s="480"/>
    </row>
    <row r="536" spans="1:16" ht="15.75">
      <c r="A536" s="285"/>
      <c r="B536" s="285"/>
      <c r="C536" s="525"/>
      <c r="D536" s="496"/>
      <c r="E536" s="480"/>
      <c r="F536" s="480"/>
      <c r="G536" s="480"/>
      <c r="H536" s="1151"/>
      <c r="I536" s="1151"/>
      <c r="J536" s="1152"/>
      <c r="K536" s="612" t="s">
        <v>297</v>
      </c>
      <c r="L536" s="1153"/>
      <c r="M536" s="517"/>
      <c r="N536" s="1154">
        <f>VLOOKUP(I541,C548:O607,6)</f>
        <v>389518.48406694492</v>
      </c>
      <c r="O536" s="480"/>
      <c r="P536" s="480"/>
    </row>
    <row r="537" spans="1:16" ht="13.5" thickBot="1">
      <c r="A537" s="285"/>
      <c r="B537" s="285"/>
      <c r="C537" s="613" t="s">
        <v>293</v>
      </c>
      <c r="D537" s="1514" t="s">
        <v>954</v>
      </c>
      <c r="E537" s="1514"/>
      <c r="F537" s="1514"/>
      <c r="G537" s="1514"/>
      <c r="H537" s="1514"/>
      <c r="I537" s="1147"/>
      <c r="J537" s="1148"/>
      <c r="K537" s="1155" t="s">
        <v>450</v>
      </c>
      <c r="L537" s="1156"/>
      <c r="M537" s="1156"/>
      <c r="N537" s="1157">
        <f>+N536-N535</f>
        <v>0</v>
      </c>
      <c r="O537" s="480"/>
      <c r="P537" s="480"/>
    </row>
    <row r="538" spans="1:16">
      <c r="A538" s="285"/>
      <c r="B538" s="285"/>
      <c r="C538" s="615"/>
      <c r="D538" s="616"/>
      <c r="E538" s="600"/>
      <c r="F538" s="600"/>
      <c r="G538" s="617"/>
      <c r="H538" s="1147"/>
      <c r="I538" s="1147"/>
      <c r="J538" s="1148"/>
      <c r="K538" s="1147"/>
      <c r="L538" s="1147"/>
      <c r="M538" s="1147"/>
      <c r="N538" s="1147"/>
      <c r="O538" s="480"/>
      <c r="P538" s="480"/>
    </row>
    <row r="539" spans="1:16" ht="13.5" thickBot="1">
      <c r="A539" s="285"/>
      <c r="B539" s="285"/>
      <c r="C539" s="618"/>
      <c r="D539" s="619"/>
      <c r="E539" s="617"/>
      <c r="F539" s="617"/>
      <c r="G539" s="617"/>
      <c r="H539" s="617"/>
      <c r="I539" s="617"/>
      <c r="J539" s="620"/>
      <c r="K539" s="617"/>
      <c r="L539" s="617"/>
      <c r="M539" s="617"/>
      <c r="N539" s="617"/>
      <c r="O539" s="508"/>
      <c r="P539" s="480"/>
    </row>
    <row r="540" spans="1:16" ht="13.5" thickBot="1">
      <c r="A540" s="285"/>
      <c r="B540" s="285"/>
      <c r="C540" s="622" t="s">
        <v>294</v>
      </c>
      <c r="D540" s="623"/>
      <c r="E540" s="623"/>
      <c r="F540" s="623"/>
      <c r="G540" s="623"/>
      <c r="H540" s="623"/>
      <c r="I540" s="624"/>
      <c r="J540" s="625"/>
      <c r="K540" s="480"/>
      <c r="L540" s="480"/>
      <c r="M540" s="480"/>
      <c r="N540" s="480"/>
      <c r="O540" s="626"/>
      <c r="P540" s="480"/>
    </row>
    <row r="541" spans="1:16" ht="15">
      <c r="A541" s="285"/>
      <c r="B541" s="362"/>
      <c r="C541" s="628" t="s">
        <v>272</v>
      </c>
      <c r="D541" s="787">
        <v>3429372.0401999992</v>
      </c>
      <c r="E541" s="584" t="s">
        <v>273</v>
      </c>
      <c r="F541" s="285"/>
      <c r="G541" s="629"/>
      <c r="H541" s="629"/>
      <c r="I541" s="630">
        <f>$L$26</f>
        <v>2024</v>
      </c>
      <c r="J541" s="515"/>
      <c r="K541" s="1515" t="s">
        <v>459</v>
      </c>
      <c r="L541" s="1515"/>
      <c r="M541" s="1515"/>
      <c r="N541" s="1515"/>
      <c r="O541" s="1515"/>
      <c r="P541" s="480"/>
    </row>
    <row r="542" spans="1:16">
      <c r="A542" s="285"/>
      <c r="B542" s="362"/>
      <c r="C542" s="628" t="s">
        <v>275</v>
      </c>
      <c r="D542" s="788">
        <v>2016</v>
      </c>
      <c r="E542" s="628" t="s">
        <v>276</v>
      </c>
      <c r="F542" s="629"/>
      <c r="G542" s="285"/>
      <c r="H542" s="285"/>
      <c r="I542" s="791">
        <f>IF(G535="",0,$F$15)</f>
        <v>0</v>
      </c>
      <c r="J542" s="631"/>
      <c r="K542" s="1148" t="s">
        <v>459</v>
      </c>
      <c r="L542" s="285"/>
      <c r="M542" s="285"/>
      <c r="N542" s="285"/>
      <c r="O542" s="285"/>
      <c r="P542" s="480"/>
    </row>
    <row r="543" spans="1:16">
      <c r="A543" s="285"/>
      <c r="B543" s="362"/>
      <c r="C543" s="628" t="s">
        <v>277</v>
      </c>
      <c r="D543" s="1159">
        <v>11</v>
      </c>
      <c r="E543" s="628" t="s">
        <v>278</v>
      </c>
      <c r="F543" s="629"/>
      <c r="G543" s="285"/>
      <c r="H543" s="285"/>
      <c r="I543" s="632">
        <f>$G$70</f>
        <v>0.10987714662923057</v>
      </c>
      <c r="J543" s="633"/>
      <c r="K543" s="285" t="str">
        <f>"          INPUT PROJECTED ARR (WITH &amp; WITHOUT INCENTIVES) FROM EACH PRIOR YEAR"</f>
        <v xml:space="preserve">          INPUT PROJECTED ARR (WITH &amp; WITHOUT INCENTIVES) FROM EACH PRIOR YEAR</v>
      </c>
      <c r="L543" s="285"/>
      <c r="M543" s="285"/>
      <c r="N543" s="285"/>
      <c r="O543" s="285"/>
      <c r="P543" s="480"/>
    </row>
    <row r="544" spans="1:16">
      <c r="A544" s="285"/>
      <c r="B544" s="362"/>
      <c r="C544" s="628" t="s">
        <v>279</v>
      </c>
      <c r="D544" s="634">
        <f>G$79</f>
        <v>45</v>
      </c>
      <c r="E544" s="628" t="s">
        <v>280</v>
      </c>
      <c r="F544" s="629"/>
      <c r="G544" s="285"/>
      <c r="H544" s="285"/>
      <c r="I544" s="632">
        <f>IF(G535="",I543,$G$67)</f>
        <v>0.10987714662923057</v>
      </c>
      <c r="J544" s="635"/>
      <c r="K544" s="285" t="s">
        <v>357</v>
      </c>
      <c r="L544" s="285"/>
      <c r="M544" s="285"/>
      <c r="N544" s="285"/>
      <c r="O544" s="285"/>
      <c r="P544" s="480"/>
    </row>
    <row r="545" spans="1:16" ht="13.5" thickBot="1">
      <c r="A545" s="285"/>
      <c r="B545" s="362"/>
      <c r="C545" s="628" t="s">
        <v>281</v>
      </c>
      <c r="D545" s="790" t="s">
        <v>949</v>
      </c>
      <c r="E545" s="636" t="s">
        <v>282</v>
      </c>
      <c r="F545" s="637"/>
      <c r="G545" s="638"/>
      <c r="H545" s="638"/>
      <c r="I545" s="1157">
        <f>IF(D541=0,0,D541/D544)</f>
        <v>76208.267559999978</v>
      </c>
      <c r="J545" s="1148"/>
      <c r="K545" s="1148" t="s">
        <v>363</v>
      </c>
      <c r="L545" s="1148"/>
      <c r="M545" s="1148"/>
      <c r="N545" s="1148"/>
      <c r="O545" s="517"/>
      <c r="P545" s="480"/>
    </row>
    <row r="546" spans="1:16" ht="51">
      <c r="A546" s="470"/>
      <c r="B546" s="470"/>
      <c r="C546" s="639" t="s">
        <v>272</v>
      </c>
      <c r="D546" s="1160" t="s">
        <v>283</v>
      </c>
      <c r="E546" s="1161" t="s">
        <v>284</v>
      </c>
      <c r="F546" s="1160" t="s">
        <v>285</v>
      </c>
      <c r="G546" s="1161" t="s">
        <v>356</v>
      </c>
      <c r="H546" s="1162" t="s">
        <v>356</v>
      </c>
      <c r="I546" s="639" t="s">
        <v>295</v>
      </c>
      <c r="J546" s="643"/>
      <c r="K546" s="1161" t="s">
        <v>365</v>
      </c>
      <c r="L546" s="1163"/>
      <c r="M546" s="1161" t="s">
        <v>365</v>
      </c>
      <c r="N546" s="1163"/>
      <c r="O546" s="1163"/>
      <c r="P546" s="480"/>
    </row>
    <row r="547" spans="1:16" ht="13.5" thickBot="1">
      <c r="A547" s="285"/>
      <c r="B547" s="285"/>
      <c r="C547" s="645" t="s">
        <v>177</v>
      </c>
      <c r="D547" s="646" t="s">
        <v>178</v>
      </c>
      <c r="E547" s="645" t="s">
        <v>37</v>
      </c>
      <c r="F547" s="646" t="s">
        <v>178</v>
      </c>
      <c r="G547" s="1164" t="s">
        <v>298</v>
      </c>
      <c r="H547" s="1165" t="s">
        <v>300</v>
      </c>
      <c r="I547" s="649" t="s">
        <v>389</v>
      </c>
      <c r="J547" s="650"/>
      <c r="K547" s="1164" t="s">
        <v>287</v>
      </c>
      <c r="L547" s="1166"/>
      <c r="M547" s="1164" t="s">
        <v>300</v>
      </c>
      <c r="N547" s="1166"/>
      <c r="O547" s="1166"/>
      <c r="P547" s="480"/>
    </row>
    <row r="548" spans="1:16">
      <c r="A548" s="285"/>
      <c r="B548" s="285"/>
      <c r="C548" s="651">
        <f>IF(D542= "","-",D542)</f>
        <v>2016</v>
      </c>
      <c r="D548" s="602">
        <f>+D541</f>
        <v>3429372.0401999992</v>
      </c>
      <c r="E548" s="1167">
        <f>+I545/12*(12-D543)</f>
        <v>6350.6889633333312</v>
      </c>
      <c r="F548" s="602">
        <f t="shared" ref="F548:F607" si="35">+D548-E548</f>
        <v>3423021.3512366661</v>
      </c>
      <c r="G548" s="1168">
        <f>+$I$543*((D548+F548)/2)+E548</f>
        <v>382811.40567936184</v>
      </c>
      <c r="H548" s="1169">
        <f>+$I$544*((D548+F548)/2)+E548</f>
        <v>382811.40567936184</v>
      </c>
      <c r="I548" s="655">
        <f t="shared" ref="I548:I607" si="36">+H548-G548</f>
        <v>0</v>
      </c>
      <c r="J548" s="655"/>
      <c r="K548" s="1190">
        <v>8871246.9461574946</v>
      </c>
      <c r="L548" s="1188"/>
      <c r="M548" s="1191">
        <v>8871246.9461574946</v>
      </c>
      <c r="N548" s="657"/>
      <c r="O548" s="657"/>
      <c r="P548" s="480"/>
    </row>
    <row r="549" spans="1:16">
      <c r="A549" s="285"/>
      <c r="B549" s="285"/>
      <c r="C549" s="651">
        <f>IF(D542="","-",+C548+1)</f>
        <v>2017</v>
      </c>
      <c r="D549" s="1172">
        <f t="shared" ref="D549:D607" si="37">F548</f>
        <v>3423021.3512366661</v>
      </c>
      <c r="E549" s="1173">
        <f>IF(D549&gt;$I$545,$I$545,D549)</f>
        <v>76208.267559999978</v>
      </c>
      <c r="F549" s="1172">
        <f t="shared" si="35"/>
        <v>3346813.083676666</v>
      </c>
      <c r="G549" s="1174">
        <f t="shared" ref="G549:G607" si="38">+$I$543*((D549+F549)/2)+E549</f>
        <v>448133.31299029314</v>
      </c>
      <c r="H549" s="1175">
        <f t="shared" ref="H549:H607" si="39">+$I$544*((D549+F549)/2)+E549</f>
        <v>448133.31299029314</v>
      </c>
      <c r="I549" s="1181">
        <f t="shared" si="36"/>
        <v>0</v>
      </c>
      <c r="J549" s="655"/>
      <c r="K549" s="793">
        <v>8889734.7657841165</v>
      </c>
      <c r="L549" s="661"/>
      <c r="M549" s="793">
        <v>8889734.7657841165</v>
      </c>
      <c r="N549" s="661"/>
      <c r="O549" s="661"/>
      <c r="P549" s="480"/>
    </row>
    <row r="550" spans="1:16">
      <c r="A550" s="285"/>
      <c r="B550" s="285"/>
      <c r="C550" s="1194">
        <f>IF(D542="","-",+C549+1)</f>
        <v>2018</v>
      </c>
      <c r="D550" s="1172">
        <f t="shared" si="37"/>
        <v>3346813.083676666</v>
      </c>
      <c r="E550" s="1173">
        <f t="shared" ref="E550:E607" si="40">IF(D550&gt;$I$545,$I$545,D550)</f>
        <v>76208.267559999978</v>
      </c>
      <c r="F550" s="1172">
        <f t="shared" si="35"/>
        <v>3270604.816116666</v>
      </c>
      <c r="G550" s="1174">
        <f t="shared" si="38"/>
        <v>439759.76600124349</v>
      </c>
      <c r="H550" s="1175">
        <f t="shared" si="39"/>
        <v>439759.76600124349</v>
      </c>
      <c r="I550" s="1181">
        <f t="shared" si="36"/>
        <v>0</v>
      </c>
      <c r="J550" s="655"/>
      <c r="K550" s="793">
        <v>1820478</v>
      </c>
      <c r="L550" s="1180"/>
      <c r="M550" s="793">
        <v>1820478</v>
      </c>
      <c r="N550" s="661"/>
      <c r="O550" s="661"/>
      <c r="P550" s="480"/>
    </row>
    <row r="551" spans="1:16">
      <c r="A551" s="285"/>
      <c r="B551" s="285"/>
      <c r="C551" s="1229">
        <f>IF(D542="","-",+C550+1)</f>
        <v>2019</v>
      </c>
      <c r="D551" s="602">
        <f t="shared" si="37"/>
        <v>3270604.816116666</v>
      </c>
      <c r="E551" s="658">
        <f t="shared" si="40"/>
        <v>76208.267559999978</v>
      </c>
      <c r="F551" s="602">
        <f t="shared" si="35"/>
        <v>3194396.5485566659</v>
      </c>
      <c r="G551" s="1167">
        <f t="shared" si="38"/>
        <v>431386.21901219361</v>
      </c>
      <c r="H551" s="1170">
        <f t="shared" si="39"/>
        <v>431386.21901219361</v>
      </c>
      <c r="I551" s="655">
        <f t="shared" si="36"/>
        <v>0</v>
      </c>
      <c r="J551" s="655"/>
      <c r="K551" s="793">
        <v>396848</v>
      </c>
      <c r="L551" s="661"/>
      <c r="M551" s="793">
        <v>396848</v>
      </c>
      <c r="N551" s="661"/>
      <c r="O551" s="661"/>
      <c r="P551" s="480"/>
    </row>
    <row r="552" spans="1:16">
      <c r="A552" s="285"/>
      <c r="B552" s="285"/>
      <c r="C552" s="1229">
        <f>IF(D542="","-",+C551+1)</f>
        <v>2020</v>
      </c>
      <c r="D552" s="602">
        <f t="shared" si="37"/>
        <v>3194396.5485566659</v>
      </c>
      <c r="E552" s="658">
        <f t="shared" si="40"/>
        <v>76208.267559999978</v>
      </c>
      <c r="F552" s="602">
        <f t="shared" si="35"/>
        <v>3118188.2809966658</v>
      </c>
      <c r="G552" s="1167">
        <f t="shared" si="38"/>
        <v>423012.67202314397</v>
      </c>
      <c r="H552" s="1170">
        <f t="shared" si="39"/>
        <v>423012.67202314397</v>
      </c>
      <c r="I552" s="655">
        <f t="shared" si="36"/>
        <v>0</v>
      </c>
      <c r="J552" s="655"/>
      <c r="K552" s="793">
        <v>387035.1088908845</v>
      </c>
      <c r="L552" s="661"/>
      <c r="M552" s="793">
        <v>387035.1088908845</v>
      </c>
      <c r="N552" s="661"/>
      <c r="O552" s="661"/>
      <c r="P552" s="480"/>
    </row>
    <row r="553" spans="1:16">
      <c r="A553" s="285"/>
      <c r="B553" s="285"/>
      <c r="C553" s="1229">
        <f>IF(D542="","-",+C552+1)</f>
        <v>2021</v>
      </c>
      <c r="D553" s="602">
        <f t="shared" si="37"/>
        <v>3118188.2809966658</v>
      </c>
      <c r="E553" s="658">
        <f t="shared" si="40"/>
        <v>76208.267559999978</v>
      </c>
      <c r="F553" s="602">
        <f t="shared" si="35"/>
        <v>3041980.0134366658</v>
      </c>
      <c r="G553" s="1167">
        <f t="shared" si="38"/>
        <v>414639.12503409409</v>
      </c>
      <c r="H553" s="1170">
        <f t="shared" si="39"/>
        <v>414639.12503409409</v>
      </c>
      <c r="I553" s="655">
        <f t="shared" si="36"/>
        <v>0</v>
      </c>
      <c r="J553" s="655"/>
      <c r="K553" s="793">
        <v>393734.6892223304</v>
      </c>
      <c r="L553" s="661"/>
      <c r="M553" s="1230">
        <v>393734.6892223304</v>
      </c>
      <c r="N553" s="661"/>
      <c r="O553" s="661"/>
      <c r="P553" s="480"/>
    </row>
    <row r="554" spans="1:16">
      <c r="A554" s="285"/>
      <c r="B554" s="285"/>
      <c r="C554" s="1229">
        <f>IF(D545="","-",+C553+1)</f>
        <v>2022</v>
      </c>
      <c r="D554" s="602">
        <f t="shared" si="37"/>
        <v>3041980.0134366658</v>
      </c>
      <c r="E554" s="658">
        <f t="shared" si="40"/>
        <v>76208.267559999978</v>
      </c>
      <c r="F554" s="602">
        <f t="shared" si="35"/>
        <v>2965771.7458766657</v>
      </c>
      <c r="G554" s="1167">
        <f t="shared" si="38"/>
        <v>406265.57804504444</v>
      </c>
      <c r="H554" s="1170">
        <f t="shared" si="39"/>
        <v>406265.57804504444</v>
      </c>
      <c r="I554" s="655">
        <f t="shared" si="36"/>
        <v>0</v>
      </c>
      <c r="J554" s="655"/>
      <c r="K554" s="793">
        <v>389204.51224864495</v>
      </c>
      <c r="L554" s="661"/>
      <c r="M554" s="1230">
        <v>389204.51224864495</v>
      </c>
      <c r="N554" s="661"/>
      <c r="O554" s="661"/>
      <c r="P554" s="480"/>
    </row>
    <row r="555" spans="1:16">
      <c r="A555" s="285"/>
      <c r="B555" s="285"/>
      <c r="C555" s="1229">
        <f>IF(D545="","-",+C554+1)</f>
        <v>2023</v>
      </c>
      <c r="D555" s="602">
        <f t="shared" si="37"/>
        <v>2965771.7458766657</v>
      </c>
      <c r="E555" s="658">
        <f t="shared" si="40"/>
        <v>76208.267559999978</v>
      </c>
      <c r="F555" s="602">
        <f t="shared" si="35"/>
        <v>2889563.4783166656</v>
      </c>
      <c r="G555" s="1167">
        <f t="shared" si="38"/>
        <v>397892.03105599456</v>
      </c>
      <c r="H555" s="1170">
        <f t="shared" si="39"/>
        <v>397892.03105599456</v>
      </c>
      <c r="I555" s="655">
        <f t="shared" si="36"/>
        <v>0</v>
      </c>
      <c r="J555" s="655"/>
      <c r="K555" s="793">
        <v>402834.34502748371</v>
      </c>
      <c r="L555" s="661"/>
      <c r="M555" s="1230">
        <v>402834.34502748371</v>
      </c>
      <c r="N555" s="661"/>
      <c r="O555" s="661"/>
      <c r="P555" s="480"/>
    </row>
    <row r="556" spans="1:16">
      <c r="A556" s="285"/>
      <c r="B556" s="285"/>
      <c r="C556" s="1171">
        <f>IF(D542="","-",+C555+1)</f>
        <v>2024</v>
      </c>
      <c r="D556" s="602">
        <f t="shared" si="37"/>
        <v>2889563.4783166656</v>
      </c>
      <c r="E556" s="658">
        <f t="shared" si="40"/>
        <v>76208.267559999978</v>
      </c>
      <c r="F556" s="602">
        <f t="shared" si="35"/>
        <v>2813355.2107566656</v>
      </c>
      <c r="G556" s="1167">
        <f t="shared" si="38"/>
        <v>389518.48406694492</v>
      </c>
      <c r="H556" s="1170">
        <f t="shared" si="39"/>
        <v>389518.48406694492</v>
      </c>
      <c r="I556" s="655">
        <f t="shared" si="36"/>
        <v>0</v>
      </c>
      <c r="J556" s="655"/>
      <c r="K556" s="793"/>
      <c r="L556" s="661"/>
      <c r="M556" s="793"/>
      <c r="N556" s="661"/>
      <c r="O556" s="661"/>
      <c r="P556" s="480"/>
    </row>
    <row r="557" spans="1:16">
      <c r="A557" s="285"/>
      <c r="B557" s="285"/>
      <c r="C557" s="651">
        <f>IF(D542="","-",+C556+1)</f>
        <v>2025</v>
      </c>
      <c r="D557" s="602">
        <f t="shared" si="37"/>
        <v>2813355.2107566656</v>
      </c>
      <c r="E557" s="658">
        <f t="shared" si="40"/>
        <v>76208.267559999978</v>
      </c>
      <c r="F557" s="602">
        <f t="shared" si="35"/>
        <v>2737146.9431966655</v>
      </c>
      <c r="G557" s="1167">
        <f t="shared" si="38"/>
        <v>381144.93707789504</v>
      </c>
      <c r="H557" s="1170">
        <f t="shared" si="39"/>
        <v>381144.93707789504</v>
      </c>
      <c r="I557" s="655">
        <f t="shared" si="36"/>
        <v>0</v>
      </c>
      <c r="J557" s="655"/>
      <c r="K557" s="793"/>
      <c r="L557" s="661"/>
      <c r="M557" s="793"/>
      <c r="N557" s="661"/>
      <c r="O557" s="661"/>
      <c r="P557" s="480"/>
    </row>
    <row r="558" spans="1:16">
      <c r="A558" s="285"/>
      <c r="B558" s="285"/>
      <c r="C558" s="651">
        <f>IF(D542="","-",+C557+1)</f>
        <v>2026</v>
      </c>
      <c r="D558" s="602">
        <f t="shared" si="37"/>
        <v>2737146.9431966655</v>
      </c>
      <c r="E558" s="658">
        <f t="shared" si="40"/>
        <v>76208.267559999978</v>
      </c>
      <c r="F558" s="602">
        <f t="shared" si="35"/>
        <v>2660938.6756366654</v>
      </c>
      <c r="G558" s="1167">
        <f t="shared" si="38"/>
        <v>372771.39008884539</v>
      </c>
      <c r="H558" s="1170">
        <f t="shared" si="39"/>
        <v>372771.39008884539</v>
      </c>
      <c r="I558" s="655">
        <f t="shared" si="36"/>
        <v>0</v>
      </c>
      <c r="J558" s="655"/>
      <c r="K558" s="793"/>
      <c r="L558" s="661"/>
      <c r="M558" s="793"/>
      <c r="N558" s="661"/>
      <c r="O558" s="661"/>
      <c r="P558" s="480"/>
    </row>
    <row r="559" spans="1:16">
      <c r="A559" s="285"/>
      <c r="B559" s="285"/>
      <c r="C559" s="651">
        <f>IF(D542="","-",+C558+1)</f>
        <v>2027</v>
      </c>
      <c r="D559" s="602">
        <f t="shared" si="37"/>
        <v>2660938.6756366654</v>
      </c>
      <c r="E559" s="658">
        <f t="shared" si="40"/>
        <v>76208.267559999978</v>
      </c>
      <c r="F559" s="602">
        <f t="shared" si="35"/>
        <v>2584730.4080766654</v>
      </c>
      <c r="G559" s="1167">
        <f t="shared" si="38"/>
        <v>364397.84309979551</v>
      </c>
      <c r="H559" s="1170">
        <f t="shared" si="39"/>
        <v>364397.84309979551</v>
      </c>
      <c r="I559" s="655">
        <f t="shared" si="36"/>
        <v>0</v>
      </c>
      <c r="J559" s="655"/>
      <c r="K559" s="793"/>
      <c r="L559" s="661"/>
      <c r="M559" s="793"/>
      <c r="N559" s="661"/>
      <c r="O559" s="661"/>
      <c r="P559" s="480"/>
    </row>
    <row r="560" spans="1:16">
      <c r="A560" s="285"/>
      <c r="B560" s="285"/>
      <c r="C560" s="651">
        <f>IF(D542="","-",+C559+1)</f>
        <v>2028</v>
      </c>
      <c r="D560" s="602">
        <f t="shared" si="37"/>
        <v>2584730.4080766654</v>
      </c>
      <c r="E560" s="658">
        <f t="shared" si="40"/>
        <v>76208.267559999978</v>
      </c>
      <c r="F560" s="602">
        <f t="shared" si="35"/>
        <v>2508522.1405166653</v>
      </c>
      <c r="G560" s="1167">
        <f t="shared" si="38"/>
        <v>356024.29611074587</v>
      </c>
      <c r="H560" s="1170">
        <f t="shared" si="39"/>
        <v>356024.29611074587</v>
      </c>
      <c r="I560" s="655">
        <f t="shared" si="36"/>
        <v>0</v>
      </c>
      <c r="J560" s="655"/>
      <c r="K560" s="793"/>
      <c r="L560" s="661"/>
      <c r="M560" s="793"/>
      <c r="N560" s="662"/>
      <c r="O560" s="661"/>
      <c r="P560" s="480"/>
    </row>
    <row r="561" spans="1:16">
      <c r="A561" s="285"/>
      <c r="B561" s="285"/>
      <c r="C561" s="651">
        <f>IF(D542="","-",+C560+1)</f>
        <v>2029</v>
      </c>
      <c r="D561" s="602">
        <f t="shared" si="37"/>
        <v>2508522.1405166653</v>
      </c>
      <c r="E561" s="658">
        <f t="shared" si="40"/>
        <v>76208.267559999978</v>
      </c>
      <c r="F561" s="602">
        <f t="shared" si="35"/>
        <v>2432313.8729566652</v>
      </c>
      <c r="G561" s="1167">
        <f t="shared" si="38"/>
        <v>347650.74912169599</v>
      </c>
      <c r="H561" s="1170">
        <f t="shared" si="39"/>
        <v>347650.74912169599</v>
      </c>
      <c r="I561" s="655">
        <f t="shared" si="36"/>
        <v>0</v>
      </c>
      <c r="J561" s="655"/>
      <c r="K561" s="793"/>
      <c r="L561" s="661"/>
      <c r="M561" s="793"/>
      <c r="N561" s="661"/>
      <c r="O561" s="661"/>
      <c r="P561" s="480"/>
    </row>
    <row r="562" spans="1:16">
      <c r="A562" s="285"/>
      <c r="B562" s="285"/>
      <c r="C562" s="651">
        <f>IF(D542="","-",+C561+1)</f>
        <v>2030</v>
      </c>
      <c r="D562" s="602">
        <f t="shared" si="37"/>
        <v>2432313.8729566652</v>
      </c>
      <c r="E562" s="658">
        <f t="shared" si="40"/>
        <v>76208.267559999978</v>
      </c>
      <c r="F562" s="602">
        <f t="shared" si="35"/>
        <v>2356105.6053966652</v>
      </c>
      <c r="G562" s="1167">
        <f t="shared" si="38"/>
        <v>339277.20213264634</v>
      </c>
      <c r="H562" s="1170">
        <f t="shared" si="39"/>
        <v>339277.20213264634</v>
      </c>
      <c r="I562" s="655">
        <f t="shared" si="36"/>
        <v>0</v>
      </c>
      <c r="J562" s="655"/>
      <c r="K562" s="793"/>
      <c r="L562" s="661"/>
      <c r="M562" s="793"/>
      <c r="N562" s="661"/>
      <c r="O562" s="661"/>
      <c r="P562" s="480"/>
    </row>
    <row r="563" spans="1:16">
      <c r="A563" s="285"/>
      <c r="B563" s="285"/>
      <c r="C563" s="651">
        <f>IF(D542="","-",+C562+1)</f>
        <v>2031</v>
      </c>
      <c r="D563" s="602">
        <f t="shared" si="37"/>
        <v>2356105.6053966652</v>
      </c>
      <c r="E563" s="658">
        <f t="shared" si="40"/>
        <v>76208.267559999978</v>
      </c>
      <c r="F563" s="602">
        <f t="shared" si="35"/>
        <v>2279897.3378366651</v>
      </c>
      <c r="G563" s="1167">
        <f t="shared" si="38"/>
        <v>330903.65514359646</v>
      </c>
      <c r="H563" s="1170">
        <f t="shared" si="39"/>
        <v>330903.65514359646</v>
      </c>
      <c r="I563" s="655">
        <f t="shared" si="36"/>
        <v>0</v>
      </c>
      <c r="J563" s="655"/>
      <c r="K563" s="793"/>
      <c r="L563" s="661"/>
      <c r="M563" s="793"/>
      <c r="N563" s="661"/>
      <c r="O563" s="661"/>
      <c r="P563" s="480"/>
    </row>
    <row r="564" spans="1:16">
      <c r="A564" s="285"/>
      <c r="B564" s="285"/>
      <c r="C564" s="651">
        <f>IF(D542="","-",+C563+1)</f>
        <v>2032</v>
      </c>
      <c r="D564" s="602">
        <f t="shared" si="37"/>
        <v>2279897.3378366651</v>
      </c>
      <c r="E564" s="658">
        <f t="shared" si="40"/>
        <v>76208.267559999978</v>
      </c>
      <c r="F564" s="602">
        <f t="shared" si="35"/>
        <v>2203689.070276665</v>
      </c>
      <c r="G564" s="1167">
        <f t="shared" si="38"/>
        <v>322530.10815454682</v>
      </c>
      <c r="H564" s="1170">
        <f t="shared" si="39"/>
        <v>322530.10815454682</v>
      </c>
      <c r="I564" s="655">
        <f t="shared" si="36"/>
        <v>0</v>
      </c>
      <c r="J564" s="655"/>
      <c r="K564" s="793"/>
      <c r="L564" s="661"/>
      <c r="M564" s="793"/>
      <c r="N564" s="661"/>
      <c r="O564" s="661"/>
      <c r="P564" s="480"/>
    </row>
    <row r="565" spans="1:16">
      <c r="A565" s="285"/>
      <c r="B565" s="285"/>
      <c r="C565" s="651">
        <f>IF(D542="","-",+C564+1)</f>
        <v>2033</v>
      </c>
      <c r="D565" s="602">
        <f t="shared" si="37"/>
        <v>2203689.070276665</v>
      </c>
      <c r="E565" s="658">
        <f t="shared" si="40"/>
        <v>76208.267559999978</v>
      </c>
      <c r="F565" s="602">
        <f t="shared" si="35"/>
        <v>2127480.802716665</v>
      </c>
      <c r="G565" s="1167">
        <f t="shared" si="38"/>
        <v>314156.56116549694</v>
      </c>
      <c r="H565" s="1170">
        <f t="shared" si="39"/>
        <v>314156.56116549694</v>
      </c>
      <c r="I565" s="655">
        <f t="shared" si="36"/>
        <v>0</v>
      </c>
      <c r="J565" s="655"/>
      <c r="K565" s="793"/>
      <c r="L565" s="661"/>
      <c r="M565" s="793"/>
      <c r="N565" s="661"/>
      <c r="O565" s="661"/>
      <c r="P565" s="480"/>
    </row>
    <row r="566" spans="1:16">
      <c r="A566" s="285"/>
      <c r="B566" s="285"/>
      <c r="C566" s="651">
        <f>IF(D542="","-",+C565+1)</f>
        <v>2034</v>
      </c>
      <c r="D566" s="602">
        <f t="shared" si="37"/>
        <v>2127480.802716665</v>
      </c>
      <c r="E566" s="658">
        <f t="shared" si="40"/>
        <v>76208.267559999978</v>
      </c>
      <c r="F566" s="602">
        <f t="shared" si="35"/>
        <v>2051272.5351566649</v>
      </c>
      <c r="G566" s="1167">
        <f t="shared" si="38"/>
        <v>305783.01417644724</v>
      </c>
      <c r="H566" s="1170">
        <f t="shared" si="39"/>
        <v>305783.01417644724</v>
      </c>
      <c r="I566" s="655">
        <f t="shared" si="36"/>
        <v>0</v>
      </c>
      <c r="J566" s="655"/>
      <c r="K566" s="793"/>
      <c r="L566" s="661"/>
      <c r="M566" s="793"/>
      <c r="N566" s="661"/>
      <c r="O566" s="661"/>
      <c r="P566" s="480"/>
    </row>
    <row r="567" spans="1:16">
      <c r="A567" s="285"/>
      <c r="B567" s="285"/>
      <c r="C567" s="651">
        <f>IF(D542="","-",+C566+1)</f>
        <v>2035</v>
      </c>
      <c r="D567" s="602">
        <f t="shared" si="37"/>
        <v>2051272.5351566649</v>
      </c>
      <c r="E567" s="658">
        <f t="shared" si="40"/>
        <v>76208.267559999978</v>
      </c>
      <c r="F567" s="602">
        <f t="shared" si="35"/>
        <v>1975064.2675966648</v>
      </c>
      <c r="G567" s="1167">
        <f t="shared" si="38"/>
        <v>297409.46718739747</v>
      </c>
      <c r="H567" s="1170">
        <f t="shared" si="39"/>
        <v>297409.46718739747</v>
      </c>
      <c r="I567" s="655">
        <f t="shared" si="36"/>
        <v>0</v>
      </c>
      <c r="J567" s="655"/>
      <c r="K567" s="793"/>
      <c r="L567" s="661"/>
      <c r="M567" s="793"/>
      <c r="N567" s="661"/>
      <c r="O567" s="661"/>
      <c r="P567" s="480"/>
    </row>
    <row r="568" spans="1:16">
      <c r="A568" s="285"/>
      <c r="B568" s="285"/>
      <c r="C568" s="651">
        <f>IF(D542="","-",+C567+1)</f>
        <v>2036</v>
      </c>
      <c r="D568" s="602">
        <f t="shared" si="37"/>
        <v>1975064.2675966648</v>
      </c>
      <c r="E568" s="658">
        <f t="shared" si="40"/>
        <v>76208.267559999978</v>
      </c>
      <c r="F568" s="602">
        <f t="shared" si="35"/>
        <v>1898856.0000366648</v>
      </c>
      <c r="G568" s="1167">
        <f t="shared" si="38"/>
        <v>289035.92019834771</v>
      </c>
      <c r="H568" s="1170">
        <f t="shared" si="39"/>
        <v>289035.92019834771</v>
      </c>
      <c r="I568" s="655">
        <f t="shared" si="36"/>
        <v>0</v>
      </c>
      <c r="J568" s="655"/>
      <c r="K568" s="793"/>
      <c r="L568" s="661"/>
      <c r="M568" s="793"/>
      <c r="N568" s="661"/>
      <c r="O568" s="661"/>
      <c r="P568" s="480"/>
    </row>
    <row r="569" spans="1:16">
      <c r="A569" s="285"/>
      <c r="B569" s="285"/>
      <c r="C569" s="651">
        <f>IF(D542="","-",+C568+1)</f>
        <v>2037</v>
      </c>
      <c r="D569" s="602">
        <f t="shared" si="37"/>
        <v>1898856.0000366648</v>
      </c>
      <c r="E569" s="658">
        <f t="shared" si="40"/>
        <v>76208.267559999978</v>
      </c>
      <c r="F569" s="602">
        <f t="shared" si="35"/>
        <v>1822647.7324766647</v>
      </c>
      <c r="G569" s="1167">
        <f t="shared" si="38"/>
        <v>280662.37320929795</v>
      </c>
      <c r="H569" s="1170">
        <f t="shared" si="39"/>
        <v>280662.37320929795</v>
      </c>
      <c r="I569" s="655">
        <f t="shared" si="36"/>
        <v>0</v>
      </c>
      <c r="J569" s="655"/>
      <c r="K569" s="793"/>
      <c r="L569" s="661"/>
      <c r="M569" s="793"/>
      <c r="N569" s="661"/>
      <c r="O569" s="661"/>
      <c r="P569" s="480"/>
    </row>
    <row r="570" spans="1:16">
      <c r="A570" s="285"/>
      <c r="B570" s="285"/>
      <c r="C570" s="651">
        <f>IF(D542="","-",+C569+1)</f>
        <v>2038</v>
      </c>
      <c r="D570" s="602">
        <f t="shared" si="37"/>
        <v>1822647.7324766647</v>
      </c>
      <c r="E570" s="658">
        <f t="shared" si="40"/>
        <v>76208.267559999978</v>
      </c>
      <c r="F570" s="602">
        <f t="shared" si="35"/>
        <v>1746439.4649166646</v>
      </c>
      <c r="G570" s="1167">
        <f t="shared" si="38"/>
        <v>272288.82622024819</v>
      </c>
      <c r="H570" s="1170">
        <f t="shared" si="39"/>
        <v>272288.82622024819</v>
      </c>
      <c r="I570" s="655">
        <f t="shared" si="36"/>
        <v>0</v>
      </c>
      <c r="J570" s="655"/>
      <c r="K570" s="793"/>
      <c r="L570" s="661"/>
      <c r="M570" s="793"/>
      <c r="N570" s="661"/>
      <c r="O570" s="661"/>
      <c r="P570" s="480"/>
    </row>
    <row r="571" spans="1:16">
      <c r="A571" s="285"/>
      <c r="B571" s="285"/>
      <c r="C571" s="651">
        <f>IF(D542="","-",+C570+1)</f>
        <v>2039</v>
      </c>
      <c r="D571" s="602">
        <f t="shared" si="37"/>
        <v>1746439.4649166646</v>
      </c>
      <c r="E571" s="658">
        <f t="shared" si="40"/>
        <v>76208.267559999978</v>
      </c>
      <c r="F571" s="602">
        <f t="shared" si="35"/>
        <v>1670231.1973566646</v>
      </c>
      <c r="G571" s="1167">
        <f t="shared" si="38"/>
        <v>263915.27923119842</v>
      </c>
      <c r="H571" s="1170">
        <f t="shared" si="39"/>
        <v>263915.27923119842</v>
      </c>
      <c r="I571" s="655">
        <f t="shared" si="36"/>
        <v>0</v>
      </c>
      <c r="J571" s="655"/>
      <c r="K571" s="793"/>
      <c r="L571" s="661"/>
      <c r="M571" s="793"/>
      <c r="N571" s="661"/>
      <c r="O571" s="661"/>
      <c r="P571" s="480"/>
    </row>
    <row r="572" spans="1:16">
      <c r="A572" s="285"/>
      <c r="B572" s="285"/>
      <c r="C572" s="651">
        <f>IF(D542="","-",+C571+1)</f>
        <v>2040</v>
      </c>
      <c r="D572" s="602">
        <f t="shared" si="37"/>
        <v>1670231.1973566646</v>
      </c>
      <c r="E572" s="658">
        <f t="shared" si="40"/>
        <v>76208.267559999978</v>
      </c>
      <c r="F572" s="602">
        <f t="shared" si="35"/>
        <v>1594022.9297966645</v>
      </c>
      <c r="G572" s="1167">
        <f t="shared" si="38"/>
        <v>255541.73224214866</v>
      </c>
      <c r="H572" s="1170">
        <f t="shared" si="39"/>
        <v>255541.73224214866</v>
      </c>
      <c r="I572" s="655">
        <f t="shared" si="36"/>
        <v>0</v>
      </c>
      <c r="J572" s="655"/>
      <c r="K572" s="793"/>
      <c r="L572" s="661"/>
      <c r="M572" s="793"/>
      <c r="N572" s="661"/>
      <c r="O572" s="661"/>
      <c r="P572" s="480"/>
    </row>
    <row r="573" spans="1:16">
      <c r="A573" s="285"/>
      <c r="B573" s="285"/>
      <c r="C573" s="651">
        <f>IF(D542="","-",+C572+1)</f>
        <v>2041</v>
      </c>
      <c r="D573" s="602">
        <f t="shared" si="37"/>
        <v>1594022.9297966645</v>
      </c>
      <c r="E573" s="658">
        <f t="shared" si="40"/>
        <v>76208.267559999978</v>
      </c>
      <c r="F573" s="602">
        <f t="shared" si="35"/>
        <v>1517814.6622366644</v>
      </c>
      <c r="G573" s="1167">
        <f t="shared" si="38"/>
        <v>247168.1852530989</v>
      </c>
      <c r="H573" s="1170">
        <f t="shared" si="39"/>
        <v>247168.1852530989</v>
      </c>
      <c r="I573" s="655">
        <f t="shared" si="36"/>
        <v>0</v>
      </c>
      <c r="J573" s="655"/>
      <c r="K573" s="793"/>
      <c r="L573" s="661"/>
      <c r="M573" s="793"/>
      <c r="N573" s="661"/>
      <c r="O573" s="661"/>
      <c r="P573" s="480"/>
    </row>
    <row r="574" spans="1:16">
      <c r="A574" s="285"/>
      <c r="B574" s="285"/>
      <c r="C574" s="651">
        <f>IF(D542="","-",+C573+1)</f>
        <v>2042</v>
      </c>
      <c r="D574" s="602">
        <f t="shared" si="37"/>
        <v>1517814.6622366644</v>
      </c>
      <c r="E574" s="658">
        <f t="shared" si="40"/>
        <v>76208.267559999978</v>
      </c>
      <c r="F574" s="602">
        <f t="shared" si="35"/>
        <v>1441606.3946766644</v>
      </c>
      <c r="G574" s="1167">
        <f t="shared" si="38"/>
        <v>238794.63826404914</v>
      </c>
      <c r="H574" s="1170">
        <f t="shared" si="39"/>
        <v>238794.63826404914</v>
      </c>
      <c r="I574" s="655">
        <f t="shared" si="36"/>
        <v>0</v>
      </c>
      <c r="J574" s="655"/>
      <c r="K574" s="793"/>
      <c r="L574" s="661"/>
      <c r="M574" s="793"/>
      <c r="N574" s="661"/>
      <c r="O574" s="661"/>
      <c r="P574" s="480"/>
    </row>
    <row r="575" spans="1:16">
      <c r="A575" s="285"/>
      <c r="B575" s="285"/>
      <c r="C575" s="651">
        <f>IF(D542="","-",+C574+1)</f>
        <v>2043</v>
      </c>
      <c r="D575" s="602">
        <f t="shared" si="37"/>
        <v>1441606.3946766644</v>
      </c>
      <c r="E575" s="658">
        <f t="shared" si="40"/>
        <v>76208.267559999978</v>
      </c>
      <c r="F575" s="602">
        <f t="shared" si="35"/>
        <v>1365398.1271166643</v>
      </c>
      <c r="G575" s="1167">
        <f t="shared" si="38"/>
        <v>230421.09127499937</v>
      </c>
      <c r="H575" s="1170">
        <f t="shared" si="39"/>
        <v>230421.09127499937</v>
      </c>
      <c r="I575" s="655">
        <f t="shared" si="36"/>
        <v>0</v>
      </c>
      <c r="J575" s="655"/>
      <c r="K575" s="793"/>
      <c r="L575" s="661"/>
      <c r="M575" s="793"/>
      <c r="N575" s="661"/>
      <c r="O575" s="661"/>
      <c r="P575" s="480"/>
    </row>
    <row r="576" spans="1:16">
      <c r="A576" s="285"/>
      <c r="B576" s="285"/>
      <c r="C576" s="651">
        <f>IF(D542="","-",+C575+1)</f>
        <v>2044</v>
      </c>
      <c r="D576" s="602">
        <f t="shared" si="37"/>
        <v>1365398.1271166643</v>
      </c>
      <c r="E576" s="658">
        <f t="shared" si="40"/>
        <v>76208.267559999978</v>
      </c>
      <c r="F576" s="602">
        <f t="shared" si="35"/>
        <v>1289189.8595566642</v>
      </c>
      <c r="G576" s="1176">
        <f t="shared" si="38"/>
        <v>222047.54428594961</v>
      </c>
      <c r="H576" s="1170">
        <f t="shared" si="39"/>
        <v>222047.54428594961</v>
      </c>
      <c r="I576" s="655">
        <f t="shared" si="36"/>
        <v>0</v>
      </c>
      <c r="J576" s="655"/>
      <c r="K576" s="793"/>
      <c r="L576" s="661"/>
      <c r="M576" s="793"/>
      <c r="N576" s="661"/>
      <c r="O576" s="661"/>
      <c r="P576" s="480"/>
    </row>
    <row r="577" spans="1:16">
      <c r="A577" s="285"/>
      <c r="B577" s="285"/>
      <c r="C577" s="651">
        <f>IF(D542="","-",+C576+1)</f>
        <v>2045</v>
      </c>
      <c r="D577" s="602">
        <f t="shared" si="37"/>
        <v>1289189.8595566642</v>
      </c>
      <c r="E577" s="658">
        <f t="shared" si="40"/>
        <v>76208.267559999978</v>
      </c>
      <c r="F577" s="602">
        <f t="shared" si="35"/>
        <v>1212981.5919966642</v>
      </c>
      <c r="G577" s="1167">
        <f t="shared" si="38"/>
        <v>213673.99729689985</v>
      </c>
      <c r="H577" s="1170">
        <f t="shared" si="39"/>
        <v>213673.99729689985</v>
      </c>
      <c r="I577" s="655">
        <f t="shared" si="36"/>
        <v>0</v>
      </c>
      <c r="J577" s="655"/>
      <c r="K577" s="793"/>
      <c r="L577" s="661"/>
      <c r="M577" s="793"/>
      <c r="N577" s="661"/>
      <c r="O577" s="661"/>
      <c r="P577" s="480"/>
    </row>
    <row r="578" spans="1:16">
      <c r="A578" s="285"/>
      <c r="B578" s="285"/>
      <c r="C578" s="651">
        <f>IF(D542="","-",+C577+1)</f>
        <v>2046</v>
      </c>
      <c r="D578" s="602">
        <f t="shared" si="37"/>
        <v>1212981.5919966642</v>
      </c>
      <c r="E578" s="658">
        <f t="shared" si="40"/>
        <v>76208.267559999978</v>
      </c>
      <c r="F578" s="602">
        <f t="shared" si="35"/>
        <v>1136773.3244366641</v>
      </c>
      <c r="G578" s="1167">
        <f t="shared" si="38"/>
        <v>205300.45030785009</v>
      </c>
      <c r="H578" s="1170">
        <f t="shared" si="39"/>
        <v>205300.45030785009</v>
      </c>
      <c r="I578" s="655">
        <f t="shared" si="36"/>
        <v>0</v>
      </c>
      <c r="J578" s="655"/>
      <c r="K578" s="793"/>
      <c r="L578" s="661"/>
      <c r="M578" s="793"/>
      <c r="N578" s="661"/>
      <c r="O578" s="661"/>
      <c r="P578" s="480"/>
    </row>
    <row r="579" spans="1:16">
      <c r="A579" s="285"/>
      <c r="B579" s="285"/>
      <c r="C579" s="651">
        <f>IF(D542="","-",+C578+1)</f>
        <v>2047</v>
      </c>
      <c r="D579" s="602">
        <f t="shared" si="37"/>
        <v>1136773.3244366641</v>
      </c>
      <c r="E579" s="658">
        <f t="shared" si="40"/>
        <v>76208.267559999978</v>
      </c>
      <c r="F579" s="602">
        <f t="shared" si="35"/>
        <v>1060565.056876664</v>
      </c>
      <c r="G579" s="1167">
        <f t="shared" si="38"/>
        <v>196926.90331880032</v>
      </c>
      <c r="H579" s="1170">
        <f t="shared" si="39"/>
        <v>196926.90331880032</v>
      </c>
      <c r="I579" s="655">
        <f t="shared" si="36"/>
        <v>0</v>
      </c>
      <c r="J579" s="655"/>
      <c r="K579" s="793"/>
      <c r="L579" s="661"/>
      <c r="M579" s="793"/>
      <c r="N579" s="661"/>
      <c r="O579" s="661"/>
      <c r="P579" s="480"/>
    </row>
    <row r="580" spans="1:16">
      <c r="A580" s="285"/>
      <c r="B580" s="285"/>
      <c r="C580" s="651">
        <f>IF(D542="","-",+C579+1)</f>
        <v>2048</v>
      </c>
      <c r="D580" s="602">
        <f t="shared" si="37"/>
        <v>1060565.056876664</v>
      </c>
      <c r="E580" s="658">
        <f t="shared" si="40"/>
        <v>76208.267559999978</v>
      </c>
      <c r="F580" s="602">
        <f t="shared" si="35"/>
        <v>984356.7893166641</v>
      </c>
      <c r="G580" s="1167">
        <f t="shared" si="38"/>
        <v>188553.35632975056</v>
      </c>
      <c r="H580" s="1170">
        <f t="shared" si="39"/>
        <v>188553.35632975056</v>
      </c>
      <c r="I580" s="655">
        <f t="shared" si="36"/>
        <v>0</v>
      </c>
      <c r="J580" s="655"/>
      <c r="K580" s="793"/>
      <c r="L580" s="661"/>
      <c r="M580" s="793"/>
      <c r="N580" s="661"/>
      <c r="O580" s="661"/>
      <c r="P580" s="480"/>
    </row>
    <row r="581" spans="1:16">
      <c r="A581" s="285"/>
      <c r="B581" s="285"/>
      <c r="C581" s="651">
        <f>IF(D542="","-",+C580+1)</f>
        <v>2049</v>
      </c>
      <c r="D581" s="602">
        <f t="shared" si="37"/>
        <v>984356.7893166641</v>
      </c>
      <c r="E581" s="658">
        <f t="shared" si="40"/>
        <v>76208.267559999978</v>
      </c>
      <c r="F581" s="602">
        <f t="shared" si="35"/>
        <v>908148.52175666415</v>
      </c>
      <c r="G581" s="1167">
        <f t="shared" si="38"/>
        <v>180179.80934070083</v>
      </c>
      <c r="H581" s="1170">
        <f t="shared" si="39"/>
        <v>180179.80934070083</v>
      </c>
      <c r="I581" s="655">
        <f t="shared" si="36"/>
        <v>0</v>
      </c>
      <c r="J581" s="655"/>
      <c r="K581" s="793"/>
      <c r="L581" s="661"/>
      <c r="M581" s="793"/>
      <c r="N581" s="661"/>
      <c r="O581" s="661"/>
      <c r="P581" s="480"/>
    </row>
    <row r="582" spans="1:16">
      <c r="A582" s="285"/>
      <c r="B582" s="285"/>
      <c r="C582" s="651">
        <f>IF(D542="","-",+C581+1)</f>
        <v>2050</v>
      </c>
      <c r="D582" s="602">
        <f t="shared" si="37"/>
        <v>908148.52175666415</v>
      </c>
      <c r="E582" s="658">
        <f t="shared" si="40"/>
        <v>76208.267559999978</v>
      </c>
      <c r="F582" s="602">
        <f t="shared" si="35"/>
        <v>831940.2541966642</v>
      </c>
      <c r="G582" s="1167">
        <f t="shared" si="38"/>
        <v>171806.26235165106</v>
      </c>
      <c r="H582" s="1170">
        <f t="shared" si="39"/>
        <v>171806.26235165106</v>
      </c>
      <c r="I582" s="655">
        <f t="shared" si="36"/>
        <v>0</v>
      </c>
      <c r="J582" s="655"/>
      <c r="K582" s="793"/>
      <c r="L582" s="661"/>
      <c r="M582" s="793"/>
      <c r="N582" s="661"/>
      <c r="O582" s="661"/>
      <c r="P582" s="480"/>
    </row>
    <row r="583" spans="1:16">
      <c r="A583" s="285"/>
      <c r="B583" s="285"/>
      <c r="C583" s="651">
        <f>IF(D542="","-",+C582+1)</f>
        <v>2051</v>
      </c>
      <c r="D583" s="602">
        <f t="shared" si="37"/>
        <v>831940.2541966642</v>
      </c>
      <c r="E583" s="658">
        <f t="shared" si="40"/>
        <v>76208.267559999978</v>
      </c>
      <c r="F583" s="602">
        <f t="shared" si="35"/>
        <v>755731.98663666425</v>
      </c>
      <c r="G583" s="1167">
        <f t="shared" si="38"/>
        <v>163432.71536260133</v>
      </c>
      <c r="H583" s="1170">
        <f t="shared" si="39"/>
        <v>163432.71536260133</v>
      </c>
      <c r="I583" s="655">
        <f t="shared" si="36"/>
        <v>0</v>
      </c>
      <c r="J583" s="655"/>
      <c r="K583" s="793"/>
      <c r="L583" s="661"/>
      <c r="M583" s="793"/>
      <c r="N583" s="661"/>
      <c r="O583" s="661"/>
      <c r="P583" s="480"/>
    </row>
    <row r="584" spans="1:16">
      <c r="A584" s="285"/>
      <c r="B584" s="285"/>
      <c r="C584" s="651">
        <f>IF(D542="","-",+C583+1)</f>
        <v>2052</v>
      </c>
      <c r="D584" s="602">
        <f t="shared" si="37"/>
        <v>755731.98663666425</v>
      </c>
      <c r="E584" s="658">
        <f t="shared" si="40"/>
        <v>76208.267559999978</v>
      </c>
      <c r="F584" s="602">
        <f t="shared" si="35"/>
        <v>679523.7190766643</v>
      </c>
      <c r="G584" s="1167">
        <f t="shared" si="38"/>
        <v>155059.16837355157</v>
      </c>
      <c r="H584" s="1170">
        <f t="shared" si="39"/>
        <v>155059.16837355157</v>
      </c>
      <c r="I584" s="655">
        <f t="shared" si="36"/>
        <v>0</v>
      </c>
      <c r="J584" s="655"/>
      <c r="K584" s="793"/>
      <c r="L584" s="661"/>
      <c r="M584" s="793"/>
      <c r="N584" s="661"/>
      <c r="O584" s="661"/>
      <c r="P584" s="480"/>
    </row>
    <row r="585" spans="1:16">
      <c r="A585" s="285"/>
      <c r="B585" s="285"/>
      <c r="C585" s="651">
        <f>IF(D542="","-",+C584+1)</f>
        <v>2053</v>
      </c>
      <c r="D585" s="602">
        <f t="shared" si="37"/>
        <v>679523.7190766643</v>
      </c>
      <c r="E585" s="658">
        <f t="shared" si="40"/>
        <v>76208.267559999978</v>
      </c>
      <c r="F585" s="602">
        <f t="shared" si="35"/>
        <v>603315.45151666435</v>
      </c>
      <c r="G585" s="1167">
        <f t="shared" si="38"/>
        <v>146685.62138450184</v>
      </c>
      <c r="H585" s="1170">
        <f t="shared" si="39"/>
        <v>146685.62138450184</v>
      </c>
      <c r="I585" s="655">
        <f t="shared" si="36"/>
        <v>0</v>
      </c>
      <c r="J585" s="655"/>
      <c r="K585" s="793"/>
      <c r="L585" s="661"/>
      <c r="M585" s="793"/>
      <c r="N585" s="661"/>
      <c r="O585" s="661"/>
      <c r="P585" s="480"/>
    </row>
    <row r="586" spans="1:16">
      <c r="A586" s="285"/>
      <c r="B586" s="285"/>
      <c r="C586" s="651">
        <f>IF(D542="","-",+C585+1)</f>
        <v>2054</v>
      </c>
      <c r="D586" s="602">
        <f t="shared" si="37"/>
        <v>603315.45151666435</v>
      </c>
      <c r="E586" s="658">
        <f t="shared" si="40"/>
        <v>76208.267559999978</v>
      </c>
      <c r="F586" s="602">
        <f t="shared" si="35"/>
        <v>527107.1839566644</v>
      </c>
      <c r="G586" s="1167">
        <f t="shared" si="38"/>
        <v>138312.07439545207</v>
      </c>
      <c r="H586" s="1170">
        <f t="shared" si="39"/>
        <v>138312.07439545207</v>
      </c>
      <c r="I586" s="655">
        <f t="shared" si="36"/>
        <v>0</v>
      </c>
      <c r="J586" s="655"/>
      <c r="K586" s="793"/>
      <c r="L586" s="661"/>
      <c r="M586" s="793"/>
      <c r="N586" s="661"/>
      <c r="O586" s="661"/>
      <c r="P586" s="480"/>
    </row>
    <row r="587" spans="1:16">
      <c r="A587" s="285"/>
      <c r="B587" s="285"/>
      <c r="C587" s="651">
        <f>IF(D542="","-",+C586+1)</f>
        <v>2055</v>
      </c>
      <c r="D587" s="602">
        <f t="shared" si="37"/>
        <v>527107.1839566644</v>
      </c>
      <c r="E587" s="658">
        <f t="shared" si="40"/>
        <v>76208.267559999978</v>
      </c>
      <c r="F587" s="602">
        <f t="shared" si="35"/>
        <v>450898.91639666446</v>
      </c>
      <c r="G587" s="1167">
        <f t="shared" si="38"/>
        <v>129938.52740640233</v>
      </c>
      <c r="H587" s="1170">
        <f t="shared" si="39"/>
        <v>129938.52740640233</v>
      </c>
      <c r="I587" s="655">
        <f t="shared" si="36"/>
        <v>0</v>
      </c>
      <c r="J587" s="655"/>
      <c r="K587" s="793"/>
      <c r="L587" s="661"/>
      <c r="M587" s="793"/>
      <c r="N587" s="661"/>
      <c r="O587" s="661"/>
      <c r="P587" s="480"/>
    </row>
    <row r="588" spans="1:16">
      <c r="A588" s="285"/>
      <c r="B588" s="285"/>
      <c r="C588" s="651">
        <f>IF(D542="","-",+C587+1)</f>
        <v>2056</v>
      </c>
      <c r="D588" s="602">
        <f t="shared" si="37"/>
        <v>450898.91639666446</v>
      </c>
      <c r="E588" s="658">
        <f t="shared" si="40"/>
        <v>76208.267559999978</v>
      </c>
      <c r="F588" s="602">
        <f t="shared" si="35"/>
        <v>374690.64883666451</v>
      </c>
      <c r="G588" s="1167">
        <f t="shared" si="38"/>
        <v>121564.98041735258</v>
      </c>
      <c r="H588" s="1170">
        <f t="shared" si="39"/>
        <v>121564.98041735258</v>
      </c>
      <c r="I588" s="655">
        <f t="shared" si="36"/>
        <v>0</v>
      </c>
      <c r="J588" s="655"/>
      <c r="K588" s="793"/>
      <c r="L588" s="661"/>
      <c r="M588" s="793"/>
      <c r="N588" s="661"/>
      <c r="O588" s="661"/>
      <c r="P588" s="480"/>
    </row>
    <row r="589" spans="1:16">
      <c r="A589" s="285"/>
      <c r="B589" s="285"/>
      <c r="C589" s="651">
        <f>IF(D542="","-",+C588+1)</f>
        <v>2057</v>
      </c>
      <c r="D589" s="602">
        <f t="shared" si="37"/>
        <v>374690.64883666451</v>
      </c>
      <c r="E589" s="658">
        <f t="shared" si="40"/>
        <v>76208.267559999978</v>
      </c>
      <c r="F589" s="602">
        <f t="shared" si="35"/>
        <v>298482.38127666456</v>
      </c>
      <c r="G589" s="1167">
        <f t="shared" si="38"/>
        <v>113191.43342830283</v>
      </c>
      <c r="H589" s="1170">
        <f t="shared" si="39"/>
        <v>113191.43342830283</v>
      </c>
      <c r="I589" s="655">
        <f t="shared" si="36"/>
        <v>0</v>
      </c>
      <c r="J589" s="655"/>
      <c r="K589" s="793"/>
      <c r="L589" s="661"/>
      <c r="M589" s="793"/>
      <c r="N589" s="661"/>
      <c r="O589" s="661"/>
      <c r="P589" s="480"/>
    </row>
    <row r="590" spans="1:16">
      <c r="A590" s="285"/>
      <c r="B590" s="285"/>
      <c r="C590" s="651">
        <f>IF(D542="","-",+C589+1)</f>
        <v>2058</v>
      </c>
      <c r="D590" s="602">
        <f t="shared" si="37"/>
        <v>298482.38127666456</v>
      </c>
      <c r="E590" s="658">
        <f t="shared" si="40"/>
        <v>76208.267559999978</v>
      </c>
      <c r="F590" s="602">
        <f t="shared" si="35"/>
        <v>222274.11371666458</v>
      </c>
      <c r="G590" s="1167">
        <f t="shared" si="38"/>
        <v>104817.88643925308</v>
      </c>
      <c r="H590" s="1170">
        <f t="shared" si="39"/>
        <v>104817.88643925308</v>
      </c>
      <c r="I590" s="655">
        <f t="shared" si="36"/>
        <v>0</v>
      </c>
      <c r="J590" s="655"/>
      <c r="K590" s="793"/>
      <c r="L590" s="661"/>
      <c r="M590" s="793"/>
      <c r="N590" s="661"/>
      <c r="O590" s="661"/>
      <c r="P590" s="480"/>
    </row>
    <row r="591" spans="1:16">
      <c r="A591" s="285"/>
      <c r="B591" s="285"/>
      <c r="C591" s="651">
        <f>IF(D542="","-",+C590+1)</f>
        <v>2059</v>
      </c>
      <c r="D591" s="602">
        <f t="shared" si="37"/>
        <v>222274.11371666458</v>
      </c>
      <c r="E591" s="658">
        <f t="shared" si="40"/>
        <v>76208.267559999978</v>
      </c>
      <c r="F591" s="602">
        <f t="shared" si="35"/>
        <v>146065.8461566646</v>
      </c>
      <c r="G591" s="1167">
        <f t="shared" si="38"/>
        <v>96444.339450203319</v>
      </c>
      <c r="H591" s="1170">
        <f t="shared" si="39"/>
        <v>96444.339450203319</v>
      </c>
      <c r="I591" s="655">
        <f t="shared" si="36"/>
        <v>0</v>
      </c>
      <c r="J591" s="655"/>
      <c r="K591" s="793"/>
      <c r="L591" s="661"/>
      <c r="M591" s="793"/>
      <c r="N591" s="661"/>
      <c r="O591" s="661"/>
      <c r="P591" s="480"/>
    </row>
    <row r="592" spans="1:16">
      <c r="A592" s="285"/>
      <c r="B592" s="285"/>
      <c r="C592" s="651">
        <f>IF(D542="","-",+C591+1)</f>
        <v>2060</v>
      </c>
      <c r="D592" s="602">
        <f t="shared" si="37"/>
        <v>146065.8461566646</v>
      </c>
      <c r="E592" s="658">
        <f t="shared" si="40"/>
        <v>76208.267559999978</v>
      </c>
      <c r="F592" s="602">
        <f t="shared" si="35"/>
        <v>69857.578596664622</v>
      </c>
      <c r="G592" s="1167">
        <f t="shared" si="38"/>
        <v>88070.792461153571</v>
      </c>
      <c r="H592" s="1170">
        <f t="shared" si="39"/>
        <v>88070.792461153571</v>
      </c>
      <c r="I592" s="655">
        <f t="shared" si="36"/>
        <v>0</v>
      </c>
      <c r="J592" s="655"/>
      <c r="K592" s="793"/>
      <c r="L592" s="661"/>
      <c r="M592" s="793"/>
      <c r="N592" s="661"/>
      <c r="O592" s="661"/>
      <c r="P592" s="480"/>
    </row>
    <row r="593" spans="1:16">
      <c r="A593" s="285"/>
      <c r="B593" s="285"/>
      <c r="C593" s="651">
        <f>IF(D542="","-",+C592+1)</f>
        <v>2061</v>
      </c>
      <c r="D593" s="602">
        <f t="shared" si="37"/>
        <v>69857.578596664622</v>
      </c>
      <c r="E593" s="658">
        <f t="shared" si="40"/>
        <v>69857.578596664622</v>
      </c>
      <c r="F593" s="602">
        <f t="shared" si="35"/>
        <v>0</v>
      </c>
      <c r="G593" s="1167">
        <f t="shared" si="38"/>
        <v>73695.454299978985</v>
      </c>
      <c r="H593" s="1170">
        <f t="shared" si="39"/>
        <v>73695.454299978985</v>
      </c>
      <c r="I593" s="655">
        <f t="shared" si="36"/>
        <v>0</v>
      </c>
      <c r="J593" s="655"/>
      <c r="K593" s="793"/>
      <c r="L593" s="661"/>
      <c r="M593" s="793"/>
      <c r="N593" s="661"/>
      <c r="O593" s="661"/>
      <c r="P593" s="480"/>
    </row>
    <row r="594" spans="1:16">
      <c r="A594" s="285"/>
      <c r="B594" s="285"/>
      <c r="C594" s="651">
        <f>IF(D542="","-",+C593+1)</f>
        <v>2062</v>
      </c>
      <c r="D594" s="602">
        <f t="shared" si="37"/>
        <v>0</v>
      </c>
      <c r="E594" s="658">
        <f t="shared" si="40"/>
        <v>0</v>
      </c>
      <c r="F594" s="602">
        <f t="shared" si="35"/>
        <v>0</v>
      </c>
      <c r="G594" s="1167">
        <f t="shared" si="38"/>
        <v>0</v>
      </c>
      <c r="H594" s="1170">
        <f t="shared" si="39"/>
        <v>0</v>
      </c>
      <c r="I594" s="655">
        <f t="shared" si="36"/>
        <v>0</v>
      </c>
      <c r="J594" s="655"/>
      <c r="K594" s="793"/>
      <c r="L594" s="661"/>
      <c r="M594" s="793"/>
      <c r="N594" s="661"/>
      <c r="O594" s="661"/>
      <c r="P594" s="480"/>
    </row>
    <row r="595" spans="1:16">
      <c r="A595" s="285"/>
      <c r="B595" s="285"/>
      <c r="C595" s="651">
        <f>IF(D542="","-",+C594+1)</f>
        <v>2063</v>
      </c>
      <c r="D595" s="602">
        <f t="shared" si="37"/>
        <v>0</v>
      </c>
      <c r="E595" s="658">
        <f t="shared" si="40"/>
        <v>0</v>
      </c>
      <c r="F595" s="602">
        <f t="shared" si="35"/>
        <v>0</v>
      </c>
      <c r="G595" s="1167">
        <f t="shared" si="38"/>
        <v>0</v>
      </c>
      <c r="H595" s="1170">
        <f t="shared" si="39"/>
        <v>0</v>
      </c>
      <c r="I595" s="655">
        <f t="shared" si="36"/>
        <v>0</v>
      </c>
      <c r="J595" s="655"/>
      <c r="K595" s="793"/>
      <c r="L595" s="661"/>
      <c r="M595" s="793"/>
      <c r="N595" s="661"/>
      <c r="O595" s="661"/>
      <c r="P595" s="480"/>
    </row>
    <row r="596" spans="1:16">
      <c r="A596" s="285"/>
      <c r="B596" s="285"/>
      <c r="C596" s="651">
        <f>IF(D542="","-",+C595+1)</f>
        <v>2064</v>
      </c>
      <c r="D596" s="602">
        <f t="shared" si="37"/>
        <v>0</v>
      </c>
      <c r="E596" s="658">
        <f t="shared" si="40"/>
        <v>0</v>
      </c>
      <c r="F596" s="602">
        <f t="shared" si="35"/>
        <v>0</v>
      </c>
      <c r="G596" s="1167">
        <f t="shared" si="38"/>
        <v>0</v>
      </c>
      <c r="H596" s="1170">
        <f t="shared" si="39"/>
        <v>0</v>
      </c>
      <c r="I596" s="655">
        <f t="shared" si="36"/>
        <v>0</v>
      </c>
      <c r="J596" s="655"/>
      <c r="K596" s="793"/>
      <c r="L596" s="661"/>
      <c r="M596" s="793"/>
      <c r="N596" s="661"/>
      <c r="O596" s="661"/>
      <c r="P596" s="480"/>
    </row>
    <row r="597" spans="1:16">
      <c r="A597" s="285"/>
      <c r="B597" s="285"/>
      <c r="C597" s="651">
        <f>IF(D542="","-",+C596+1)</f>
        <v>2065</v>
      </c>
      <c r="D597" s="602">
        <f t="shared" si="37"/>
        <v>0</v>
      </c>
      <c r="E597" s="658">
        <f t="shared" si="40"/>
        <v>0</v>
      </c>
      <c r="F597" s="602">
        <f t="shared" si="35"/>
        <v>0</v>
      </c>
      <c r="G597" s="1167">
        <f t="shared" si="38"/>
        <v>0</v>
      </c>
      <c r="H597" s="1170">
        <f t="shared" si="39"/>
        <v>0</v>
      </c>
      <c r="I597" s="655">
        <f t="shared" si="36"/>
        <v>0</v>
      </c>
      <c r="J597" s="655"/>
      <c r="K597" s="793"/>
      <c r="L597" s="661"/>
      <c r="M597" s="793"/>
      <c r="N597" s="661"/>
      <c r="O597" s="661"/>
      <c r="P597" s="480"/>
    </row>
    <row r="598" spans="1:16">
      <c r="A598" s="285"/>
      <c r="B598" s="285"/>
      <c r="C598" s="651">
        <f>IF(D542="","-",+C597+1)</f>
        <v>2066</v>
      </c>
      <c r="D598" s="602">
        <f t="shared" si="37"/>
        <v>0</v>
      </c>
      <c r="E598" s="658">
        <f t="shared" si="40"/>
        <v>0</v>
      </c>
      <c r="F598" s="602">
        <f t="shared" si="35"/>
        <v>0</v>
      </c>
      <c r="G598" s="1167">
        <f t="shared" si="38"/>
        <v>0</v>
      </c>
      <c r="H598" s="1170">
        <f t="shared" si="39"/>
        <v>0</v>
      </c>
      <c r="I598" s="655">
        <f t="shared" si="36"/>
        <v>0</v>
      </c>
      <c r="J598" s="655"/>
      <c r="K598" s="793"/>
      <c r="L598" s="661"/>
      <c r="M598" s="793"/>
      <c r="N598" s="661"/>
      <c r="O598" s="661"/>
      <c r="P598" s="480"/>
    </row>
    <row r="599" spans="1:16">
      <c r="A599" s="285"/>
      <c r="B599" s="285"/>
      <c r="C599" s="651">
        <f>IF(D542="","-",+C598+1)</f>
        <v>2067</v>
      </c>
      <c r="D599" s="602">
        <f t="shared" si="37"/>
        <v>0</v>
      </c>
      <c r="E599" s="658">
        <f t="shared" si="40"/>
        <v>0</v>
      </c>
      <c r="F599" s="602">
        <f t="shared" si="35"/>
        <v>0</v>
      </c>
      <c r="G599" s="1167">
        <f t="shared" si="38"/>
        <v>0</v>
      </c>
      <c r="H599" s="1170">
        <f t="shared" si="39"/>
        <v>0</v>
      </c>
      <c r="I599" s="655">
        <f t="shared" si="36"/>
        <v>0</v>
      </c>
      <c r="J599" s="655"/>
      <c r="K599" s="793"/>
      <c r="L599" s="661"/>
      <c r="M599" s="793"/>
      <c r="N599" s="661"/>
      <c r="O599" s="661"/>
      <c r="P599" s="480"/>
    </row>
    <row r="600" spans="1:16">
      <c r="A600" s="285"/>
      <c r="B600" s="285"/>
      <c r="C600" s="651">
        <f>IF(D542="","-",+C599+1)</f>
        <v>2068</v>
      </c>
      <c r="D600" s="602">
        <f t="shared" si="37"/>
        <v>0</v>
      </c>
      <c r="E600" s="658">
        <f t="shared" si="40"/>
        <v>0</v>
      </c>
      <c r="F600" s="602">
        <f t="shared" si="35"/>
        <v>0</v>
      </c>
      <c r="G600" s="1167">
        <f t="shared" si="38"/>
        <v>0</v>
      </c>
      <c r="H600" s="1170">
        <f t="shared" si="39"/>
        <v>0</v>
      </c>
      <c r="I600" s="655">
        <f t="shared" si="36"/>
        <v>0</v>
      </c>
      <c r="J600" s="655"/>
      <c r="K600" s="793"/>
      <c r="L600" s="661"/>
      <c r="M600" s="793"/>
      <c r="N600" s="661"/>
      <c r="O600" s="661"/>
      <c r="P600" s="480"/>
    </row>
    <row r="601" spans="1:16">
      <c r="A601" s="285"/>
      <c r="B601" s="285"/>
      <c r="C601" s="651">
        <f>IF(D542="","-",+C600+1)</f>
        <v>2069</v>
      </c>
      <c r="D601" s="602">
        <f t="shared" si="37"/>
        <v>0</v>
      </c>
      <c r="E601" s="658">
        <f t="shared" si="40"/>
        <v>0</v>
      </c>
      <c r="F601" s="602">
        <f t="shared" si="35"/>
        <v>0</v>
      </c>
      <c r="G601" s="1167">
        <f t="shared" si="38"/>
        <v>0</v>
      </c>
      <c r="H601" s="1170">
        <f t="shared" si="39"/>
        <v>0</v>
      </c>
      <c r="I601" s="655">
        <f t="shared" si="36"/>
        <v>0</v>
      </c>
      <c r="J601" s="655"/>
      <c r="K601" s="793"/>
      <c r="L601" s="661"/>
      <c r="M601" s="793"/>
      <c r="N601" s="661"/>
      <c r="O601" s="661"/>
      <c r="P601" s="480"/>
    </row>
    <row r="602" spans="1:16">
      <c r="A602" s="285"/>
      <c r="B602" s="285"/>
      <c r="C602" s="651">
        <f>IF(D542="","-",+C601+1)</f>
        <v>2070</v>
      </c>
      <c r="D602" s="602">
        <f t="shared" si="37"/>
        <v>0</v>
      </c>
      <c r="E602" s="658">
        <f t="shared" si="40"/>
        <v>0</v>
      </c>
      <c r="F602" s="602">
        <f t="shared" si="35"/>
        <v>0</v>
      </c>
      <c r="G602" s="1167">
        <f t="shared" si="38"/>
        <v>0</v>
      </c>
      <c r="H602" s="1170">
        <f t="shared" si="39"/>
        <v>0</v>
      </c>
      <c r="I602" s="655">
        <f t="shared" si="36"/>
        <v>0</v>
      </c>
      <c r="J602" s="655"/>
      <c r="K602" s="793"/>
      <c r="L602" s="661"/>
      <c r="M602" s="793"/>
      <c r="N602" s="661"/>
      <c r="O602" s="661"/>
      <c r="P602" s="480"/>
    </row>
    <row r="603" spans="1:16">
      <c r="A603" s="285"/>
      <c r="B603" s="285"/>
      <c r="C603" s="651">
        <f>IF(D542="","-",+C602+1)</f>
        <v>2071</v>
      </c>
      <c r="D603" s="602">
        <f t="shared" si="37"/>
        <v>0</v>
      </c>
      <c r="E603" s="658">
        <f t="shared" si="40"/>
        <v>0</v>
      </c>
      <c r="F603" s="602">
        <f t="shared" si="35"/>
        <v>0</v>
      </c>
      <c r="G603" s="1167">
        <f t="shared" si="38"/>
        <v>0</v>
      </c>
      <c r="H603" s="1170">
        <f t="shared" si="39"/>
        <v>0</v>
      </c>
      <c r="I603" s="655">
        <f t="shared" si="36"/>
        <v>0</v>
      </c>
      <c r="J603" s="655"/>
      <c r="K603" s="793"/>
      <c r="L603" s="661"/>
      <c r="M603" s="793"/>
      <c r="N603" s="661"/>
      <c r="O603" s="661"/>
      <c r="P603" s="480"/>
    </row>
    <row r="604" spans="1:16">
      <c r="A604" s="285"/>
      <c r="B604" s="285"/>
      <c r="C604" s="651">
        <f>IF(D542="","-",+C603+1)</f>
        <v>2072</v>
      </c>
      <c r="D604" s="602">
        <f t="shared" si="37"/>
        <v>0</v>
      </c>
      <c r="E604" s="658">
        <f t="shared" si="40"/>
        <v>0</v>
      </c>
      <c r="F604" s="602">
        <f t="shared" si="35"/>
        <v>0</v>
      </c>
      <c r="G604" s="1167">
        <f t="shared" si="38"/>
        <v>0</v>
      </c>
      <c r="H604" s="1170">
        <f t="shared" si="39"/>
        <v>0</v>
      </c>
      <c r="I604" s="655">
        <f t="shared" si="36"/>
        <v>0</v>
      </c>
      <c r="J604" s="655"/>
      <c r="K604" s="793"/>
      <c r="L604" s="661"/>
      <c r="M604" s="793"/>
      <c r="N604" s="661"/>
      <c r="O604" s="661"/>
      <c r="P604" s="480"/>
    </row>
    <row r="605" spans="1:16">
      <c r="A605" s="285"/>
      <c r="B605" s="285"/>
      <c r="C605" s="651">
        <f>IF(D542="","-",+C604+1)</f>
        <v>2073</v>
      </c>
      <c r="D605" s="602">
        <f t="shared" si="37"/>
        <v>0</v>
      </c>
      <c r="E605" s="658">
        <f t="shared" si="40"/>
        <v>0</v>
      </c>
      <c r="F605" s="602">
        <f t="shared" si="35"/>
        <v>0</v>
      </c>
      <c r="G605" s="1167">
        <f t="shared" si="38"/>
        <v>0</v>
      </c>
      <c r="H605" s="1170">
        <f t="shared" si="39"/>
        <v>0</v>
      </c>
      <c r="I605" s="655">
        <f t="shared" si="36"/>
        <v>0</v>
      </c>
      <c r="J605" s="655"/>
      <c r="K605" s="793"/>
      <c r="L605" s="661"/>
      <c r="M605" s="793"/>
      <c r="N605" s="661"/>
      <c r="O605" s="661"/>
      <c r="P605" s="480"/>
    </row>
    <row r="606" spans="1:16">
      <c r="A606" s="285"/>
      <c r="B606" s="285"/>
      <c r="C606" s="651">
        <f>IF(D542="","-",+C605+1)</f>
        <v>2074</v>
      </c>
      <c r="D606" s="602">
        <f t="shared" si="37"/>
        <v>0</v>
      </c>
      <c r="E606" s="658">
        <f t="shared" si="40"/>
        <v>0</v>
      </c>
      <c r="F606" s="602">
        <f t="shared" si="35"/>
        <v>0</v>
      </c>
      <c r="G606" s="1167">
        <f t="shared" si="38"/>
        <v>0</v>
      </c>
      <c r="H606" s="1170">
        <f t="shared" si="39"/>
        <v>0</v>
      </c>
      <c r="I606" s="655">
        <f t="shared" si="36"/>
        <v>0</v>
      </c>
      <c r="J606" s="655"/>
      <c r="K606" s="793"/>
      <c r="L606" s="661"/>
      <c r="M606" s="793"/>
      <c r="N606" s="661"/>
      <c r="O606" s="661"/>
      <c r="P606" s="480"/>
    </row>
    <row r="607" spans="1:16" ht="13.5" thickBot="1">
      <c r="A607" s="285"/>
      <c r="B607" s="285"/>
      <c r="C607" s="663">
        <f>IF(D542="","-",+C606+1)</f>
        <v>2075</v>
      </c>
      <c r="D607" s="664">
        <f t="shared" si="37"/>
        <v>0</v>
      </c>
      <c r="E607" s="665">
        <f t="shared" si="40"/>
        <v>0</v>
      </c>
      <c r="F607" s="664">
        <f t="shared" si="35"/>
        <v>0</v>
      </c>
      <c r="G607" s="1177">
        <f t="shared" si="38"/>
        <v>0</v>
      </c>
      <c r="H607" s="1177">
        <f t="shared" si="39"/>
        <v>0</v>
      </c>
      <c r="I607" s="667">
        <f t="shared" si="36"/>
        <v>0</v>
      </c>
      <c r="J607" s="655"/>
      <c r="K607" s="794"/>
      <c r="L607" s="669"/>
      <c r="M607" s="794"/>
      <c r="N607" s="669"/>
      <c r="O607" s="669"/>
      <c r="P607" s="480"/>
    </row>
    <row r="608" spans="1:16">
      <c r="A608" s="285"/>
      <c r="B608" s="285"/>
      <c r="C608" s="602" t="s">
        <v>288</v>
      </c>
      <c r="D608" s="1148"/>
      <c r="E608" s="1148">
        <f>SUM(E548:E607)</f>
        <v>3429372.0401999992</v>
      </c>
      <c r="F608" s="1148"/>
      <c r="G608" s="1148">
        <f>SUM(G548:G607)</f>
        <v>12252997.179911157</v>
      </c>
      <c r="H608" s="1148">
        <f>SUM(H548:H607)</f>
        <v>12252997.179911157</v>
      </c>
      <c r="I608" s="1148">
        <f>SUM(I548:I607)</f>
        <v>0</v>
      </c>
      <c r="J608" s="1148"/>
      <c r="K608" s="1148"/>
      <c r="L608" s="1148"/>
      <c r="M608" s="1148"/>
      <c r="N608" s="1148"/>
      <c r="O608" s="480"/>
      <c r="P608" s="480"/>
    </row>
    <row r="609" spans="1:16">
      <c r="A609" s="285"/>
      <c r="B609" s="285"/>
      <c r="C609" s="285"/>
      <c r="D609" s="496"/>
      <c r="E609" s="480"/>
      <c r="F609" s="480"/>
      <c r="G609" s="480"/>
      <c r="H609" s="1147"/>
      <c r="I609" s="1147"/>
      <c r="J609" s="1148"/>
      <c r="K609" s="1147"/>
      <c r="L609" s="1147"/>
      <c r="M609" s="1147"/>
      <c r="N609" s="1147"/>
      <c r="O609" s="480"/>
      <c r="P609" s="480"/>
    </row>
    <row r="610" spans="1:16">
      <c r="A610" s="285"/>
      <c r="B610" s="285"/>
      <c r="C610" s="480" t="s">
        <v>601</v>
      </c>
      <c r="D610" s="496"/>
      <c r="E610" s="480"/>
      <c r="F610" s="480"/>
      <c r="G610" s="480"/>
      <c r="H610" s="1147"/>
      <c r="I610" s="1147"/>
      <c r="J610" s="1148"/>
      <c r="K610" s="1147"/>
      <c r="L610" s="1147"/>
      <c r="M610" s="1147"/>
      <c r="N610" s="1147"/>
      <c r="O610" s="480"/>
      <c r="P610" s="480"/>
    </row>
    <row r="611" spans="1:16">
      <c r="A611" s="285"/>
      <c r="B611" s="285"/>
      <c r="C611" s="285"/>
      <c r="D611" s="496"/>
      <c r="E611" s="480"/>
      <c r="F611" s="480"/>
      <c r="G611" s="480"/>
      <c r="H611" s="1147"/>
      <c r="I611" s="1147"/>
      <c r="J611" s="1148"/>
      <c r="K611" s="1147"/>
      <c r="L611" s="1147"/>
      <c r="M611" s="1147"/>
      <c r="N611" s="1147"/>
      <c r="O611" s="480"/>
      <c r="P611" s="480"/>
    </row>
    <row r="612" spans="1:16">
      <c r="A612" s="285"/>
      <c r="B612" s="285"/>
      <c r="C612" s="508" t="s">
        <v>602</v>
      </c>
      <c r="D612" s="602"/>
      <c r="E612" s="602"/>
      <c r="F612" s="602"/>
      <c r="G612" s="1148"/>
      <c r="H612" s="1148"/>
      <c r="I612" s="603"/>
      <c r="J612" s="603"/>
      <c r="K612" s="603"/>
      <c r="L612" s="603"/>
      <c r="M612" s="603"/>
      <c r="N612" s="603"/>
      <c r="O612" s="480"/>
      <c r="P612" s="480"/>
    </row>
    <row r="613" spans="1:16">
      <c r="A613" s="285"/>
      <c r="B613" s="285"/>
      <c r="C613" s="508" t="s">
        <v>476</v>
      </c>
      <c r="D613" s="602"/>
      <c r="E613" s="602"/>
      <c r="F613" s="602"/>
      <c r="G613" s="1148"/>
      <c r="H613" s="1148"/>
      <c r="I613" s="603"/>
      <c r="J613" s="603"/>
      <c r="K613" s="603"/>
      <c r="L613" s="603"/>
      <c r="M613" s="603"/>
      <c r="N613" s="603"/>
      <c r="O613" s="480"/>
      <c r="P613" s="480"/>
    </row>
    <row r="614" spans="1:16">
      <c r="A614" s="285"/>
      <c r="B614" s="285"/>
      <c r="C614" s="508" t="s">
        <v>289</v>
      </c>
      <c r="D614" s="602"/>
      <c r="E614" s="602"/>
      <c r="F614" s="602"/>
      <c r="G614" s="1148"/>
      <c r="H614" s="1148"/>
      <c r="I614" s="603"/>
      <c r="J614" s="603"/>
      <c r="K614" s="603"/>
      <c r="L614" s="603"/>
      <c r="M614" s="603"/>
      <c r="N614" s="603"/>
      <c r="O614" s="480"/>
      <c r="P614" s="480"/>
    </row>
    <row r="615" spans="1:16">
      <c r="A615" s="285"/>
      <c r="B615" s="285"/>
      <c r="C615" s="601"/>
      <c r="D615" s="602"/>
      <c r="E615" s="602"/>
      <c r="F615" s="602"/>
      <c r="G615" s="1148"/>
      <c r="H615" s="1148"/>
      <c r="I615" s="603"/>
      <c r="J615" s="603"/>
      <c r="K615" s="603"/>
      <c r="L615" s="603"/>
      <c r="M615" s="603"/>
      <c r="N615" s="603"/>
      <c r="O615" s="480"/>
      <c r="P615" s="480"/>
    </row>
    <row r="616" spans="1:16">
      <c r="A616" s="285"/>
      <c r="B616" s="285"/>
      <c r="C616" s="1513" t="s">
        <v>460</v>
      </c>
      <c r="D616" s="1513"/>
      <c r="E616" s="1513"/>
      <c r="F616" s="1513"/>
      <c r="G616" s="1513"/>
      <c r="H616" s="1513"/>
      <c r="I616" s="1513"/>
      <c r="J616" s="1513"/>
      <c r="K616" s="1513"/>
      <c r="L616" s="1513"/>
      <c r="M616" s="1513"/>
      <c r="N616" s="1513"/>
      <c r="O616" s="1513"/>
      <c r="P616" s="480"/>
    </row>
    <row r="617" spans="1:16">
      <c r="A617" s="285"/>
      <c r="B617" s="285"/>
      <c r="C617" s="1513"/>
      <c r="D617" s="1513"/>
      <c r="E617" s="1513"/>
      <c r="F617" s="1513"/>
      <c r="G617" s="1513"/>
      <c r="H617" s="1513"/>
      <c r="I617" s="1513"/>
      <c r="J617" s="1513"/>
      <c r="K617" s="1513"/>
      <c r="L617" s="1513"/>
      <c r="M617" s="1513"/>
      <c r="N617" s="1513"/>
      <c r="O617" s="1513"/>
      <c r="P617" s="480"/>
    </row>
    <row r="618" spans="1:16" ht="20.25">
      <c r="A618" s="604" t="s">
        <v>947</v>
      </c>
      <c r="B618" s="480"/>
      <c r="C618" s="584"/>
      <c r="D618" s="496"/>
      <c r="E618" s="480"/>
      <c r="F618" s="574"/>
      <c r="G618" s="480"/>
      <c r="H618" s="1147"/>
      <c r="I618" s="285"/>
      <c r="J618" s="271"/>
      <c r="K618" s="605"/>
      <c r="L618" s="605"/>
      <c r="M618" s="605"/>
      <c r="N618" s="520" t="str">
        <f>"Page "&amp;SUM(P$6:P618)&amp;" of "</f>
        <v xml:space="preserve">Page 8 of </v>
      </c>
      <c r="O618" s="521">
        <f>COUNT(P$6:P$59606)</f>
        <v>15</v>
      </c>
      <c r="P618" s="480">
        <v>1</v>
      </c>
    </row>
    <row r="619" spans="1:16">
      <c r="A619" s="285"/>
      <c r="B619" s="480"/>
      <c r="C619" s="480"/>
      <c r="D619" s="496"/>
      <c r="E619" s="480"/>
      <c r="F619" s="480"/>
      <c r="G619" s="480"/>
      <c r="H619" s="1147"/>
      <c r="I619" s="480"/>
      <c r="J619" s="517"/>
      <c r="K619" s="480"/>
      <c r="L619" s="480"/>
      <c r="M619" s="480"/>
      <c r="N619" s="480"/>
      <c r="O619" s="480"/>
      <c r="P619" s="480"/>
    </row>
    <row r="620" spans="1:16" ht="18">
      <c r="A620" s="285"/>
      <c r="B620" s="524" t="s">
        <v>174</v>
      </c>
      <c r="C620" s="606" t="s">
        <v>290</v>
      </c>
      <c r="D620" s="496"/>
      <c r="E620" s="480"/>
      <c r="F620" s="480"/>
      <c r="G620" s="480"/>
      <c r="H620" s="1147"/>
      <c r="I620" s="1147"/>
      <c r="J620" s="1148"/>
      <c r="K620" s="1147"/>
      <c r="L620" s="1147"/>
      <c r="M620" s="1147"/>
      <c r="N620" s="1147"/>
      <c r="O620" s="480"/>
      <c r="P620" s="480"/>
    </row>
    <row r="621" spans="1:16" ht="18.75">
      <c r="A621" s="285"/>
      <c r="B621" s="524"/>
      <c r="C621" s="523"/>
      <c r="D621" s="496"/>
      <c r="E621" s="480"/>
      <c r="F621" s="480"/>
      <c r="G621" s="480"/>
      <c r="H621" s="1147"/>
      <c r="I621" s="1147"/>
      <c r="J621" s="1148"/>
      <c r="K621" s="1147"/>
      <c r="L621" s="1147"/>
      <c r="M621" s="1147"/>
      <c r="N621" s="1147"/>
      <c r="O621" s="480"/>
      <c r="P621" s="480"/>
    </row>
    <row r="622" spans="1:16" ht="18.75">
      <c r="A622" s="285"/>
      <c r="B622" s="524"/>
      <c r="C622" s="523" t="s">
        <v>291</v>
      </c>
      <c r="D622" s="496"/>
      <c r="E622" s="480"/>
      <c r="F622" s="480"/>
      <c r="G622" s="480"/>
      <c r="H622" s="1147"/>
      <c r="I622" s="1147"/>
      <c r="J622" s="1148"/>
      <c r="K622" s="1147"/>
      <c r="L622" s="1147"/>
      <c r="M622" s="1147"/>
      <c r="N622" s="1147"/>
      <c r="O622" s="480"/>
      <c r="P622" s="480"/>
    </row>
    <row r="623" spans="1:16" ht="15.75" thickBot="1">
      <c r="A623" s="285"/>
      <c r="B623" s="285"/>
      <c r="C623" s="347"/>
      <c r="D623" s="496"/>
      <c r="E623" s="480"/>
      <c r="F623" s="480"/>
      <c r="G623" s="480"/>
      <c r="H623" s="1147"/>
      <c r="I623" s="1147"/>
      <c r="J623" s="1148"/>
      <c r="K623" s="1147"/>
      <c r="L623" s="1147"/>
      <c r="M623" s="1147"/>
      <c r="N623" s="1147"/>
      <c r="O623" s="480"/>
      <c r="P623" s="480"/>
    </row>
    <row r="624" spans="1:16" ht="15.75">
      <c r="A624" s="285"/>
      <c r="B624" s="285"/>
      <c r="C624" s="525" t="s">
        <v>292</v>
      </c>
      <c r="D624" s="496"/>
      <c r="E624" s="480"/>
      <c r="F624" s="480"/>
      <c r="G624" s="1149"/>
      <c r="H624" s="480" t="s">
        <v>271</v>
      </c>
      <c r="I624" s="480"/>
      <c r="J624" s="517"/>
      <c r="K624" s="607" t="s">
        <v>296</v>
      </c>
      <c r="L624" s="608"/>
      <c r="M624" s="609"/>
      <c r="N624" s="1150">
        <f>VLOOKUP(I630,C637:O696,5)</f>
        <v>3415869.1657549888</v>
      </c>
      <c r="O624" s="480"/>
      <c r="P624" s="480"/>
    </row>
    <row r="625" spans="1:16" ht="15.75">
      <c r="A625" s="285"/>
      <c r="B625" s="285"/>
      <c r="C625" s="525"/>
      <c r="D625" s="496"/>
      <c r="E625" s="480"/>
      <c r="F625" s="480"/>
      <c r="G625" s="480"/>
      <c r="H625" s="1151"/>
      <c r="I625" s="1151"/>
      <c r="J625" s="1152"/>
      <c r="K625" s="612" t="s">
        <v>297</v>
      </c>
      <c r="L625" s="1153"/>
      <c r="M625" s="517"/>
      <c r="N625" s="1154">
        <f>VLOOKUP(I630,C637:O696,6)</f>
        <v>3415869.1657549888</v>
      </c>
      <c r="O625" s="480"/>
      <c r="P625" s="480"/>
    </row>
    <row r="626" spans="1:16" ht="13.5" thickBot="1">
      <c r="A626" s="285"/>
      <c r="B626" s="285"/>
      <c r="C626" s="613" t="s">
        <v>293</v>
      </c>
      <c r="D626" s="1514" t="s">
        <v>955</v>
      </c>
      <c r="E626" s="1514"/>
      <c r="F626" s="1514"/>
      <c r="G626" s="1514"/>
      <c r="H626" s="1514"/>
      <c r="I626" s="1147"/>
      <c r="J626" s="1148"/>
      <c r="K626" s="1155" t="s">
        <v>450</v>
      </c>
      <c r="L626" s="1156"/>
      <c r="M626" s="1156"/>
      <c r="N626" s="1157">
        <f>+N625-N624</f>
        <v>0</v>
      </c>
      <c r="O626" s="480"/>
      <c r="P626" s="480"/>
    </row>
    <row r="627" spans="1:16">
      <c r="A627" s="285"/>
      <c r="B627" s="285"/>
      <c r="C627" s="615"/>
      <c r="D627" s="616"/>
      <c r="E627" s="600"/>
      <c r="F627" s="600"/>
      <c r="G627" s="617"/>
      <c r="H627" s="1147"/>
      <c r="I627" s="1147"/>
      <c r="J627" s="1148"/>
      <c r="K627" s="1147"/>
      <c r="L627" s="1147"/>
      <c r="M627" s="1147"/>
      <c r="N627" s="1147"/>
      <c r="O627" s="480"/>
      <c r="P627" s="480"/>
    </row>
    <row r="628" spans="1:16" ht="13.5" thickBot="1">
      <c r="A628" s="285"/>
      <c r="B628" s="285"/>
      <c r="C628" s="618"/>
      <c r="D628" s="619"/>
      <c r="E628" s="617"/>
      <c r="F628" s="617"/>
      <c r="G628" s="617"/>
      <c r="H628" s="617"/>
      <c r="I628" s="617"/>
      <c r="J628" s="620"/>
      <c r="K628" s="617"/>
      <c r="L628" s="617"/>
      <c r="M628" s="617"/>
      <c r="N628" s="617"/>
      <c r="O628" s="508"/>
      <c r="P628" s="480"/>
    </row>
    <row r="629" spans="1:16" ht="13.5" thickBot="1">
      <c r="A629" s="285"/>
      <c r="B629" s="285"/>
      <c r="C629" s="622" t="s">
        <v>294</v>
      </c>
      <c r="D629" s="623"/>
      <c r="E629" s="623"/>
      <c r="F629" s="623"/>
      <c r="G629" s="623"/>
      <c r="H629" s="623"/>
      <c r="I629" s="624"/>
      <c r="J629" s="625"/>
      <c r="K629" s="480"/>
      <c r="L629" s="480"/>
      <c r="M629" s="480"/>
      <c r="N629" s="480"/>
      <c r="O629" s="626"/>
      <c r="P629" s="480"/>
    </row>
    <row r="630" spans="1:16" ht="15">
      <c r="A630" s="285"/>
      <c r="B630" s="362"/>
      <c r="C630" s="628" t="s">
        <v>272</v>
      </c>
      <c r="D630" s="1158">
        <v>30073762.065699995</v>
      </c>
      <c r="E630" s="584" t="s">
        <v>273</v>
      </c>
      <c r="F630" s="285"/>
      <c r="G630" s="629"/>
      <c r="H630" s="629"/>
      <c r="I630" s="630">
        <f>$L$26</f>
        <v>2024</v>
      </c>
      <c r="J630" s="515"/>
      <c r="K630" s="1515" t="s">
        <v>459</v>
      </c>
      <c r="L630" s="1515"/>
      <c r="M630" s="1515"/>
      <c r="N630" s="1515"/>
      <c r="O630" s="1515"/>
      <c r="P630" s="480"/>
    </row>
    <row r="631" spans="1:16">
      <c r="A631" s="285"/>
      <c r="B631" s="362"/>
      <c r="C631" s="628" t="s">
        <v>275</v>
      </c>
      <c r="D631" s="788">
        <v>2016</v>
      </c>
      <c r="E631" s="628" t="s">
        <v>276</v>
      </c>
      <c r="F631" s="629"/>
      <c r="G631" s="285"/>
      <c r="H631" s="285"/>
      <c r="I631" s="791">
        <f>IF(G624="",0,$F$15)</f>
        <v>0</v>
      </c>
      <c r="J631" s="631"/>
      <c r="K631" s="1148" t="s">
        <v>459</v>
      </c>
      <c r="L631" s="285"/>
      <c r="M631" s="285"/>
      <c r="N631" s="285"/>
      <c r="O631" s="285"/>
      <c r="P631" s="480"/>
    </row>
    <row r="632" spans="1:16">
      <c r="A632" s="285"/>
      <c r="B632" s="362"/>
      <c r="C632" s="628" t="s">
        <v>277</v>
      </c>
      <c r="D632" s="1159">
        <v>11</v>
      </c>
      <c r="E632" s="628" t="s">
        <v>278</v>
      </c>
      <c r="F632" s="629"/>
      <c r="G632" s="285"/>
      <c r="H632" s="285"/>
      <c r="I632" s="632">
        <f>$G$70</f>
        <v>0.10987714662923057</v>
      </c>
      <c r="J632" s="633"/>
      <c r="K632" s="285" t="str">
        <f>"          INPUT PROJECTED ARR (WITH &amp; WITHOUT INCENTIVES) FROM EACH PRIOR YEAR"</f>
        <v xml:space="preserve">          INPUT PROJECTED ARR (WITH &amp; WITHOUT INCENTIVES) FROM EACH PRIOR YEAR</v>
      </c>
      <c r="L632" s="285"/>
      <c r="M632" s="285"/>
      <c r="N632" s="285"/>
      <c r="O632" s="285"/>
      <c r="P632" s="480"/>
    </row>
    <row r="633" spans="1:16">
      <c r="A633" s="285"/>
      <c r="B633" s="362"/>
      <c r="C633" s="628" t="s">
        <v>279</v>
      </c>
      <c r="D633" s="634">
        <f>G$79</f>
        <v>45</v>
      </c>
      <c r="E633" s="628" t="s">
        <v>280</v>
      </c>
      <c r="F633" s="629"/>
      <c r="G633" s="285"/>
      <c r="H633" s="285"/>
      <c r="I633" s="632">
        <f>IF(G624="",I632,$G$67)</f>
        <v>0.10987714662923057</v>
      </c>
      <c r="J633" s="635"/>
      <c r="K633" s="285" t="s">
        <v>357</v>
      </c>
      <c r="L633" s="285"/>
      <c r="M633" s="285"/>
      <c r="N633" s="285"/>
      <c r="O633" s="285"/>
      <c r="P633" s="480"/>
    </row>
    <row r="634" spans="1:16" ht="13.5" thickBot="1">
      <c r="A634" s="285"/>
      <c r="B634" s="362"/>
      <c r="C634" s="628" t="s">
        <v>281</v>
      </c>
      <c r="D634" s="790" t="s">
        <v>949</v>
      </c>
      <c r="E634" s="636" t="s">
        <v>282</v>
      </c>
      <c r="F634" s="637"/>
      <c r="G634" s="638"/>
      <c r="H634" s="638"/>
      <c r="I634" s="1157">
        <f>IF(D630=0,0,D630/D633)</f>
        <v>668305.82368222205</v>
      </c>
      <c r="J634" s="1148"/>
      <c r="K634" s="1148" t="s">
        <v>363</v>
      </c>
      <c r="L634" s="1148"/>
      <c r="M634" s="1148"/>
      <c r="N634" s="1148"/>
      <c r="O634" s="517"/>
      <c r="P634" s="480"/>
    </row>
    <row r="635" spans="1:16" ht="51">
      <c r="A635" s="470"/>
      <c r="B635" s="470"/>
      <c r="C635" s="639" t="s">
        <v>272</v>
      </c>
      <c r="D635" s="1160" t="s">
        <v>283</v>
      </c>
      <c r="E635" s="1161" t="s">
        <v>284</v>
      </c>
      <c r="F635" s="1160" t="s">
        <v>285</v>
      </c>
      <c r="G635" s="1161" t="s">
        <v>356</v>
      </c>
      <c r="H635" s="1162" t="s">
        <v>356</v>
      </c>
      <c r="I635" s="639" t="s">
        <v>295</v>
      </c>
      <c r="J635" s="643"/>
      <c r="K635" s="1161" t="s">
        <v>365</v>
      </c>
      <c r="L635" s="1163"/>
      <c r="M635" s="1161" t="s">
        <v>365</v>
      </c>
      <c r="N635" s="1163"/>
      <c r="O635" s="1163"/>
      <c r="P635" s="480"/>
    </row>
    <row r="636" spans="1:16" ht="13.5" thickBot="1">
      <c r="A636" s="285"/>
      <c r="B636" s="285"/>
      <c r="C636" s="645" t="s">
        <v>177</v>
      </c>
      <c r="D636" s="646" t="s">
        <v>178</v>
      </c>
      <c r="E636" s="645" t="s">
        <v>37</v>
      </c>
      <c r="F636" s="646" t="s">
        <v>178</v>
      </c>
      <c r="G636" s="1164" t="s">
        <v>298</v>
      </c>
      <c r="H636" s="1165" t="s">
        <v>300</v>
      </c>
      <c r="I636" s="649" t="s">
        <v>389</v>
      </c>
      <c r="J636" s="650"/>
      <c r="K636" s="1164" t="s">
        <v>287</v>
      </c>
      <c r="L636" s="1193"/>
      <c r="M636" s="1164" t="s">
        <v>300</v>
      </c>
      <c r="N636" s="1166"/>
      <c r="O636" s="1166"/>
      <c r="P636" s="480"/>
    </row>
    <row r="637" spans="1:16">
      <c r="A637" s="285"/>
      <c r="B637" s="285"/>
      <c r="C637" s="651">
        <f>IF(D631= "","-",D631)</f>
        <v>2016</v>
      </c>
      <c r="D637" s="602">
        <f>+D630</f>
        <v>30073762.065699995</v>
      </c>
      <c r="E637" s="1167">
        <f>+I634/12*(12-D632)</f>
        <v>55692.151973518507</v>
      </c>
      <c r="F637" s="602">
        <f t="shared" ref="F637:F696" si="41">+D637-E637</f>
        <v>30018069.913726475</v>
      </c>
      <c r="G637" s="1168">
        <f>+$I$632*((D637+F637)/2)+E637</f>
        <v>3357051.6687847832</v>
      </c>
      <c r="H637" s="1169">
        <f>+$I$633*((D637+F637)/2)+E637</f>
        <v>3357051.6687847832</v>
      </c>
      <c r="I637" s="655">
        <f t="shared" ref="I637:I696" si="42">+H637-G637</f>
        <v>0</v>
      </c>
      <c r="J637" s="1184"/>
      <c r="K637" s="1185">
        <v>13022465</v>
      </c>
      <c r="L637" s="1188"/>
      <c r="M637" s="1185">
        <v>13022465</v>
      </c>
      <c r="N637" s="1187"/>
      <c r="O637" s="657"/>
      <c r="P637" s="480"/>
    </row>
    <row r="638" spans="1:16">
      <c r="A638" s="285"/>
      <c r="B638" s="285"/>
      <c r="C638" s="651">
        <f>IF(D631="","-",+C637+1)</f>
        <v>2017</v>
      </c>
      <c r="D638" s="602">
        <f t="shared" ref="D638:D696" si="43">F637</f>
        <v>30018069.913726475</v>
      </c>
      <c r="E638" s="658">
        <f>IF(D638&gt;$I$634,$I$634,D638)</f>
        <v>668305.82368222205</v>
      </c>
      <c r="F638" s="602">
        <f t="shared" si="41"/>
        <v>29349764.090044253</v>
      </c>
      <c r="G638" s="1167">
        <f t="shared" ref="G638:G696" si="44">+$I$632*((D638+F638)/2)+E638</f>
        <v>3929889.9246282903</v>
      </c>
      <c r="H638" s="1170">
        <f t="shared" ref="H638:H696" si="45">+$I$633*((D638+F638)/2)+E638</f>
        <v>3929889.9246282903</v>
      </c>
      <c r="I638" s="655">
        <f t="shared" si="42"/>
        <v>0</v>
      </c>
      <c r="J638" s="655"/>
      <c r="K638" s="793">
        <v>3514741.613096768</v>
      </c>
      <c r="L638" s="661"/>
      <c r="M638" s="793">
        <v>3514741.613096768</v>
      </c>
      <c r="N638" s="661"/>
      <c r="O638" s="661"/>
      <c r="P638" s="480"/>
    </row>
    <row r="639" spans="1:16">
      <c r="A639" s="285"/>
      <c r="B639" s="285"/>
      <c r="C639" s="1194">
        <f>IF(D631="","-",+C638+1)</f>
        <v>2018</v>
      </c>
      <c r="D639" s="1172">
        <f t="shared" si="43"/>
        <v>29349764.090044253</v>
      </c>
      <c r="E639" s="1173">
        <f t="shared" ref="E639:E696" si="46">IF(D639&gt;$I$634,$I$634,D639)</f>
        <v>668305.82368222205</v>
      </c>
      <c r="F639" s="1172">
        <f t="shared" si="41"/>
        <v>28681458.26636203</v>
      </c>
      <c r="G639" s="1174">
        <f t="shared" si="44"/>
        <v>3856458.3876463901</v>
      </c>
      <c r="H639" s="1175">
        <f t="shared" si="45"/>
        <v>3856458.3876463901</v>
      </c>
      <c r="I639" s="1181">
        <f t="shared" si="42"/>
        <v>0</v>
      </c>
      <c r="J639" s="655"/>
      <c r="K639" s="793">
        <v>3974755</v>
      </c>
      <c r="L639" s="661"/>
      <c r="M639" s="793">
        <v>3974755</v>
      </c>
      <c r="N639" s="661"/>
      <c r="O639" s="661"/>
      <c r="P639" s="480"/>
    </row>
    <row r="640" spans="1:16">
      <c r="A640" s="285"/>
      <c r="B640" s="285"/>
      <c r="C640" s="1229">
        <f>IF(D631="","-",+C639+1)</f>
        <v>2019</v>
      </c>
      <c r="D640" s="602">
        <f t="shared" si="43"/>
        <v>28681458.26636203</v>
      </c>
      <c r="E640" s="658">
        <f t="shared" si="46"/>
        <v>668305.82368222205</v>
      </c>
      <c r="F640" s="602">
        <f t="shared" si="41"/>
        <v>28013152.442679808</v>
      </c>
      <c r="G640" s="1167">
        <f t="shared" si="44"/>
        <v>3783026.8506644894</v>
      </c>
      <c r="H640" s="1170">
        <f t="shared" si="45"/>
        <v>3783026.8506644894</v>
      </c>
      <c r="I640" s="655">
        <f t="shared" si="42"/>
        <v>0</v>
      </c>
      <c r="J640" s="655"/>
      <c r="K640" s="793">
        <v>3572369</v>
      </c>
      <c r="L640" s="661"/>
      <c r="M640" s="793">
        <v>3572369</v>
      </c>
      <c r="N640" s="661"/>
      <c r="O640" s="661"/>
      <c r="P640" s="480"/>
    </row>
    <row r="641" spans="1:16">
      <c r="A641" s="285"/>
      <c r="B641" s="285"/>
      <c r="C641" s="1229">
        <f>IF(D631="","-",+C640+1)</f>
        <v>2020</v>
      </c>
      <c r="D641" s="602">
        <f t="shared" si="43"/>
        <v>28013152.442679808</v>
      </c>
      <c r="E641" s="658">
        <f t="shared" si="46"/>
        <v>668305.82368222205</v>
      </c>
      <c r="F641" s="602">
        <f t="shared" si="41"/>
        <v>27344846.618997585</v>
      </c>
      <c r="G641" s="1167">
        <f t="shared" si="44"/>
        <v>3709595.3136825897</v>
      </c>
      <c r="H641" s="1170">
        <f t="shared" si="45"/>
        <v>3709595.3136825897</v>
      </c>
      <c r="I641" s="655">
        <f t="shared" si="42"/>
        <v>0</v>
      </c>
      <c r="J641" s="655"/>
      <c r="K641" s="793">
        <v>3435592.6853049258</v>
      </c>
      <c r="L641" s="661"/>
      <c r="M641" s="793">
        <v>3435592.6853049258</v>
      </c>
      <c r="N641" s="661"/>
      <c r="O641" s="661"/>
      <c r="P641" s="480"/>
    </row>
    <row r="642" spans="1:16">
      <c r="A642" s="285"/>
      <c r="B642" s="285"/>
      <c r="C642" s="1229">
        <f>IF(D631="","-",+C641+1)</f>
        <v>2021</v>
      </c>
      <c r="D642" s="602">
        <f t="shared" si="43"/>
        <v>27344846.618997585</v>
      </c>
      <c r="E642" s="658">
        <f t="shared" si="46"/>
        <v>668305.82368222205</v>
      </c>
      <c r="F642" s="602">
        <f t="shared" si="41"/>
        <v>26676540.795315363</v>
      </c>
      <c r="G642" s="1167">
        <f t="shared" si="44"/>
        <v>3636163.776700689</v>
      </c>
      <c r="H642" s="1170">
        <f t="shared" si="45"/>
        <v>3636163.776700689</v>
      </c>
      <c r="I642" s="655">
        <f t="shared" si="42"/>
        <v>0</v>
      </c>
      <c r="J642" s="655"/>
      <c r="K642" s="793">
        <v>3452843.0341999652</v>
      </c>
      <c r="L642" s="661"/>
      <c r="M642" s="1230">
        <v>3452843.0341999652</v>
      </c>
      <c r="N642" s="661"/>
      <c r="O642" s="661"/>
      <c r="P642" s="480"/>
    </row>
    <row r="643" spans="1:16">
      <c r="A643" s="285"/>
      <c r="B643" s="285"/>
      <c r="C643" s="1229">
        <f>IF(D634="","-",+C642+1)</f>
        <v>2022</v>
      </c>
      <c r="D643" s="602">
        <f t="shared" si="43"/>
        <v>26676540.795315363</v>
      </c>
      <c r="E643" s="658">
        <f t="shared" si="46"/>
        <v>668305.82368222205</v>
      </c>
      <c r="F643" s="602">
        <f t="shared" si="41"/>
        <v>26008234.97163314</v>
      </c>
      <c r="G643" s="1167">
        <f t="shared" si="44"/>
        <v>3562732.2397187892</v>
      </c>
      <c r="H643" s="1170">
        <f t="shared" si="45"/>
        <v>3562732.2397187892</v>
      </c>
      <c r="I643" s="655">
        <f t="shared" si="42"/>
        <v>0</v>
      </c>
      <c r="J643" s="655"/>
      <c r="K643" s="793">
        <v>3413115.8005183781</v>
      </c>
      <c r="L643" s="661"/>
      <c r="M643" s="1230">
        <v>3413115.8005183781</v>
      </c>
      <c r="N643" s="661"/>
      <c r="O643" s="661"/>
      <c r="P643" s="480"/>
    </row>
    <row r="644" spans="1:16">
      <c r="A644" s="285"/>
      <c r="B644" s="285"/>
      <c r="C644" s="1229">
        <f>IF(D634="","-",+C643+1)</f>
        <v>2023</v>
      </c>
      <c r="D644" s="602">
        <f t="shared" si="43"/>
        <v>26008234.97163314</v>
      </c>
      <c r="E644" s="658">
        <f t="shared" si="46"/>
        <v>668305.82368222205</v>
      </c>
      <c r="F644" s="602">
        <f t="shared" si="41"/>
        <v>25339929.147950917</v>
      </c>
      <c r="G644" s="1167">
        <f t="shared" si="44"/>
        <v>3489300.7027368885</v>
      </c>
      <c r="H644" s="1170">
        <f t="shared" si="45"/>
        <v>3489300.7027368885</v>
      </c>
      <c r="I644" s="655">
        <f t="shared" si="42"/>
        <v>0</v>
      </c>
      <c r="J644" s="655"/>
      <c r="K644" s="793">
        <v>3532642.157875096</v>
      </c>
      <c r="L644" s="661"/>
      <c r="M644" s="1230">
        <v>3532642.157875096</v>
      </c>
      <c r="N644" s="661"/>
      <c r="O644" s="661"/>
      <c r="P644" s="480"/>
    </row>
    <row r="645" spans="1:16">
      <c r="A645" s="285"/>
      <c r="B645" s="285"/>
      <c r="C645" s="1171">
        <f>IF(D631="","-",+C644+1)</f>
        <v>2024</v>
      </c>
      <c r="D645" s="602">
        <f t="shared" si="43"/>
        <v>25339929.147950917</v>
      </c>
      <c r="E645" s="658">
        <f t="shared" si="46"/>
        <v>668305.82368222205</v>
      </c>
      <c r="F645" s="602">
        <f t="shared" si="41"/>
        <v>24671623.324268695</v>
      </c>
      <c r="G645" s="1167">
        <f t="shared" si="44"/>
        <v>3415869.1657549888</v>
      </c>
      <c r="H645" s="1170">
        <f t="shared" si="45"/>
        <v>3415869.1657549888</v>
      </c>
      <c r="I645" s="655">
        <f t="shared" si="42"/>
        <v>0</v>
      </c>
      <c r="J645" s="655"/>
      <c r="K645" s="793"/>
      <c r="L645" s="661"/>
      <c r="M645" s="793"/>
      <c r="N645" s="661"/>
      <c r="O645" s="661"/>
      <c r="P645" s="480"/>
    </row>
    <row r="646" spans="1:16">
      <c r="A646" s="285"/>
      <c r="B646" s="285"/>
      <c r="C646" s="651">
        <f>IF(D631="","-",+C645+1)</f>
        <v>2025</v>
      </c>
      <c r="D646" s="602">
        <f t="shared" si="43"/>
        <v>24671623.324268695</v>
      </c>
      <c r="E646" s="658">
        <f t="shared" si="46"/>
        <v>668305.82368222205</v>
      </c>
      <c r="F646" s="602">
        <f t="shared" si="41"/>
        <v>24003317.500586472</v>
      </c>
      <c r="G646" s="1167">
        <f t="shared" si="44"/>
        <v>3342437.6287730881</v>
      </c>
      <c r="H646" s="1170">
        <f t="shared" si="45"/>
        <v>3342437.6287730881</v>
      </c>
      <c r="I646" s="655">
        <f t="shared" si="42"/>
        <v>0</v>
      </c>
      <c r="J646" s="655"/>
      <c r="K646" s="793"/>
      <c r="L646" s="661"/>
      <c r="M646" s="793"/>
      <c r="N646" s="661"/>
      <c r="O646" s="661"/>
      <c r="P646" s="480"/>
    </row>
    <row r="647" spans="1:16">
      <c r="A647" s="285"/>
      <c r="B647" s="285"/>
      <c r="C647" s="651">
        <f>IF(D631="","-",+C646+1)</f>
        <v>2026</v>
      </c>
      <c r="D647" s="602">
        <f t="shared" si="43"/>
        <v>24003317.500586472</v>
      </c>
      <c r="E647" s="658">
        <f t="shared" si="46"/>
        <v>668305.82368222205</v>
      </c>
      <c r="F647" s="602">
        <f t="shared" si="41"/>
        <v>23335011.67690425</v>
      </c>
      <c r="G647" s="1167">
        <f t="shared" si="44"/>
        <v>3269006.0917911879</v>
      </c>
      <c r="H647" s="1170">
        <f t="shared" si="45"/>
        <v>3269006.0917911879</v>
      </c>
      <c r="I647" s="655">
        <f t="shared" si="42"/>
        <v>0</v>
      </c>
      <c r="J647" s="655"/>
      <c r="K647" s="793"/>
      <c r="L647" s="661"/>
      <c r="M647" s="793"/>
      <c r="N647" s="661"/>
      <c r="O647" s="661"/>
      <c r="P647" s="480"/>
    </row>
    <row r="648" spans="1:16">
      <c r="A648" s="285"/>
      <c r="B648" s="285"/>
      <c r="C648" s="651">
        <f>IF(D631="","-",+C647+1)</f>
        <v>2027</v>
      </c>
      <c r="D648" s="602">
        <f t="shared" si="43"/>
        <v>23335011.67690425</v>
      </c>
      <c r="E648" s="658">
        <f t="shared" si="46"/>
        <v>668305.82368222205</v>
      </c>
      <c r="F648" s="602">
        <f t="shared" si="41"/>
        <v>22666705.853222027</v>
      </c>
      <c r="G648" s="1167">
        <f t="shared" si="44"/>
        <v>3195574.5548092872</v>
      </c>
      <c r="H648" s="1170">
        <f t="shared" si="45"/>
        <v>3195574.5548092872</v>
      </c>
      <c r="I648" s="655">
        <f t="shared" si="42"/>
        <v>0</v>
      </c>
      <c r="J648" s="655"/>
      <c r="K648" s="793"/>
      <c r="L648" s="661"/>
      <c r="M648" s="793"/>
      <c r="N648" s="661"/>
      <c r="O648" s="661"/>
      <c r="P648" s="480"/>
    </row>
    <row r="649" spans="1:16">
      <c r="A649" s="285"/>
      <c r="B649" s="285"/>
      <c r="C649" s="651">
        <f>IF(D631="","-",+C648+1)</f>
        <v>2028</v>
      </c>
      <c r="D649" s="602">
        <f t="shared" si="43"/>
        <v>22666705.853222027</v>
      </c>
      <c r="E649" s="658">
        <f t="shared" si="46"/>
        <v>668305.82368222205</v>
      </c>
      <c r="F649" s="602">
        <f t="shared" si="41"/>
        <v>21998400.029539805</v>
      </c>
      <c r="G649" s="1167">
        <f t="shared" si="44"/>
        <v>3122143.0178273874</v>
      </c>
      <c r="H649" s="1170">
        <f t="shared" si="45"/>
        <v>3122143.0178273874</v>
      </c>
      <c r="I649" s="655">
        <f t="shared" si="42"/>
        <v>0</v>
      </c>
      <c r="J649" s="655"/>
      <c r="K649" s="793"/>
      <c r="L649" s="661"/>
      <c r="M649" s="793"/>
      <c r="N649" s="662"/>
      <c r="O649" s="661"/>
      <c r="P649" s="480"/>
    </row>
    <row r="650" spans="1:16">
      <c r="A650" s="285"/>
      <c r="B650" s="285"/>
      <c r="C650" s="651">
        <f>IF(D631="","-",+C649+1)</f>
        <v>2029</v>
      </c>
      <c r="D650" s="602">
        <f t="shared" si="43"/>
        <v>21998400.029539805</v>
      </c>
      <c r="E650" s="658">
        <f t="shared" si="46"/>
        <v>668305.82368222205</v>
      </c>
      <c r="F650" s="602">
        <f t="shared" si="41"/>
        <v>21330094.205857582</v>
      </c>
      <c r="G650" s="1167">
        <f t="shared" si="44"/>
        <v>3048711.4808454867</v>
      </c>
      <c r="H650" s="1170">
        <f t="shared" si="45"/>
        <v>3048711.4808454867</v>
      </c>
      <c r="I650" s="655">
        <f t="shared" si="42"/>
        <v>0</v>
      </c>
      <c r="J650" s="655"/>
      <c r="K650" s="793"/>
      <c r="L650" s="661"/>
      <c r="M650" s="793"/>
      <c r="N650" s="661"/>
      <c r="O650" s="661"/>
      <c r="P650" s="480"/>
    </row>
    <row r="651" spans="1:16">
      <c r="A651" s="285"/>
      <c r="B651" s="285"/>
      <c r="C651" s="651">
        <f>IF(D631="","-",+C650+1)</f>
        <v>2030</v>
      </c>
      <c r="D651" s="602">
        <f t="shared" si="43"/>
        <v>21330094.205857582</v>
      </c>
      <c r="E651" s="658">
        <f t="shared" si="46"/>
        <v>668305.82368222205</v>
      </c>
      <c r="F651" s="602">
        <f t="shared" si="41"/>
        <v>20661788.38217536</v>
      </c>
      <c r="G651" s="1167">
        <f t="shared" si="44"/>
        <v>2975279.943863587</v>
      </c>
      <c r="H651" s="1170">
        <f t="shared" si="45"/>
        <v>2975279.943863587</v>
      </c>
      <c r="I651" s="655">
        <f t="shared" si="42"/>
        <v>0</v>
      </c>
      <c r="J651" s="655"/>
      <c r="K651" s="793"/>
      <c r="L651" s="661"/>
      <c r="M651" s="793"/>
      <c r="N651" s="661"/>
      <c r="O651" s="661"/>
      <c r="P651" s="480"/>
    </row>
    <row r="652" spans="1:16">
      <c r="A652" s="285"/>
      <c r="B652" s="285"/>
      <c r="C652" s="651">
        <f>IF(D631="","-",+C651+1)</f>
        <v>2031</v>
      </c>
      <c r="D652" s="602">
        <f t="shared" si="43"/>
        <v>20661788.38217536</v>
      </c>
      <c r="E652" s="658">
        <f t="shared" si="46"/>
        <v>668305.82368222205</v>
      </c>
      <c r="F652" s="602">
        <f t="shared" si="41"/>
        <v>19993482.558493137</v>
      </c>
      <c r="G652" s="1167">
        <f t="shared" si="44"/>
        <v>2901848.4068816863</v>
      </c>
      <c r="H652" s="1170">
        <f t="shared" si="45"/>
        <v>2901848.4068816863</v>
      </c>
      <c r="I652" s="655">
        <f t="shared" si="42"/>
        <v>0</v>
      </c>
      <c r="J652" s="655"/>
      <c r="K652" s="793"/>
      <c r="L652" s="661"/>
      <c r="M652" s="793"/>
      <c r="N652" s="661"/>
      <c r="O652" s="661"/>
      <c r="P652" s="480"/>
    </row>
    <row r="653" spans="1:16">
      <c r="A653" s="285"/>
      <c r="B653" s="285"/>
      <c r="C653" s="651">
        <f>IF(D631="","-",+C652+1)</f>
        <v>2032</v>
      </c>
      <c r="D653" s="602">
        <f t="shared" si="43"/>
        <v>19993482.558493137</v>
      </c>
      <c r="E653" s="658">
        <f t="shared" si="46"/>
        <v>668305.82368222205</v>
      </c>
      <c r="F653" s="602">
        <f t="shared" si="41"/>
        <v>19325176.734810915</v>
      </c>
      <c r="G653" s="1167">
        <f t="shared" si="44"/>
        <v>2828416.8698997865</v>
      </c>
      <c r="H653" s="1170">
        <f t="shared" si="45"/>
        <v>2828416.8698997865</v>
      </c>
      <c r="I653" s="655">
        <f t="shared" si="42"/>
        <v>0</v>
      </c>
      <c r="J653" s="655"/>
      <c r="K653" s="793"/>
      <c r="L653" s="661"/>
      <c r="M653" s="793"/>
      <c r="N653" s="661"/>
      <c r="O653" s="661"/>
      <c r="P653" s="480"/>
    </row>
    <row r="654" spans="1:16">
      <c r="A654" s="285"/>
      <c r="B654" s="285"/>
      <c r="C654" s="651">
        <f>IF(D631="","-",+C653+1)</f>
        <v>2033</v>
      </c>
      <c r="D654" s="602">
        <f t="shared" si="43"/>
        <v>19325176.734810915</v>
      </c>
      <c r="E654" s="658">
        <f t="shared" si="46"/>
        <v>668305.82368222205</v>
      </c>
      <c r="F654" s="602">
        <f t="shared" si="41"/>
        <v>18656870.911128692</v>
      </c>
      <c r="G654" s="1167">
        <f t="shared" si="44"/>
        <v>2754985.3329178859</v>
      </c>
      <c r="H654" s="1170">
        <f t="shared" si="45"/>
        <v>2754985.3329178859</v>
      </c>
      <c r="I654" s="655">
        <f t="shared" si="42"/>
        <v>0</v>
      </c>
      <c r="J654" s="655"/>
      <c r="K654" s="793"/>
      <c r="L654" s="661"/>
      <c r="M654" s="793"/>
      <c r="N654" s="661"/>
      <c r="O654" s="661"/>
      <c r="P654" s="480"/>
    </row>
    <row r="655" spans="1:16">
      <c r="A655" s="285"/>
      <c r="B655" s="285"/>
      <c r="C655" s="651">
        <f>IF(D631="","-",+C654+1)</f>
        <v>2034</v>
      </c>
      <c r="D655" s="602">
        <f t="shared" si="43"/>
        <v>18656870.911128692</v>
      </c>
      <c r="E655" s="658">
        <f t="shared" si="46"/>
        <v>668305.82368222205</v>
      </c>
      <c r="F655" s="602">
        <f t="shared" si="41"/>
        <v>17988565.08744647</v>
      </c>
      <c r="G655" s="1167">
        <f t="shared" si="44"/>
        <v>2681553.7959359856</v>
      </c>
      <c r="H655" s="1170">
        <f t="shared" si="45"/>
        <v>2681553.7959359856</v>
      </c>
      <c r="I655" s="655">
        <f t="shared" si="42"/>
        <v>0</v>
      </c>
      <c r="J655" s="655"/>
      <c r="K655" s="793"/>
      <c r="L655" s="661"/>
      <c r="M655" s="793"/>
      <c r="N655" s="661"/>
      <c r="O655" s="661"/>
      <c r="P655" s="480"/>
    </row>
    <row r="656" spans="1:16">
      <c r="A656" s="285"/>
      <c r="B656" s="285"/>
      <c r="C656" s="651">
        <f>IF(D631="","-",+C655+1)</f>
        <v>2035</v>
      </c>
      <c r="D656" s="602">
        <f t="shared" si="43"/>
        <v>17988565.08744647</v>
      </c>
      <c r="E656" s="658">
        <f t="shared" si="46"/>
        <v>668305.82368222205</v>
      </c>
      <c r="F656" s="602">
        <f t="shared" si="41"/>
        <v>17320259.263764247</v>
      </c>
      <c r="G656" s="1167">
        <f t="shared" si="44"/>
        <v>2608122.2589540854</v>
      </c>
      <c r="H656" s="1170">
        <f t="shared" si="45"/>
        <v>2608122.2589540854</v>
      </c>
      <c r="I656" s="655">
        <f t="shared" si="42"/>
        <v>0</v>
      </c>
      <c r="J656" s="655"/>
      <c r="K656" s="793"/>
      <c r="L656" s="661"/>
      <c r="M656" s="793"/>
      <c r="N656" s="661"/>
      <c r="O656" s="661"/>
      <c r="P656" s="480"/>
    </row>
    <row r="657" spans="1:16">
      <c r="A657" s="285"/>
      <c r="B657" s="285"/>
      <c r="C657" s="651">
        <f>IF(D631="","-",+C656+1)</f>
        <v>2036</v>
      </c>
      <c r="D657" s="602">
        <f t="shared" si="43"/>
        <v>17320259.263764247</v>
      </c>
      <c r="E657" s="658">
        <f t="shared" si="46"/>
        <v>668305.82368222205</v>
      </c>
      <c r="F657" s="602">
        <f t="shared" si="41"/>
        <v>16651953.440082025</v>
      </c>
      <c r="G657" s="1167">
        <f t="shared" si="44"/>
        <v>2534690.7219721852</v>
      </c>
      <c r="H657" s="1170">
        <f t="shared" si="45"/>
        <v>2534690.7219721852</v>
      </c>
      <c r="I657" s="655">
        <f t="shared" si="42"/>
        <v>0</v>
      </c>
      <c r="J657" s="655"/>
      <c r="K657" s="793"/>
      <c r="L657" s="661"/>
      <c r="M657" s="793"/>
      <c r="N657" s="661"/>
      <c r="O657" s="661"/>
      <c r="P657" s="480"/>
    </row>
    <row r="658" spans="1:16">
      <c r="A658" s="285"/>
      <c r="B658" s="285"/>
      <c r="C658" s="651">
        <f>IF(D631="","-",+C657+1)</f>
        <v>2037</v>
      </c>
      <c r="D658" s="602">
        <f t="shared" si="43"/>
        <v>16651953.440082025</v>
      </c>
      <c r="E658" s="658">
        <f t="shared" si="46"/>
        <v>668305.82368222205</v>
      </c>
      <c r="F658" s="602">
        <f t="shared" si="41"/>
        <v>15983647.616399802</v>
      </c>
      <c r="G658" s="1167">
        <f t="shared" si="44"/>
        <v>2461259.184990285</v>
      </c>
      <c r="H658" s="1170">
        <f t="shared" si="45"/>
        <v>2461259.184990285</v>
      </c>
      <c r="I658" s="655">
        <f t="shared" si="42"/>
        <v>0</v>
      </c>
      <c r="J658" s="655"/>
      <c r="K658" s="793"/>
      <c r="L658" s="661"/>
      <c r="M658" s="793"/>
      <c r="N658" s="661"/>
      <c r="O658" s="661"/>
      <c r="P658" s="480"/>
    </row>
    <row r="659" spans="1:16">
      <c r="A659" s="285"/>
      <c r="B659" s="285"/>
      <c r="C659" s="651">
        <f>IF(D631="","-",+C658+1)</f>
        <v>2038</v>
      </c>
      <c r="D659" s="602">
        <f t="shared" si="43"/>
        <v>15983647.616399802</v>
      </c>
      <c r="E659" s="658">
        <f t="shared" si="46"/>
        <v>668305.82368222205</v>
      </c>
      <c r="F659" s="602">
        <f t="shared" si="41"/>
        <v>15315341.79271758</v>
      </c>
      <c r="G659" s="1167">
        <f t="shared" si="44"/>
        <v>2387827.6480083847</v>
      </c>
      <c r="H659" s="1170">
        <f t="shared" si="45"/>
        <v>2387827.6480083847</v>
      </c>
      <c r="I659" s="655">
        <f t="shared" si="42"/>
        <v>0</v>
      </c>
      <c r="J659" s="655"/>
      <c r="K659" s="793"/>
      <c r="L659" s="661"/>
      <c r="M659" s="793"/>
      <c r="N659" s="661"/>
      <c r="O659" s="661"/>
      <c r="P659" s="480"/>
    </row>
    <row r="660" spans="1:16">
      <c r="A660" s="285"/>
      <c r="B660" s="285"/>
      <c r="C660" s="651">
        <f>IF(D631="","-",+C659+1)</f>
        <v>2039</v>
      </c>
      <c r="D660" s="602">
        <f t="shared" si="43"/>
        <v>15315341.79271758</v>
      </c>
      <c r="E660" s="658">
        <f t="shared" si="46"/>
        <v>668305.82368222205</v>
      </c>
      <c r="F660" s="602">
        <f t="shared" si="41"/>
        <v>14647035.969035357</v>
      </c>
      <c r="G660" s="1167">
        <f t="shared" si="44"/>
        <v>2314396.1110264845</v>
      </c>
      <c r="H660" s="1170">
        <f t="shared" si="45"/>
        <v>2314396.1110264845</v>
      </c>
      <c r="I660" s="655">
        <f t="shared" si="42"/>
        <v>0</v>
      </c>
      <c r="J660" s="655"/>
      <c r="K660" s="793"/>
      <c r="L660" s="661"/>
      <c r="M660" s="793"/>
      <c r="N660" s="661"/>
      <c r="O660" s="661"/>
      <c r="P660" s="480"/>
    </row>
    <row r="661" spans="1:16">
      <c r="A661" s="285"/>
      <c r="B661" s="285"/>
      <c r="C661" s="651">
        <f>IF(D631="","-",+C660+1)</f>
        <v>2040</v>
      </c>
      <c r="D661" s="602">
        <f t="shared" si="43"/>
        <v>14647035.969035357</v>
      </c>
      <c r="E661" s="658">
        <f t="shared" si="46"/>
        <v>668305.82368222205</v>
      </c>
      <c r="F661" s="602">
        <f t="shared" si="41"/>
        <v>13978730.145353135</v>
      </c>
      <c r="G661" s="1167">
        <f t="shared" si="44"/>
        <v>2240964.5740445843</v>
      </c>
      <c r="H661" s="1170">
        <f t="shared" si="45"/>
        <v>2240964.5740445843</v>
      </c>
      <c r="I661" s="655">
        <f t="shared" si="42"/>
        <v>0</v>
      </c>
      <c r="J661" s="655"/>
      <c r="K661" s="793"/>
      <c r="L661" s="661"/>
      <c r="M661" s="793"/>
      <c r="N661" s="661"/>
      <c r="O661" s="661"/>
      <c r="P661" s="480"/>
    </row>
    <row r="662" spans="1:16">
      <c r="A662" s="285"/>
      <c r="B662" s="285"/>
      <c r="C662" s="651">
        <f>IF(D631="","-",+C661+1)</f>
        <v>2041</v>
      </c>
      <c r="D662" s="602">
        <f t="shared" si="43"/>
        <v>13978730.145353135</v>
      </c>
      <c r="E662" s="658">
        <f t="shared" si="46"/>
        <v>668305.82368222205</v>
      </c>
      <c r="F662" s="602">
        <f t="shared" si="41"/>
        <v>13310424.321670912</v>
      </c>
      <c r="G662" s="1167">
        <f t="shared" si="44"/>
        <v>2167533.0370626841</v>
      </c>
      <c r="H662" s="1170">
        <f t="shared" si="45"/>
        <v>2167533.0370626841</v>
      </c>
      <c r="I662" s="655">
        <f t="shared" si="42"/>
        <v>0</v>
      </c>
      <c r="J662" s="655"/>
      <c r="K662" s="793"/>
      <c r="L662" s="661"/>
      <c r="M662" s="793"/>
      <c r="N662" s="661"/>
      <c r="O662" s="661"/>
      <c r="P662" s="480"/>
    </row>
    <row r="663" spans="1:16">
      <c r="A663" s="285"/>
      <c r="B663" s="285"/>
      <c r="C663" s="651">
        <f>IF(D631="","-",+C662+1)</f>
        <v>2042</v>
      </c>
      <c r="D663" s="602">
        <f t="shared" si="43"/>
        <v>13310424.321670912</v>
      </c>
      <c r="E663" s="658">
        <f t="shared" si="46"/>
        <v>668305.82368222205</v>
      </c>
      <c r="F663" s="602">
        <f t="shared" si="41"/>
        <v>12642118.49798869</v>
      </c>
      <c r="G663" s="1167">
        <f t="shared" si="44"/>
        <v>2094101.5000807836</v>
      </c>
      <c r="H663" s="1170">
        <f t="shared" si="45"/>
        <v>2094101.5000807836</v>
      </c>
      <c r="I663" s="655">
        <f t="shared" si="42"/>
        <v>0</v>
      </c>
      <c r="J663" s="655"/>
      <c r="K663" s="793"/>
      <c r="L663" s="661"/>
      <c r="M663" s="793"/>
      <c r="N663" s="661"/>
      <c r="O663" s="661"/>
      <c r="P663" s="480"/>
    </row>
    <row r="664" spans="1:16">
      <c r="A664" s="285"/>
      <c r="B664" s="285"/>
      <c r="C664" s="651">
        <f>IF(D631="","-",+C663+1)</f>
        <v>2043</v>
      </c>
      <c r="D664" s="602">
        <f t="shared" si="43"/>
        <v>12642118.49798869</v>
      </c>
      <c r="E664" s="658">
        <f t="shared" si="46"/>
        <v>668305.82368222205</v>
      </c>
      <c r="F664" s="602">
        <f t="shared" si="41"/>
        <v>11973812.674306467</v>
      </c>
      <c r="G664" s="1167">
        <f t="shared" si="44"/>
        <v>2020669.9630988832</v>
      </c>
      <c r="H664" s="1170">
        <f t="shared" si="45"/>
        <v>2020669.9630988832</v>
      </c>
      <c r="I664" s="655">
        <f t="shared" si="42"/>
        <v>0</v>
      </c>
      <c r="J664" s="655"/>
      <c r="K664" s="793"/>
      <c r="L664" s="661"/>
      <c r="M664" s="793"/>
      <c r="N664" s="661"/>
      <c r="O664" s="661"/>
      <c r="P664" s="480"/>
    </row>
    <row r="665" spans="1:16">
      <c r="A665" s="285"/>
      <c r="B665" s="285"/>
      <c r="C665" s="651">
        <f>IF(D631="","-",+C664+1)</f>
        <v>2044</v>
      </c>
      <c r="D665" s="602">
        <f t="shared" si="43"/>
        <v>11973812.674306467</v>
      </c>
      <c r="E665" s="658">
        <f t="shared" si="46"/>
        <v>668305.82368222205</v>
      </c>
      <c r="F665" s="602">
        <f t="shared" si="41"/>
        <v>11305506.850624245</v>
      </c>
      <c r="G665" s="1176">
        <f t="shared" si="44"/>
        <v>1947238.4261169829</v>
      </c>
      <c r="H665" s="1170">
        <f t="shared" si="45"/>
        <v>1947238.4261169829</v>
      </c>
      <c r="I665" s="655">
        <f t="shared" si="42"/>
        <v>0</v>
      </c>
      <c r="J665" s="655"/>
      <c r="K665" s="793"/>
      <c r="L665" s="661"/>
      <c r="M665" s="793"/>
      <c r="N665" s="661"/>
      <c r="O665" s="661"/>
      <c r="P665" s="480"/>
    </row>
    <row r="666" spans="1:16">
      <c r="A666" s="285"/>
      <c r="B666" s="285"/>
      <c r="C666" s="651">
        <f>IF(D631="","-",+C665+1)</f>
        <v>2045</v>
      </c>
      <c r="D666" s="602">
        <f t="shared" si="43"/>
        <v>11305506.850624245</v>
      </c>
      <c r="E666" s="658">
        <f t="shared" si="46"/>
        <v>668305.82368222205</v>
      </c>
      <c r="F666" s="602">
        <f t="shared" si="41"/>
        <v>10637201.026942022</v>
      </c>
      <c r="G666" s="1167">
        <f t="shared" si="44"/>
        <v>1873806.8891350827</v>
      </c>
      <c r="H666" s="1170">
        <f t="shared" si="45"/>
        <v>1873806.8891350827</v>
      </c>
      <c r="I666" s="655">
        <f t="shared" si="42"/>
        <v>0</v>
      </c>
      <c r="J666" s="655"/>
      <c r="K666" s="793"/>
      <c r="L666" s="661"/>
      <c r="M666" s="793"/>
      <c r="N666" s="661"/>
      <c r="O666" s="661"/>
      <c r="P666" s="480"/>
    </row>
    <row r="667" spans="1:16">
      <c r="A667" s="285"/>
      <c r="B667" s="285"/>
      <c r="C667" s="651">
        <f>IF(D631="","-",+C666+1)</f>
        <v>2046</v>
      </c>
      <c r="D667" s="602">
        <f t="shared" si="43"/>
        <v>10637201.026942022</v>
      </c>
      <c r="E667" s="658">
        <f t="shared" si="46"/>
        <v>668305.82368222205</v>
      </c>
      <c r="F667" s="602">
        <f t="shared" si="41"/>
        <v>9968895.2032597996</v>
      </c>
      <c r="G667" s="1167">
        <f t="shared" si="44"/>
        <v>1800375.3521531825</v>
      </c>
      <c r="H667" s="1170">
        <f t="shared" si="45"/>
        <v>1800375.3521531825</v>
      </c>
      <c r="I667" s="655">
        <f t="shared" si="42"/>
        <v>0</v>
      </c>
      <c r="J667" s="655"/>
      <c r="K667" s="793"/>
      <c r="L667" s="661"/>
      <c r="M667" s="793"/>
      <c r="N667" s="661"/>
      <c r="O667" s="661"/>
      <c r="P667" s="480"/>
    </row>
    <row r="668" spans="1:16">
      <c r="A668" s="285"/>
      <c r="B668" s="285"/>
      <c r="C668" s="651">
        <f>IF(D631="","-",+C667+1)</f>
        <v>2047</v>
      </c>
      <c r="D668" s="602">
        <f t="shared" si="43"/>
        <v>9968895.2032597996</v>
      </c>
      <c r="E668" s="658">
        <f t="shared" si="46"/>
        <v>668305.82368222205</v>
      </c>
      <c r="F668" s="602">
        <f t="shared" si="41"/>
        <v>9300589.3795775771</v>
      </c>
      <c r="G668" s="1167">
        <f t="shared" si="44"/>
        <v>1726943.8151712823</v>
      </c>
      <c r="H668" s="1170">
        <f t="shared" si="45"/>
        <v>1726943.8151712823</v>
      </c>
      <c r="I668" s="655">
        <f t="shared" si="42"/>
        <v>0</v>
      </c>
      <c r="J668" s="655"/>
      <c r="K668" s="793"/>
      <c r="L668" s="661"/>
      <c r="M668" s="793"/>
      <c r="N668" s="661"/>
      <c r="O668" s="661"/>
      <c r="P668" s="480"/>
    </row>
    <row r="669" spans="1:16">
      <c r="A669" s="285"/>
      <c r="B669" s="285"/>
      <c r="C669" s="651">
        <f>IF(D631="","-",+C668+1)</f>
        <v>2048</v>
      </c>
      <c r="D669" s="602">
        <f t="shared" si="43"/>
        <v>9300589.3795775771</v>
      </c>
      <c r="E669" s="658">
        <f t="shared" si="46"/>
        <v>668305.82368222205</v>
      </c>
      <c r="F669" s="602">
        <f t="shared" si="41"/>
        <v>8632283.5558953546</v>
      </c>
      <c r="G669" s="1167">
        <f t="shared" si="44"/>
        <v>1653512.2781893821</v>
      </c>
      <c r="H669" s="1170">
        <f t="shared" si="45"/>
        <v>1653512.2781893821</v>
      </c>
      <c r="I669" s="655">
        <f t="shared" si="42"/>
        <v>0</v>
      </c>
      <c r="J669" s="655"/>
      <c r="K669" s="793"/>
      <c r="L669" s="661"/>
      <c r="M669" s="793"/>
      <c r="N669" s="661"/>
      <c r="O669" s="661"/>
      <c r="P669" s="480"/>
    </row>
    <row r="670" spans="1:16">
      <c r="A670" s="285"/>
      <c r="B670" s="285"/>
      <c r="C670" s="651">
        <f>IF(D631="","-",+C669+1)</f>
        <v>2049</v>
      </c>
      <c r="D670" s="602">
        <f t="shared" si="43"/>
        <v>8632283.5558953546</v>
      </c>
      <c r="E670" s="658">
        <f t="shared" si="46"/>
        <v>668305.82368222205</v>
      </c>
      <c r="F670" s="602">
        <f t="shared" si="41"/>
        <v>7963977.7322131321</v>
      </c>
      <c r="G670" s="1167">
        <f t="shared" si="44"/>
        <v>1580080.7412074816</v>
      </c>
      <c r="H670" s="1170">
        <f t="shared" si="45"/>
        <v>1580080.7412074816</v>
      </c>
      <c r="I670" s="655">
        <f t="shared" si="42"/>
        <v>0</v>
      </c>
      <c r="J670" s="655"/>
      <c r="K670" s="793"/>
      <c r="L670" s="661"/>
      <c r="M670" s="793"/>
      <c r="N670" s="661"/>
      <c r="O670" s="661"/>
      <c r="P670" s="480"/>
    </row>
    <row r="671" spans="1:16">
      <c r="A671" s="285"/>
      <c r="B671" s="285"/>
      <c r="C671" s="651">
        <f>IF(D631="","-",+C670+1)</f>
        <v>2050</v>
      </c>
      <c r="D671" s="602">
        <f t="shared" si="43"/>
        <v>7963977.7322131321</v>
      </c>
      <c r="E671" s="658">
        <f t="shared" si="46"/>
        <v>668305.82368222205</v>
      </c>
      <c r="F671" s="602">
        <f t="shared" si="41"/>
        <v>7295671.9085309096</v>
      </c>
      <c r="G671" s="1167">
        <f t="shared" si="44"/>
        <v>1506649.2042255814</v>
      </c>
      <c r="H671" s="1170">
        <f t="shared" si="45"/>
        <v>1506649.2042255814</v>
      </c>
      <c r="I671" s="655">
        <f t="shared" si="42"/>
        <v>0</v>
      </c>
      <c r="J671" s="655"/>
      <c r="K671" s="793"/>
      <c r="L671" s="661"/>
      <c r="M671" s="793"/>
      <c r="N671" s="661"/>
      <c r="O671" s="661"/>
      <c r="P671" s="480"/>
    </row>
    <row r="672" spans="1:16">
      <c r="A672" s="285"/>
      <c r="B672" s="285"/>
      <c r="C672" s="651">
        <f>IF(D631="","-",+C671+1)</f>
        <v>2051</v>
      </c>
      <c r="D672" s="602">
        <f t="shared" si="43"/>
        <v>7295671.9085309096</v>
      </c>
      <c r="E672" s="658">
        <f t="shared" si="46"/>
        <v>668305.82368222205</v>
      </c>
      <c r="F672" s="602">
        <f t="shared" si="41"/>
        <v>6627366.0848486871</v>
      </c>
      <c r="G672" s="1167">
        <f t="shared" si="44"/>
        <v>1433217.6672436809</v>
      </c>
      <c r="H672" s="1170">
        <f t="shared" si="45"/>
        <v>1433217.6672436809</v>
      </c>
      <c r="I672" s="655">
        <f t="shared" si="42"/>
        <v>0</v>
      </c>
      <c r="J672" s="655"/>
      <c r="K672" s="793"/>
      <c r="L672" s="661"/>
      <c r="M672" s="793"/>
      <c r="N672" s="661"/>
      <c r="O672" s="661"/>
      <c r="P672" s="480"/>
    </row>
    <row r="673" spans="1:16">
      <c r="A673" s="285"/>
      <c r="B673" s="285"/>
      <c r="C673" s="651">
        <f>IF(D631="","-",+C672+1)</f>
        <v>2052</v>
      </c>
      <c r="D673" s="602">
        <f t="shared" si="43"/>
        <v>6627366.0848486871</v>
      </c>
      <c r="E673" s="658">
        <f t="shared" si="46"/>
        <v>668305.82368222205</v>
      </c>
      <c r="F673" s="602">
        <f t="shared" si="41"/>
        <v>5959060.2611664645</v>
      </c>
      <c r="G673" s="1167">
        <f t="shared" si="44"/>
        <v>1359786.1302617807</v>
      </c>
      <c r="H673" s="1170">
        <f t="shared" si="45"/>
        <v>1359786.1302617807</v>
      </c>
      <c r="I673" s="655">
        <f t="shared" si="42"/>
        <v>0</v>
      </c>
      <c r="J673" s="655"/>
      <c r="K673" s="793"/>
      <c r="L673" s="661"/>
      <c r="M673" s="793"/>
      <c r="N673" s="661"/>
      <c r="O673" s="661"/>
      <c r="P673" s="480"/>
    </row>
    <row r="674" spans="1:16">
      <c r="A674" s="285"/>
      <c r="B674" s="285"/>
      <c r="C674" s="651">
        <f>IF(D631="","-",+C673+1)</f>
        <v>2053</v>
      </c>
      <c r="D674" s="602">
        <f t="shared" si="43"/>
        <v>5959060.2611664645</v>
      </c>
      <c r="E674" s="658">
        <f t="shared" si="46"/>
        <v>668305.82368222205</v>
      </c>
      <c r="F674" s="602">
        <f t="shared" si="41"/>
        <v>5290754.437484242</v>
      </c>
      <c r="G674" s="1167">
        <f t="shared" si="44"/>
        <v>1286354.5932798805</v>
      </c>
      <c r="H674" s="1170">
        <f t="shared" si="45"/>
        <v>1286354.5932798805</v>
      </c>
      <c r="I674" s="655">
        <f t="shared" si="42"/>
        <v>0</v>
      </c>
      <c r="J674" s="655"/>
      <c r="K674" s="793"/>
      <c r="L674" s="661"/>
      <c r="M674" s="793"/>
      <c r="N674" s="661"/>
      <c r="O674" s="661"/>
      <c r="P674" s="480"/>
    </row>
    <row r="675" spans="1:16">
      <c r="A675" s="285"/>
      <c r="B675" s="285"/>
      <c r="C675" s="651">
        <f>IF(D631="","-",+C674+1)</f>
        <v>2054</v>
      </c>
      <c r="D675" s="602">
        <f t="shared" si="43"/>
        <v>5290754.437484242</v>
      </c>
      <c r="E675" s="658">
        <f t="shared" si="46"/>
        <v>668305.82368222205</v>
      </c>
      <c r="F675" s="602">
        <f t="shared" si="41"/>
        <v>4622448.6138020195</v>
      </c>
      <c r="G675" s="1167">
        <f t="shared" si="44"/>
        <v>1212923.0562979802</v>
      </c>
      <c r="H675" s="1170">
        <f t="shared" si="45"/>
        <v>1212923.0562979802</v>
      </c>
      <c r="I675" s="655">
        <f t="shared" si="42"/>
        <v>0</v>
      </c>
      <c r="J675" s="655"/>
      <c r="K675" s="793"/>
      <c r="L675" s="661"/>
      <c r="M675" s="793"/>
      <c r="N675" s="661"/>
      <c r="O675" s="661"/>
      <c r="P675" s="480"/>
    </row>
    <row r="676" spans="1:16">
      <c r="A676" s="285"/>
      <c r="B676" s="285"/>
      <c r="C676" s="651">
        <f>IF(D631="","-",+C675+1)</f>
        <v>2055</v>
      </c>
      <c r="D676" s="602">
        <f t="shared" si="43"/>
        <v>4622448.6138020195</v>
      </c>
      <c r="E676" s="658">
        <f t="shared" si="46"/>
        <v>668305.82368222205</v>
      </c>
      <c r="F676" s="602">
        <f t="shared" si="41"/>
        <v>3954142.7901197975</v>
      </c>
      <c r="G676" s="1167">
        <f t="shared" si="44"/>
        <v>1139491.51931608</v>
      </c>
      <c r="H676" s="1170">
        <f t="shared" si="45"/>
        <v>1139491.51931608</v>
      </c>
      <c r="I676" s="655">
        <f t="shared" si="42"/>
        <v>0</v>
      </c>
      <c r="J676" s="655"/>
      <c r="K676" s="793"/>
      <c r="L676" s="661"/>
      <c r="M676" s="793"/>
      <c r="N676" s="661"/>
      <c r="O676" s="661"/>
      <c r="P676" s="480"/>
    </row>
    <row r="677" spans="1:16">
      <c r="A677" s="285"/>
      <c r="B677" s="285"/>
      <c r="C677" s="651">
        <f>IF(D631="","-",+C676+1)</f>
        <v>2056</v>
      </c>
      <c r="D677" s="602">
        <f t="shared" si="43"/>
        <v>3954142.7901197975</v>
      </c>
      <c r="E677" s="658">
        <f t="shared" si="46"/>
        <v>668305.82368222205</v>
      </c>
      <c r="F677" s="602">
        <f t="shared" si="41"/>
        <v>3285836.9664375754</v>
      </c>
      <c r="G677" s="1167">
        <f t="shared" si="44"/>
        <v>1066059.9823341798</v>
      </c>
      <c r="H677" s="1170">
        <f t="shared" si="45"/>
        <v>1066059.9823341798</v>
      </c>
      <c r="I677" s="655">
        <f t="shared" si="42"/>
        <v>0</v>
      </c>
      <c r="J677" s="655"/>
      <c r="K677" s="793"/>
      <c r="L677" s="661"/>
      <c r="M677" s="793"/>
      <c r="N677" s="661"/>
      <c r="O677" s="661"/>
      <c r="P677" s="480"/>
    </row>
    <row r="678" spans="1:16">
      <c r="A678" s="285"/>
      <c r="B678" s="285"/>
      <c r="C678" s="651">
        <f>IF(D631="","-",+C677+1)</f>
        <v>2057</v>
      </c>
      <c r="D678" s="602">
        <f t="shared" si="43"/>
        <v>3285836.9664375754</v>
      </c>
      <c r="E678" s="658">
        <f t="shared" si="46"/>
        <v>668305.82368222205</v>
      </c>
      <c r="F678" s="602">
        <f t="shared" si="41"/>
        <v>2617531.1427553534</v>
      </c>
      <c r="G678" s="1167">
        <f t="shared" si="44"/>
        <v>992628.44535227958</v>
      </c>
      <c r="H678" s="1170">
        <f t="shared" si="45"/>
        <v>992628.44535227958</v>
      </c>
      <c r="I678" s="655">
        <f t="shared" si="42"/>
        <v>0</v>
      </c>
      <c r="J678" s="655"/>
      <c r="K678" s="793"/>
      <c r="L678" s="661"/>
      <c r="M678" s="793"/>
      <c r="N678" s="661"/>
      <c r="O678" s="661"/>
      <c r="P678" s="480"/>
    </row>
    <row r="679" spans="1:16">
      <c r="A679" s="285"/>
      <c r="B679" s="285"/>
      <c r="C679" s="651">
        <f>IF(D631="","-",+C678+1)</f>
        <v>2058</v>
      </c>
      <c r="D679" s="602">
        <f t="shared" si="43"/>
        <v>2617531.1427553534</v>
      </c>
      <c r="E679" s="658">
        <f t="shared" si="46"/>
        <v>668305.82368222205</v>
      </c>
      <c r="F679" s="602">
        <f t="shared" si="41"/>
        <v>1949225.3190731313</v>
      </c>
      <c r="G679" s="1167">
        <f t="shared" si="44"/>
        <v>919196.90837037936</v>
      </c>
      <c r="H679" s="1170">
        <f t="shared" si="45"/>
        <v>919196.90837037936</v>
      </c>
      <c r="I679" s="655">
        <f t="shared" si="42"/>
        <v>0</v>
      </c>
      <c r="J679" s="655"/>
      <c r="K679" s="793"/>
      <c r="L679" s="661"/>
      <c r="M679" s="793"/>
      <c r="N679" s="661"/>
      <c r="O679" s="661"/>
      <c r="P679" s="480"/>
    </row>
    <row r="680" spans="1:16">
      <c r="A680" s="285"/>
      <c r="B680" s="285"/>
      <c r="C680" s="651">
        <f>IF(D631="","-",+C679+1)</f>
        <v>2059</v>
      </c>
      <c r="D680" s="602">
        <f t="shared" si="43"/>
        <v>1949225.3190731313</v>
      </c>
      <c r="E680" s="658">
        <f t="shared" si="46"/>
        <v>668305.82368222205</v>
      </c>
      <c r="F680" s="602">
        <f t="shared" si="41"/>
        <v>1280919.4953909093</v>
      </c>
      <c r="G680" s="1167">
        <f t="shared" si="44"/>
        <v>845765.37138847914</v>
      </c>
      <c r="H680" s="1170">
        <f t="shared" si="45"/>
        <v>845765.37138847914</v>
      </c>
      <c r="I680" s="655">
        <f t="shared" si="42"/>
        <v>0</v>
      </c>
      <c r="J680" s="655"/>
      <c r="K680" s="793"/>
      <c r="L680" s="661"/>
      <c r="M680" s="793"/>
      <c r="N680" s="661"/>
      <c r="O680" s="661"/>
      <c r="P680" s="480"/>
    </row>
    <row r="681" spans="1:16">
      <c r="A681" s="285"/>
      <c r="B681" s="285"/>
      <c r="C681" s="651">
        <f>IF(D631="","-",+C680+1)</f>
        <v>2060</v>
      </c>
      <c r="D681" s="602">
        <f t="shared" si="43"/>
        <v>1280919.4953909093</v>
      </c>
      <c r="E681" s="658">
        <f t="shared" si="46"/>
        <v>668305.82368222205</v>
      </c>
      <c r="F681" s="602">
        <f t="shared" si="41"/>
        <v>612613.67170868721</v>
      </c>
      <c r="G681" s="1167">
        <f t="shared" si="44"/>
        <v>772333.83440657891</v>
      </c>
      <c r="H681" s="1170">
        <f t="shared" si="45"/>
        <v>772333.83440657891</v>
      </c>
      <c r="I681" s="655">
        <f t="shared" si="42"/>
        <v>0</v>
      </c>
      <c r="J681" s="655"/>
      <c r="K681" s="793"/>
      <c r="L681" s="661"/>
      <c r="M681" s="793"/>
      <c r="N681" s="661"/>
      <c r="O681" s="661"/>
      <c r="P681" s="480"/>
    </row>
    <row r="682" spans="1:16">
      <c r="A682" s="285"/>
      <c r="B682" s="285"/>
      <c r="C682" s="651">
        <f>IF(D631="","-",+C681+1)</f>
        <v>2061</v>
      </c>
      <c r="D682" s="602">
        <f t="shared" si="43"/>
        <v>612613.67170868721</v>
      </c>
      <c r="E682" s="658">
        <f t="shared" si="46"/>
        <v>612613.67170868721</v>
      </c>
      <c r="F682" s="602">
        <f t="shared" si="41"/>
        <v>0</v>
      </c>
      <c r="G682" s="1167">
        <f t="shared" si="44"/>
        <v>646269.79282539058</v>
      </c>
      <c r="H682" s="1170">
        <f t="shared" si="45"/>
        <v>646269.79282539058</v>
      </c>
      <c r="I682" s="655">
        <f t="shared" si="42"/>
        <v>0</v>
      </c>
      <c r="J682" s="655"/>
      <c r="K682" s="793"/>
      <c r="L682" s="661"/>
      <c r="M682" s="793"/>
      <c r="N682" s="661"/>
      <c r="O682" s="661"/>
      <c r="P682" s="480"/>
    </row>
    <row r="683" spans="1:16">
      <c r="A683" s="285"/>
      <c r="B683" s="285"/>
      <c r="C683" s="651">
        <f>IF(D631="","-",+C682+1)</f>
        <v>2062</v>
      </c>
      <c r="D683" s="602">
        <f t="shared" si="43"/>
        <v>0</v>
      </c>
      <c r="E683" s="658">
        <f t="shared" si="46"/>
        <v>0</v>
      </c>
      <c r="F683" s="602">
        <f t="shared" si="41"/>
        <v>0</v>
      </c>
      <c r="G683" s="1167">
        <f t="shared" si="44"/>
        <v>0</v>
      </c>
      <c r="H683" s="1170">
        <f t="shared" si="45"/>
        <v>0</v>
      </c>
      <c r="I683" s="655">
        <f t="shared" si="42"/>
        <v>0</v>
      </c>
      <c r="J683" s="655"/>
      <c r="K683" s="793"/>
      <c r="L683" s="661"/>
      <c r="M683" s="793"/>
      <c r="N683" s="661"/>
      <c r="O683" s="661"/>
      <c r="P683" s="480"/>
    </row>
    <row r="684" spans="1:16">
      <c r="A684" s="285"/>
      <c r="B684" s="285"/>
      <c r="C684" s="651">
        <f>IF(D631="","-",+C683+1)</f>
        <v>2063</v>
      </c>
      <c r="D684" s="602">
        <f t="shared" si="43"/>
        <v>0</v>
      </c>
      <c r="E684" s="658">
        <f t="shared" si="46"/>
        <v>0</v>
      </c>
      <c r="F684" s="602">
        <f t="shared" si="41"/>
        <v>0</v>
      </c>
      <c r="G684" s="1167">
        <f t="shared" si="44"/>
        <v>0</v>
      </c>
      <c r="H684" s="1170">
        <f t="shared" si="45"/>
        <v>0</v>
      </c>
      <c r="I684" s="655">
        <f t="shared" si="42"/>
        <v>0</v>
      </c>
      <c r="J684" s="655"/>
      <c r="K684" s="793"/>
      <c r="L684" s="661"/>
      <c r="M684" s="793"/>
      <c r="N684" s="661"/>
      <c r="O684" s="661"/>
      <c r="P684" s="480"/>
    </row>
    <row r="685" spans="1:16">
      <c r="A685" s="285"/>
      <c r="B685" s="285"/>
      <c r="C685" s="651">
        <f>IF(D631="","-",+C684+1)</f>
        <v>2064</v>
      </c>
      <c r="D685" s="602">
        <f t="shared" si="43"/>
        <v>0</v>
      </c>
      <c r="E685" s="658">
        <f t="shared" si="46"/>
        <v>0</v>
      </c>
      <c r="F685" s="602">
        <f t="shared" si="41"/>
        <v>0</v>
      </c>
      <c r="G685" s="1167">
        <f t="shared" si="44"/>
        <v>0</v>
      </c>
      <c r="H685" s="1170">
        <f t="shared" si="45"/>
        <v>0</v>
      </c>
      <c r="I685" s="655">
        <f t="shared" si="42"/>
        <v>0</v>
      </c>
      <c r="J685" s="655"/>
      <c r="K685" s="793"/>
      <c r="L685" s="661"/>
      <c r="M685" s="793"/>
      <c r="N685" s="661"/>
      <c r="O685" s="661"/>
      <c r="P685" s="480"/>
    </row>
    <row r="686" spans="1:16">
      <c r="A686" s="285"/>
      <c r="B686" s="285"/>
      <c r="C686" s="651">
        <f>IF(D631="","-",+C685+1)</f>
        <v>2065</v>
      </c>
      <c r="D686" s="602">
        <f t="shared" si="43"/>
        <v>0</v>
      </c>
      <c r="E686" s="658">
        <f t="shared" si="46"/>
        <v>0</v>
      </c>
      <c r="F686" s="602">
        <f t="shared" si="41"/>
        <v>0</v>
      </c>
      <c r="G686" s="1167">
        <f t="shared" si="44"/>
        <v>0</v>
      </c>
      <c r="H686" s="1170">
        <f t="shared" si="45"/>
        <v>0</v>
      </c>
      <c r="I686" s="655">
        <f t="shared" si="42"/>
        <v>0</v>
      </c>
      <c r="J686" s="655"/>
      <c r="K686" s="793"/>
      <c r="L686" s="661"/>
      <c r="M686" s="793"/>
      <c r="N686" s="661"/>
      <c r="O686" s="661"/>
      <c r="P686" s="480"/>
    </row>
    <row r="687" spans="1:16">
      <c r="A687" s="285"/>
      <c r="B687" s="285"/>
      <c r="C687" s="651">
        <f>IF(D631="","-",+C686+1)</f>
        <v>2066</v>
      </c>
      <c r="D687" s="602">
        <f t="shared" si="43"/>
        <v>0</v>
      </c>
      <c r="E687" s="658">
        <f t="shared" si="46"/>
        <v>0</v>
      </c>
      <c r="F687" s="602">
        <f t="shared" si="41"/>
        <v>0</v>
      </c>
      <c r="G687" s="1167">
        <f t="shared" si="44"/>
        <v>0</v>
      </c>
      <c r="H687" s="1170">
        <f t="shared" si="45"/>
        <v>0</v>
      </c>
      <c r="I687" s="655">
        <f t="shared" si="42"/>
        <v>0</v>
      </c>
      <c r="J687" s="655"/>
      <c r="K687" s="793"/>
      <c r="L687" s="661"/>
      <c r="M687" s="793"/>
      <c r="N687" s="661"/>
      <c r="O687" s="661"/>
      <c r="P687" s="480"/>
    </row>
    <row r="688" spans="1:16">
      <c r="A688" s="285"/>
      <c r="B688" s="285"/>
      <c r="C688" s="651">
        <f>IF(D631="","-",+C687+1)</f>
        <v>2067</v>
      </c>
      <c r="D688" s="602">
        <f t="shared" si="43"/>
        <v>0</v>
      </c>
      <c r="E688" s="658">
        <f t="shared" si="46"/>
        <v>0</v>
      </c>
      <c r="F688" s="602">
        <f t="shared" si="41"/>
        <v>0</v>
      </c>
      <c r="G688" s="1167">
        <f t="shared" si="44"/>
        <v>0</v>
      </c>
      <c r="H688" s="1170">
        <f t="shared" si="45"/>
        <v>0</v>
      </c>
      <c r="I688" s="655">
        <f t="shared" si="42"/>
        <v>0</v>
      </c>
      <c r="J688" s="655"/>
      <c r="K688" s="793"/>
      <c r="L688" s="661"/>
      <c r="M688" s="793"/>
      <c r="N688" s="661"/>
      <c r="O688" s="661"/>
      <c r="P688" s="480"/>
    </row>
    <row r="689" spans="1:16">
      <c r="A689" s="285"/>
      <c r="B689" s="285"/>
      <c r="C689" s="651">
        <f>IF(D631="","-",+C688+1)</f>
        <v>2068</v>
      </c>
      <c r="D689" s="602">
        <f t="shared" si="43"/>
        <v>0</v>
      </c>
      <c r="E689" s="658">
        <f t="shared" si="46"/>
        <v>0</v>
      </c>
      <c r="F689" s="602">
        <f t="shared" si="41"/>
        <v>0</v>
      </c>
      <c r="G689" s="1167">
        <f t="shared" si="44"/>
        <v>0</v>
      </c>
      <c r="H689" s="1170">
        <f t="shared" si="45"/>
        <v>0</v>
      </c>
      <c r="I689" s="655">
        <f t="shared" si="42"/>
        <v>0</v>
      </c>
      <c r="J689" s="655"/>
      <c r="K689" s="793"/>
      <c r="L689" s="661"/>
      <c r="M689" s="793"/>
      <c r="N689" s="661"/>
      <c r="O689" s="661"/>
      <c r="P689" s="480"/>
    </row>
    <row r="690" spans="1:16">
      <c r="A690" s="285"/>
      <c r="B690" s="285"/>
      <c r="C690" s="651">
        <f>IF(D631="","-",+C689+1)</f>
        <v>2069</v>
      </c>
      <c r="D690" s="602">
        <f t="shared" si="43"/>
        <v>0</v>
      </c>
      <c r="E690" s="658">
        <f t="shared" si="46"/>
        <v>0</v>
      </c>
      <c r="F690" s="602">
        <f t="shared" si="41"/>
        <v>0</v>
      </c>
      <c r="G690" s="1167">
        <f t="shared" si="44"/>
        <v>0</v>
      </c>
      <c r="H690" s="1170">
        <f t="shared" si="45"/>
        <v>0</v>
      </c>
      <c r="I690" s="655">
        <f t="shared" si="42"/>
        <v>0</v>
      </c>
      <c r="J690" s="655"/>
      <c r="K690" s="793"/>
      <c r="L690" s="661"/>
      <c r="M690" s="793"/>
      <c r="N690" s="661"/>
      <c r="O690" s="661"/>
      <c r="P690" s="480"/>
    </row>
    <row r="691" spans="1:16">
      <c r="A691" s="285"/>
      <c r="B691" s="285"/>
      <c r="C691" s="651">
        <f>IF(D631="","-",+C690+1)</f>
        <v>2070</v>
      </c>
      <c r="D691" s="602">
        <f t="shared" si="43"/>
        <v>0</v>
      </c>
      <c r="E691" s="658">
        <f t="shared" si="46"/>
        <v>0</v>
      </c>
      <c r="F691" s="602">
        <f t="shared" si="41"/>
        <v>0</v>
      </c>
      <c r="G691" s="1167">
        <f t="shared" si="44"/>
        <v>0</v>
      </c>
      <c r="H691" s="1170">
        <f t="shared" si="45"/>
        <v>0</v>
      </c>
      <c r="I691" s="655">
        <f t="shared" si="42"/>
        <v>0</v>
      </c>
      <c r="J691" s="655"/>
      <c r="K691" s="793"/>
      <c r="L691" s="661"/>
      <c r="M691" s="793"/>
      <c r="N691" s="661"/>
      <c r="O691" s="661"/>
      <c r="P691" s="480"/>
    </row>
    <row r="692" spans="1:16">
      <c r="A692" s="285"/>
      <c r="B692" s="285"/>
      <c r="C692" s="651">
        <f>IF(D631="","-",+C691+1)</f>
        <v>2071</v>
      </c>
      <c r="D692" s="602">
        <f t="shared" si="43"/>
        <v>0</v>
      </c>
      <c r="E692" s="658">
        <f t="shared" si="46"/>
        <v>0</v>
      </c>
      <c r="F692" s="602">
        <f t="shared" si="41"/>
        <v>0</v>
      </c>
      <c r="G692" s="1167">
        <f t="shared" si="44"/>
        <v>0</v>
      </c>
      <c r="H692" s="1170">
        <f t="shared" si="45"/>
        <v>0</v>
      </c>
      <c r="I692" s="655">
        <f t="shared" si="42"/>
        <v>0</v>
      </c>
      <c r="J692" s="655"/>
      <c r="K692" s="793"/>
      <c r="L692" s="661"/>
      <c r="M692" s="793"/>
      <c r="N692" s="661"/>
      <c r="O692" s="661"/>
      <c r="P692" s="480"/>
    </row>
    <row r="693" spans="1:16">
      <c r="A693" s="285"/>
      <c r="B693" s="285"/>
      <c r="C693" s="651">
        <f>IF(D631="","-",+C692+1)</f>
        <v>2072</v>
      </c>
      <c r="D693" s="602">
        <f t="shared" si="43"/>
        <v>0</v>
      </c>
      <c r="E693" s="658">
        <f t="shared" si="46"/>
        <v>0</v>
      </c>
      <c r="F693" s="602">
        <f t="shared" si="41"/>
        <v>0</v>
      </c>
      <c r="G693" s="1167">
        <f t="shared" si="44"/>
        <v>0</v>
      </c>
      <c r="H693" s="1170">
        <f t="shared" si="45"/>
        <v>0</v>
      </c>
      <c r="I693" s="655">
        <f t="shared" si="42"/>
        <v>0</v>
      </c>
      <c r="J693" s="655"/>
      <c r="K693" s="793"/>
      <c r="L693" s="661"/>
      <c r="M693" s="793"/>
      <c r="N693" s="661"/>
      <c r="O693" s="661"/>
      <c r="P693" s="480"/>
    </row>
    <row r="694" spans="1:16">
      <c r="A694" s="285"/>
      <c r="B694" s="285"/>
      <c r="C694" s="651">
        <f>IF(D631="","-",+C693+1)</f>
        <v>2073</v>
      </c>
      <c r="D694" s="602">
        <f t="shared" si="43"/>
        <v>0</v>
      </c>
      <c r="E694" s="658">
        <f t="shared" si="46"/>
        <v>0</v>
      </c>
      <c r="F694" s="602">
        <f t="shared" si="41"/>
        <v>0</v>
      </c>
      <c r="G694" s="1167">
        <f t="shared" si="44"/>
        <v>0</v>
      </c>
      <c r="H694" s="1170">
        <f t="shared" si="45"/>
        <v>0</v>
      </c>
      <c r="I694" s="655">
        <f t="shared" si="42"/>
        <v>0</v>
      </c>
      <c r="J694" s="655"/>
      <c r="K694" s="793"/>
      <c r="L694" s="661"/>
      <c r="M694" s="793"/>
      <c r="N694" s="661"/>
      <c r="O694" s="661"/>
      <c r="P694" s="480"/>
    </row>
    <row r="695" spans="1:16">
      <c r="A695" s="285"/>
      <c r="B695" s="285"/>
      <c r="C695" s="651">
        <f>IF(D631="","-",+C694+1)</f>
        <v>2074</v>
      </c>
      <c r="D695" s="602">
        <f t="shared" si="43"/>
        <v>0</v>
      </c>
      <c r="E695" s="658">
        <f t="shared" si="46"/>
        <v>0</v>
      </c>
      <c r="F695" s="602">
        <f t="shared" si="41"/>
        <v>0</v>
      </c>
      <c r="G695" s="1167">
        <f t="shared" si="44"/>
        <v>0</v>
      </c>
      <c r="H695" s="1170">
        <f t="shared" si="45"/>
        <v>0</v>
      </c>
      <c r="I695" s="655">
        <f t="shared" si="42"/>
        <v>0</v>
      </c>
      <c r="J695" s="655"/>
      <c r="K695" s="793"/>
      <c r="L695" s="661"/>
      <c r="M695" s="793"/>
      <c r="N695" s="661"/>
      <c r="O695" s="661"/>
      <c r="P695" s="480"/>
    </row>
    <row r="696" spans="1:16" ht="13.5" thickBot="1">
      <c r="A696" s="285"/>
      <c r="B696" s="285"/>
      <c r="C696" s="663">
        <f>IF(D631="","-",+C695+1)</f>
        <v>2075</v>
      </c>
      <c r="D696" s="664">
        <f t="shared" si="43"/>
        <v>0</v>
      </c>
      <c r="E696" s="665">
        <f t="shared" si="46"/>
        <v>0</v>
      </c>
      <c r="F696" s="664">
        <f t="shared" si="41"/>
        <v>0</v>
      </c>
      <c r="G696" s="1177">
        <f t="shared" si="44"/>
        <v>0</v>
      </c>
      <c r="H696" s="1177">
        <f t="shared" si="45"/>
        <v>0</v>
      </c>
      <c r="I696" s="667">
        <f t="shared" si="42"/>
        <v>0</v>
      </c>
      <c r="J696" s="655"/>
      <c r="K696" s="794"/>
      <c r="L696" s="669"/>
      <c r="M696" s="794"/>
      <c r="N696" s="669"/>
      <c r="O696" s="669"/>
      <c r="P696" s="480"/>
    </row>
    <row r="697" spans="1:16">
      <c r="A697" s="285"/>
      <c r="B697" s="285"/>
      <c r="C697" s="602" t="s">
        <v>288</v>
      </c>
      <c r="D697" s="1148"/>
      <c r="E697" s="1148">
        <f>SUM(E637:E696)</f>
        <v>30073762.065699995</v>
      </c>
      <c r="F697" s="1148"/>
      <c r="G697" s="1148">
        <f>SUM(G637:G696)</f>
        <v>107452244.16037731</v>
      </c>
      <c r="H697" s="1148">
        <f>SUM(H637:H696)</f>
        <v>107452244.16037731</v>
      </c>
      <c r="I697" s="1148">
        <f>SUM(I637:I696)</f>
        <v>0</v>
      </c>
      <c r="J697" s="1148"/>
      <c r="K697" s="1148"/>
      <c r="L697" s="1148"/>
      <c r="M697" s="1148"/>
      <c r="N697" s="1148"/>
      <c r="O697" s="480"/>
      <c r="P697" s="480"/>
    </row>
    <row r="698" spans="1:16">
      <c r="A698" s="285"/>
      <c r="B698" s="285"/>
      <c r="C698" s="285"/>
      <c r="D698" s="496"/>
      <c r="E698" s="480"/>
      <c r="F698" s="480"/>
      <c r="G698" s="480"/>
      <c r="H698" s="1147"/>
      <c r="I698" s="1147"/>
      <c r="J698" s="1148"/>
      <c r="K698" s="1147"/>
      <c r="L698" s="1147"/>
      <c r="M698" s="1147"/>
      <c r="N698" s="1147"/>
      <c r="O698" s="480"/>
      <c r="P698" s="480"/>
    </row>
    <row r="699" spans="1:16">
      <c r="A699" s="285"/>
      <c r="B699" s="285"/>
      <c r="C699" s="480" t="s">
        <v>601</v>
      </c>
      <c r="D699" s="496"/>
      <c r="E699" s="480"/>
      <c r="F699" s="480"/>
      <c r="G699" s="480"/>
      <c r="H699" s="1147"/>
      <c r="I699" s="1147"/>
      <c r="J699" s="1148"/>
      <c r="K699" s="1147"/>
      <c r="L699" s="1147"/>
      <c r="M699" s="1147"/>
      <c r="N699" s="1147"/>
      <c r="O699" s="480"/>
      <c r="P699" s="480"/>
    </row>
    <row r="700" spans="1:16">
      <c r="A700" s="285"/>
      <c r="B700" s="285"/>
      <c r="C700" s="285"/>
      <c r="D700" s="496"/>
      <c r="E700" s="480"/>
      <c r="F700" s="480"/>
      <c r="G700" s="480"/>
      <c r="H700" s="1147"/>
      <c r="I700" s="1147"/>
      <c r="J700" s="1148"/>
      <c r="K700" s="1147"/>
      <c r="L700" s="1147"/>
      <c r="M700" s="1147"/>
      <c r="N700" s="1147"/>
      <c r="O700" s="480"/>
      <c r="P700" s="480"/>
    </row>
    <row r="701" spans="1:16">
      <c r="A701" s="285"/>
      <c r="B701" s="285"/>
      <c r="C701" s="508" t="s">
        <v>602</v>
      </c>
      <c r="D701" s="602"/>
      <c r="E701" s="602"/>
      <c r="F701" s="602"/>
      <c r="G701" s="1148"/>
      <c r="H701" s="1148"/>
      <c r="I701" s="603"/>
      <c r="J701" s="603"/>
      <c r="K701" s="603"/>
      <c r="L701" s="603"/>
      <c r="M701" s="603"/>
      <c r="N701" s="603"/>
      <c r="O701" s="480"/>
      <c r="P701" s="480"/>
    </row>
    <row r="702" spans="1:16">
      <c r="A702" s="285"/>
      <c r="B702" s="285"/>
      <c r="C702" s="508" t="s">
        <v>476</v>
      </c>
      <c r="D702" s="602"/>
      <c r="E702" s="602"/>
      <c r="F702" s="602"/>
      <c r="G702" s="1148"/>
      <c r="H702" s="1148"/>
      <c r="I702" s="603"/>
      <c r="J702" s="603"/>
      <c r="K702" s="603"/>
      <c r="L702" s="603"/>
      <c r="M702" s="603"/>
      <c r="N702" s="603"/>
      <c r="O702" s="480"/>
      <c r="P702" s="480"/>
    </row>
    <row r="703" spans="1:16">
      <c r="A703" s="285"/>
      <c r="B703" s="285"/>
      <c r="C703" s="508" t="s">
        <v>289</v>
      </c>
      <c r="D703" s="602"/>
      <c r="E703" s="602"/>
      <c r="F703" s="602"/>
      <c r="G703" s="1148"/>
      <c r="H703" s="1148"/>
      <c r="I703" s="603"/>
      <c r="J703" s="603"/>
      <c r="K703" s="603"/>
      <c r="L703" s="603"/>
      <c r="M703" s="603"/>
      <c r="N703" s="603"/>
      <c r="O703" s="480"/>
      <c r="P703" s="480"/>
    </row>
    <row r="704" spans="1:16">
      <c r="A704" s="285"/>
      <c r="B704" s="285"/>
      <c r="C704" s="601"/>
      <c r="D704" s="602"/>
      <c r="E704" s="602"/>
      <c r="F704" s="602"/>
      <c r="G704" s="1148"/>
      <c r="H704" s="1148"/>
      <c r="I704" s="603"/>
      <c r="J704" s="603"/>
      <c r="K704" s="603"/>
      <c r="L704" s="603"/>
      <c r="M704" s="603"/>
      <c r="N704" s="603"/>
      <c r="O704" s="480"/>
      <c r="P704" s="480"/>
    </row>
    <row r="705" spans="1:16">
      <c r="A705" s="285"/>
      <c r="B705" s="285"/>
      <c r="C705" s="1513" t="s">
        <v>460</v>
      </c>
      <c r="D705" s="1513"/>
      <c r="E705" s="1513"/>
      <c r="F705" s="1513"/>
      <c r="G705" s="1513"/>
      <c r="H705" s="1513"/>
      <c r="I705" s="1513"/>
      <c r="J705" s="1513"/>
      <c r="K705" s="1513"/>
      <c r="L705" s="1513"/>
      <c r="M705" s="1513"/>
      <c r="N705" s="1513"/>
      <c r="O705" s="1513"/>
      <c r="P705" s="480"/>
    </row>
    <row r="706" spans="1:16">
      <c r="A706" s="285"/>
      <c r="B706" s="285"/>
      <c r="C706" s="1513"/>
      <c r="D706" s="1513"/>
      <c r="E706" s="1513"/>
      <c r="F706" s="1513"/>
      <c r="G706" s="1513"/>
      <c r="H706" s="1513"/>
      <c r="I706" s="1513"/>
      <c r="J706" s="1513"/>
      <c r="K706" s="1513"/>
      <c r="L706" s="1513"/>
      <c r="M706" s="1513"/>
      <c r="N706" s="1513"/>
      <c r="O706" s="1513"/>
      <c r="P706" s="480"/>
    </row>
    <row r="707" spans="1:16" ht="20.25">
      <c r="A707" s="604" t="s">
        <v>947</v>
      </c>
      <c r="B707" s="480"/>
      <c r="C707" s="584"/>
      <c r="D707" s="496"/>
      <c r="E707" s="480"/>
      <c r="F707" s="574"/>
      <c r="G707" s="480"/>
      <c r="H707" s="1147"/>
      <c r="I707" s="285"/>
      <c r="J707" s="271"/>
      <c r="K707" s="605"/>
      <c r="L707" s="605"/>
      <c r="M707" s="605"/>
      <c r="N707" s="520" t="str">
        <f>"Page "&amp;SUM(P$6:P707)&amp;" of "</f>
        <v xml:space="preserve">Page 9 of </v>
      </c>
      <c r="O707" s="521">
        <f>COUNT(P$6:P$59606)</f>
        <v>15</v>
      </c>
      <c r="P707" s="480">
        <v>1</v>
      </c>
    </row>
    <row r="708" spans="1:16">
      <c r="A708" s="285"/>
      <c r="B708" s="480"/>
      <c r="C708" s="480"/>
      <c r="D708" s="496"/>
      <c r="E708" s="480"/>
      <c r="F708" s="480"/>
      <c r="G708" s="480"/>
      <c r="H708" s="1147"/>
      <c r="I708" s="480"/>
      <c r="J708" s="517"/>
      <c r="K708" s="480"/>
      <c r="L708" s="480"/>
      <c r="M708" s="480"/>
      <c r="N708" s="480"/>
      <c r="O708" s="480"/>
      <c r="P708" s="480"/>
    </row>
    <row r="709" spans="1:16" ht="18">
      <c r="A709" s="285"/>
      <c r="B709" s="524" t="s">
        <v>174</v>
      </c>
      <c r="C709" s="606" t="s">
        <v>290</v>
      </c>
      <c r="D709" s="496"/>
      <c r="E709" s="480"/>
      <c r="F709" s="480"/>
      <c r="G709" s="480"/>
      <c r="H709" s="1147"/>
      <c r="I709" s="1147"/>
      <c r="J709" s="1148"/>
      <c r="K709" s="1147"/>
      <c r="L709" s="1147"/>
      <c r="M709" s="1147"/>
      <c r="N709" s="1147"/>
      <c r="O709" s="480"/>
      <c r="P709" s="480"/>
    </row>
    <row r="710" spans="1:16" ht="18.75">
      <c r="A710" s="285"/>
      <c r="B710" s="524"/>
      <c r="C710" s="523"/>
      <c r="D710" s="496"/>
      <c r="E710" s="480"/>
      <c r="F710" s="480"/>
      <c r="G710" s="480"/>
      <c r="H710" s="1147"/>
      <c r="I710" s="1147"/>
      <c r="J710" s="1148"/>
      <c r="K710" s="1147"/>
      <c r="L710" s="1147"/>
      <c r="M710" s="1147"/>
      <c r="N710" s="1147"/>
      <c r="O710" s="480"/>
      <c r="P710" s="480"/>
    </row>
    <row r="711" spans="1:16" ht="18.75">
      <c r="A711" s="285"/>
      <c r="B711" s="524"/>
      <c r="C711" s="523" t="s">
        <v>291</v>
      </c>
      <c r="D711" s="496"/>
      <c r="E711" s="480"/>
      <c r="F711" s="480"/>
      <c r="G711" s="480"/>
      <c r="H711" s="1147"/>
      <c r="I711" s="1147"/>
      <c r="J711" s="1148"/>
      <c r="K711" s="1147"/>
      <c r="L711" s="1147"/>
      <c r="M711" s="1147"/>
      <c r="N711" s="1147"/>
      <c r="O711" s="480"/>
      <c r="P711" s="480"/>
    </row>
    <row r="712" spans="1:16" ht="15.75" thickBot="1">
      <c r="A712" s="285"/>
      <c r="B712" s="285"/>
      <c r="C712" s="347"/>
      <c r="D712" s="496"/>
      <c r="E712" s="480"/>
      <c r="F712" s="480"/>
      <c r="G712" s="480"/>
      <c r="H712" s="1147"/>
      <c r="I712" s="1147"/>
      <c r="J712" s="1148"/>
      <c r="K712" s="1147"/>
      <c r="L712" s="1147"/>
      <c r="M712" s="1147"/>
      <c r="N712" s="1147"/>
      <c r="O712" s="480"/>
      <c r="P712" s="480"/>
    </row>
    <row r="713" spans="1:16" ht="15.75">
      <c r="A713" s="285"/>
      <c r="B713" s="285"/>
      <c r="C713" s="525" t="s">
        <v>292</v>
      </c>
      <c r="D713" s="496"/>
      <c r="E713" s="480"/>
      <c r="F713" s="480"/>
      <c r="G713" s="1149"/>
      <c r="H713" s="480" t="s">
        <v>271</v>
      </c>
      <c r="I713" s="480"/>
      <c r="J713" s="517"/>
      <c r="K713" s="607" t="s">
        <v>296</v>
      </c>
      <c r="L713" s="608"/>
      <c r="M713" s="609"/>
      <c r="N713" s="1150">
        <f>VLOOKUP(I719,C726:O785,5)</f>
        <v>610613.29408461938</v>
      </c>
      <c r="O713" s="480"/>
      <c r="P713" s="480"/>
    </row>
    <row r="714" spans="1:16" ht="15.75">
      <c r="A714" s="285"/>
      <c r="B714" s="285"/>
      <c r="C714" s="525"/>
      <c r="D714" s="496"/>
      <c r="E714" s="480"/>
      <c r="F714" s="480"/>
      <c r="G714" s="480"/>
      <c r="H714" s="1151"/>
      <c r="I714" s="1151"/>
      <c r="J714" s="1152"/>
      <c r="K714" s="612" t="s">
        <v>297</v>
      </c>
      <c r="L714" s="1153"/>
      <c r="M714" s="517"/>
      <c r="N714" s="1154">
        <f>VLOOKUP(I719,C726:O785,6)</f>
        <v>610613.29408461938</v>
      </c>
      <c r="O714" s="480"/>
      <c r="P714" s="480"/>
    </row>
    <row r="715" spans="1:16" ht="13.5" thickBot="1">
      <c r="A715" s="285"/>
      <c r="B715" s="285"/>
      <c r="C715" s="613" t="s">
        <v>293</v>
      </c>
      <c r="D715" s="1514" t="s">
        <v>956</v>
      </c>
      <c r="E715" s="1514"/>
      <c r="F715" s="1514"/>
      <c r="G715" s="1514"/>
      <c r="H715" s="1514"/>
      <c r="I715" s="1147"/>
      <c r="J715" s="1148"/>
      <c r="K715" s="1155" t="s">
        <v>450</v>
      </c>
      <c r="L715" s="1156"/>
      <c r="M715" s="1156"/>
      <c r="N715" s="1157">
        <f>+N714-N713</f>
        <v>0</v>
      </c>
      <c r="O715" s="480"/>
      <c r="P715" s="480"/>
    </row>
    <row r="716" spans="1:16">
      <c r="A716" s="285"/>
      <c r="B716" s="285"/>
      <c r="C716" s="615"/>
      <c r="D716" s="616"/>
      <c r="E716" s="600"/>
      <c r="F716" s="600"/>
      <c r="G716" s="617"/>
      <c r="H716" s="1147"/>
      <c r="I716" s="1147"/>
      <c r="J716" s="1148"/>
      <c r="K716" s="1147"/>
      <c r="L716" s="1147"/>
      <c r="M716" s="1147"/>
      <c r="N716" s="1147"/>
      <c r="O716" s="480"/>
      <c r="P716" s="480"/>
    </row>
    <row r="717" spans="1:16" ht="13.5" thickBot="1">
      <c r="A717" s="285"/>
      <c r="B717" s="285"/>
      <c r="C717" s="618"/>
      <c r="D717" s="619"/>
      <c r="E717" s="617"/>
      <c r="F717" s="617"/>
      <c r="G717" s="617"/>
      <c r="H717" s="617"/>
      <c r="I717" s="617"/>
      <c r="J717" s="620"/>
      <c r="K717" s="617"/>
      <c r="L717" s="617"/>
      <c r="M717" s="617"/>
      <c r="N717" s="617"/>
      <c r="O717" s="508"/>
      <c r="P717" s="480"/>
    </row>
    <row r="718" spans="1:16" ht="13.5" thickBot="1">
      <c r="A718" s="285"/>
      <c r="B718" s="285"/>
      <c r="C718" s="622" t="s">
        <v>294</v>
      </c>
      <c r="D718" s="623"/>
      <c r="E718" s="623"/>
      <c r="F718" s="623"/>
      <c r="G718" s="623"/>
      <c r="H718" s="623"/>
      <c r="I718" s="624"/>
      <c r="J718" s="625"/>
      <c r="K718" s="480"/>
      <c r="L718" s="480"/>
      <c r="M718" s="480"/>
      <c r="N718" s="480"/>
      <c r="O718" s="626"/>
      <c r="P718" s="480"/>
    </row>
    <row r="719" spans="1:16" ht="15">
      <c r="A719" s="285"/>
      <c r="B719" s="362"/>
      <c r="C719" s="628" t="s">
        <v>272</v>
      </c>
      <c r="D719" s="1158">
        <v>5483985.8899999997</v>
      </c>
      <c r="E719" s="584" t="s">
        <v>273</v>
      </c>
      <c r="F719" s="285"/>
      <c r="G719" s="629"/>
      <c r="H719" s="629"/>
      <c r="I719" s="630">
        <f>$L$26</f>
        <v>2024</v>
      </c>
      <c r="J719" s="515"/>
      <c r="K719" s="1515" t="s">
        <v>459</v>
      </c>
      <c r="L719" s="1515"/>
      <c r="M719" s="1515"/>
      <c r="N719" s="1515"/>
      <c r="O719" s="1515"/>
      <c r="P719" s="480"/>
    </row>
    <row r="720" spans="1:16">
      <c r="A720" s="285"/>
      <c r="B720" s="362"/>
      <c r="C720" s="628" t="s">
        <v>275</v>
      </c>
      <c r="D720" s="788">
        <v>2015</v>
      </c>
      <c r="E720" s="628" t="s">
        <v>276</v>
      </c>
      <c r="F720" s="629"/>
      <c r="G720" s="285"/>
      <c r="H720" s="285"/>
      <c r="I720" s="791">
        <f>IF(G713="",0,$F$15)</f>
        <v>0</v>
      </c>
      <c r="J720" s="631"/>
      <c r="K720" s="1148" t="s">
        <v>459</v>
      </c>
      <c r="L720" s="285"/>
      <c r="M720" s="285"/>
      <c r="N720" s="285"/>
      <c r="O720" s="285"/>
      <c r="P720" s="480"/>
    </row>
    <row r="721" spans="1:16">
      <c r="A721" s="285"/>
      <c r="B721" s="362"/>
      <c r="C721" s="628" t="s">
        <v>277</v>
      </c>
      <c r="D721" s="1159">
        <v>12</v>
      </c>
      <c r="E721" s="628" t="s">
        <v>278</v>
      </c>
      <c r="F721" s="629"/>
      <c r="G721" s="285"/>
      <c r="H721" s="285"/>
      <c r="I721" s="632">
        <f>$G$70</f>
        <v>0.10987714662923057</v>
      </c>
      <c r="J721" s="633"/>
      <c r="K721" s="285" t="str">
        <f>"          INPUT PROJECTED ARR (WITH &amp; WITHOUT INCENTIVES) FROM EACH PRIOR YEAR"</f>
        <v xml:space="preserve">          INPUT PROJECTED ARR (WITH &amp; WITHOUT INCENTIVES) FROM EACH PRIOR YEAR</v>
      </c>
      <c r="L721" s="285"/>
      <c r="M721" s="285"/>
      <c r="N721" s="285"/>
      <c r="O721" s="285"/>
      <c r="P721" s="480"/>
    </row>
    <row r="722" spans="1:16">
      <c r="A722" s="285"/>
      <c r="B722" s="362"/>
      <c r="C722" s="628" t="s">
        <v>279</v>
      </c>
      <c r="D722" s="634">
        <f>G$79</f>
        <v>45</v>
      </c>
      <c r="E722" s="628" t="s">
        <v>280</v>
      </c>
      <c r="F722" s="629"/>
      <c r="G722" s="285"/>
      <c r="H722" s="285"/>
      <c r="I722" s="632">
        <f>IF(G713="",I721,$G$67)</f>
        <v>0.10987714662923057</v>
      </c>
      <c r="J722" s="635"/>
      <c r="K722" s="285" t="s">
        <v>357</v>
      </c>
      <c r="L722" s="285"/>
      <c r="M722" s="285"/>
      <c r="N722" s="285"/>
      <c r="O722" s="285"/>
      <c r="P722" s="480"/>
    </row>
    <row r="723" spans="1:16" ht="13.5" thickBot="1">
      <c r="A723" s="285"/>
      <c r="B723" s="362"/>
      <c r="C723" s="628" t="s">
        <v>281</v>
      </c>
      <c r="D723" s="790" t="s">
        <v>949</v>
      </c>
      <c r="E723" s="636" t="s">
        <v>282</v>
      </c>
      <c r="F723" s="637"/>
      <c r="G723" s="638"/>
      <c r="H723" s="638"/>
      <c r="I723" s="1157">
        <f>IF(D719=0,0,D719/D722)</f>
        <v>121866.35311111111</v>
      </c>
      <c r="J723" s="1148"/>
      <c r="K723" s="1148" t="s">
        <v>363</v>
      </c>
      <c r="L723" s="1148"/>
      <c r="M723" s="1148"/>
      <c r="N723" s="1148"/>
      <c r="O723" s="517"/>
      <c r="P723" s="480"/>
    </row>
    <row r="724" spans="1:16" ht="51">
      <c r="A724" s="470"/>
      <c r="B724" s="470"/>
      <c r="C724" s="639" t="s">
        <v>272</v>
      </c>
      <c r="D724" s="1160" t="s">
        <v>283</v>
      </c>
      <c r="E724" s="1161" t="s">
        <v>284</v>
      </c>
      <c r="F724" s="1160" t="s">
        <v>285</v>
      </c>
      <c r="G724" s="1161" t="s">
        <v>356</v>
      </c>
      <c r="H724" s="1162" t="s">
        <v>356</v>
      </c>
      <c r="I724" s="639" t="s">
        <v>295</v>
      </c>
      <c r="J724" s="643"/>
      <c r="K724" s="1161" t="s">
        <v>365</v>
      </c>
      <c r="L724" s="1163"/>
      <c r="M724" s="1161" t="s">
        <v>365</v>
      </c>
      <c r="N724" s="1163"/>
      <c r="O724" s="1163"/>
      <c r="P724" s="480"/>
    </row>
    <row r="725" spans="1:16" ht="13.5" thickBot="1">
      <c r="A725" s="285"/>
      <c r="B725" s="285"/>
      <c r="C725" s="645" t="s">
        <v>177</v>
      </c>
      <c r="D725" s="646" t="s">
        <v>178</v>
      </c>
      <c r="E725" s="645" t="s">
        <v>37</v>
      </c>
      <c r="F725" s="646" t="s">
        <v>178</v>
      </c>
      <c r="G725" s="1164" t="s">
        <v>298</v>
      </c>
      <c r="H725" s="1165" t="s">
        <v>300</v>
      </c>
      <c r="I725" s="649" t="s">
        <v>389</v>
      </c>
      <c r="J725" s="650"/>
      <c r="K725" s="1164" t="s">
        <v>287</v>
      </c>
      <c r="L725" s="1166"/>
      <c r="M725" s="1164" t="s">
        <v>300</v>
      </c>
      <c r="N725" s="1166"/>
      <c r="O725" s="1166"/>
      <c r="P725" s="480"/>
    </row>
    <row r="726" spans="1:16">
      <c r="A726" s="285"/>
      <c r="B726" s="285"/>
      <c r="C726" s="651">
        <f>IF(D720= "","-",D720)</f>
        <v>2015</v>
      </c>
      <c r="D726" s="602">
        <f>+D719</f>
        <v>5483985.8899999997</v>
      </c>
      <c r="E726" s="1167">
        <f>+I723/12*(12-D721)</f>
        <v>0</v>
      </c>
      <c r="F726" s="602">
        <f t="shared" ref="F726:F785" si="47">+D726-E726</f>
        <v>5483985.8899999997</v>
      </c>
      <c r="G726" s="1168">
        <f>+$I$721*((D726+F726)/2)+E726</f>
        <v>602564.72174816148</v>
      </c>
      <c r="H726" s="1169">
        <f>+$I$722*((D726+F726)/2)+E726</f>
        <v>602564.72174816148</v>
      </c>
      <c r="I726" s="655">
        <f t="shared" ref="I726:I785" si="48">+H726-G726</f>
        <v>0</v>
      </c>
      <c r="J726" s="655"/>
      <c r="K726" s="792">
        <v>0</v>
      </c>
      <c r="L726" s="657"/>
      <c r="M726" s="792">
        <v>0</v>
      </c>
      <c r="N726" s="657"/>
      <c r="O726" s="657"/>
      <c r="P726" s="480"/>
    </row>
    <row r="727" spans="1:16">
      <c r="A727" s="285"/>
      <c r="B727" s="285"/>
      <c r="C727" s="651">
        <f>IF(D720="","-",+C726+1)</f>
        <v>2016</v>
      </c>
      <c r="D727" s="602">
        <f t="shared" ref="D727:D785" si="49">F726</f>
        <v>5483985.8899999997</v>
      </c>
      <c r="E727" s="658">
        <f>IF(D727&gt;$I$723,$I$723,D727)</f>
        <v>121866.35311111111</v>
      </c>
      <c r="F727" s="602">
        <f t="shared" si="47"/>
        <v>5362119.5368888881</v>
      </c>
      <c r="G727" s="1167">
        <f t="shared" ref="G727:G785" si="50">+$I$721*((D727+F727)/2)+E727</f>
        <v>717735.91128429293</v>
      </c>
      <c r="H727" s="1170">
        <f t="shared" ref="H727:H785" si="51">+$I$722*((D727+F727)/2)+E727</f>
        <v>717735.91128429293</v>
      </c>
      <c r="I727" s="655">
        <f t="shared" si="48"/>
        <v>0</v>
      </c>
      <c r="J727" s="1184"/>
      <c r="K727" s="1185">
        <v>780577</v>
      </c>
      <c r="L727" s="1188"/>
      <c r="M727" s="1185">
        <v>780577</v>
      </c>
      <c r="N727" s="1189"/>
      <c r="O727" s="661"/>
      <c r="P727" s="480"/>
    </row>
    <row r="728" spans="1:16">
      <c r="A728" s="285"/>
      <c r="B728" s="285"/>
      <c r="C728" s="651">
        <f>IF(D720="","-",+C727+1)</f>
        <v>2017</v>
      </c>
      <c r="D728" s="602">
        <f t="shared" si="49"/>
        <v>5362119.5368888881</v>
      </c>
      <c r="E728" s="658">
        <f t="shared" ref="E728:E785" si="52">IF(D728&gt;$I$723,$I$723,D728)</f>
        <v>121866.35311111111</v>
      </c>
      <c r="F728" s="602">
        <f t="shared" si="47"/>
        <v>5240253.1837777765</v>
      </c>
      <c r="G728" s="1167">
        <f t="shared" si="50"/>
        <v>704345.58413433377</v>
      </c>
      <c r="H728" s="1170">
        <f t="shared" si="51"/>
        <v>704345.58413433377</v>
      </c>
      <c r="I728" s="655">
        <f t="shared" si="48"/>
        <v>0</v>
      </c>
      <c r="J728" s="655"/>
      <c r="K728" s="793">
        <v>779062</v>
      </c>
      <c r="L728" s="1180"/>
      <c r="M728" s="793">
        <v>779062</v>
      </c>
      <c r="N728" s="661"/>
      <c r="O728" s="661"/>
      <c r="P728" s="480"/>
    </row>
    <row r="729" spans="1:16">
      <c r="A729" s="285"/>
      <c r="B729" s="285"/>
      <c r="C729" s="1194">
        <f>IF(D720="","-",+C728+1)</f>
        <v>2018</v>
      </c>
      <c r="D729" s="1172">
        <f t="shared" si="49"/>
        <v>5240253.1837777765</v>
      </c>
      <c r="E729" s="1173">
        <f t="shared" si="52"/>
        <v>121866.35311111111</v>
      </c>
      <c r="F729" s="1172">
        <f t="shared" si="47"/>
        <v>5118386.830666665</v>
      </c>
      <c r="G729" s="1174">
        <f t="shared" si="50"/>
        <v>690955.25698437449</v>
      </c>
      <c r="H729" s="1175">
        <f t="shared" si="51"/>
        <v>690955.25698437449</v>
      </c>
      <c r="I729" s="1181">
        <f t="shared" si="48"/>
        <v>0</v>
      </c>
      <c r="J729" s="655"/>
      <c r="K729" s="793">
        <v>672821</v>
      </c>
      <c r="L729" s="661"/>
      <c r="M729" s="793">
        <v>672821</v>
      </c>
      <c r="N729" s="661"/>
      <c r="O729" s="661"/>
      <c r="P729" s="480"/>
    </row>
    <row r="730" spans="1:16">
      <c r="A730" s="285"/>
      <c r="B730" s="285"/>
      <c r="C730" s="1229">
        <f>IF(D721="","-",+C729+1)</f>
        <v>2019</v>
      </c>
      <c r="D730" s="602">
        <f t="shared" si="49"/>
        <v>5118386.830666665</v>
      </c>
      <c r="E730" s="658">
        <f t="shared" si="52"/>
        <v>121866.35311111111</v>
      </c>
      <c r="F730" s="602">
        <f t="shared" si="47"/>
        <v>4996520.4775555534</v>
      </c>
      <c r="G730" s="1167">
        <f t="shared" si="50"/>
        <v>677564.92983441544</v>
      </c>
      <c r="H730" s="1170">
        <f t="shared" si="51"/>
        <v>677564.92983441544</v>
      </c>
      <c r="I730" s="655">
        <f t="shared" si="48"/>
        <v>0</v>
      </c>
      <c r="J730" s="655"/>
      <c r="K730" s="793">
        <v>658791</v>
      </c>
      <c r="L730" s="661"/>
      <c r="M730" s="793">
        <v>658791</v>
      </c>
      <c r="N730" s="661"/>
      <c r="O730" s="661"/>
      <c r="P730" s="480"/>
    </row>
    <row r="731" spans="1:16">
      <c r="A731" s="285"/>
      <c r="B731" s="285"/>
      <c r="C731" s="1229">
        <f>IF(D721="","-",+C730+1)</f>
        <v>2020</v>
      </c>
      <c r="D731" s="602">
        <f t="shared" si="49"/>
        <v>4996520.4775555534</v>
      </c>
      <c r="E731" s="658">
        <f t="shared" si="52"/>
        <v>121866.35311111111</v>
      </c>
      <c r="F731" s="602">
        <f t="shared" si="47"/>
        <v>4874654.1244444419</v>
      </c>
      <c r="G731" s="1167">
        <f t="shared" si="50"/>
        <v>664174.60268445616</v>
      </c>
      <c r="H731" s="1170">
        <f t="shared" si="51"/>
        <v>664174.60268445616</v>
      </c>
      <c r="I731" s="655">
        <f t="shared" si="48"/>
        <v>0</v>
      </c>
      <c r="J731" s="655"/>
      <c r="K731" s="793">
        <v>626724.43171071797</v>
      </c>
      <c r="L731" s="661"/>
      <c r="M731" s="793">
        <v>626724.43171071797</v>
      </c>
      <c r="N731" s="661"/>
      <c r="O731" s="661"/>
      <c r="P731" s="480"/>
    </row>
    <row r="732" spans="1:16">
      <c r="A732" s="285"/>
      <c r="B732" s="285"/>
      <c r="C732" s="1229">
        <f>IF(D720="","-",+C731+1)</f>
        <v>2021</v>
      </c>
      <c r="D732" s="602">
        <f t="shared" si="49"/>
        <v>4874654.1244444419</v>
      </c>
      <c r="E732" s="658">
        <f t="shared" si="52"/>
        <v>121866.35311111111</v>
      </c>
      <c r="F732" s="602">
        <f t="shared" si="47"/>
        <v>4752787.7713333303</v>
      </c>
      <c r="G732" s="1167">
        <f t="shared" si="50"/>
        <v>650784.27553449699</v>
      </c>
      <c r="H732" s="1170">
        <f t="shared" si="51"/>
        <v>650784.27553449699</v>
      </c>
      <c r="I732" s="655">
        <f t="shared" si="48"/>
        <v>0</v>
      </c>
      <c r="J732" s="655"/>
      <c r="K732" s="793">
        <v>618333.12395489472</v>
      </c>
      <c r="L732" s="661"/>
      <c r="M732" s="1230">
        <v>618333.12395489472</v>
      </c>
      <c r="N732" s="661"/>
      <c r="O732" s="661"/>
      <c r="P732" s="480"/>
    </row>
    <row r="733" spans="1:16">
      <c r="A733" s="285"/>
      <c r="B733" s="285"/>
      <c r="C733" s="1229">
        <f>IF(D724="","-",+C732+1)</f>
        <v>2022</v>
      </c>
      <c r="D733" s="602">
        <f t="shared" si="49"/>
        <v>4752787.7713333303</v>
      </c>
      <c r="E733" s="658">
        <f t="shared" si="52"/>
        <v>121866.35311111111</v>
      </c>
      <c r="F733" s="602">
        <f t="shared" si="47"/>
        <v>4630921.4182222188</v>
      </c>
      <c r="G733" s="1167">
        <f t="shared" si="50"/>
        <v>637393.94838453771</v>
      </c>
      <c r="H733" s="1170">
        <f t="shared" si="51"/>
        <v>637393.94838453771</v>
      </c>
      <c r="I733" s="655">
        <f t="shared" si="48"/>
        <v>0</v>
      </c>
      <c r="J733" s="655"/>
      <c r="K733" s="793">
        <v>610745.696873629</v>
      </c>
      <c r="L733" s="661"/>
      <c r="M733" s="1230">
        <v>610745.696873629</v>
      </c>
      <c r="N733" s="661"/>
      <c r="O733" s="661"/>
      <c r="P733" s="480"/>
    </row>
    <row r="734" spans="1:16">
      <c r="A734" s="285"/>
      <c r="B734" s="285"/>
      <c r="C734" s="1229">
        <f>IF(D724="","-",+C733+1)</f>
        <v>2023</v>
      </c>
      <c r="D734" s="602">
        <f t="shared" si="49"/>
        <v>4630921.4182222188</v>
      </c>
      <c r="E734" s="658">
        <f t="shared" si="52"/>
        <v>121866.35311111111</v>
      </c>
      <c r="F734" s="602">
        <f t="shared" si="47"/>
        <v>4509055.0651111072</v>
      </c>
      <c r="G734" s="1167">
        <f t="shared" si="50"/>
        <v>624003.62123457866</v>
      </c>
      <c r="H734" s="1170">
        <f t="shared" si="51"/>
        <v>624003.62123457866</v>
      </c>
      <c r="I734" s="655">
        <f t="shared" si="48"/>
        <v>0</v>
      </c>
      <c r="J734" s="655"/>
      <c r="K734" s="793">
        <v>630586.57976023632</v>
      </c>
      <c r="L734" s="661"/>
      <c r="M734" s="1230">
        <v>630586.57976023632</v>
      </c>
      <c r="N734" s="661"/>
      <c r="O734" s="661"/>
      <c r="P734" s="480"/>
    </row>
    <row r="735" spans="1:16">
      <c r="A735" s="285"/>
      <c r="B735" s="285"/>
      <c r="C735" s="1171">
        <f>IF(D720="","-",+C734+1)</f>
        <v>2024</v>
      </c>
      <c r="D735" s="602">
        <f t="shared" si="49"/>
        <v>4509055.0651111072</v>
      </c>
      <c r="E735" s="658">
        <f t="shared" si="52"/>
        <v>121866.35311111111</v>
      </c>
      <c r="F735" s="602">
        <f t="shared" si="47"/>
        <v>4387188.7119999956</v>
      </c>
      <c r="G735" s="1167">
        <f t="shared" si="50"/>
        <v>610613.29408461938</v>
      </c>
      <c r="H735" s="1170">
        <f t="shared" si="51"/>
        <v>610613.29408461938</v>
      </c>
      <c r="I735" s="655">
        <f t="shared" si="48"/>
        <v>0</v>
      </c>
      <c r="J735" s="655"/>
      <c r="K735" s="793"/>
      <c r="L735" s="661"/>
      <c r="M735" s="793"/>
      <c r="N735" s="661"/>
      <c r="O735" s="661"/>
      <c r="P735" s="480"/>
    </row>
    <row r="736" spans="1:16">
      <c r="A736" s="285"/>
      <c r="B736" s="285"/>
      <c r="C736" s="651">
        <f>IF(D720="","-",+C735+1)</f>
        <v>2025</v>
      </c>
      <c r="D736" s="602">
        <f t="shared" si="49"/>
        <v>4387188.7119999956</v>
      </c>
      <c r="E736" s="658">
        <f t="shared" si="52"/>
        <v>121866.35311111111</v>
      </c>
      <c r="F736" s="602">
        <f t="shared" si="47"/>
        <v>4265322.3588888841</v>
      </c>
      <c r="G736" s="1167">
        <f t="shared" si="50"/>
        <v>597222.96693466033</v>
      </c>
      <c r="H736" s="1170">
        <f t="shared" si="51"/>
        <v>597222.96693466033</v>
      </c>
      <c r="I736" s="655">
        <f t="shared" si="48"/>
        <v>0</v>
      </c>
      <c r="J736" s="655"/>
      <c r="K736" s="793"/>
      <c r="L736" s="661"/>
      <c r="M736" s="793"/>
      <c r="N736" s="661"/>
      <c r="O736" s="661"/>
      <c r="P736" s="480"/>
    </row>
    <row r="737" spans="1:16">
      <c r="A737" s="285"/>
      <c r="B737" s="285"/>
      <c r="C737" s="651">
        <f>IF(D720="","-",+C736+1)</f>
        <v>2026</v>
      </c>
      <c r="D737" s="602">
        <f t="shared" si="49"/>
        <v>4265322.3588888841</v>
      </c>
      <c r="E737" s="658">
        <f t="shared" si="52"/>
        <v>121866.35311111111</v>
      </c>
      <c r="F737" s="602">
        <f t="shared" si="47"/>
        <v>4143456.005777773</v>
      </c>
      <c r="G737" s="1167">
        <f t="shared" si="50"/>
        <v>583832.63978470105</v>
      </c>
      <c r="H737" s="1170">
        <f t="shared" si="51"/>
        <v>583832.63978470105</v>
      </c>
      <c r="I737" s="655">
        <f t="shared" si="48"/>
        <v>0</v>
      </c>
      <c r="J737" s="655"/>
      <c r="K737" s="793"/>
      <c r="L737" s="661"/>
      <c r="M737" s="793"/>
      <c r="N737" s="661"/>
      <c r="O737" s="661"/>
      <c r="P737" s="480"/>
    </row>
    <row r="738" spans="1:16">
      <c r="A738" s="285"/>
      <c r="B738" s="285"/>
      <c r="C738" s="651">
        <f>IF(D720="","-",+C737+1)</f>
        <v>2027</v>
      </c>
      <c r="D738" s="602">
        <f t="shared" si="49"/>
        <v>4143456.005777773</v>
      </c>
      <c r="E738" s="658">
        <f t="shared" si="52"/>
        <v>121866.35311111111</v>
      </c>
      <c r="F738" s="602">
        <f t="shared" si="47"/>
        <v>4021589.6526666619</v>
      </c>
      <c r="G738" s="1167">
        <f t="shared" si="50"/>
        <v>570442.31263474189</v>
      </c>
      <c r="H738" s="1170">
        <f t="shared" si="51"/>
        <v>570442.31263474189</v>
      </c>
      <c r="I738" s="655">
        <f t="shared" si="48"/>
        <v>0</v>
      </c>
      <c r="J738" s="655"/>
      <c r="K738" s="793"/>
      <c r="L738" s="661"/>
      <c r="M738" s="793"/>
      <c r="N738" s="662"/>
      <c r="O738" s="661"/>
      <c r="P738" s="480"/>
    </row>
    <row r="739" spans="1:16">
      <c r="A739" s="285"/>
      <c r="B739" s="285"/>
      <c r="C739" s="651">
        <f>IF(D720="","-",+C738+1)</f>
        <v>2028</v>
      </c>
      <c r="D739" s="602">
        <f t="shared" si="49"/>
        <v>4021589.6526666619</v>
      </c>
      <c r="E739" s="658">
        <f t="shared" si="52"/>
        <v>121866.35311111111</v>
      </c>
      <c r="F739" s="602">
        <f t="shared" si="47"/>
        <v>3899723.2995555508</v>
      </c>
      <c r="G739" s="1167">
        <f t="shared" si="50"/>
        <v>557051.98548478284</v>
      </c>
      <c r="H739" s="1170">
        <f t="shared" si="51"/>
        <v>557051.98548478284</v>
      </c>
      <c r="I739" s="655">
        <f t="shared" si="48"/>
        <v>0</v>
      </c>
      <c r="J739" s="655"/>
      <c r="K739" s="793"/>
      <c r="L739" s="661"/>
      <c r="M739" s="793"/>
      <c r="N739" s="661"/>
      <c r="O739" s="661"/>
      <c r="P739" s="480"/>
    </row>
    <row r="740" spans="1:16">
      <c r="A740" s="285"/>
      <c r="B740" s="285"/>
      <c r="C740" s="651">
        <f>IF(D720="","-",+C739+1)</f>
        <v>2029</v>
      </c>
      <c r="D740" s="602">
        <f t="shared" si="49"/>
        <v>3899723.2995555508</v>
      </c>
      <c r="E740" s="658">
        <f t="shared" si="52"/>
        <v>121866.35311111111</v>
      </c>
      <c r="F740" s="602">
        <f t="shared" si="47"/>
        <v>3777856.9464444397</v>
      </c>
      <c r="G740" s="1167">
        <f t="shared" si="50"/>
        <v>543661.65833482356</v>
      </c>
      <c r="H740" s="1170">
        <f t="shared" si="51"/>
        <v>543661.65833482356</v>
      </c>
      <c r="I740" s="655">
        <f t="shared" si="48"/>
        <v>0</v>
      </c>
      <c r="J740" s="655"/>
      <c r="K740" s="793"/>
      <c r="L740" s="661"/>
      <c r="M740" s="793"/>
      <c r="N740" s="661"/>
      <c r="O740" s="661"/>
      <c r="P740" s="480"/>
    </row>
    <row r="741" spans="1:16">
      <c r="A741" s="285"/>
      <c r="B741" s="285"/>
      <c r="C741" s="651">
        <f>IF(D720="","-",+C740+1)</f>
        <v>2030</v>
      </c>
      <c r="D741" s="602">
        <f t="shared" si="49"/>
        <v>3777856.9464444397</v>
      </c>
      <c r="E741" s="658">
        <f t="shared" si="52"/>
        <v>121866.35311111111</v>
      </c>
      <c r="F741" s="602">
        <f t="shared" si="47"/>
        <v>3655990.5933333286</v>
      </c>
      <c r="G741" s="1167">
        <f t="shared" si="50"/>
        <v>530271.33118486451</v>
      </c>
      <c r="H741" s="1170">
        <f t="shared" si="51"/>
        <v>530271.33118486451</v>
      </c>
      <c r="I741" s="655">
        <f t="shared" si="48"/>
        <v>0</v>
      </c>
      <c r="J741" s="655"/>
      <c r="K741" s="793"/>
      <c r="L741" s="661"/>
      <c r="M741" s="793"/>
      <c r="N741" s="661"/>
      <c r="O741" s="661"/>
      <c r="P741" s="480"/>
    </row>
    <row r="742" spans="1:16">
      <c r="A742" s="285"/>
      <c r="B742" s="285"/>
      <c r="C742" s="651">
        <f>IF(D720="","-",+C741+1)</f>
        <v>2031</v>
      </c>
      <c r="D742" s="602">
        <f t="shared" si="49"/>
        <v>3655990.5933333286</v>
      </c>
      <c r="E742" s="658">
        <f t="shared" si="52"/>
        <v>121866.35311111111</v>
      </c>
      <c r="F742" s="602">
        <f t="shared" si="47"/>
        <v>3534124.2402222175</v>
      </c>
      <c r="G742" s="1167">
        <f t="shared" si="50"/>
        <v>516881.00403490529</v>
      </c>
      <c r="H742" s="1170">
        <f t="shared" si="51"/>
        <v>516881.00403490529</v>
      </c>
      <c r="I742" s="655">
        <f t="shared" si="48"/>
        <v>0</v>
      </c>
      <c r="J742" s="655"/>
      <c r="K742" s="793"/>
      <c r="L742" s="661"/>
      <c r="M742" s="793"/>
      <c r="N742" s="661"/>
      <c r="O742" s="661"/>
      <c r="P742" s="480"/>
    </row>
    <row r="743" spans="1:16">
      <c r="A743" s="285"/>
      <c r="B743" s="285"/>
      <c r="C743" s="651">
        <f>IF(D720="","-",+C742+1)</f>
        <v>2032</v>
      </c>
      <c r="D743" s="602">
        <f t="shared" si="49"/>
        <v>3534124.2402222175</v>
      </c>
      <c r="E743" s="658">
        <f t="shared" si="52"/>
        <v>121866.35311111111</v>
      </c>
      <c r="F743" s="602">
        <f t="shared" si="47"/>
        <v>3412257.8871111064</v>
      </c>
      <c r="G743" s="1167">
        <f t="shared" si="50"/>
        <v>503490.67688494618</v>
      </c>
      <c r="H743" s="1170">
        <f t="shared" si="51"/>
        <v>503490.67688494618</v>
      </c>
      <c r="I743" s="655">
        <f t="shared" si="48"/>
        <v>0</v>
      </c>
      <c r="J743" s="655"/>
      <c r="K743" s="793"/>
      <c r="L743" s="661"/>
      <c r="M743" s="793"/>
      <c r="N743" s="661"/>
      <c r="O743" s="661"/>
      <c r="P743" s="480"/>
    </row>
    <row r="744" spans="1:16">
      <c r="A744" s="285"/>
      <c r="B744" s="285"/>
      <c r="C744" s="651">
        <f>IF(D720="","-",+C743+1)</f>
        <v>2033</v>
      </c>
      <c r="D744" s="602">
        <f t="shared" si="49"/>
        <v>3412257.8871111064</v>
      </c>
      <c r="E744" s="658">
        <f t="shared" si="52"/>
        <v>121866.35311111111</v>
      </c>
      <c r="F744" s="602">
        <f t="shared" si="47"/>
        <v>3290391.5339999953</v>
      </c>
      <c r="G744" s="1167">
        <f t="shared" si="50"/>
        <v>490100.34973498702</v>
      </c>
      <c r="H744" s="1170">
        <f t="shared" si="51"/>
        <v>490100.34973498702</v>
      </c>
      <c r="I744" s="655">
        <f t="shared" si="48"/>
        <v>0</v>
      </c>
      <c r="J744" s="655"/>
      <c r="K744" s="793"/>
      <c r="L744" s="661"/>
      <c r="M744" s="793"/>
      <c r="N744" s="661"/>
      <c r="O744" s="661"/>
      <c r="P744" s="480"/>
    </row>
    <row r="745" spans="1:16">
      <c r="A745" s="285"/>
      <c r="B745" s="285"/>
      <c r="C745" s="651">
        <f>IF(D720="","-",+C744+1)</f>
        <v>2034</v>
      </c>
      <c r="D745" s="602">
        <f t="shared" si="49"/>
        <v>3290391.5339999953</v>
      </c>
      <c r="E745" s="658">
        <f t="shared" si="52"/>
        <v>121866.35311111111</v>
      </c>
      <c r="F745" s="602">
        <f t="shared" si="47"/>
        <v>3168525.1808888842</v>
      </c>
      <c r="G745" s="1167">
        <f t="shared" si="50"/>
        <v>476710.02258502791</v>
      </c>
      <c r="H745" s="1170">
        <f t="shared" si="51"/>
        <v>476710.02258502791</v>
      </c>
      <c r="I745" s="655">
        <f t="shared" si="48"/>
        <v>0</v>
      </c>
      <c r="J745" s="655"/>
      <c r="K745" s="793"/>
      <c r="L745" s="661"/>
      <c r="M745" s="793"/>
      <c r="N745" s="661"/>
      <c r="O745" s="661"/>
      <c r="P745" s="480"/>
    </row>
    <row r="746" spans="1:16">
      <c r="A746" s="285"/>
      <c r="B746" s="285"/>
      <c r="C746" s="651">
        <f>IF(D720="","-",+C745+1)</f>
        <v>2035</v>
      </c>
      <c r="D746" s="602">
        <f t="shared" si="49"/>
        <v>3168525.1808888842</v>
      </c>
      <c r="E746" s="658">
        <f t="shared" si="52"/>
        <v>121866.35311111111</v>
      </c>
      <c r="F746" s="602">
        <f t="shared" si="47"/>
        <v>3046658.8277777731</v>
      </c>
      <c r="G746" s="1167">
        <f t="shared" si="50"/>
        <v>463319.69543506874</v>
      </c>
      <c r="H746" s="1170">
        <f t="shared" si="51"/>
        <v>463319.69543506874</v>
      </c>
      <c r="I746" s="655">
        <f t="shared" si="48"/>
        <v>0</v>
      </c>
      <c r="J746" s="655"/>
      <c r="K746" s="793"/>
      <c r="L746" s="661"/>
      <c r="M746" s="793"/>
      <c r="N746" s="661"/>
      <c r="O746" s="661"/>
      <c r="P746" s="480"/>
    </row>
    <row r="747" spans="1:16">
      <c r="A747" s="285"/>
      <c r="B747" s="285"/>
      <c r="C747" s="651">
        <f>IF(D720="","-",+C746+1)</f>
        <v>2036</v>
      </c>
      <c r="D747" s="602">
        <f t="shared" si="49"/>
        <v>3046658.8277777731</v>
      </c>
      <c r="E747" s="658">
        <f t="shared" si="52"/>
        <v>121866.35311111111</v>
      </c>
      <c r="F747" s="602">
        <f t="shared" si="47"/>
        <v>2924792.474666662</v>
      </c>
      <c r="G747" s="1167">
        <f t="shared" si="50"/>
        <v>449929.36828510964</v>
      </c>
      <c r="H747" s="1170">
        <f t="shared" si="51"/>
        <v>449929.36828510964</v>
      </c>
      <c r="I747" s="655">
        <f t="shared" si="48"/>
        <v>0</v>
      </c>
      <c r="J747" s="655"/>
      <c r="K747" s="793"/>
      <c r="L747" s="661"/>
      <c r="M747" s="793"/>
      <c r="N747" s="661"/>
      <c r="O747" s="661"/>
      <c r="P747" s="480"/>
    </row>
    <row r="748" spans="1:16">
      <c r="A748" s="285"/>
      <c r="B748" s="285"/>
      <c r="C748" s="651">
        <f>IF(D720="","-",+C747+1)</f>
        <v>2037</v>
      </c>
      <c r="D748" s="602">
        <f t="shared" si="49"/>
        <v>2924792.474666662</v>
      </c>
      <c r="E748" s="658">
        <f t="shared" si="52"/>
        <v>121866.35311111111</v>
      </c>
      <c r="F748" s="602">
        <f t="shared" si="47"/>
        <v>2802926.121555551</v>
      </c>
      <c r="G748" s="1167">
        <f t="shared" si="50"/>
        <v>436539.04113515047</v>
      </c>
      <c r="H748" s="1170">
        <f t="shared" si="51"/>
        <v>436539.04113515047</v>
      </c>
      <c r="I748" s="655">
        <f t="shared" si="48"/>
        <v>0</v>
      </c>
      <c r="J748" s="655"/>
      <c r="K748" s="793"/>
      <c r="L748" s="661"/>
      <c r="M748" s="793"/>
      <c r="N748" s="661"/>
      <c r="O748" s="661"/>
      <c r="P748" s="480"/>
    </row>
    <row r="749" spans="1:16">
      <c r="A749" s="285"/>
      <c r="B749" s="285"/>
      <c r="C749" s="651">
        <f>IF(D720="","-",+C748+1)</f>
        <v>2038</v>
      </c>
      <c r="D749" s="602">
        <f t="shared" si="49"/>
        <v>2802926.121555551</v>
      </c>
      <c r="E749" s="658">
        <f t="shared" si="52"/>
        <v>121866.35311111111</v>
      </c>
      <c r="F749" s="602">
        <f t="shared" si="47"/>
        <v>2681059.7684444399</v>
      </c>
      <c r="G749" s="1167">
        <f t="shared" si="50"/>
        <v>423148.71398519137</v>
      </c>
      <c r="H749" s="1170">
        <f t="shared" si="51"/>
        <v>423148.71398519137</v>
      </c>
      <c r="I749" s="655">
        <f t="shared" si="48"/>
        <v>0</v>
      </c>
      <c r="J749" s="655"/>
      <c r="K749" s="793"/>
      <c r="L749" s="661"/>
      <c r="M749" s="793"/>
      <c r="N749" s="661"/>
      <c r="O749" s="661"/>
      <c r="P749" s="480"/>
    </row>
    <row r="750" spans="1:16">
      <c r="A750" s="285"/>
      <c r="B750" s="285"/>
      <c r="C750" s="651">
        <f>IF(D720="","-",+C749+1)</f>
        <v>2039</v>
      </c>
      <c r="D750" s="602">
        <f t="shared" si="49"/>
        <v>2681059.7684444399</v>
      </c>
      <c r="E750" s="658">
        <f t="shared" si="52"/>
        <v>121866.35311111111</v>
      </c>
      <c r="F750" s="602">
        <f t="shared" si="47"/>
        <v>2559193.4153333288</v>
      </c>
      <c r="G750" s="1167">
        <f t="shared" si="50"/>
        <v>409758.38683523214</v>
      </c>
      <c r="H750" s="1170">
        <f t="shared" si="51"/>
        <v>409758.38683523214</v>
      </c>
      <c r="I750" s="655">
        <f t="shared" si="48"/>
        <v>0</v>
      </c>
      <c r="J750" s="655"/>
      <c r="K750" s="793"/>
      <c r="L750" s="661"/>
      <c r="M750" s="793"/>
      <c r="N750" s="661"/>
      <c r="O750" s="661"/>
      <c r="P750" s="480"/>
    </row>
    <row r="751" spans="1:16">
      <c r="A751" s="285"/>
      <c r="B751" s="285"/>
      <c r="C751" s="651">
        <f>IF(D720="","-",+C750+1)</f>
        <v>2040</v>
      </c>
      <c r="D751" s="602">
        <f t="shared" si="49"/>
        <v>2559193.4153333288</v>
      </c>
      <c r="E751" s="658">
        <f t="shared" si="52"/>
        <v>121866.35311111111</v>
      </c>
      <c r="F751" s="602">
        <f t="shared" si="47"/>
        <v>2437327.0622222177</v>
      </c>
      <c r="G751" s="1167">
        <f t="shared" si="50"/>
        <v>396368.0596852731</v>
      </c>
      <c r="H751" s="1170">
        <f t="shared" si="51"/>
        <v>396368.0596852731</v>
      </c>
      <c r="I751" s="655">
        <f t="shared" si="48"/>
        <v>0</v>
      </c>
      <c r="J751" s="655"/>
      <c r="K751" s="793"/>
      <c r="L751" s="661"/>
      <c r="M751" s="793"/>
      <c r="N751" s="661"/>
      <c r="O751" s="661"/>
      <c r="P751" s="480"/>
    </row>
    <row r="752" spans="1:16">
      <c r="A752" s="285"/>
      <c r="B752" s="285"/>
      <c r="C752" s="651">
        <f>IF(D720="","-",+C751+1)</f>
        <v>2041</v>
      </c>
      <c r="D752" s="602">
        <f t="shared" si="49"/>
        <v>2437327.0622222177</v>
      </c>
      <c r="E752" s="658">
        <f t="shared" si="52"/>
        <v>121866.35311111111</v>
      </c>
      <c r="F752" s="602">
        <f t="shared" si="47"/>
        <v>2315460.7091111066</v>
      </c>
      <c r="G752" s="1167">
        <f t="shared" si="50"/>
        <v>382977.73253531387</v>
      </c>
      <c r="H752" s="1170">
        <f t="shared" si="51"/>
        <v>382977.73253531387</v>
      </c>
      <c r="I752" s="655">
        <f t="shared" si="48"/>
        <v>0</v>
      </c>
      <c r="J752" s="655"/>
      <c r="K752" s="793"/>
      <c r="L752" s="661"/>
      <c r="M752" s="793"/>
      <c r="N752" s="661"/>
      <c r="O752" s="661"/>
      <c r="P752" s="480"/>
    </row>
    <row r="753" spans="1:16">
      <c r="A753" s="285"/>
      <c r="B753" s="285"/>
      <c r="C753" s="651">
        <f>IF(D720="","-",+C752+1)</f>
        <v>2042</v>
      </c>
      <c r="D753" s="602">
        <f t="shared" si="49"/>
        <v>2315460.7091111066</v>
      </c>
      <c r="E753" s="658">
        <f t="shared" si="52"/>
        <v>121866.35311111111</v>
      </c>
      <c r="F753" s="602">
        <f t="shared" si="47"/>
        <v>2193594.3559999955</v>
      </c>
      <c r="G753" s="1167">
        <f t="shared" si="50"/>
        <v>369587.40538535482</v>
      </c>
      <c r="H753" s="1170">
        <f t="shared" si="51"/>
        <v>369587.40538535482</v>
      </c>
      <c r="I753" s="655">
        <f t="shared" si="48"/>
        <v>0</v>
      </c>
      <c r="J753" s="655"/>
      <c r="K753" s="793"/>
      <c r="L753" s="661"/>
      <c r="M753" s="793"/>
      <c r="N753" s="661"/>
      <c r="O753" s="661"/>
      <c r="P753" s="480"/>
    </row>
    <row r="754" spans="1:16">
      <c r="A754" s="285"/>
      <c r="B754" s="285"/>
      <c r="C754" s="651">
        <f>IF(D720="","-",+C753+1)</f>
        <v>2043</v>
      </c>
      <c r="D754" s="602">
        <f t="shared" si="49"/>
        <v>2193594.3559999955</v>
      </c>
      <c r="E754" s="658">
        <f t="shared" si="52"/>
        <v>121866.35311111111</v>
      </c>
      <c r="F754" s="602">
        <f t="shared" si="47"/>
        <v>2071728.0028888844</v>
      </c>
      <c r="G754" s="1176">
        <f t="shared" si="50"/>
        <v>356197.0782353956</v>
      </c>
      <c r="H754" s="1170">
        <f t="shared" si="51"/>
        <v>356197.0782353956</v>
      </c>
      <c r="I754" s="655">
        <f t="shared" si="48"/>
        <v>0</v>
      </c>
      <c r="J754" s="655"/>
      <c r="K754" s="793"/>
      <c r="L754" s="661"/>
      <c r="M754" s="793"/>
      <c r="N754" s="661"/>
      <c r="O754" s="661"/>
      <c r="P754" s="480"/>
    </row>
    <row r="755" spans="1:16">
      <c r="A755" s="285"/>
      <c r="B755" s="285"/>
      <c r="C755" s="651">
        <f>IF(D720="","-",+C754+1)</f>
        <v>2044</v>
      </c>
      <c r="D755" s="602">
        <f t="shared" si="49"/>
        <v>2071728.0028888844</v>
      </c>
      <c r="E755" s="658">
        <f t="shared" si="52"/>
        <v>121866.35311111111</v>
      </c>
      <c r="F755" s="602">
        <f t="shared" si="47"/>
        <v>1949861.6497777733</v>
      </c>
      <c r="G755" s="1167">
        <f t="shared" si="50"/>
        <v>342806.7510854365</v>
      </c>
      <c r="H755" s="1170">
        <f t="shared" si="51"/>
        <v>342806.7510854365</v>
      </c>
      <c r="I755" s="655">
        <f t="shared" si="48"/>
        <v>0</v>
      </c>
      <c r="J755" s="655"/>
      <c r="K755" s="793"/>
      <c r="L755" s="661"/>
      <c r="M755" s="793"/>
      <c r="N755" s="661"/>
      <c r="O755" s="661"/>
      <c r="P755" s="480"/>
    </row>
    <row r="756" spans="1:16">
      <c r="A756" s="285"/>
      <c r="B756" s="285"/>
      <c r="C756" s="651">
        <f>IF(D720="","-",+C755+1)</f>
        <v>2045</v>
      </c>
      <c r="D756" s="602">
        <f t="shared" si="49"/>
        <v>1949861.6497777733</v>
      </c>
      <c r="E756" s="658">
        <f t="shared" si="52"/>
        <v>121866.35311111111</v>
      </c>
      <c r="F756" s="602">
        <f t="shared" si="47"/>
        <v>1827995.2966666622</v>
      </c>
      <c r="G756" s="1167">
        <f t="shared" si="50"/>
        <v>329416.42393547733</v>
      </c>
      <c r="H756" s="1170">
        <f t="shared" si="51"/>
        <v>329416.42393547733</v>
      </c>
      <c r="I756" s="655">
        <f t="shared" si="48"/>
        <v>0</v>
      </c>
      <c r="J756" s="655"/>
      <c r="K756" s="793"/>
      <c r="L756" s="661"/>
      <c r="M756" s="793"/>
      <c r="N756" s="661"/>
      <c r="O756" s="661"/>
      <c r="P756" s="480"/>
    </row>
    <row r="757" spans="1:16">
      <c r="A757" s="285"/>
      <c r="B757" s="285"/>
      <c r="C757" s="651">
        <f>IF(D720="","-",+C756+1)</f>
        <v>2046</v>
      </c>
      <c r="D757" s="602">
        <f t="shared" si="49"/>
        <v>1827995.2966666622</v>
      </c>
      <c r="E757" s="658">
        <f t="shared" si="52"/>
        <v>121866.35311111111</v>
      </c>
      <c r="F757" s="602">
        <f t="shared" si="47"/>
        <v>1706128.9435555511</v>
      </c>
      <c r="G757" s="1167">
        <f t="shared" si="50"/>
        <v>316026.09678551822</v>
      </c>
      <c r="H757" s="1170">
        <f t="shared" si="51"/>
        <v>316026.09678551822</v>
      </c>
      <c r="I757" s="655">
        <f t="shared" si="48"/>
        <v>0</v>
      </c>
      <c r="J757" s="655"/>
      <c r="K757" s="793"/>
      <c r="L757" s="661"/>
      <c r="M757" s="793"/>
      <c r="N757" s="661"/>
      <c r="O757" s="661"/>
      <c r="P757" s="480"/>
    </row>
    <row r="758" spans="1:16">
      <c r="A758" s="285"/>
      <c r="B758" s="285"/>
      <c r="C758" s="651">
        <f>IF(D720="","-",+C757+1)</f>
        <v>2047</v>
      </c>
      <c r="D758" s="602">
        <f t="shared" si="49"/>
        <v>1706128.9435555511</v>
      </c>
      <c r="E758" s="658">
        <f t="shared" si="52"/>
        <v>121866.35311111111</v>
      </c>
      <c r="F758" s="602">
        <f t="shared" si="47"/>
        <v>1584262.59044444</v>
      </c>
      <c r="G758" s="1167">
        <f t="shared" si="50"/>
        <v>302635.76963555906</v>
      </c>
      <c r="H758" s="1170">
        <f t="shared" si="51"/>
        <v>302635.76963555906</v>
      </c>
      <c r="I758" s="655">
        <f t="shared" si="48"/>
        <v>0</v>
      </c>
      <c r="J758" s="655"/>
      <c r="K758" s="793"/>
      <c r="L758" s="661"/>
      <c r="M758" s="793"/>
      <c r="N758" s="661"/>
      <c r="O758" s="661"/>
      <c r="P758" s="480"/>
    </row>
    <row r="759" spans="1:16">
      <c r="A759" s="285"/>
      <c r="B759" s="285"/>
      <c r="C759" s="651">
        <f>IF(D720="","-",+C758+1)</f>
        <v>2048</v>
      </c>
      <c r="D759" s="602">
        <f t="shared" si="49"/>
        <v>1584262.59044444</v>
      </c>
      <c r="E759" s="658">
        <f t="shared" si="52"/>
        <v>121866.35311111111</v>
      </c>
      <c r="F759" s="602">
        <f t="shared" si="47"/>
        <v>1462396.2373333289</v>
      </c>
      <c r="G759" s="1167">
        <f t="shared" si="50"/>
        <v>289245.4424855999</v>
      </c>
      <c r="H759" s="1170">
        <f t="shared" si="51"/>
        <v>289245.4424855999</v>
      </c>
      <c r="I759" s="655">
        <f t="shared" si="48"/>
        <v>0</v>
      </c>
      <c r="J759" s="655"/>
      <c r="K759" s="793"/>
      <c r="L759" s="661"/>
      <c r="M759" s="793"/>
      <c r="N759" s="661"/>
      <c r="O759" s="661"/>
      <c r="P759" s="480"/>
    </row>
    <row r="760" spans="1:16">
      <c r="A760" s="285"/>
      <c r="B760" s="285"/>
      <c r="C760" s="651">
        <f>IF(D720="","-",+C759+1)</f>
        <v>2049</v>
      </c>
      <c r="D760" s="602">
        <f t="shared" si="49"/>
        <v>1462396.2373333289</v>
      </c>
      <c r="E760" s="658">
        <f t="shared" si="52"/>
        <v>121866.35311111111</v>
      </c>
      <c r="F760" s="602">
        <f t="shared" si="47"/>
        <v>1340529.8842222178</v>
      </c>
      <c r="G760" s="1167">
        <f t="shared" si="50"/>
        <v>275855.11533564079</v>
      </c>
      <c r="H760" s="1170">
        <f t="shared" si="51"/>
        <v>275855.11533564079</v>
      </c>
      <c r="I760" s="655">
        <f t="shared" si="48"/>
        <v>0</v>
      </c>
      <c r="J760" s="655"/>
      <c r="K760" s="793"/>
      <c r="L760" s="661"/>
      <c r="M760" s="793"/>
      <c r="N760" s="661"/>
      <c r="O760" s="661"/>
      <c r="P760" s="480"/>
    </row>
    <row r="761" spans="1:16">
      <c r="A761" s="285"/>
      <c r="B761" s="285"/>
      <c r="C761" s="651">
        <f>IF(D720="","-",+C760+1)</f>
        <v>2050</v>
      </c>
      <c r="D761" s="602">
        <f t="shared" si="49"/>
        <v>1340529.8842222178</v>
      </c>
      <c r="E761" s="658">
        <f t="shared" si="52"/>
        <v>121866.35311111111</v>
      </c>
      <c r="F761" s="602">
        <f t="shared" si="47"/>
        <v>1218663.5311111067</v>
      </c>
      <c r="G761" s="1167">
        <f t="shared" si="50"/>
        <v>262464.78818568162</v>
      </c>
      <c r="H761" s="1170">
        <f t="shared" si="51"/>
        <v>262464.78818568162</v>
      </c>
      <c r="I761" s="655">
        <f t="shared" si="48"/>
        <v>0</v>
      </c>
      <c r="J761" s="655"/>
      <c r="K761" s="793"/>
      <c r="L761" s="661"/>
      <c r="M761" s="793"/>
      <c r="N761" s="661"/>
      <c r="O761" s="661"/>
      <c r="P761" s="480"/>
    </row>
    <row r="762" spans="1:16">
      <c r="A762" s="285"/>
      <c r="B762" s="285"/>
      <c r="C762" s="651">
        <f>IF(D720="","-",+C761+1)</f>
        <v>2051</v>
      </c>
      <c r="D762" s="602">
        <f t="shared" si="49"/>
        <v>1218663.5311111067</v>
      </c>
      <c r="E762" s="658">
        <f t="shared" si="52"/>
        <v>121866.35311111111</v>
      </c>
      <c r="F762" s="602">
        <f t="shared" si="47"/>
        <v>1096797.1779999956</v>
      </c>
      <c r="G762" s="1167">
        <f t="shared" si="50"/>
        <v>249074.46103572252</v>
      </c>
      <c r="H762" s="1170">
        <f t="shared" si="51"/>
        <v>249074.46103572252</v>
      </c>
      <c r="I762" s="655">
        <f t="shared" si="48"/>
        <v>0</v>
      </c>
      <c r="J762" s="655"/>
      <c r="K762" s="793"/>
      <c r="L762" s="661"/>
      <c r="M762" s="793"/>
      <c r="N762" s="661"/>
      <c r="O762" s="661"/>
      <c r="P762" s="480"/>
    </row>
    <row r="763" spans="1:16">
      <c r="A763" s="285"/>
      <c r="B763" s="285"/>
      <c r="C763" s="651">
        <f>IF(D720="","-",+C762+1)</f>
        <v>2052</v>
      </c>
      <c r="D763" s="602">
        <f t="shared" si="49"/>
        <v>1096797.1779999956</v>
      </c>
      <c r="E763" s="658">
        <f t="shared" si="52"/>
        <v>121866.35311111111</v>
      </c>
      <c r="F763" s="602">
        <f t="shared" si="47"/>
        <v>974930.82488888456</v>
      </c>
      <c r="G763" s="1167">
        <f t="shared" si="50"/>
        <v>235684.13388576335</v>
      </c>
      <c r="H763" s="1170">
        <f t="shared" si="51"/>
        <v>235684.13388576335</v>
      </c>
      <c r="I763" s="655">
        <f t="shared" si="48"/>
        <v>0</v>
      </c>
      <c r="J763" s="655"/>
      <c r="K763" s="793"/>
      <c r="L763" s="661"/>
      <c r="M763" s="793"/>
      <c r="N763" s="661"/>
      <c r="O763" s="661"/>
      <c r="P763" s="480"/>
    </row>
    <row r="764" spans="1:16">
      <c r="A764" s="285"/>
      <c r="B764" s="285"/>
      <c r="C764" s="651">
        <f>IF(D720="","-",+C763+1)</f>
        <v>2053</v>
      </c>
      <c r="D764" s="602">
        <f t="shared" si="49"/>
        <v>974930.82488888456</v>
      </c>
      <c r="E764" s="658">
        <f t="shared" si="52"/>
        <v>121866.35311111111</v>
      </c>
      <c r="F764" s="602">
        <f t="shared" si="47"/>
        <v>853064.47177777346</v>
      </c>
      <c r="G764" s="1167">
        <f t="shared" si="50"/>
        <v>222293.80673580422</v>
      </c>
      <c r="H764" s="1170">
        <f t="shared" si="51"/>
        <v>222293.80673580422</v>
      </c>
      <c r="I764" s="655">
        <f t="shared" si="48"/>
        <v>0</v>
      </c>
      <c r="J764" s="655"/>
      <c r="K764" s="793"/>
      <c r="L764" s="661"/>
      <c r="M764" s="793"/>
      <c r="N764" s="661"/>
      <c r="O764" s="661"/>
      <c r="P764" s="480"/>
    </row>
    <row r="765" spans="1:16">
      <c r="A765" s="285"/>
      <c r="B765" s="285"/>
      <c r="C765" s="651">
        <f>IF(D720="","-",+C764+1)</f>
        <v>2054</v>
      </c>
      <c r="D765" s="602">
        <f t="shared" si="49"/>
        <v>853064.47177777346</v>
      </c>
      <c r="E765" s="658">
        <f t="shared" si="52"/>
        <v>121866.35311111111</v>
      </c>
      <c r="F765" s="602">
        <f t="shared" si="47"/>
        <v>731198.11866666237</v>
      </c>
      <c r="G765" s="1167">
        <f t="shared" si="50"/>
        <v>208903.47958584508</v>
      </c>
      <c r="H765" s="1170">
        <f t="shared" si="51"/>
        <v>208903.47958584508</v>
      </c>
      <c r="I765" s="655">
        <f t="shared" si="48"/>
        <v>0</v>
      </c>
      <c r="J765" s="655"/>
      <c r="K765" s="793"/>
      <c r="L765" s="661"/>
      <c r="M765" s="793"/>
      <c r="N765" s="661"/>
      <c r="O765" s="661"/>
      <c r="P765" s="480"/>
    </row>
    <row r="766" spans="1:16">
      <c r="A766" s="285"/>
      <c r="B766" s="285"/>
      <c r="C766" s="651">
        <f>IF(D720="","-",+C765+1)</f>
        <v>2055</v>
      </c>
      <c r="D766" s="602">
        <f t="shared" si="49"/>
        <v>731198.11866666237</v>
      </c>
      <c r="E766" s="658">
        <f t="shared" si="52"/>
        <v>121866.35311111111</v>
      </c>
      <c r="F766" s="602">
        <f t="shared" si="47"/>
        <v>609331.76555555128</v>
      </c>
      <c r="G766" s="1167">
        <f t="shared" si="50"/>
        <v>195513.15243588592</v>
      </c>
      <c r="H766" s="1170">
        <f t="shared" si="51"/>
        <v>195513.15243588592</v>
      </c>
      <c r="I766" s="655">
        <f t="shared" si="48"/>
        <v>0</v>
      </c>
      <c r="J766" s="655"/>
      <c r="K766" s="793"/>
      <c r="L766" s="661"/>
      <c r="M766" s="793"/>
      <c r="N766" s="661"/>
      <c r="O766" s="661"/>
      <c r="P766" s="480"/>
    </row>
    <row r="767" spans="1:16">
      <c r="A767" s="285"/>
      <c r="B767" s="285"/>
      <c r="C767" s="651">
        <f>IF(D720="","-",+C766+1)</f>
        <v>2056</v>
      </c>
      <c r="D767" s="602">
        <f t="shared" si="49"/>
        <v>609331.76555555128</v>
      </c>
      <c r="E767" s="658">
        <f t="shared" si="52"/>
        <v>121866.35311111111</v>
      </c>
      <c r="F767" s="602">
        <f t="shared" si="47"/>
        <v>487465.41244444018</v>
      </c>
      <c r="G767" s="1167">
        <f t="shared" si="50"/>
        <v>182122.82528592678</v>
      </c>
      <c r="H767" s="1170">
        <f t="shared" si="51"/>
        <v>182122.82528592678</v>
      </c>
      <c r="I767" s="655">
        <f t="shared" si="48"/>
        <v>0</v>
      </c>
      <c r="J767" s="655"/>
      <c r="K767" s="793"/>
      <c r="L767" s="661"/>
      <c r="M767" s="793"/>
      <c r="N767" s="661"/>
      <c r="O767" s="661"/>
      <c r="P767" s="480"/>
    </row>
    <row r="768" spans="1:16">
      <c r="A768" s="285"/>
      <c r="B768" s="285"/>
      <c r="C768" s="651">
        <f>IF(D720="","-",+C767+1)</f>
        <v>2057</v>
      </c>
      <c r="D768" s="602">
        <f t="shared" si="49"/>
        <v>487465.41244444018</v>
      </c>
      <c r="E768" s="658">
        <f t="shared" si="52"/>
        <v>121866.35311111111</v>
      </c>
      <c r="F768" s="602">
        <f t="shared" si="47"/>
        <v>365599.05933332909</v>
      </c>
      <c r="G768" s="1167">
        <f t="shared" si="50"/>
        <v>168732.49813596765</v>
      </c>
      <c r="H768" s="1170">
        <f t="shared" si="51"/>
        <v>168732.49813596765</v>
      </c>
      <c r="I768" s="655">
        <f t="shared" si="48"/>
        <v>0</v>
      </c>
      <c r="J768" s="655"/>
      <c r="K768" s="793"/>
      <c r="L768" s="661"/>
      <c r="M768" s="793"/>
      <c r="N768" s="661"/>
      <c r="O768" s="661"/>
      <c r="P768" s="480"/>
    </row>
    <row r="769" spans="1:16">
      <c r="A769" s="285"/>
      <c r="B769" s="285"/>
      <c r="C769" s="651">
        <f>IF(D720="","-",+C768+1)</f>
        <v>2058</v>
      </c>
      <c r="D769" s="602">
        <f t="shared" si="49"/>
        <v>365599.05933332909</v>
      </c>
      <c r="E769" s="658">
        <f t="shared" si="52"/>
        <v>121866.35311111111</v>
      </c>
      <c r="F769" s="602">
        <f t="shared" si="47"/>
        <v>243732.706222218</v>
      </c>
      <c r="G769" s="1167">
        <f t="shared" si="50"/>
        <v>155342.17098600851</v>
      </c>
      <c r="H769" s="1170">
        <f t="shared" si="51"/>
        <v>155342.17098600851</v>
      </c>
      <c r="I769" s="655">
        <f t="shared" si="48"/>
        <v>0</v>
      </c>
      <c r="J769" s="655"/>
      <c r="K769" s="793"/>
      <c r="L769" s="661"/>
      <c r="M769" s="793"/>
      <c r="N769" s="661"/>
      <c r="O769" s="661"/>
      <c r="P769" s="480"/>
    </row>
    <row r="770" spans="1:16">
      <c r="A770" s="285"/>
      <c r="B770" s="285"/>
      <c r="C770" s="651">
        <f>IF(D720="","-",+C769+1)</f>
        <v>2059</v>
      </c>
      <c r="D770" s="602">
        <f t="shared" si="49"/>
        <v>243732.706222218</v>
      </c>
      <c r="E770" s="658">
        <f t="shared" si="52"/>
        <v>121866.35311111111</v>
      </c>
      <c r="F770" s="602">
        <f t="shared" si="47"/>
        <v>121866.35311110689</v>
      </c>
      <c r="G770" s="1167">
        <f t="shared" si="50"/>
        <v>141951.84383604937</v>
      </c>
      <c r="H770" s="1170">
        <f t="shared" si="51"/>
        <v>141951.84383604937</v>
      </c>
      <c r="I770" s="655">
        <f t="shared" si="48"/>
        <v>0</v>
      </c>
      <c r="J770" s="655"/>
      <c r="K770" s="793"/>
      <c r="L770" s="661"/>
      <c r="M770" s="793"/>
      <c r="N770" s="661"/>
      <c r="O770" s="661"/>
      <c r="P770" s="480"/>
    </row>
    <row r="771" spans="1:16">
      <c r="A771" s="285"/>
      <c r="B771" s="285"/>
      <c r="C771" s="651">
        <f>IF(D720="","-",+C770+1)</f>
        <v>2060</v>
      </c>
      <c r="D771" s="602">
        <f t="shared" si="49"/>
        <v>121866.35311110689</v>
      </c>
      <c r="E771" s="658">
        <f t="shared" si="52"/>
        <v>121866.35311110689</v>
      </c>
      <c r="F771" s="602">
        <f t="shared" si="47"/>
        <v>0</v>
      </c>
      <c r="G771" s="1167">
        <f t="shared" si="50"/>
        <v>128561.51668608622</v>
      </c>
      <c r="H771" s="1170">
        <f t="shared" si="51"/>
        <v>128561.51668608622</v>
      </c>
      <c r="I771" s="655">
        <f t="shared" si="48"/>
        <v>0</v>
      </c>
      <c r="J771" s="655"/>
      <c r="K771" s="793"/>
      <c r="L771" s="661"/>
      <c r="M771" s="793"/>
      <c r="N771" s="661"/>
      <c r="O771" s="661"/>
      <c r="P771" s="480"/>
    </row>
    <row r="772" spans="1:16">
      <c r="A772" s="285"/>
      <c r="B772" s="285"/>
      <c r="C772" s="651">
        <f>IF(D720="","-",+C771+1)</f>
        <v>2061</v>
      </c>
      <c r="D772" s="602">
        <f t="shared" si="49"/>
        <v>0</v>
      </c>
      <c r="E772" s="658">
        <f t="shared" si="52"/>
        <v>0</v>
      </c>
      <c r="F772" s="602">
        <f t="shared" si="47"/>
        <v>0</v>
      </c>
      <c r="G772" s="1167">
        <f t="shared" si="50"/>
        <v>0</v>
      </c>
      <c r="H772" s="1170">
        <f t="shared" si="51"/>
        <v>0</v>
      </c>
      <c r="I772" s="655">
        <f t="shared" si="48"/>
        <v>0</v>
      </c>
      <c r="J772" s="655"/>
      <c r="K772" s="793"/>
      <c r="L772" s="661"/>
      <c r="M772" s="793"/>
      <c r="N772" s="661"/>
      <c r="O772" s="661"/>
      <c r="P772" s="480"/>
    </row>
    <row r="773" spans="1:16">
      <c r="A773" s="285"/>
      <c r="B773" s="285"/>
      <c r="C773" s="651">
        <f>IF(D720="","-",+C772+1)</f>
        <v>2062</v>
      </c>
      <c r="D773" s="602">
        <f t="shared" si="49"/>
        <v>0</v>
      </c>
      <c r="E773" s="658">
        <f t="shared" si="52"/>
        <v>0</v>
      </c>
      <c r="F773" s="602">
        <f t="shared" si="47"/>
        <v>0</v>
      </c>
      <c r="G773" s="1167">
        <f t="shared" si="50"/>
        <v>0</v>
      </c>
      <c r="H773" s="1170">
        <f t="shared" si="51"/>
        <v>0</v>
      </c>
      <c r="I773" s="655">
        <f t="shared" si="48"/>
        <v>0</v>
      </c>
      <c r="J773" s="655"/>
      <c r="K773" s="793"/>
      <c r="L773" s="661"/>
      <c r="M773" s="793"/>
      <c r="N773" s="661"/>
      <c r="O773" s="661"/>
      <c r="P773" s="480"/>
    </row>
    <row r="774" spans="1:16">
      <c r="A774" s="285"/>
      <c r="B774" s="285"/>
      <c r="C774" s="651">
        <f>IF(D720="","-",+C773+1)</f>
        <v>2063</v>
      </c>
      <c r="D774" s="602">
        <f t="shared" si="49"/>
        <v>0</v>
      </c>
      <c r="E774" s="658">
        <f t="shared" si="52"/>
        <v>0</v>
      </c>
      <c r="F774" s="602">
        <f t="shared" si="47"/>
        <v>0</v>
      </c>
      <c r="G774" s="1167">
        <f t="shared" si="50"/>
        <v>0</v>
      </c>
      <c r="H774" s="1170">
        <f t="shared" si="51"/>
        <v>0</v>
      </c>
      <c r="I774" s="655">
        <f t="shared" si="48"/>
        <v>0</v>
      </c>
      <c r="J774" s="655"/>
      <c r="K774" s="793"/>
      <c r="L774" s="661"/>
      <c r="M774" s="793"/>
      <c r="N774" s="661"/>
      <c r="O774" s="661"/>
      <c r="P774" s="480"/>
    </row>
    <row r="775" spans="1:16">
      <c r="A775" s="285"/>
      <c r="B775" s="285"/>
      <c r="C775" s="651">
        <f>IF(D720="","-",+C774+1)</f>
        <v>2064</v>
      </c>
      <c r="D775" s="602">
        <f t="shared" si="49"/>
        <v>0</v>
      </c>
      <c r="E775" s="658">
        <f t="shared" si="52"/>
        <v>0</v>
      </c>
      <c r="F775" s="602">
        <f t="shared" si="47"/>
        <v>0</v>
      </c>
      <c r="G775" s="1167">
        <f t="shared" si="50"/>
        <v>0</v>
      </c>
      <c r="H775" s="1170">
        <f t="shared" si="51"/>
        <v>0</v>
      </c>
      <c r="I775" s="655">
        <f t="shared" si="48"/>
        <v>0</v>
      </c>
      <c r="J775" s="655"/>
      <c r="K775" s="793"/>
      <c r="L775" s="661"/>
      <c r="M775" s="793"/>
      <c r="N775" s="661"/>
      <c r="O775" s="661"/>
      <c r="P775" s="480"/>
    </row>
    <row r="776" spans="1:16">
      <c r="A776" s="285"/>
      <c r="B776" s="285"/>
      <c r="C776" s="651">
        <f>IF(D720="","-",+C775+1)</f>
        <v>2065</v>
      </c>
      <c r="D776" s="602">
        <f t="shared" si="49"/>
        <v>0</v>
      </c>
      <c r="E776" s="658">
        <f t="shared" si="52"/>
        <v>0</v>
      </c>
      <c r="F776" s="602">
        <f t="shared" si="47"/>
        <v>0</v>
      </c>
      <c r="G776" s="1167">
        <f t="shared" si="50"/>
        <v>0</v>
      </c>
      <c r="H776" s="1170">
        <f t="shared" si="51"/>
        <v>0</v>
      </c>
      <c r="I776" s="655">
        <f t="shared" si="48"/>
        <v>0</v>
      </c>
      <c r="J776" s="655"/>
      <c r="K776" s="793"/>
      <c r="L776" s="661"/>
      <c r="M776" s="793"/>
      <c r="N776" s="661"/>
      <c r="O776" s="661"/>
      <c r="P776" s="480"/>
    </row>
    <row r="777" spans="1:16">
      <c r="A777" s="285"/>
      <c r="B777" s="285"/>
      <c r="C777" s="651">
        <f>IF(D720="","-",+C776+1)</f>
        <v>2066</v>
      </c>
      <c r="D777" s="602">
        <f t="shared" si="49"/>
        <v>0</v>
      </c>
      <c r="E777" s="658">
        <f t="shared" si="52"/>
        <v>0</v>
      </c>
      <c r="F777" s="602">
        <f t="shared" si="47"/>
        <v>0</v>
      </c>
      <c r="G777" s="1167">
        <f t="shared" si="50"/>
        <v>0</v>
      </c>
      <c r="H777" s="1170">
        <f t="shared" si="51"/>
        <v>0</v>
      </c>
      <c r="I777" s="655">
        <f t="shared" si="48"/>
        <v>0</v>
      </c>
      <c r="J777" s="655"/>
      <c r="K777" s="793"/>
      <c r="L777" s="661"/>
      <c r="M777" s="793"/>
      <c r="N777" s="661"/>
      <c r="O777" s="661"/>
      <c r="P777" s="480"/>
    </row>
    <row r="778" spans="1:16">
      <c r="A778" s="285"/>
      <c r="B778" s="285"/>
      <c r="C778" s="651">
        <f>IF(D720="","-",+C777+1)</f>
        <v>2067</v>
      </c>
      <c r="D778" s="602">
        <f t="shared" si="49"/>
        <v>0</v>
      </c>
      <c r="E778" s="658">
        <f t="shared" si="52"/>
        <v>0</v>
      </c>
      <c r="F778" s="602">
        <f t="shared" si="47"/>
        <v>0</v>
      </c>
      <c r="G778" s="1167">
        <f t="shared" si="50"/>
        <v>0</v>
      </c>
      <c r="H778" s="1170">
        <f t="shared" si="51"/>
        <v>0</v>
      </c>
      <c r="I778" s="655">
        <f t="shared" si="48"/>
        <v>0</v>
      </c>
      <c r="J778" s="655"/>
      <c r="K778" s="793"/>
      <c r="L778" s="661"/>
      <c r="M778" s="793"/>
      <c r="N778" s="661"/>
      <c r="O778" s="661"/>
      <c r="P778" s="480"/>
    </row>
    <row r="779" spans="1:16">
      <c r="A779" s="285"/>
      <c r="B779" s="285"/>
      <c r="C779" s="651">
        <f>IF(D720="","-",+C778+1)</f>
        <v>2068</v>
      </c>
      <c r="D779" s="602">
        <f t="shared" si="49"/>
        <v>0</v>
      </c>
      <c r="E779" s="658">
        <f t="shared" si="52"/>
        <v>0</v>
      </c>
      <c r="F779" s="602">
        <f t="shared" si="47"/>
        <v>0</v>
      </c>
      <c r="G779" s="1167">
        <f t="shared" si="50"/>
        <v>0</v>
      </c>
      <c r="H779" s="1170">
        <f t="shared" si="51"/>
        <v>0</v>
      </c>
      <c r="I779" s="655">
        <f t="shared" si="48"/>
        <v>0</v>
      </c>
      <c r="J779" s="655"/>
      <c r="K779" s="793"/>
      <c r="L779" s="661"/>
      <c r="M779" s="793"/>
      <c r="N779" s="661"/>
      <c r="O779" s="661"/>
      <c r="P779" s="480"/>
    </row>
    <row r="780" spans="1:16">
      <c r="A780" s="285"/>
      <c r="B780" s="285"/>
      <c r="C780" s="651">
        <f>IF(D720="","-",+C779+1)</f>
        <v>2069</v>
      </c>
      <c r="D780" s="602">
        <f t="shared" si="49"/>
        <v>0</v>
      </c>
      <c r="E780" s="658">
        <f t="shared" si="52"/>
        <v>0</v>
      </c>
      <c r="F780" s="602">
        <f t="shared" si="47"/>
        <v>0</v>
      </c>
      <c r="G780" s="1167">
        <f t="shared" si="50"/>
        <v>0</v>
      </c>
      <c r="H780" s="1170">
        <f t="shared" si="51"/>
        <v>0</v>
      </c>
      <c r="I780" s="655">
        <f t="shared" si="48"/>
        <v>0</v>
      </c>
      <c r="J780" s="655"/>
      <c r="K780" s="793"/>
      <c r="L780" s="661"/>
      <c r="M780" s="793"/>
      <c r="N780" s="661"/>
      <c r="O780" s="661"/>
      <c r="P780" s="480"/>
    </row>
    <row r="781" spans="1:16">
      <c r="A781" s="285"/>
      <c r="B781" s="285"/>
      <c r="C781" s="651">
        <f>IF(D720="","-",+C780+1)</f>
        <v>2070</v>
      </c>
      <c r="D781" s="602">
        <f t="shared" si="49"/>
        <v>0</v>
      </c>
      <c r="E781" s="658">
        <f t="shared" si="52"/>
        <v>0</v>
      </c>
      <c r="F781" s="602">
        <f t="shared" si="47"/>
        <v>0</v>
      </c>
      <c r="G781" s="1167">
        <f t="shared" si="50"/>
        <v>0</v>
      </c>
      <c r="H781" s="1170">
        <f t="shared" si="51"/>
        <v>0</v>
      </c>
      <c r="I781" s="655">
        <f t="shared" si="48"/>
        <v>0</v>
      </c>
      <c r="J781" s="655"/>
      <c r="K781" s="793"/>
      <c r="L781" s="661"/>
      <c r="M781" s="793"/>
      <c r="N781" s="661"/>
      <c r="O781" s="661"/>
      <c r="P781" s="480"/>
    </row>
    <row r="782" spans="1:16">
      <c r="A782" s="285"/>
      <c r="B782" s="285"/>
      <c r="C782" s="651">
        <f>IF(D720="","-",+C781+1)</f>
        <v>2071</v>
      </c>
      <c r="D782" s="602">
        <f t="shared" si="49"/>
        <v>0</v>
      </c>
      <c r="E782" s="658">
        <f t="shared" si="52"/>
        <v>0</v>
      </c>
      <c r="F782" s="602">
        <f t="shared" si="47"/>
        <v>0</v>
      </c>
      <c r="G782" s="1167">
        <f t="shared" si="50"/>
        <v>0</v>
      </c>
      <c r="H782" s="1170">
        <f t="shared" si="51"/>
        <v>0</v>
      </c>
      <c r="I782" s="655">
        <f t="shared" si="48"/>
        <v>0</v>
      </c>
      <c r="J782" s="655"/>
      <c r="K782" s="793"/>
      <c r="L782" s="661"/>
      <c r="M782" s="793"/>
      <c r="N782" s="661"/>
      <c r="O782" s="661"/>
      <c r="P782" s="480"/>
    </row>
    <row r="783" spans="1:16">
      <c r="A783" s="285"/>
      <c r="B783" s="285"/>
      <c r="C783" s="651">
        <f>IF(D720="","-",+C782+1)</f>
        <v>2072</v>
      </c>
      <c r="D783" s="602">
        <f t="shared" si="49"/>
        <v>0</v>
      </c>
      <c r="E783" s="658">
        <f t="shared" si="52"/>
        <v>0</v>
      </c>
      <c r="F783" s="602">
        <f t="shared" si="47"/>
        <v>0</v>
      </c>
      <c r="G783" s="1167">
        <f t="shared" si="50"/>
        <v>0</v>
      </c>
      <c r="H783" s="1170">
        <f t="shared" si="51"/>
        <v>0</v>
      </c>
      <c r="I783" s="655">
        <f t="shared" si="48"/>
        <v>0</v>
      </c>
      <c r="J783" s="655"/>
      <c r="K783" s="793"/>
      <c r="L783" s="661"/>
      <c r="M783" s="793"/>
      <c r="N783" s="661"/>
      <c r="O783" s="661"/>
      <c r="P783" s="480"/>
    </row>
    <row r="784" spans="1:16">
      <c r="A784" s="285"/>
      <c r="B784" s="285"/>
      <c r="C784" s="651">
        <f>IF(D720="","-",+C783+1)</f>
        <v>2073</v>
      </c>
      <c r="D784" s="602">
        <f t="shared" si="49"/>
        <v>0</v>
      </c>
      <c r="E784" s="658">
        <f t="shared" si="52"/>
        <v>0</v>
      </c>
      <c r="F784" s="602">
        <f t="shared" si="47"/>
        <v>0</v>
      </c>
      <c r="G784" s="1167">
        <f t="shared" si="50"/>
        <v>0</v>
      </c>
      <c r="H784" s="1170">
        <f t="shared" si="51"/>
        <v>0</v>
      </c>
      <c r="I784" s="655">
        <f t="shared" si="48"/>
        <v>0</v>
      </c>
      <c r="J784" s="655"/>
      <c r="K784" s="793"/>
      <c r="L784" s="661"/>
      <c r="M784" s="793"/>
      <c r="N784" s="661"/>
      <c r="O784" s="661"/>
      <c r="P784" s="480"/>
    </row>
    <row r="785" spans="1:16" ht="13.5" thickBot="1">
      <c r="A785" s="285"/>
      <c r="B785" s="285"/>
      <c r="C785" s="663">
        <f>IF(D720="","-",+C784+1)</f>
        <v>2074</v>
      </c>
      <c r="D785" s="664">
        <f t="shared" si="49"/>
        <v>0</v>
      </c>
      <c r="E785" s="665">
        <f t="shared" si="52"/>
        <v>0</v>
      </c>
      <c r="F785" s="664">
        <f t="shared" si="47"/>
        <v>0</v>
      </c>
      <c r="G785" s="1177">
        <f t="shared" si="50"/>
        <v>0</v>
      </c>
      <c r="H785" s="1177">
        <f t="shared" si="51"/>
        <v>0</v>
      </c>
      <c r="I785" s="667">
        <f t="shared" si="48"/>
        <v>0</v>
      </c>
      <c r="J785" s="655"/>
      <c r="K785" s="794"/>
      <c r="L785" s="669"/>
      <c r="M785" s="794"/>
      <c r="N785" s="669"/>
      <c r="O785" s="669"/>
      <c r="P785" s="480"/>
    </row>
    <row r="786" spans="1:16">
      <c r="A786" s="285"/>
      <c r="B786" s="285"/>
      <c r="C786" s="602" t="s">
        <v>288</v>
      </c>
      <c r="D786" s="1148"/>
      <c r="E786" s="1148">
        <f>SUM(E726:E785)</f>
        <v>5483985.8899999997</v>
      </c>
      <c r="F786" s="1148"/>
      <c r="G786" s="1148">
        <f>SUM(G726:G785)</f>
        <v>19644256.851081766</v>
      </c>
      <c r="H786" s="1148">
        <f>SUM(H726:H785)</f>
        <v>19644256.851081766</v>
      </c>
      <c r="I786" s="1148">
        <f>SUM(I726:I785)</f>
        <v>0</v>
      </c>
      <c r="J786" s="1148"/>
      <c r="K786" s="1148"/>
      <c r="L786" s="1148"/>
      <c r="M786" s="1148"/>
      <c r="N786" s="1148"/>
      <c r="O786" s="480"/>
      <c r="P786" s="480"/>
    </row>
    <row r="787" spans="1:16">
      <c r="A787" s="285"/>
      <c r="B787" s="285"/>
      <c r="C787" s="285"/>
      <c r="D787" s="496"/>
      <c r="E787" s="480"/>
      <c r="F787" s="480"/>
      <c r="G787" s="480"/>
      <c r="H787" s="1147"/>
      <c r="I787" s="1147"/>
      <c r="J787" s="1148"/>
      <c r="K787" s="1147"/>
      <c r="L787" s="1147"/>
      <c r="M787" s="1147"/>
      <c r="N787" s="1147"/>
      <c r="O787" s="480"/>
      <c r="P787" s="480"/>
    </row>
    <row r="788" spans="1:16">
      <c r="A788" s="285"/>
      <c r="B788" s="285"/>
      <c r="C788" s="480" t="s">
        <v>601</v>
      </c>
      <c r="D788" s="496"/>
      <c r="E788" s="480"/>
      <c r="F788" s="480"/>
      <c r="G788" s="480"/>
      <c r="H788" s="1147"/>
      <c r="I788" s="1147"/>
      <c r="J788" s="1148"/>
      <c r="K788" s="1147"/>
      <c r="L788" s="1147"/>
      <c r="M788" s="1147"/>
      <c r="N788" s="1147"/>
      <c r="O788" s="480"/>
      <c r="P788" s="480"/>
    </row>
    <row r="789" spans="1:16">
      <c r="A789" s="285"/>
      <c r="B789" s="285"/>
      <c r="C789" s="285"/>
      <c r="D789" s="496"/>
      <c r="E789" s="480"/>
      <c r="F789" s="480"/>
      <c r="G789" s="480"/>
      <c r="H789" s="1147"/>
      <c r="I789" s="1147"/>
      <c r="J789" s="1148"/>
      <c r="K789" s="1147"/>
      <c r="L789" s="1147"/>
      <c r="M789" s="1147"/>
      <c r="N789" s="1147"/>
      <c r="O789" s="480"/>
      <c r="P789" s="480"/>
    </row>
    <row r="790" spans="1:16">
      <c r="A790" s="285"/>
      <c r="B790" s="285"/>
      <c r="C790" s="508" t="s">
        <v>602</v>
      </c>
      <c r="D790" s="602"/>
      <c r="E790" s="602"/>
      <c r="F790" s="602"/>
      <c r="G790" s="1148"/>
      <c r="H790" s="1148"/>
      <c r="I790" s="603"/>
      <c r="J790" s="603"/>
      <c r="K790" s="603"/>
      <c r="L790" s="603"/>
      <c r="M790" s="603"/>
      <c r="N790" s="603"/>
      <c r="O790" s="480"/>
      <c r="P790" s="480"/>
    </row>
    <row r="791" spans="1:16">
      <c r="A791" s="285"/>
      <c r="B791" s="285"/>
      <c r="C791" s="508" t="s">
        <v>476</v>
      </c>
      <c r="D791" s="602"/>
      <c r="E791" s="602"/>
      <c r="F791" s="602"/>
      <c r="G791" s="1148"/>
      <c r="H791" s="1148"/>
      <c r="I791" s="603"/>
      <c r="J791" s="603"/>
      <c r="K791" s="603"/>
      <c r="L791" s="603"/>
      <c r="M791" s="603"/>
      <c r="N791" s="603"/>
      <c r="O791" s="480"/>
      <c r="P791" s="480"/>
    </row>
    <row r="792" spans="1:16">
      <c r="A792" s="285"/>
      <c r="B792" s="285"/>
      <c r="C792" s="508" t="s">
        <v>289</v>
      </c>
      <c r="D792" s="602"/>
      <c r="E792" s="602"/>
      <c r="F792" s="602"/>
      <c r="G792" s="1148"/>
      <c r="H792" s="1148"/>
      <c r="I792" s="603"/>
      <c r="J792" s="603"/>
      <c r="K792" s="603"/>
      <c r="L792" s="603"/>
      <c r="M792" s="603"/>
      <c r="N792" s="603"/>
      <c r="O792" s="480"/>
      <c r="P792" s="480"/>
    </row>
    <row r="793" spans="1:16">
      <c r="A793" s="285"/>
      <c r="B793" s="285"/>
      <c r="C793" s="601"/>
      <c r="D793" s="602"/>
      <c r="E793" s="602"/>
      <c r="F793" s="602"/>
      <c r="G793" s="1148"/>
      <c r="H793" s="1148"/>
      <c r="I793" s="603"/>
      <c r="J793" s="603"/>
      <c r="K793" s="603"/>
      <c r="L793" s="603"/>
      <c r="M793" s="603"/>
      <c r="N793" s="603"/>
      <c r="O793" s="480"/>
      <c r="P793" s="480"/>
    </row>
    <row r="794" spans="1:16">
      <c r="A794" s="285"/>
      <c r="B794" s="285"/>
      <c r="C794" s="1513" t="s">
        <v>460</v>
      </c>
      <c r="D794" s="1513"/>
      <c r="E794" s="1513"/>
      <c r="F794" s="1513"/>
      <c r="G794" s="1513"/>
      <c r="H794" s="1513"/>
      <c r="I794" s="1513"/>
      <c r="J794" s="1513"/>
      <c r="K794" s="1513"/>
      <c r="L794" s="1513"/>
      <c r="M794" s="1513"/>
      <c r="N794" s="1513"/>
      <c r="O794" s="1513"/>
      <c r="P794" s="480"/>
    </row>
    <row r="795" spans="1:16">
      <c r="A795" s="285"/>
      <c r="B795" s="285"/>
      <c r="C795" s="1513"/>
      <c r="D795" s="1513"/>
      <c r="E795" s="1513"/>
      <c r="F795" s="1513"/>
      <c r="G795" s="1513"/>
      <c r="H795" s="1513"/>
      <c r="I795" s="1513"/>
      <c r="J795" s="1513"/>
      <c r="K795" s="1513"/>
      <c r="L795" s="1513"/>
      <c r="M795" s="1513"/>
      <c r="N795" s="1513"/>
      <c r="O795" s="1513"/>
      <c r="P795" s="480"/>
    </row>
    <row r="796" spans="1:16" ht="20.25">
      <c r="A796" s="604" t="s">
        <v>947</v>
      </c>
      <c r="B796" s="480"/>
      <c r="C796" s="584"/>
      <c r="D796" s="496"/>
      <c r="E796" s="480"/>
      <c r="F796" s="574"/>
      <c r="G796" s="480"/>
      <c r="H796" s="1147"/>
      <c r="I796" s="285"/>
      <c r="J796" s="271"/>
      <c r="K796" s="605"/>
      <c r="L796" s="605"/>
      <c r="M796" s="605"/>
      <c r="N796" s="520" t="str">
        <f>"Page "&amp;SUM(P$6:P796)&amp;" of "</f>
        <v xml:space="preserve">Page 10 of </v>
      </c>
      <c r="O796" s="521">
        <f>COUNT(P$6:P$59606)</f>
        <v>15</v>
      </c>
      <c r="P796" s="480">
        <v>1</v>
      </c>
    </row>
    <row r="797" spans="1:16">
      <c r="A797" s="285"/>
      <c r="B797" s="480"/>
      <c r="C797" s="480"/>
      <c r="D797" s="496"/>
      <c r="E797" s="480"/>
      <c r="F797" s="480"/>
      <c r="G797" s="480"/>
      <c r="H797" s="1147"/>
      <c r="I797" s="480"/>
      <c r="J797" s="517"/>
      <c r="K797" s="480"/>
      <c r="L797" s="480"/>
      <c r="M797" s="480"/>
      <c r="N797" s="480"/>
      <c r="O797" s="480"/>
      <c r="P797" s="480"/>
    </row>
    <row r="798" spans="1:16" ht="18">
      <c r="A798" s="285"/>
      <c r="B798" s="524" t="s">
        <v>174</v>
      </c>
      <c r="C798" s="606" t="s">
        <v>290</v>
      </c>
      <c r="D798" s="496"/>
      <c r="E798" s="480"/>
      <c r="F798" s="480"/>
      <c r="G798" s="480"/>
      <c r="H798" s="1147"/>
      <c r="I798" s="1147"/>
      <c r="J798" s="1148"/>
      <c r="K798" s="1147"/>
      <c r="L798" s="1147"/>
      <c r="M798" s="1147"/>
      <c r="N798" s="1147"/>
      <c r="O798" s="480"/>
      <c r="P798" s="480"/>
    </row>
    <row r="799" spans="1:16" ht="18.75">
      <c r="A799" s="285"/>
      <c r="B799" s="524"/>
      <c r="C799" s="523"/>
      <c r="D799" s="496"/>
      <c r="E799" s="480"/>
      <c r="F799" s="480"/>
      <c r="G799" s="480"/>
      <c r="H799" s="1147"/>
      <c r="I799" s="1147"/>
      <c r="J799" s="1148"/>
      <c r="K799" s="1147"/>
      <c r="L799" s="1147"/>
      <c r="M799" s="1147"/>
      <c r="N799" s="1147"/>
      <c r="O799" s="480"/>
      <c r="P799" s="480"/>
    </row>
    <row r="800" spans="1:16" ht="18.75">
      <c r="A800" s="285"/>
      <c r="B800" s="524"/>
      <c r="C800" s="523" t="s">
        <v>291</v>
      </c>
      <c r="D800" s="496"/>
      <c r="E800" s="480"/>
      <c r="F800" s="480"/>
      <c r="G800" s="480"/>
      <c r="H800" s="1147"/>
      <c r="I800" s="1147"/>
      <c r="J800" s="1148"/>
      <c r="K800" s="1147"/>
      <c r="L800" s="1147"/>
      <c r="M800" s="1147"/>
      <c r="N800" s="1147"/>
      <c r="O800" s="480"/>
      <c r="P800" s="480"/>
    </row>
    <row r="801" spans="1:16" ht="15.75" thickBot="1">
      <c r="A801" s="285"/>
      <c r="B801" s="285"/>
      <c r="C801" s="347"/>
      <c r="D801" s="496"/>
      <c r="E801" s="480"/>
      <c r="F801" s="480"/>
      <c r="G801" s="480"/>
      <c r="H801" s="1147"/>
      <c r="I801" s="1147"/>
      <c r="J801" s="1148"/>
      <c r="K801" s="1147"/>
      <c r="L801" s="1147"/>
      <c r="M801" s="1147"/>
      <c r="N801" s="1147"/>
      <c r="O801" s="480"/>
      <c r="P801" s="480"/>
    </row>
    <row r="802" spans="1:16" ht="15.75">
      <c r="A802" s="285"/>
      <c r="B802" s="285"/>
      <c r="C802" s="525" t="s">
        <v>292</v>
      </c>
      <c r="D802" s="496"/>
      <c r="E802" s="480"/>
      <c r="F802" s="480"/>
      <c r="G802" s="1149"/>
      <c r="H802" s="480" t="s">
        <v>271</v>
      </c>
      <c r="I802" s="480"/>
      <c r="J802" s="517"/>
      <c r="K802" s="607" t="s">
        <v>296</v>
      </c>
      <c r="L802" s="608"/>
      <c r="M802" s="609"/>
      <c r="N802" s="1150">
        <f>VLOOKUP(I808,C815:O874,5)</f>
        <v>1176798.8147574321</v>
      </c>
      <c r="O802" s="480"/>
      <c r="P802" s="480"/>
    </row>
    <row r="803" spans="1:16" ht="15.75">
      <c r="A803" s="285"/>
      <c r="B803" s="285"/>
      <c r="C803" s="525"/>
      <c r="D803" s="496"/>
      <c r="E803" s="480"/>
      <c r="F803" s="480"/>
      <c r="G803" s="480"/>
      <c r="H803" s="1151"/>
      <c r="I803" s="1151"/>
      <c r="J803" s="1152"/>
      <c r="K803" s="612" t="s">
        <v>297</v>
      </c>
      <c r="L803" s="1153"/>
      <c r="M803" s="517"/>
      <c r="N803" s="1154">
        <f>VLOOKUP(I808,C815:O874,6)</f>
        <v>1176798.8147574321</v>
      </c>
      <c r="O803" s="480"/>
      <c r="P803" s="480"/>
    </row>
    <row r="804" spans="1:16" ht="13.5" thickBot="1">
      <c r="A804" s="285"/>
      <c r="B804" s="285"/>
      <c r="C804" s="613" t="s">
        <v>293</v>
      </c>
      <c r="D804" s="1514" t="s">
        <v>957</v>
      </c>
      <c r="E804" s="1514"/>
      <c r="F804" s="1514"/>
      <c r="G804" s="1514"/>
      <c r="H804" s="1514"/>
      <c r="I804" s="1147"/>
      <c r="J804" s="1148"/>
      <c r="K804" s="1155" t="s">
        <v>450</v>
      </c>
      <c r="L804" s="1156"/>
      <c r="M804" s="1156"/>
      <c r="N804" s="1157">
        <f>+N803-N802</f>
        <v>0</v>
      </c>
      <c r="O804" s="480"/>
      <c r="P804" s="480"/>
    </row>
    <row r="805" spans="1:16">
      <c r="A805" s="285"/>
      <c r="B805" s="285"/>
      <c r="C805" s="615"/>
      <c r="D805" s="616"/>
      <c r="E805" s="600"/>
      <c r="F805" s="600"/>
      <c r="G805" s="617"/>
      <c r="H805" s="1147"/>
      <c r="I805" s="1147"/>
      <c r="J805" s="1148"/>
      <c r="K805" s="1147"/>
      <c r="L805" s="1147"/>
      <c r="M805" s="1147"/>
      <c r="N805" s="1147"/>
      <c r="O805" s="480"/>
      <c r="P805" s="480"/>
    </row>
    <row r="806" spans="1:16" ht="13.5" thickBot="1">
      <c r="A806" s="285"/>
      <c r="B806" s="285"/>
      <c r="C806" s="618"/>
      <c r="D806" s="619"/>
      <c r="E806" s="617"/>
      <c r="F806" s="617"/>
      <c r="G806" s="617"/>
      <c r="H806" s="617"/>
      <c r="I806" s="617"/>
      <c r="J806" s="620"/>
      <c r="K806" s="617"/>
      <c r="L806" s="617"/>
      <c r="M806" s="617"/>
      <c r="N806" s="617"/>
      <c r="O806" s="508"/>
      <c r="P806" s="480"/>
    </row>
    <row r="807" spans="1:16" ht="13.5" thickBot="1">
      <c r="A807" s="285"/>
      <c r="B807" s="285"/>
      <c r="C807" s="622" t="s">
        <v>294</v>
      </c>
      <c r="D807" s="623"/>
      <c r="E807" s="623"/>
      <c r="F807" s="623"/>
      <c r="G807" s="623"/>
      <c r="H807" s="623"/>
      <c r="I807" s="624"/>
      <c r="J807" s="625"/>
      <c r="K807" s="480"/>
      <c r="L807" s="480"/>
      <c r="M807" s="480"/>
      <c r="N807" s="480"/>
      <c r="O807" s="626"/>
      <c r="P807" s="480"/>
    </row>
    <row r="808" spans="1:16" ht="15">
      <c r="A808" s="285"/>
      <c r="B808" s="362"/>
      <c r="C808" s="628" t="s">
        <v>272</v>
      </c>
      <c r="D808" s="1158">
        <v>10866838.83</v>
      </c>
      <c r="E808" s="584" t="s">
        <v>273</v>
      </c>
      <c r="F808" s="285"/>
      <c r="G808" s="629"/>
      <c r="H808" s="629"/>
      <c r="I808" s="630">
        <f>$L$26</f>
        <v>2024</v>
      </c>
      <c r="J808" s="515"/>
      <c r="K808" s="1515" t="s">
        <v>459</v>
      </c>
      <c r="L808" s="1515"/>
      <c r="M808" s="1515"/>
      <c r="N808" s="1515"/>
      <c r="O808" s="1515"/>
      <c r="P808" s="480"/>
    </row>
    <row r="809" spans="1:16">
      <c r="A809" s="285"/>
      <c r="B809" s="362"/>
      <c r="C809" s="628" t="s">
        <v>275</v>
      </c>
      <c r="D809" s="788">
        <v>2014</v>
      </c>
      <c r="E809" s="628" t="s">
        <v>276</v>
      </c>
      <c r="F809" s="629"/>
      <c r="G809" s="285"/>
      <c r="H809" s="285"/>
      <c r="I809" s="791">
        <f>IF(G802="",0,$F$15)</f>
        <v>0</v>
      </c>
      <c r="J809" s="631"/>
      <c r="K809" s="1148" t="s">
        <v>459</v>
      </c>
      <c r="L809" s="285"/>
      <c r="M809" s="285"/>
      <c r="N809" s="285"/>
      <c r="O809" s="285"/>
      <c r="P809" s="480"/>
    </row>
    <row r="810" spans="1:16">
      <c r="A810" s="285"/>
      <c r="B810" s="362"/>
      <c r="C810" s="628" t="s">
        <v>277</v>
      </c>
      <c r="D810" s="1159">
        <v>9</v>
      </c>
      <c r="E810" s="628" t="s">
        <v>278</v>
      </c>
      <c r="F810" s="629"/>
      <c r="G810" s="285"/>
      <c r="H810" s="285"/>
      <c r="I810" s="632">
        <f>$G$70</f>
        <v>0.10987714662923057</v>
      </c>
      <c r="J810" s="633"/>
      <c r="K810" s="285" t="str">
        <f>"          INPUT PROJECTED ARR (WITH &amp; WITHOUT INCENTIVES) FROM EACH PRIOR YEAR"</f>
        <v xml:space="preserve">          INPUT PROJECTED ARR (WITH &amp; WITHOUT INCENTIVES) FROM EACH PRIOR YEAR</v>
      </c>
      <c r="L810" s="285"/>
      <c r="M810" s="285"/>
      <c r="N810" s="285"/>
      <c r="O810" s="285"/>
      <c r="P810" s="480"/>
    </row>
    <row r="811" spans="1:16">
      <c r="A811" s="285"/>
      <c r="B811" s="362"/>
      <c r="C811" s="628" t="s">
        <v>279</v>
      </c>
      <c r="D811" s="634">
        <f>G$79</f>
        <v>45</v>
      </c>
      <c r="E811" s="628" t="s">
        <v>280</v>
      </c>
      <c r="F811" s="629"/>
      <c r="G811" s="285"/>
      <c r="H811" s="285"/>
      <c r="I811" s="632">
        <f>IF(G802="",I810,$G$67)</f>
        <v>0.10987714662923057</v>
      </c>
      <c r="J811" s="635"/>
      <c r="K811" s="285" t="s">
        <v>357</v>
      </c>
      <c r="L811" s="285"/>
      <c r="M811" s="285"/>
      <c r="N811" s="285"/>
      <c r="O811" s="285"/>
      <c r="P811" s="480"/>
    </row>
    <row r="812" spans="1:16" ht="13.5" thickBot="1">
      <c r="A812" s="285"/>
      <c r="B812" s="362"/>
      <c r="C812" s="628" t="s">
        <v>281</v>
      </c>
      <c r="D812" s="790" t="s">
        <v>949</v>
      </c>
      <c r="E812" s="636" t="s">
        <v>282</v>
      </c>
      <c r="F812" s="637"/>
      <c r="G812" s="638"/>
      <c r="H812" s="638"/>
      <c r="I812" s="1157">
        <f>IF(D808=0,0,D808/D811)</f>
        <v>241485.30733333333</v>
      </c>
      <c r="J812" s="1148"/>
      <c r="K812" s="1148" t="s">
        <v>363</v>
      </c>
      <c r="L812" s="1148"/>
      <c r="M812" s="1148"/>
      <c r="N812" s="1148"/>
      <c r="O812" s="517"/>
      <c r="P812" s="480"/>
    </row>
    <row r="813" spans="1:16" ht="51">
      <c r="A813" s="470"/>
      <c r="B813" s="470"/>
      <c r="C813" s="639" t="s">
        <v>272</v>
      </c>
      <c r="D813" s="1160" t="s">
        <v>283</v>
      </c>
      <c r="E813" s="1161" t="s">
        <v>284</v>
      </c>
      <c r="F813" s="1160" t="s">
        <v>285</v>
      </c>
      <c r="G813" s="1161" t="s">
        <v>356</v>
      </c>
      <c r="H813" s="1162" t="s">
        <v>356</v>
      </c>
      <c r="I813" s="639" t="s">
        <v>295</v>
      </c>
      <c r="J813" s="643"/>
      <c r="K813" s="1161" t="s">
        <v>365</v>
      </c>
      <c r="L813" s="1163"/>
      <c r="M813" s="1161" t="s">
        <v>365</v>
      </c>
      <c r="N813" s="1163"/>
      <c r="O813" s="1163"/>
      <c r="P813" s="480"/>
    </row>
    <row r="814" spans="1:16" ht="13.5" thickBot="1">
      <c r="A814" s="285"/>
      <c r="B814" s="285"/>
      <c r="C814" s="645" t="s">
        <v>177</v>
      </c>
      <c r="D814" s="646" t="s">
        <v>178</v>
      </c>
      <c r="E814" s="645" t="s">
        <v>37</v>
      </c>
      <c r="F814" s="646" t="s">
        <v>178</v>
      </c>
      <c r="G814" s="1164" t="s">
        <v>298</v>
      </c>
      <c r="H814" s="1165" t="s">
        <v>300</v>
      </c>
      <c r="I814" s="649" t="s">
        <v>389</v>
      </c>
      <c r="J814" s="650"/>
      <c r="K814" s="1164" t="s">
        <v>287</v>
      </c>
      <c r="L814" s="1166"/>
      <c r="M814" s="1164" t="s">
        <v>300</v>
      </c>
      <c r="N814" s="1166"/>
      <c r="O814" s="1166"/>
      <c r="P814" s="480"/>
    </row>
    <row r="815" spans="1:16">
      <c r="A815" s="285"/>
      <c r="B815" s="285"/>
      <c r="C815" s="651">
        <f>IF(D809= "","-",D809)</f>
        <v>2014</v>
      </c>
      <c r="D815" s="602">
        <f>+D808</f>
        <v>10866838.83</v>
      </c>
      <c r="E815" s="1167">
        <f>+I812/12*(12-D810)</f>
        <v>60371.32683333334</v>
      </c>
      <c r="F815" s="602">
        <f t="shared" ref="F815:F874" si="53">+D815-E815</f>
        <v>10806467.503166666</v>
      </c>
      <c r="G815" s="1168">
        <f>+$I$810*((D815+F815)/2)+E815</f>
        <v>1251071.8557881259</v>
      </c>
      <c r="H815" s="1169">
        <f>+$I$811*((D815+F815)/2)+E815</f>
        <v>1251071.8557881259</v>
      </c>
      <c r="I815" s="655">
        <f t="shared" ref="I815:I874" si="54">+H815-G815</f>
        <v>0</v>
      </c>
      <c r="J815" s="655"/>
      <c r="K815" s="792">
        <v>0</v>
      </c>
      <c r="L815" s="657"/>
      <c r="M815" s="792">
        <v>0</v>
      </c>
      <c r="N815" s="657"/>
      <c r="O815" s="657"/>
      <c r="P815" s="480"/>
    </row>
    <row r="816" spans="1:16">
      <c r="A816" s="285"/>
      <c r="B816" s="285"/>
      <c r="C816" s="651">
        <f>IF(D809="","-",+C815+1)</f>
        <v>2015</v>
      </c>
      <c r="D816" s="602">
        <f t="shared" ref="D816:D874" si="55">F815</f>
        <v>10806467.503166666</v>
      </c>
      <c r="E816" s="658">
        <f>IF(D816&gt;$I$812,$I$812,D816)</f>
        <v>241485.30733333333</v>
      </c>
      <c r="F816" s="602">
        <f t="shared" si="53"/>
        <v>10564982.195833333</v>
      </c>
      <c r="G816" s="1167">
        <f t="shared" ref="G816:G874" si="56">+$I$810*((D816+F816)/2)+E816</f>
        <v>1415602.2634614578</v>
      </c>
      <c r="H816" s="1170">
        <f t="shared" ref="H816:H874" si="57">+$I$811*((D816+F816)/2)+E816</f>
        <v>1415602.2634614578</v>
      </c>
      <c r="I816" s="655">
        <f t="shared" si="54"/>
        <v>0</v>
      </c>
      <c r="J816" s="655"/>
      <c r="K816" s="793">
        <v>0</v>
      </c>
      <c r="L816" s="661"/>
      <c r="M816" s="793">
        <v>0</v>
      </c>
      <c r="N816" s="661"/>
      <c r="O816" s="661"/>
      <c r="P816" s="480"/>
    </row>
    <row r="817" spans="1:16">
      <c r="A817" s="285"/>
      <c r="B817" s="285"/>
      <c r="C817" s="651">
        <f>IF(D809="","-",+C816+1)</f>
        <v>2016</v>
      </c>
      <c r="D817" s="602">
        <f t="shared" si="55"/>
        <v>10564982.195833333</v>
      </c>
      <c r="E817" s="658">
        <f t="shared" ref="E817:E874" si="58">IF(D817&gt;$I$812,$I$812,D817)</f>
        <v>241485.30733333333</v>
      </c>
      <c r="F817" s="602">
        <f t="shared" si="53"/>
        <v>10323496.888499999</v>
      </c>
      <c r="G817" s="1167">
        <f t="shared" si="56"/>
        <v>1389068.5469387879</v>
      </c>
      <c r="H817" s="1170">
        <f t="shared" si="57"/>
        <v>1389068.5469387879</v>
      </c>
      <c r="I817" s="655">
        <f t="shared" si="54"/>
        <v>0</v>
      </c>
      <c r="J817" s="655"/>
      <c r="K817" s="793">
        <v>1117</v>
      </c>
      <c r="L817" s="1180"/>
      <c r="M817" s="793">
        <v>1117</v>
      </c>
      <c r="N817" s="661"/>
      <c r="O817" s="661"/>
      <c r="P817" s="480"/>
    </row>
    <row r="818" spans="1:16">
      <c r="A818" s="285"/>
      <c r="B818" s="285"/>
      <c r="C818" s="651">
        <f>IF(D809="","-",+C817+1)</f>
        <v>2017</v>
      </c>
      <c r="D818" s="602">
        <f t="shared" si="55"/>
        <v>10323496.888499999</v>
      </c>
      <c r="E818" s="658">
        <f t="shared" si="58"/>
        <v>241485.30733333333</v>
      </c>
      <c r="F818" s="602">
        <f t="shared" si="53"/>
        <v>10082011.581166666</v>
      </c>
      <c r="G818" s="1167">
        <f t="shared" si="56"/>
        <v>1362534.8304161187</v>
      </c>
      <c r="H818" s="1170">
        <f t="shared" si="57"/>
        <v>1362534.8304161187</v>
      </c>
      <c r="I818" s="655">
        <f t="shared" si="54"/>
        <v>0</v>
      </c>
      <c r="J818" s="655"/>
      <c r="K818" s="793">
        <v>57580</v>
      </c>
      <c r="L818" s="661"/>
      <c r="M818" s="793">
        <v>57580</v>
      </c>
      <c r="N818" s="661"/>
      <c r="O818" s="661"/>
      <c r="P818" s="480"/>
    </row>
    <row r="819" spans="1:16">
      <c r="A819" s="285"/>
      <c r="B819" s="285"/>
      <c r="C819" s="1194">
        <f>IF(D809="","-",+C818+1)</f>
        <v>2018</v>
      </c>
      <c r="D819" s="1172">
        <f t="shared" si="55"/>
        <v>10082011.581166666</v>
      </c>
      <c r="E819" s="1173">
        <f t="shared" si="58"/>
        <v>241485.30733333333</v>
      </c>
      <c r="F819" s="1172">
        <f t="shared" si="53"/>
        <v>9840526.2738333326</v>
      </c>
      <c r="G819" s="1174">
        <f t="shared" si="56"/>
        <v>1336001.1138934491</v>
      </c>
      <c r="H819" s="1175">
        <f t="shared" si="57"/>
        <v>1336001.1138934491</v>
      </c>
      <c r="I819" s="1181">
        <f t="shared" si="54"/>
        <v>0</v>
      </c>
      <c r="J819" s="655"/>
      <c r="K819" s="793">
        <v>54331</v>
      </c>
      <c r="L819" s="661"/>
      <c r="M819" s="793">
        <v>54331</v>
      </c>
      <c r="N819" s="661"/>
      <c r="O819" s="661"/>
      <c r="P819" s="480"/>
    </row>
    <row r="820" spans="1:16">
      <c r="A820" s="285"/>
      <c r="B820" s="285"/>
      <c r="C820" s="1229">
        <f>IF(D811="","-",+C819+1)</f>
        <v>2019</v>
      </c>
      <c r="D820" s="602">
        <f t="shared" si="55"/>
        <v>9840526.2738333326</v>
      </c>
      <c r="E820" s="658">
        <f t="shared" si="58"/>
        <v>241485.30733333333</v>
      </c>
      <c r="F820" s="602">
        <f t="shared" si="53"/>
        <v>9599040.9664999992</v>
      </c>
      <c r="G820" s="1167">
        <f t="shared" si="56"/>
        <v>1309467.3973707797</v>
      </c>
      <c r="H820" s="1170">
        <f t="shared" si="57"/>
        <v>1309467.3973707797</v>
      </c>
      <c r="I820" s="655">
        <f t="shared" si="54"/>
        <v>0</v>
      </c>
      <c r="J820" s="655"/>
      <c r="K820" s="793">
        <v>52092</v>
      </c>
      <c r="L820" s="661"/>
      <c r="M820" s="793">
        <v>52092</v>
      </c>
      <c r="N820" s="661"/>
      <c r="O820" s="661"/>
      <c r="P820" s="480"/>
    </row>
    <row r="821" spans="1:16">
      <c r="A821" s="285"/>
      <c r="B821" s="285"/>
      <c r="C821" s="1229">
        <f>IF(D811="","-",+C820+1)</f>
        <v>2020</v>
      </c>
      <c r="D821" s="602">
        <f t="shared" si="55"/>
        <v>9599040.9664999992</v>
      </c>
      <c r="E821" s="658">
        <f t="shared" si="58"/>
        <v>241485.30733333333</v>
      </c>
      <c r="F821" s="602">
        <f t="shared" si="53"/>
        <v>9357555.6591666657</v>
      </c>
      <c r="G821" s="1167">
        <f t="shared" si="56"/>
        <v>1282933.68084811</v>
      </c>
      <c r="H821" s="1170">
        <f t="shared" si="57"/>
        <v>1282933.68084811</v>
      </c>
      <c r="I821" s="655">
        <f t="shared" si="54"/>
        <v>0</v>
      </c>
      <c r="J821" s="655"/>
      <c r="K821" s="793">
        <v>82533.189311498267</v>
      </c>
      <c r="L821" s="661"/>
      <c r="M821" s="793">
        <v>82533.189311498267</v>
      </c>
      <c r="N821" s="661"/>
      <c r="O821" s="661"/>
      <c r="P821" s="480"/>
    </row>
    <row r="822" spans="1:16">
      <c r="A822" s="285"/>
      <c r="B822" s="285"/>
      <c r="C822" s="1229">
        <f>IF(D809="","-",+C821+1)</f>
        <v>2021</v>
      </c>
      <c r="D822" s="602">
        <f t="shared" si="55"/>
        <v>9357555.6591666657</v>
      </c>
      <c r="E822" s="658">
        <f t="shared" si="58"/>
        <v>241485.30733333333</v>
      </c>
      <c r="F822" s="602">
        <f t="shared" si="53"/>
        <v>9116070.3518333323</v>
      </c>
      <c r="G822" s="1167">
        <f t="shared" si="56"/>
        <v>1256399.9643254408</v>
      </c>
      <c r="H822" s="1170">
        <f t="shared" si="57"/>
        <v>1256399.9643254408</v>
      </c>
      <c r="I822" s="655">
        <f t="shared" si="54"/>
        <v>0</v>
      </c>
      <c r="J822" s="655"/>
      <c r="K822" s="793">
        <v>715550.06057471025</v>
      </c>
      <c r="L822" s="661"/>
      <c r="M822" s="1230">
        <v>715550.06057471025</v>
      </c>
      <c r="N822" s="661"/>
      <c r="O822" s="661"/>
      <c r="P822" s="480"/>
    </row>
    <row r="823" spans="1:16">
      <c r="A823" s="285"/>
      <c r="B823" s="285"/>
      <c r="C823" s="1229">
        <f>IF(D814="","-",+C822+1)</f>
        <v>2022</v>
      </c>
      <c r="D823" s="602">
        <f t="shared" si="55"/>
        <v>9116070.3518333323</v>
      </c>
      <c r="E823" s="658">
        <f t="shared" si="58"/>
        <v>241485.30733333333</v>
      </c>
      <c r="F823" s="602">
        <f t="shared" si="53"/>
        <v>8874585.0444999989</v>
      </c>
      <c r="G823" s="1167">
        <f t="shared" si="56"/>
        <v>1229866.2478027709</v>
      </c>
      <c r="H823" s="1170">
        <f t="shared" si="57"/>
        <v>1229866.2478027709</v>
      </c>
      <c r="I823" s="655">
        <f t="shared" si="54"/>
        <v>0</v>
      </c>
      <c r="J823" s="655"/>
      <c r="K823" s="793">
        <v>747962.9522512171</v>
      </c>
      <c r="L823" s="661"/>
      <c r="M823" s="1230">
        <v>747962.9522512171</v>
      </c>
      <c r="N823" s="661"/>
      <c r="O823" s="661"/>
      <c r="P823" s="480"/>
    </row>
    <row r="824" spans="1:16">
      <c r="A824" s="285"/>
      <c r="B824" s="285"/>
      <c r="C824" s="1229">
        <f>IF(D814="","-",+C823+1)</f>
        <v>2023</v>
      </c>
      <c r="D824" s="602">
        <f t="shared" si="55"/>
        <v>8874585.0444999989</v>
      </c>
      <c r="E824" s="658">
        <f t="shared" si="58"/>
        <v>241485.30733333333</v>
      </c>
      <c r="F824" s="602">
        <f t="shared" si="53"/>
        <v>8633099.7371666655</v>
      </c>
      <c r="G824" s="1167">
        <f t="shared" si="56"/>
        <v>1203332.5312801017</v>
      </c>
      <c r="H824" s="1170">
        <f t="shared" si="57"/>
        <v>1203332.5312801017</v>
      </c>
      <c r="I824" s="655">
        <f t="shared" si="54"/>
        <v>0</v>
      </c>
      <c r="J824" s="655"/>
      <c r="K824" s="793">
        <v>780743.77307412028</v>
      </c>
      <c r="L824" s="661"/>
      <c r="M824" s="1230">
        <v>780743.77307412028</v>
      </c>
      <c r="N824" s="661"/>
      <c r="O824" s="661"/>
      <c r="P824" s="480"/>
    </row>
    <row r="825" spans="1:16">
      <c r="A825" s="285"/>
      <c r="B825" s="285"/>
      <c r="C825" s="1171">
        <f>IF(D809="","-",+C824+1)</f>
        <v>2024</v>
      </c>
      <c r="D825" s="602">
        <f t="shared" si="55"/>
        <v>8633099.7371666655</v>
      </c>
      <c r="E825" s="658">
        <f t="shared" si="58"/>
        <v>241485.30733333333</v>
      </c>
      <c r="F825" s="602">
        <f t="shared" si="53"/>
        <v>8391614.4298333321</v>
      </c>
      <c r="G825" s="1167">
        <f t="shared" si="56"/>
        <v>1176798.8147574321</v>
      </c>
      <c r="H825" s="1170">
        <f t="shared" si="57"/>
        <v>1176798.8147574321</v>
      </c>
      <c r="I825" s="655">
        <f t="shared" si="54"/>
        <v>0</v>
      </c>
      <c r="J825" s="655"/>
      <c r="K825" s="793"/>
      <c r="L825" s="661"/>
      <c r="M825" s="793"/>
      <c r="N825" s="661"/>
      <c r="O825" s="661"/>
      <c r="P825" s="480"/>
    </row>
    <row r="826" spans="1:16">
      <c r="A826" s="285"/>
      <c r="B826" s="285"/>
      <c r="C826" s="651">
        <f>IF(D809="","-",+C825+1)</f>
        <v>2025</v>
      </c>
      <c r="D826" s="602">
        <f t="shared" si="55"/>
        <v>8391614.4298333321</v>
      </c>
      <c r="E826" s="658">
        <f t="shared" si="58"/>
        <v>241485.30733333333</v>
      </c>
      <c r="F826" s="602">
        <f t="shared" si="53"/>
        <v>8150129.1224999987</v>
      </c>
      <c r="G826" s="1167">
        <f t="shared" si="56"/>
        <v>1150265.0982347627</v>
      </c>
      <c r="H826" s="1170">
        <f t="shared" si="57"/>
        <v>1150265.0982347627</v>
      </c>
      <c r="I826" s="655">
        <f t="shared" si="54"/>
        <v>0</v>
      </c>
      <c r="J826" s="655"/>
      <c r="K826" s="793"/>
      <c r="L826" s="661"/>
      <c r="M826" s="793"/>
      <c r="N826" s="661"/>
      <c r="O826" s="661"/>
      <c r="P826" s="480"/>
    </row>
    <row r="827" spans="1:16">
      <c r="A827" s="285"/>
      <c r="B827" s="285"/>
      <c r="C827" s="651">
        <f>IF(D809="","-",+C826+1)</f>
        <v>2026</v>
      </c>
      <c r="D827" s="602">
        <f t="shared" si="55"/>
        <v>8150129.1224999987</v>
      </c>
      <c r="E827" s="658">
        <f t="shared" si="58"/>
        <v>241485.30733333333</v>
      </c>
      <c r="F827" s="602">
        <f t="shared" si="53"/>
        <v>7908643.8151666652</v>
      </c>
      <c r="G827" s="1167">
        <f t="shared" si="56"/>
        <v>1123731.3817120933</v>
      </c>
      <c r="H827" s="1170">
        <f t="shared" si="57"/>
        <v>1123731.3817120933</v>
      </c>
      <c r="I827" s="655">
        <f t="shared" si="54"/>
        <v>0</v>
      </c>
      <c r="J827" s="655"/>
      <c r="K827" s="793"/>
      <c r="L827" s="661"/>
      <c r="M827" s="793"/>
      <c r="N827" s="662"/>
      <c r="O827" s="661"/>
      <c r="P827" s="480"/>
    </row>
    <row r="828" spans="1:16">
      <c r="A828" s="285"/>
      <c r="B828" s="285"/>
      <c r="C828" s="651">
        <f>IF(D809="","-",+C827+1)</f>
        <v>2027</v>
      </c>
      <c r="D828" s="602">
        <f t="shared" si="55"/>
        <v>7908643.8151666652</v>
      </c>
      <c r="E828" s="658">
        <f t="shared" si="58"/>
        <v>241485.30733333333</v>
      </c>
      <c r="F828" s="602">
        <f t="shared" si="53"/>
        <v>7667158.5078333318</v>
      </c>
      <c r="G828" s="1167">
        <f t="shared" si="56"/>
        <v>1097197.6651894238</v>
      </c>
      <c r="H828" s="1170">
        <f t="shared" si="57"/>
        <v>1097197.6651894238</v>
      </c>
      <c r="I828" s="655">
        <f t="shared" si="54"/>
        <v>0</v>
      </c>
      <c r="J828" s="655"/>
      <c r="K828" s="793"/>
      <c r="L828" s="661"/>
      <c r="M828" s="793"/>
      <c r="N828" s="661"/>
      <c r="O828" s="661"/>
      <c r="P828" s="480"/>
    </row>
    <row r="829" spans="1:16">
      <c r="A829" s="285"/>
      <c r="B829" s="285"/>
      <c r="C829" s="651">
        <f>IF(D809="","-",+C828+1)</f>
        <v>2028</v>
      </c>
      <c r="D829" s="602">
        <f t="shared" si="55"/>
        <v>7667158.5078333318</v>
      </c>
      <c r="E829" s="658">
        <f t="shared" si="58"/>
        <v>241485.30733333333</v>
      </c>
      <c r="F829" s="602">
        <f t="shared" si="53"/>
        <v>7425673.2004999984</v>
      </c>
      <c r="G829" s="1167">
        <f t="shared" si="56"/>
        <v>1070663.9486667542</v>
      </c>
      <c r="H829" s="1170">
        <f t="shared" si="57"/>
        <v>1070663.9486667542</v>
      </c>
      <c r="I829" s="655">
        <f t="shared" si="54"/>
        <v>0</v>
      </c>
      <c r="J829" s="655"/>
      <c r="K829" s="793"/>
      <c r="L829" s="661"/>
      <c r="M829" s="793"/>
      <c r="N829" s="661"/>
      <c r="O829" s="661"/>
      <c r="P829" s="480"/>
    </row>
    <row r="830" spans="1:16">
      <c r="A830" s="285"/>
      <c r="B830" s="285"/>
      <c r="C830" s="651">
        <f>IF(D809="","-",+C829+1)</f>
        <v>2029</v>
      </c>
      <c r="D830" s="602">
        <f t="shared" si="55"/>
        <v>7425673.2004999984</v>
      </c>
      <c r="E830" s="658">
        <f t="shared" si="58"/>
        <v>241485.30733333333</v>
      </c>
      <c r="F830" s="602">
        <f t="shared" si="53"/>
        <v>7184187.893166665</v>
      </c>
      <c r="G830" s="1167">
        <f t="shared" si="56"/>
        <v>1044130.2321440848</v>
      </c>
      <c r="H830" s="1170">
        <f t="shared" si="57"/>
        <v>1044130.2321440848</v>
      </c>
      <c r="I830" s="655">
        <f t="shared" si="54"/>
        <v>0</v>
      </c>
      <c r="J830" s="655"/>
      <c r="K830" s="793"/>
      <c r="L830" s="661"/>
      <c r="M830" s="793"/>
      <c r="N830" s="661"/>
      <c r="O830" s="661"/>
      <c r="P830" s="480"/>
    </row>
    <row r="831" spans="1:16">
      <c r="A831" s="285"/>
      <c r="B831" s="285"/>
      <c r="C831" s="651">
        <f>IF(D809="","-",+C830+1)</f>
        <v>2030</v>
      </c>
      <c r="D831" s="602">
        <f t="shared" si="55"/>
        <v>7184187.893166665</v>
      </c>
      <c r="E831" s="658">
        <f t="shared" si="58"/>
        <v>241485.30733333333</v>
      </c>
      <c r="F831" s="602">
        <f t="shared" si="53"/>
        <v>6942702.5858333316</v>
      </c>
      <c r="G831" s="1167">
        <f t="shared" si="56"/>
        <v>1017596.5156214152</v>
      </c>
      <c r="H831" s="1170">
        <f t="shared" si="57"/>
        <v>1017596.5156214152</v>
      </c>
      <c r="I831" s="655">
        <f t="shared" si="54"/>
        <v>0</v>
      </c>
      <c r="J831" s="655"/>
      <c r="K831" s="793"/>
      <c r="L831" s="661"/>
      <c r="M831" s="793"/>
      <c r="N831" s="661"/>
      <c r="O831" s="661"/>
      <c r="P831" s="480"/>
    </row>
    <row r="832" spans="1:16">
      <c r="A832" s="285"/>
      <c r="B832" s="285"/>
      <c r="C832" s="651">
        <f>IF(D809="","-",+C831+1)</f>
        <v>2031</v>
      </c>
      <c r="D832" s="602">
        <f t="shared" si="55"/>
        <v>6942702.5858333316</v>
      </c>
      <c r="E832" s="658">
        <f t="shared" si="58"/>
        <v>241485.30733333333</v>
      </c>
      <c r="F832" s="602">
        <f t="shared" si="53"/>
        <v>6701217.2784999982</v>
      </c>
      <c r="G832" s="1167">
        <f t="shared" si="56"/>
        <v>991062.79909874569</v>
      </c>
      <c r="H832" s="1170">
        <f t="shared" si="57"/>
        <v>991062.79909874569</v>
      </c>
      <c r="I832" s="655">
        <f t="shared" si="54"/>
        <v>0</v>
      </c>
      <c r="J832" s="655"/>
      <c r="K832" s="793"/>
      <c r="L832" s="661"/>
      <c r="M832" s="793"/>
      <c r="N832" s="661"/>
      <c r="O832" s="661"/>
      <c r="P832" s="480"/>
    </row>
    <row r="833" spans="1:16">
      <c r="A833" s="285"/>
      <c r="B833" s="285"/>
      <c r="C833" s="651">
        <f>IF(D809="","-",+C832+1)</f>
        <v>2032</v>
      </c>
      <c r="D833" s="602">
        <f t="shared" si="55"/>
        <v>6701217.2784999982</v>
      </c>
      <c r="E833" s="658">
        <f t="shared" si="58"/>
        <v>241485.30733333333</v>
      </c>
      <c r="F833" s="602">
        <f t="shared" si="53"/>
        <v>6459731.9711666647</v>
      </c>
      <c r="G833" s="1167">
        <f t="shared" si="56"/>
        <v>964529.08257607627</v>
      </c>
      <c r="H833" s="1170">
        <f t="shared" si="57"/>
        <v>964529.08257607627</v>
      </c>
      <c r="I833" s="655">
        <f t="shared" si="54"/>
        <v>0</v>
      </c>
      <c r="J833" s="655"/>
      <c r="K833" s="793"/>
      <c r="L833" s="661"/>
      <c r="M833" s="793"/>
      <c r="N833" s="661"/>
      <c r="O833" s="661"/>
      <c r="P833" s="480"/>
    </row>
    <row r="834" spans="1:16">
      <c r="A834" s="285"/>
      <c r="B834" s="285"/>
      <c r="C834" s="651">
        <f>IF(D809="","-",+C833+1)</f>
        <v>2033</v>
      </c>
      <c r="D834" s="602">
        <f t="shared" si="55"/>
        <v>6459731.9711666647</v>
      </c>
      <c r="E834" s="658">
        <f t="shared" si="58"/>
        <v>241485.30733333333</v>
      </c>
      <c r="F834" s="602">
        <f t="shared" si="53"/>
        <v>6218246.6638333313</v>
      </c>
      <c r="G834" s="1167">
        <f t="shared" si="56"/>
        <v>937995.36605340673</v>
      </c>
      <c r="H834" s="1170">
        <f t="shared" si="57"/>
        <v>937995.36605340673</v>
      </c>
      <c r="I834" s="655">
        <f t="shared" si="54"/>
        <v>0</v>
      </c>
      <c r="J834" s="655"/>
      <c r="K834" s="793"/>
      <c r="L834" s="661"/>
      <c r="M834" s="793"/>
      <c r="N834" s="661"/>
      <c r="O834" s="661"/>
      <c r="P834" s="480"/>
    </row>
    <row r="835" spans="1:16">
      <c r="A835" s="285"/>
      <c r="B835" s="285"/>
      <c r="C835" s="651">
        <f>IF(D809="","-",+C834+1)</f>
        <v>2034</v>
      </c>
      <c r="D835" s="602">
        <f t="shared" si="55"/>
        <v>6218246.6638333313</v>
      </c>
      <c r="E835" s="658">
        <f t="shared" si="58"/>
        <v>241485.30733333333</v>
      </c>
      <c r="F835" s="602">
        <f t="shared" si="53"/>
        <v>5976761.3564999979</v>
      </c>
      <c r="G835" s="1167">
        <f t="shared" si="56"/>
        <v>911461.64953073731</v>
      </c>
      <c r="H835" s="1170">
        <f t="shared" si="57"/>
        <v>911461.64953073731</v>
      </c>
      <c r="I835" s="655">
        <f t="shared" si="54"/>
        <v>0</v>
      </c>
      <c r="J835" s="655"/>
      <c r="K835" s="793"/>
      <c r="L835" s="661"/>
      <c r="M835" s="793"/>
      <c r="N835" s="661"/>
      <c r="O835" s="661"/>
      <c r="P835" s="480"/>
    </row>
    <row r="836" spans="1:16">
      <c r="A836" s="285"/>
      <c r="B836" s="285"/>
      <c r="C836" s="651">
        <f>IF(D809="","-",+C835+1)</f>
        <v>2035</v>
      </c>
      <c r="D836" s="602">
        <f t="shared" si="55"/>
        <v>5976761.3564999979</v>
      </c>
      <c r="E836" s="658">
        <f t="shared" si="58"/>
        <v>241485.30733333333</v>
      </c>
      <c r="F836" s="602">
        <f t="shared" si="53"/>
        <v>5735276.0491666645</v>
      </c>
      <c r="G836" s="1167">
        <f t="shared" si="56"/>
        <v>884927.93300806778</v>
      </c>
      <c r="H836" s="1170">
        <f t="shared" si="57"/>
        <v>884927.93300806778</v>
      </c>
      <c r="I836" s="655">
        <f t="shared" si="54"/>
        <v>0</v>
      </c>
      <c r="J836" s="655"/>
      <c r="K836" s="793"/>
      <c r="L836" s="661"/>
      <c r="M836" s="793"/>
      <c r="N836" s="661"/>
      <c r="O836" s="661"/>
      <c r="P836" s="480"/>
    </row>
    <row r="837" spans="1:16">
      <c r="A837" s="285"/>
      <c r="B837" s="285"/>
      <c r="C837" s="651">
        <f>IF(D809="","-",+C836+1)</f>
        <v>2036</v>
      </c>
      <c r="D837" s="602">
        <f t="shared" si="55"/>
        <v>5735276.0491666645</v>
      </c>
      <c r="E837" s="658">
        <f t="shared" si="58"/>
        <v>241485.30733333333</v>
      </c>
      <c r="F837" s="602">
        <f t="shared" si="53"/>
        <v>5493790.7418333311</v>
      </c>
      <c r="G837" s="1167">
        <f t="shared" si="56"/>
        <v>858394.21648539836</v>
      </c>
      <c r="H837" s="1170">
        <f t="shared" si="57"/>
        <v>858394.21648539836</v>
      </c>
      <c r="I837" s="655">
        <f t="shared" si="54"/>
        <v>0</v>
      </c>
      <c r="J837" s="655"/>
      <c r="K837" s="793"/>
      <c r="L837" s="661"/>
      <c r="M837" s="793"/>
      <c r="N837" s="661"/>
      <c r="O837" s="661"/>
      <c r="P837" s="480"/>
    </row>
    <row r="838" spans="1:16">
      <c r="A838" s="285"/>
      <c r="B838" s="285"/>
      <c r="C838" s="651">
        <f>IF(D809="","-",+C837+1)</f>
        <v>2037</v>
      </c>
      <c r="D838" s="602">
        <f t="shared" si="55"/>
        <v>5493790.7418333311</v>
      </c>
      <c r="E838" s="658">
        <f t="shared" si="58"/>
        <v>241485.30733333333</v>
      </c>
      <c r="F838" s="602">
        <f t="shared" si="53"/>
        <v>5252305.4344999976</v>
      </c>
      <c r="G838" s="1167">
        <f t="shared" si="56"/>
        <v>831860.49996272882</v>
      </c>
      <c r="H838" s="1170">
        <f t="shared" si="57"/>
        <v>831860.49996272882</v>
      </c>
      <c r="I838" s="655">
        <f t="shared" si="54"/>
        <v>0</v>
      </c>
      <c r="J838" s="655"/>
      <c r="K838" s="793"/>
      <c r="L838" s="661"/>
      <c r="M838" s="793"/>
      <c r="N838" s="661"/>
      <c r="O838" s="661"/>
      <c r="P838" s="480"/>
    </row>
    <row r="839" spans="1:16">
      <c r="A839" s="285"/>
      <c r="B839" s="285"/>
      <c r="C839" s="651">
        <f>IF(D809="","-",+C838+1)</f>
        <v>2038</v>
      </c>
      <c r="D839" s="602">
        <f t="shared" si="55"/>
        <v>5252305.4344999976</v>
      </c>
      <c r="E839" s="658">
        <f t="shared" si="58"/>
        <v>241485.30733333333</v>
      </c>
      <c r="F839" s="602">
        <f t="shared" si="53"/>
        <v>5010820.1271666642</v>
      </c>
      <c r="G839" s="1167">
        <f t="shared" si="56"/>
        <v>805326.7834400594</v>
      </c>
      <c r="H839" s="1170">
        <f t="shared" si="57"/>
        <v>805326.7834400594</v>
      </c>
      <c r="I839" s="655">
        <f t="shared" si="54"/>
        <v>0</v>
      </c>
      <c r="J839" s="655"/>
      <c r="K839" s="793"/>
      <c r="L839" s="661"/>
      <c r="M839" s="793"/>
      <c r="N839" s="661"/>
      <c r="O839" s="661"/>
      <c r="P839" s="480"/>
    </row>
    <row r="840" spans="1:16">
      <c r="A840" s="285"/>
      <c r="B840" s="285"/>
      <c r="C840" s="651">
        <f>IF(D809="","-",+C839+1)</f>
        <v>2039</v>
      </c>
      <c r="D840" s="602">
        <f t="shared" si="55"/>
        <v>5010820.1271666642</v>
      </c>
      <c r="E840" s="658">
        <f t="shared" si="58"/>
        <v>241485.30733333333</v>
      </c>
      <c r="F840" s="602">
        <f t="shared" si="53"/>
        <v>4769334.8198333308</v>
      </c>
      <c r="G840" s="1167">
        <f t="shared" si="56"/>
        <v>778793.06691738986</v>
      </c>
      <c r="H840" s="1170">
        <f t="shared" si="57"/>
        <v>778793.06691738986</v>
      </c>
      <c r="I840" s="655">
        <f t="shared" si="54"/>
        <v>0</v>
      </c>
      <c r="J840" s="655"/>
      <c r="K840" s="793"/>
      <c r="L840" s="661"/>
      <c r="M840" s="793"/>
      <c r="N840" s="661"/>
      <c r="O840" s="661"/>
      <c r="P840" s="480"/>
    </row>
    <row r="841" spans="1:16">
      <c r="A841" s="285"/>
      <c r="B841" s="285"/>
      <c r="C841" s="651">
        <f>IF(D809="","-",+C840+1)</f>
        <v>2040</v>
      </c>
      <c r="D841" s="602">
        <f t="shared" si="55"/>
        <v>4769334.8198333308</v>
      </c>
      <c r="E841" s="658">
        <f t="shared" si="58"/>
        <v>241485.30733333333</v>
      </c>
      <c r="F841" s="602">
        <f t="shared" si="53"/>
        <v>4527849.5124999974</v>
      </c>
      <c r="G841" s="1167">
        <f t="shared" si="56"/>
        <v>752259.35039472044</v>
      </c>
      <c r="H841" s="1170">
        <f t="shared" si="57"/>
        <v>752259.35039472044</v>
      </c>
      <c r="I841" s="655">
        <f t="shared" si="54"/>
        <v>0</v>
      </c>
      <c r="J841" s="655"/>
      <c r="K841" s="793"/>
      <c r="L841" s="661"/>
      <c r="M841" s="793"/>
      <c r="N841" s="661"/>
      <c r="O841" s="661"/>
      <c r="P841" s="480"/>
    </row>
    <row r="842" spans="1:16">
      <c r="A842" s="285"/>
      <c r="B842" s="285"/>
      <c r="C842" s="651">
        <f>IF(D809="","-",+C841+1)</f>
        <v>2041</v>
      </c>
      <c r="D842" s="602">
        <f t="shared" si="55"/>
        <v>4527849.5124999974</v>
      </c>
      <c r="E842" s="658">
        <f t="shared" si="58"/>
        <v>241485.30733333333</v>
      </c>
      <c r="F842" s="602">
        <f t="shared" si="53"/>
        <v>4286364.205166664</v>
      </c>
      <c r="G842" s="1167">
        <f t="shared" si="56"/>
        <v>725725.63387205091</v>
      </c>
      <c r="H842" s="1170">
        <f t="shared" si="57"/>
        <v>725725.63387205091</v>
      </c>
      <c r="I842" s="655">
        <f t="shared" si="54"/>
        <v>0</v>
      </c>
      <c r="J842" s="655"/>
      <c r="K842" s="793"/>
      <c r="L842" s="661"/>
      <c r="M842" s="793"/>
      <c r="N842" s="661"/>
      <c r="O842" s="661"/>
      <c r="P842" s="480"/>
    </row>
    <row r="843" spans="1:16">
      <c r="A843" s="285"/>
      <c r="B843" s="285"/>
      <c r="C843" s="651">
        <f>IF(D809="","-",+C842+1)</f>
        <v>2042</v>
      </c>
      <c r="D843" s="602">
        <f t="shared" si="55"/>
        <v>4286364.205166664</v>
      </c>
      <c r="E843" s="658">
        <f t="shared" si="58"/>
        <v>241485.30733333333</v>
      </c>
      <c r="F843" s="602">
        <f t="shared" si="53"/>
        <v>4044878.8978333306</v>
      </c>
      <c r="G843" s="1176">
        <f t="shared" si="56"/>
        <v>699191.91734938149</v>
      </c>
      <c r="H843" s="1170">
        <f t="shared" si="57"/>
        <v>699191.91734938149</v>
      </c>
      <c r="I843" s="655">
        <f t="shared" si="54"/>
        <v>0</v>
      </c>
      <c r="J843" s="655"/>
      <c r="K843" s="793"/>
      <c r="L843" s="661"/>
      <c r="M843" s="793"/>
      <c r="N843" s="661"/>
      <c r="O843" s="661"/>
      <c r="P843" s="480"/>
    </row>
    <row r="844" spans="1:16">
      <c r="A844" s="285"/>
      <c r="B844" s="285"/>
      <c r="C844" s="651">
        <f>IF(D809="","-",+C843+1)</f>
        <v>2043</v>
      </c>
      <c r="D844" s="602">
        <f t="shared" si="55"/>
        <v>4044878.8978333306</v>
      </c>
      <c r="E844" s="658">
        <f t="shared" si="58"/>
        <v>241485.30733333333</v>
      </c>
      <c r="F844" s="602">
        <f t="shared" si="53"/>
        <v>3803393.5904999971</v>
      </c>
      <c r="G844" s="1167">
        <f t="shared" si="56"/>
        <v>672658.20082671195</v>
      </c>
      <c r="H844" s="1170">
        <f t="shared" si="57"/>
        <v>672658.20082671195</v>
      </c>
      <c r="I844" s="655">
        <f t="shared" si="54"/>
        <v>0</v>
      </c>
      <c r="J844" s="655"/>
      <c r="K844" s="793"/>
      <c r="L844" s="661"/>
      <c r="M844" s="793"/>
      <c r="N844" s="661"/>
      <c r="O844" s="661"/>
      <c r="P844" s="480"/>
    </row>
    <row r="845" spans="1:16">
      <c r="A845" s="285"/>
      <c r="B845" s="285"/>
      <c r="C845" s="651">
        <f>IF(D809="","-",+C844+1)</f>
        <v>2044</v>
      </c>
      <c r="D845" s="602">
        <f t="shared" si="55"/>
        <v>3803393.5904999971</v>
      </c>
      <c r="E845" s="658">
        <f t="shared" si="58"/>
        <v>241485.30733333333</v>
      </c>
      <c r="F845" s="602">
        <f t="shared" si="53"/>
        <v>3561908.2831666637</v>
      </c>
      <c r="G845" s="1167">
        <f t="shared" si="56"/>
        <v>646124.48430404253</v>
      </c>
      <c r="H845" s="1170">
        <f t="shared" si="57"/>
        <v>646124.48430404253</v>
      </c>
      <c r="I845" s="655">
        <f t="shared" si="54"/>
        <v>0</v>
      </c>
      <c r="J845" s="655"/>
      <c r="K845" s="793"/>
      <c r="L845" s="661"/>
      <c r="M845" s="793"/>
      <c r="N845" s="661"/>
      <c r="O845" s="661"/>
      <c r="P845" s="480"/>
    </row>
    <row r="846" spans="1:16">
      <c r="A846" s="285"/>
      <c r="B846" s="285"/>
      <c r="C846" s="651">
        <f>IF(D809="","-",+C845+1)</f>
        <v>2045</v>
      </c>
      <c r="D846" s="602">
        <f t="shared" si="55"/>
        <v>3561908.2831666637</v>
      </c>
      <c r="E846" s="658">
        <f t="shared" si="58"/>
        <v>241485.30733333333</v>
      </c>
      <c r="F846" s="602">
        <f t="shared" si="53"/>
        <v>3320422.9758333303</v>
      </c>
      <c r="G846" s="1167">
        <f t="shared" si="56"/>
        <v>619590.767781373</v>
      </c>
      <c r="H846" s="1170">
        <f t="shared" si="57"/>
        <v>619590.767781373</v>
      </c>
      <c r="I846" s="655">
        <f t="shared" si="54"/>
        <v>0</v>
      </c>
      <c r="J846" s="655"/>
      <c r="K846" s="793"/>
      <c r="L846" s="661"/>
      <c r="M846" s="793"/>
      <c r="N846" s="661"/>
      <c r="O846" s="661"/>
      <c r="P846" s="480"/>
    </row>
    <row r="847" spans="1:16">
      <c r="A847" s="285"/>
      <c r="B847" s="285"/>
      <c r="C847" s="651">
        <f>IF(D809="","-",+C846+1)</f>
        <v>2046</v>
      </c>
      <c r="D847" s="602">
        <f t="shared" si="55"/>
        <v>3320422.9758333303</v>
      </c>
      <c r="E847" s="658">
        <f t="shared" si="58"/>
        <v>241485.30733333333</v>
      </c>
      <c r="F847" s="602">
        <f t="shared" si="53"/>
        <v>3078937.6684999969</v>
      </c>
      <c r="G847" s="1167">
        <f t="shared" si="56"/>
        <v>593057.05125870358</v>
      </c>
      <c r="H847" s="1170">
        <f t="shared" si="57"/>
        <v>593057.05125870358</v>
      </c>
      <c r="I847" s="655">
        <f t="shared" si="54"/>
        <v>0</v>
      </c>
      <c r="J847" s="655"/>
      <c r="K847" s="793"/>
      <c r="L847" s="661"/>
      <c r="M847" s="793"/>
      <c r="N847" s="661"/>
      <c r="O847" s="661"/>
      <c r="P847" s="480"/>
    </row>
    <row r="848" spans="1:16">
      <c r="A848" s="285"/>
      <c r="B848" s="285"/>
      <c r="C848" s="651">
        <f>IF(D809="","-",+C847+1)</f>
        <v>2047</v>
      </c>
      <c r="D848" s="602">
        <f t="shared" si="55"/>
        <v>3078937.6684999969</v>
      </c>
      <c r="E848" s="658">
        <f t="shared" si="58"/>
        <v>241485.30733333333</v>
      </c>
      <c r="F848" s="602">
        <f t="shared" si="53"/>
        <v>2837452.3611666635</v>
      </c>
      <c r="G848" s="1167">
        <f t="shared" si="56"/>
        <v>566523.33473603404</v>
      </c>
      <c r="H848" s="1170">
        <f t="shared" si="57"/>
        <v>566523.33473603404</v>
      </c>
      <c r="I848" s="655">
        <f t="shared" si="54"/>
        <v>0</v>
      </c>
      <c r="J848" s="655"/>
      <c r="K848" s="793"/>
      <c r="L848" s="661"/>
      <c r="M848" s="793"/>
      <c r="N848" s="661"/>
      <c r="O848" s="661"/>
      <c r="P848" s="480"/>
    </row>
    <row r="849" spans="1:16">
      <c r="A849" s="285"/>
      <c r="B849" s="285"/>
      <c r="C849" s="651">
        <f>IF(D809="","-",+C848+1)</f>
        <v>2048</v>
      </c>
      <c r="D849" s="602">
        <f t="shared" si="55"/>
        <v>2837452.3611666635</v>
      </c>
      <c r="E849" s="658">
        <f t="shared" si="58"/>
        <v>241485.30733333333</v>
      </c>
      <c r="F849" s="602">
        <f t="shared" si="53"/>
        <v>2595967.0538333301</v>
      </c>
      <c r="G849" s="1167">
        <f t="shared" si="56"/>
        <v>539989.61821336451</v>
      </c>
      <c r="H849" s="1170">
        <f t="shared" si="57"/>
        <v>539989.61821336451</v>
      </c>
      <c r="I849" s="655">
        <f t="shared" si="54"/>
        <v>0</v>
      </c>
      <c r="J849" s="655"/>
      <c r="K849" s="793"/>
      <c r="L849" s="661"/>
      <c r="M849" s="793"/>
      <c r="N849" s="661"/>
      <c r="O849" s="661"/>
      <c r="P849" s="480"/>
    </row>
    <row r="850" spans="1:16">
      <c r="A850" s="285"/>
      <c r="B850" s="285"/>
      <c r="C850" s="651">
        <f>IF(D809="","-",+C849+1)</f>
        <v>2049</v>
      </c>
      <c r="D850" s="602">
        <f t="shared" si="55"/>
        <v>2595967.0538333301</v>
      </c>
      <c r="E850" s="658">
        <f t="shared" si="58"/>
        <v>241485.30733333333</v>
      </c>
      <c r="F850" s="602">
        <f t="shared" si="53"/>
        <v>2354481.7464999966</v>
      </c>
      <c r="G850" s="1167">
        <f t="shared" si="56"/>
        <v>513455.90169069509</v>
      </c>
      <c r="H850" s="1170">
        <f t="shared" si="57"/>
        <v>513455.90169069509</v>
      </c>
      <c r="I850" s="655">
        <f t="shared" si="54"/>
        <v>0</v>
      </c>
      <c r="J850" s="655"/>
      <c r="K850" s="793"/>
      <c r="L850" s="661"/>
      <c r="M850" s="793"/>
      <c r="N850" s="661"/>
      <c r="O850" s="661"/>
      <c r="P850" s="480"/>
    </row>
    <row r="851" spans="1:16">
      <c r="A851" s="285"/>
      <c r="B851" s="285"/>
      <c r="C851" s="651">
        <f>IF(D809="","-",+C850+1)</f>
        <v>2050</v>
      </c>
      <c r="D851" s="602">
        <f t="shared" si="55"/>
        <v>2354481.7464999966</v>
      </c>
      <c r="E851" s="658">
        <f t="shared" si="58"/>
        <v>241485.30733333333</v>
      </c>
      <c r="F851" s="602">
        <f t="shared" si="53"/>
        <v>2112996.4391666632</v>
      </c>
      <c r="G851" s="1167">
        <f t="shared" si="56"/>
        <v>486922.18516802555</v>
      </c>
      <c r="H851" s="1170">
        <f t="shared" si="57"/>
        <v>486922.18516802555</v>
      </c>
      <c r="I851" s="655">
        <f t="shared" si="54"/>
        <v>0</v>
      </c>
      <c r="J851" s="655"/>
      <c r="K851" s="793"/>
      <c r="L851" s="661"/>
      <c r="M851" s="793"/>
      <c r="N851" s="661"/>
      <c r="O851" s="661"/>
      <c r="P851" s="480"/>
    </row>
    <row r="852" spans="1:16">
      <c r="A852" s="285"/>
      <c r="B852" s="285"/>
      <c r="C852" s="651">
        <f>IF(D809="","-",+C851+1)</f>
        <v>2051</v>
      </c>
      <c r="D852" s="602">
        <f t="shared" si="55"/>
        <v>2112996.4391666632</v>
      </c>
      <c r="E852" s="658">
        <f t="shared" si="58"/>
        <v>241485.30733333333</v>
      </c>
      <c r="F852" s="602">
        <f t="shared" si="53"/>
        <v>1871511.1318333298</v>
      </c>
      <c r="G852" s="1167">
        <f t="shared" si="56"/>
        <v>460388.46864535613</v>
      </c>
      <c r="H852" s="1170">
        <f t="shared" si="57"/>
        <v>460388.46864535613</v>
      </c>
      <c r="I852" s="655">
        <f t="shared" si="54"/>
        <v>0</v>
      </c>
      <c r="J852" s="655"/>
      <c r="K852" s="793"/>
      <c r="L852" s="661"/>
      <c r="M852" s="793"/>
      <c r="N852" s="661"/>
      <c r="O852" s="661"/>
      <c r="P852" s="480"/>
    </row>
    <row r="853" spans="1:16">
      <c r="A853" s="285"/>
      <c r="B853" s="285"/>
      <c r="C853" s="651">
        <f>IF(D809="","-",+C852+1)</f>
        <v>2052</v>
      </c>
      <c r="D853" s="602">
        <f t="shared" si="55"/>
        <v>1871511.1318333298</v>
      </c>
      <c r="E853" s="658">
        <f t="shared" si="58"/>
        <v>241485.30733333333</v>
      </c>
      <c r="F853" s="602">
        <f t="shared" si="53"/>
        <v>1630025.8244999964</v>
      </c>
      <c r="G853" s="1167">
        <f t="shared" si="56"/>
        <v>433854.75212268659</v>
      </c>
      <c r="H853" s="1170">
        <f t="shared" si="57"/>
        <v>433854.75212268659</v>
      </c>
      <c r="I853" s="655">
        <f t="shared" si="54"/>
        <v>0</v>
      </c>
      <c r="J853" s="655"/>
      <c r="K853" s="793"/>
      <c r="L853" s="661"/>
      <c r="M853" s="793"/>
      <c r="N853" s="661"/>
      <c r="O853" s="661"/>
      <c r="P853" s="480"/>
    </row>
    <row r="854" spans="1:16">
      <c r="A854" s="285"/>
      <c r="B854" s="285"/>
      <c r="C854" s="651">
        <f>IF(D809="","-",+C853+1)</f>
        <v>2053</v>
      </c>
      <c r="D854" s="602">
        <f t="shared" si="55"/>
        <v>1630025.8244999964</v>
      </c>
      <c r="E854" s="658">
        <f t="shared" si="58"/>
        <v>241485.30733333333</v>
      </c>
      <c r="F854" s="602">
        <f t="shared" si="53"/>
        <v>1388540.517166663</v>
      </c>
      <c r="G854" s="1167">
        <f t="shared" si="56"/>
        <v>407321.03560001717</v>
      </c>
      <c r="H854" s="1170">
        <f t="shared" si="57"/>
        <v>407321.03560001717</v>
      </c>
      <c r="I854" s="655">
        <f t="shared" si="54"/>
        <v>0</v>
      </c>
      <c r="J854" s="655"/>
      <c r="K854" s="793"/>
      <c r="L854" s="661"/>
      <c r="M854" s="793"/>
      <c r="N854" s="661"/>
      <c r="O854" s="661"/>
      <c r="P854" s="480"/>
    </row>
    <row r="855" spans="1:16">
      <c r="A855" s="285"/>
      <c r="B855" s="285"/>
      <c r="C855" s="651">
        <f>IF(D809="","-",+C854+1)</f>
        <v>2054</v>
      </c>
      <c r="D855" s="602">
        <f t="shared" si="55"/>
        <v>1388540.517166663</v>
      </c>
      <c r="E855" s="658">
        <f t="shared" si="58"/>
        <v>241485.30733333333</v>
      </c>
      <c r="F855" s="602">
        <f t="shared" si="53"/>
        <v>1147055.2098333295</v>
      </c>
      <c r="G855" s="1167">
        <f t="shared" si="56"/>
        <v>380787.31907734764</v>
      </c>
      <c r="H855" s="1170">
        <f t="shared" si="57"/>
        <v>380787.31907734764</v>
      </c>
      <c r="I855" s="655">
        <f t="shared" si="54"/>
        <v>0</v>
      </c>
      <c r="J855" s="655"/>
      <c r="K855" s="793"/>
      <c r="L855" s="661"/>
      <c r="M855" s="793"/>
      <c r="N855" s="661"/>
      <c r="O855" s="661"/>
      <c r="P855" s="480"/>
    </row>
    <row r="856" spans="1:16">
      <c r="A856" s="285"/>
      <c r="B856" s="285"/>
      <c r="C856" s="651">
        <f>IF(D809="","-",+C855+1)</f>
        <v>2055</v>
      </c>
      <c r="D856" s="602">
        <f t="shared" si="55"/>
        <v>1147055.2098333295</v>
      </c>
      <c r="E856" s="658">
        <f t="shared" si="58"/>
        <v>241485.30733333333</v>
      </c>
      <c r="F856" s="602">
        <f t="shared" si="53"/>
        <v>905569.90249999624</v>
      </c>
      <c r="G856" s="1167">
        <f t="shared" si="56"/>
        <v>354253.60255467816</v>
      </c>
      <c r="H856" s="1170">
        <f t="shared" si="57"/>
        <v>354253.60255467816</v>
      </c>
      <c r="I856" s="655">
        <f t="shared" si="54"/>
        <v>0</v>
      </c>
      <c r="J856" s="655"/>
      <c r="K856" s="793"/>
      <c r="L856" s="661"/>
      <c r="M856" s="793"/>
      <c r="N856" s="661"/>
      <c r="O856" s="661"/>
      <c r="P856" s="480"/>
    </row>
    <row r="857" spans="1:16">
      <c r="A857" s="285"/>
      <c r="B857" s="285"/>
      <c r="C857" s="651">
        <f>IF(D809="","-",+C856+1)</f>
        <v>2056</v>
      </c>
      <c r="D857" s="602">
        <f t="shared" si="55"/>
        <v>905569.90249999624</v>
      </c>
      <c r="E857" s="658">
        <f t="shared" si="58"/>
        <v>241485.30733333333</v>
      </c>
      <c r="F857" s="602">
        <f t="shared" si="53"/>
        <v>664084.59516666294</v>
      </c>
      <c r="G857" s="1167">
        <f t="shared" si="56"/>
        <v>327719.88603200868</v>
      </c>
      <c r="H857" s="1170">
        <f t="shared" si="57"/>
        <v>327719.88603200868</v>
      </c>
      <c r="I857" s="655">
        <f t="shared" si="54"/>
        <v>0</v>
      </c>
      <c r="J857" s="655"/>
      <c r="K857" s="793"/>
      <c r="L857" s="661"/>
      <c r="M857" s="793"/>
      <c r="N857" s="661"/>
      <c r="O857" s="661"/>
      <c r="P857" s="480"/>
    </row>
    <row r="858" spans="1:16">
      <c r="A858" s="285"/>
      <c r="B858" s="285"/>
      <c r="C858" s="651">
        <f>IF(D809="","-",+C857+1)</f>
        <v>2057</v>
      </c>
      <c r="D858" s="602">
        <f t="shared" si="55"/>
        <v>664084.59516666294</v>
      </c>
      <c r="E858" s="658">
        <f t="shared" si="58"/>
        <v>241485.30733333333</v>
      </c>
      <c r="F858" s="602">
        <f t="shared" si="53"/>
        <v>422599.28783332964</v>
      </c>
      <c r="G858" s="1167">
        <f t="shared" si="56"/>
        <v>301186.16950933926</v>
      </c>
      <c r="H858" s="1170">
        <f t="shared" si="57"/>
        <v>301186.16950933926</v>
      </c>
      <c r="I858" s="655">
        <f t="shared" si="54"/>
        <v>0</v>
      </c>
      <c r="J858" s="655"/>
      <c r="K858" s="793"/>
      <c r="L858" s="661"/>
      <c r="M858" s="793"/>
      <c r="N858" s="661"/>
      <c r="O858" s="661"/>
      <c r="P858" s="480"/>
    </row>
    <row r="859" spans="1:16">
      <c r="A859" s="285"/>
      <c r="B859" s="285"/>
      <c r="C859" s="651">
        <f>IF(D809="","-",+C858+1)</f>
        <v>2058</v>
      </c>
      <c r="D859" s="602">
        <f t="shared" si="55"/>
        <v>422599.28783332964</v>
      </c>
      <c r="E859" s="658">
        <f t="shared" si="58"/>
        <v>241485.30733333333</v>
      </c>
      <c r="F859" s="602">
        <f t="shared" si="53"/>
        <v>181113.98049999631</v>
      </c>
      <c r="G859" s="1167">
        <f t="shared" si="56"/>
        <v>274652.45298666978</v>
      </c>
      <c r="H859" s="1170">
        <f t="shared" si="57"/>
        <v>274652.45298666978</v>
      </c>
      <c r="I859" s="655">
        <f t="shared" si="54"/>
        <v>0</v>
      </c>
      <c r="J859" s="655"/>
      <c r="K859" s="793"/>
      <c r="L859" s="661"/>
      <c r="M859" s="793"/>
      <c r="N859" s="661"/>
      <c r="O859" s="661"/>
      <c r="P859" s="480"/>
    </row>
    <row r="860" spans="1:16">
      <c r="A860" s="285"/>
      <c r="B860" s="285"/>
      <c r="C860" s="651">
        <f>IF(D809="","-",+C859+1)</f>
        <v>2059</v>
      </c>
      <c r="D860" s="602">
        <f t="shared" si="55"/>
        <v>181113.98049999631</v>
      </c>
      <c r="E860" s="658">
        <f t="shared" si="58"/>
        <v>181113.98049999631</v>
      </c>
      <c r="F860" s="602">
        <f t="shared" si="53"/>
        <v>0</v>
      </c>
      <c r="G860" s="1167">
        <f t="shared" si="56"/>
        <v>191064.12419599717</v>
      </c>
      <c r="H860" s="1170">
        <f t="shared" si="57"/>
        <v>191064.12419599717</v>
      </c>
      <c r="I860" s="655">
        <f t="shared" si="54"/>
        <v>0</v>
      </c>
      <c r="J860" s="655"/>
      <c r="K860" s="793"/>
      <c r="L860" s="661"/>
      <c r="M860" s="793"/>
      <c r="N860" s="661"/>
      <c r="O860" s="661"/>
      <c r="P860" s="480"/>
    </row>
    <row r="861" spans="1:16">
      <c r="A861" s="285"/>
      <c r="B861" s="285"/>
      <c r="C861" s="651">
        <f>IF(D809="","-",+C860+1)</f>
        <v>2060</v>
      </c>
      <c r="D861" s="602">
        <f t="shared" si="55"/>
        <v>0</v>
      </c>
      <c r="E861" s="658">
        <f t="shared" si="58"/>
        <v>0</v>
      </c>
      <c r="F861" s="602">
        <f t="shared" si="53"/>
        <v>0</v>
      </c>
      <c r="G861" s="1167">
        <f t="shared" si="56"/>
        <v>0</v>
      </c>
      <c r="H861" s="1170">
        <f t="shared" si="57"/>
        <v>0</v>
      </c>
      <c r="I861" s="655">
        <f t="shared" si="54"/>
        <v>0</v>
      </c>
      <c r="J861" s="655"/>
      <c r="K861" s="793"/>
      <c r="L861" s="661"/>
      <c r="M861" s="793"/>
      <c r="N861" s="661"/>
      <c r="O861" s="661"/>
      <c r="P861" s="480"/>
    </row>
    <row r="862" spans="1:16">
      <c r="A862" s="285"/>
      <c r="B862" s="285"/>
      <c r="C862" s="651">
        <f>IF(D809="","-",+C861+1)</f>
        <v>2061</v>
      </c>
      <c r="D862" s="602">
        <f t="shared" si="55"/>
        <v>0</v>
      </c>
      <c r="E862" s="658">
        <f t="shared" si="58"/>
        <v>0</v>
      </c>
      <c r="F862" s="602">
        <f t="shared" si="53"/>
        <v>0</v>
      </c>
      <c r="G862" s="1167">
        <f t="shared" si="56"/>
        <v>0</v>
      </c>
      <c r="H862" s="1170">
        <f t="shared" si="57"/>
        <v>0</v>
      </c>
      <c r="I862" s="655">
        <f t="shared" si="54"/>
        <v>0</v>
      </c>
      <c r="J862" s="655"/>
      <c r="K862" s="793"/>
      <c r="L862" s="661"/>
      <c r="M862" s="793"/>
      <c r="N862" s="661"/>
      <c r="O862" s="661"/>
      <c r="P862" s="480"/>
    </row>
    <row r="863" spans="1:16">
      <c r="A863" s="285"/>
      <c r="B863" s="285"/>
      <c r="C863" s="651">
        <f>IF(D809="","-",+C862+1)</f>
        <v>2062</v>
      </c>
      <c r="D863" s="602">
        <f t="shared" si="55"/>
        <v>0</v>
      </c>
      <c r="E863" s="658">
        <f t="shared" si="58"/>
        <v>0</v>
      </c>
      <c r="F863" s="602">
        <f t="shared" si="53"/>
        <v>0</v>
      </c>
      <c r="G863" s="1167">
        <f t="shared" si="56"/>
        <v>0</v>
      </c>
      <c r="H863" s="1170">
        <f t="shared" si="57"/>
        <v>0</v>
      </c>
      <c r="I863" s="655">
        <f t="shared" si="54"/>
        <v>0</v>
      </c>
      <c r="J863" s="655"/>
      <c r="K863" s="793"/>
      <c r="L863" s="661"/>
      <c r="M863" s="793"/>
      <c r="N863" s="661"/>
      <c r="O863" s="661"/>
      <c r="P863" s="480"/>
    </row>
    <row r="864" spans="1:16">
      <c r="A864" s="285"/>
      <c r="B864" s="285"/>
      <c r="C864" s="651">
        <f>IF(D809="","-",+C863+1)</f>
        <v>2063</v>
      </c>
      <c r="D864" s="602">
        <f t="shared" si="55"/>
        <v>0</v>
      </c>
      <c r="E864" s="658">
        <f t="shared" si="58"/>
        <v>0</v>
      </c>
      <c r="F864" s="602">
        <f t="shared" si="53"/>
        <v>0</v>
      </c>
      <c r="G864" s="1167">
        <f t="shared" si="56"/>
        <v>0</v>
      </c>
      <c r="H864" s="1170">
        <f t="shared" si="57"/>
        <v>0</v>
      </c>
      <c r="I864" s="655">
        <f t="shared" si="54"/>
        <v>0</v>
      </c>
      <c r="J864" s="655"/>
      <c r="K864" s="793"/>
      <c r="L864" s="661"/>
      <c r="M864" s="793"/>
      <c r="N864" s="661"/>
      <c r="O864" s="661"/>
      <c r="P864" s="480"/>
    </row>
    <row r="865" spans="1:16">
      <c r="A865" s="285"/>
      <c r="B865" s="285"/>
      <c r="C865" s="651">
        <f>IF(D809="","-",+C864+1)</f>
        <v>2064</v>
      </c>
      <c r="D865" s="602">
        <f t="shared" si="55"/>
        <v>0</v>
      </c>
      <c r="E865" s="658">
        <f t="shared" si="58"/>
        <v>0</v>
      </c>
      <c r="F865" s="602">
        <f t="shared" si="53"/>
        <v>0</v>
      </c>
      <c r="G865" s="1167">
        <f t="shared" si="56"/>
        <v>0</v>
      </c>
      <c r="H865" s="1170">
        <f t="shared" si="57"/>
        <v>0</v>
      </c>
      <c r="I865" s="655">
        <f t="shared" si="54"/>
        <v>0</v>
      </c>
      <c r="J865" s="655"/>
      <c r="K865" s="793"/>
      <c r="L865" s="661"/>
      <c r="M865" s="793"/>
      <c r="N865" s="661"/>
      <c r="O865" s="661"/>
      <c r="P865" s="480"/>
    </row>
    <row r="866" spans="1:16">
      <c r="A866" s="285"/>
      <c r="B866" s="285"/>
      <c r="C866" s="651">
        <f>IF(D809="","-",+C865+1)</f>
        <v>2065</v>
      </c>
      <c r="D866" s="602">
        <f t="shared" si="55"/>
        <v>0</v>
      </c>
      <c r="E866" s="658">
        <f t="shared" si="58"/>
        <v>0</v>
      </c>
      <c r="F866" s="602">
        <f t="shared" si="53"/>
        <v>0</v>
      </c>
      <c r="G866" s="1167">
        <f t="shared" si="56"/>
        <v>0</v>
      </c>
      <c r="H866" s="1170">
        <f t="shared" si="57"/>
        <v>0</v>
      </c>
      <c r="I866" s="655">
        <f t="shared" si="54"/>
        <v>0</v>
      </c>
      <c r="J866" s="655"/>
      <c r="K866" s="793"/>
      <c r="L866" s="661"/>
      <c r="M866" s="793"/>
      <c r="N866" s="661"/>
      <c r="O866" s="661"/>
      <c r="P866" s="480"/>
    </row>
    <row r="867" spans="1:16">
      <c r="A867" s="285"/>
      <c r="B867" s="285"/>
      <c r="C867" s="651">
        <f>IF(D809="","-",+C866+1)</f>
        <v>2066</v>
      </c>
      <c r="D867" s="602">
        <f t="shared" si="55"/>
        <v>0</v>
      </c>
      <c r="E867" s="658">
        <f t="shared" si="58"/>
        <v>0</v>
      </c>
      <c r="F867" s="602">
        <f t="shared" si="53"/>
        <v>0</v>
      </c>
      <c r="G867" s="1167">
        <f t="shared" si="56"/>
        <v>0</v>
      </c>
      <c r="H867" s="1170">
        <f t="shared" si="57"/>
        <v>0</v>
      </c>
      <c r="I867" s="655">
        <f t="shared" si="54"/>
        <v>0</v>
      </c>
      <c r="J867" s="655"/>
      <c r="K867" s="793"/>
      <c r="L867" s="661"/>
      <c r="M867" s="793"/>
      <c r="N867" s="661"/>
      <c r="O867" s="661"/>
      <c r="P867" s="480"/>
    </row>
    <row r="868" spans="1:16">
      <c r="A868" s="285"/>
      <c r="B868" s="285"/>
      <c r="C868" s="651">
        <f>IF(D809="","-",+C867+1)</f>
        <v>2067</v>
      </c>
      <c r="D868" s="602">
        <f t="shared" si="55"/>
        <v>0</v>
      </c>
      <c r="E868" s="658">
        <f t="shared" si="58"/>
        <v>0</v>
      </c>
      <c r="F868" s="602">
        <f t="shared" si="53"/>
        <v>0</v>
      </c>
      <c r="G868" s="1167">
        <f t="shared" si="56"/>
        <v>0</v>
      </c>
      <c r="H868" s="1170">
        <f t="shared" si="57"/>
        <v>0</v>
      </c>
      <c r="I868" s="655">
        <f t="shared" si="54"/>
        <v>0</v>
      </c>
      <c r="J868" s="655"/>
      <c r="K868" s="793"/>
      <c r="L868" s="661"/>
      <c r="M868" s="793"/>
      <c r="N868" s="661"/>
      <c r="O868" s="661"/>
      <c r="P868" s="480"/>
    </row>
    <row r="869" spans="1:16">
      <c r="A869" s="285"/>
      <c r="B869" s="285"/>
      <c r="C869" s="651">
        <f>IF(D809="","-",+C868+1)</f>
        <v>2068</v>
      </c>
      <c r="D869" s="602">
        <f t="shared" si="55"/>
        <v>0</v>
      </c>
      <c r="E869" s="658">
        <f t="shared" si="58"/>
        <v>0</v>
      </c>
      <c r="F869" s="602">
        <f t="shared" si="53"/>
        <v>0</v>
      </c>
      <c r="G869" s="1167">
        <f t="shared" si="56"/>
        <v>0</v>
      </c>
      <c r="H869" s="1170">
        <f t="shared" si="57"/>
        <v>0</v>
      </c>
      <c r="I869" s="655">
        <f t="shared" si="54"/>
        <v>0</v>
      </c>
      <c r="J869" s="655"/>
      <c r="K869" s="793"/>
      <c r="L869" s="661"/>
      <c r="M869" s="793"/>
      <c r="N869" s="661"/>
      <c r="O869" s="661"/>
      <c r="P869" s="480"/>
    </row>
    <row r="870" spans="1:16">
      <c r="A870" s="285"/>
      <c r="B870" s="285"/>
      <c r="C870" s="651">
        <f>IF(D809="","-",+C869+1)</f>
        <v>2069</v>
      </c>
      <c r="D870" s="602">
        <f t="shared" si="55"/>
        <v>0</v>
      </c>
      <c r="E870" s="658">
        <f t="shared" si="58"/>
        <v>0</v>
      </c>
      <c r="F870" s="602">
        <f t="shared" si="53"/>
        <v>0</v>
      </c>
      <c r="G870" s="1167">
        <f t="shared" si="56"/>
        <v>0</v>
      </c>
      <c r="H870" s="1170">
        <f t="shared" si="57"/>
        <v>0</v>
      </c>
      <c r="I870" s="655">
        <f t="shared" si="54"/>
        <v>0</v>
      </c>
      <c r="J870" s="655"/>
      <c r="K870" s="793"/>
      <c r="L870" s="661"/>
      <c r="M870" s="793"/>
      <c r="N870" s="661"/>
      <c r="O870" s="661"/>
      <c r="P870" s="480"/>
    </row>
    <row r="871" spans="1:16">
      <c r="A871" s="285"/>
      <c r="B871" s="285"/>
      <c r="C871" s="651">
        <f>IF(D809="","-",+C870+1)</f>
        <v>2070</v>
      </c>
      <c r="D871" s="602">
        <f t="shared" si="55"/>
        <v>0</v>
      </c>
      <c r="E871" s="658">
        <f t="shared" si="58"/>
        <v>0</v>
      </c>
      <c r="F871" s="602">
        <f t="shared" si="53"/>
        <v>0</v>
      </c>
      <c r="G871" s="1167">
        <f t="shared" si="56"/>
        <v>0</v>
      </c>
      <c r="H871" s="1170">
        <f t="shared" si="57"/>
        <v>0</v>
      </c>
      <c r="I871" s="655">
        <f t="shared" si="54"/>
        <v>0</v>
      </c>
      <c r="J871" s="655"/>
      <c r="K871" s="793"/>
      <c r="L871" s="661"/>
      <c r="M871" s="793"/>
      <c r="N871" s="661"/>
      <c r="O871" s="661"/>
      <c r="P871" s="480"/>
    </row>
    <row r="872" spans="1:16">
      <c r="A872" s="285"/>
      <c r="B872" s="285"/>
      <c r="C872" s="651">
        <f>IF(D809="","-",+C871+1)</f>
        <v>2071</v>
      </c>
      <c r="D872" s="602">
        <f t="shared" si="55"/>
        <v>0</v>
      </c>
      <c r="E872" s="658">
        <f t="shared" si="58"/>
        <v>0</v>
      </c>
      <c r="F872" s="602">
        <f t="shared" si="53"/>
        <v>0</v>
      </c>
      <c r="G872" s="1167">
        <f t="shared" si="56"/>
        <v>0</v>
      </c>
      <c r="H872" s="1170">
        <f t="shared" si="57"/>
        <v>0</v>
      </c>
      <c r="I872" s="655">
        <f t="shared" si="54"/>
        <v>0</v>
      </c>
      <c r="J872" s="655"/>
      <c r="K872" s="793"/>
      <c r="L872" s="661"/>
      <c r="M872" s="793"/>
      <c r="N872" s="661"/>
      <c r="O872" s="661"/>
      <c r="P872" s="480"/>
    </row>
    <row r="873" spans="1:16">
      <c r="A873" s="285"/>
      <c r="B873" s="285"/>
      <c r="C873" s="651">
        <f>IF(D809="","-",+C872+1)</f>
        <v>2072</v>
      </c>
      <c r="D873" s="602">
        <f t="shared" si="55"/>
        <v>0</v>
      </c>
      <c r="E873" s="658">
        <f t="shared" si="58"/>
        <v>0</v>
      </c>
      <c r="F873" s="602">
        <f t="shared" si="53"/>
        <v>0</v>
      </c>
      <c r="G873" s="1167">
        <f t="shared" si="56"/>
        <v>0</v>
      </c>
      <c r="H873" s="1170">
        <f t="shared" si="57"/>
        <v>0</v>
      </c>
      <c r="I873" s="655">
        <f t="shared" si="54"/>
        <v>0</v>
      </c>
      <c r="J873" s="655"/>
      <c r="K873" s="793"/>
      <c r="L873" s="661"/>
      <c r="M873" s="793"/>
      <c r="N873" s="661"/>
      <c r="O873" s="661"/>
      <c r="P873" s="480"/>
    </row>
    <row r="874" spans="1:16" ht="13.5" thickBot="1">
      <c r="A874" s="285"/>
      <c r="B874" s="285"/>
      <c r="C874" s="663">
        <f>IF(D809="","-",+C873+1)</f>
        <v>2073</v>
      </c>
      <c r="D874" s="664">
        <f t="shared" si="55"/>
        <v>0</v>
      </c>
      <c r="E874" s="665">
        <f t="shared" si="58"/>
        <v>0</v>
      </c>
      <c r="F874" s="664">
        <f t="shared" si="53"/>
        <v>0</v>
      </c>
      <c r="G874" s="1177">
        <f t="shared" si="56"/>
        <v>0</v>
      </c>
      <c r="H874" s="1177">
        <f t="shared" si="57"/>
        <v>0</v>
      </c>
      <c r="I874" s="667">
        <f t="shared" si="54"/>
        <v>0</v>
      </c>
      <c r="J874" s="655"/>
      <c r="K874" s="794"/>
      <c r="L874" s="669"/>
      <c r="M874" s="794"/>
      <c r="N874" s="669"/>
      <c r="O874" s="669"/>
      <c r="P874" s="480"/>
    </row>
    <row r="875" spans="1:16">
      <c r="A875" s="285"/>
      <c r="B875" s="285"/>
      <c r="C875" s="602" t="s">
        <v>288</v>
      </c>
      <c r="D875" s="1148"/>
      <c r="E875" s="1148">
        <f>SUM(E815:E874)</f>
        <v>10866838.829999998</v>
      </c>
      <c r="F875" s="1148"/>
      <c r="G875" s="1148">
        <f>SUM(G815:G874)</f>
        <v>38627739.741842933</v>
      </c>
      <c r="H875" s="1148">
        <f>SUM(H815:H874)</f>
        <v>38627739.741842933</v>
      </c>
      <c r="I875" s="1148">
        <f>SUM(I815:I874)</f>
        <v>0</v>
      </c>
      <c r="J875" s="1148"/>
      <c r="K875" s="1148"/>
      <c r="L875" s="1148"/>
      <c r="M875" s="1148"/>
      <c r="N875" s="1148"/>
      <c r="O875" s="480"/>
      <c r="P875" s="480"/>
    </row>
    <row r="876" spans="1:16">
      <c r="A876" s="285"/>
      <c r="B876" s="285"/>
      <c r="C876" s="285"/>
      <c r="D876" s="496"/>
      <c r="E876" s="480"/>
      <c r="F876" s="480"/>
      <c r="G876" s="480"/>
      <c r="H876" s="1147"/>
      <c r="I876" s="1147"/>
      <c r="J876" s="1148"/>
      <c r="K876" s="1147"/>
      <c r="L876" s="1147"/>
      <c r="M876" s="1147"/>
      <c r="N876" s="1147"/>
      <c r="O876" s="480"/>
      <c r="P876" s="480"/>
    </row>
    <row r="877" spans="1:16">
      <c r="A877" s="285"/>
      <c r="B877" s="285"/>
      <c r="C877" s="480" t="s">
        <v>601</v>
      </c>
      <c r="D877" s="496"/>
      <c r="E877" s="480"/>
      <c r="F877" s="480"/>
      <c r="G877" s="480"/>
      <c r="H877" s="1147"/>
      <c r="I877" s="1147"/>
      <c r="J877" s="1148"/>
      <c r="K877" s="1147"/>
      <c r="L877" s="1147"/>
      <c r="M877" s="1147"/>
      <c r="N877" s="1147"/>
      <c r="O877" s="480"/>
      <c r="P877" s="480"/>
    </row>
    <row r="878" spans="1:16">
      <c r="A878" s="285"/>
      <c r="B878" s="285"/>
      <c r="C878" s="285"/>
      <c r="D878" s="496"/>
      <c r="E878" s="480"/>
      <c r="F878" s="480"/>
      <c r="G878" s="480"/>
      <c r="H878" s="1147"/>
      <c r="I878" s="1147"/>
      <c r="J878" s="1148"/>
      <c r="K878" s="1147"/>
      <c r="L878" s="1147"/>
      <c r="M878" s="1147"/>
      <c r="N878" s="1147"/>
      <c r="O878" s="480"/>
      <c r="P878" s="480"/>
    </row>
    <row r="879" spans="1:16">
      <c r="A879" s="285"/>
      <c r="B879" s="285"/>
      <c r="C879" s="508" t="s">
        <v>602</v>
      </c>
      <c r="D879" s="602"/>
      <c r="E879" s="602"/>
      <c r="F879" s="602"/>
      <c r="G879" s="1148"/>
      <c r="H879" s="1148"/>
      <c r="I879" s="603"/>
      <c r="J879" s="603"/>
      <c r="K879" s="603"/>
      <c r="L879" s="603"/>
      <c r="M879" s="603"/>
      <c r="N879" s="603"/>
      <c r="O879" s="480"/>
      <c r="P879" s="480"/>
    </row>
    <row r="880" spans="1:16">
      <c r="A880" s="285"/>
      <c r="B880" s="285"/>
      <c r="C880" s="508" t="s">
        <v>476</v>
      </c>
      <c r="D880" s="602"/>
      <c r="E880" s="602"/>
      <c r="F880" s="602"/>
      <c r="G880" s="1148"/>
      <c r="H880" s="1148"/>
      <c r="I880" s="603"/>
      <c r="J880" s="603"/>
      <c r="K880" s="603"/>
      <c r="L880" s="603"/>
      <c r="M880" s="603"/>
      <c r="N880" s="603"/>
      <c r="O880" s="480"/>
      <c r="P880" s="480"/>
    </row>
    <row r="881" spans="1:16">
      <c r="A881" s="285"/>
      <c r="B881" s="285"/>
      <c r="C881" s="508" t="s">
        <v>289</v>
      </c>
      <c r="D881" s="602"/>
      <c r="E881" s="602"/>
      <c r="F881" s="602"/>
      <c r="G881" s="1148"/>
      <c r="H881" s="1148"/>
      <c r="I881" s="603"/>
      <c r="J881" s="603"/>
      <c r="K881" s="603"/>
      <c r="L881" s="603"/>
      <c r="M881" s="603"/>
      <c r="N881" s="603"/>
      <c r="O881" s="480"/>
      <c r="P881" s="480"/>
    </row>
    <row r="882" spans="1:16">
      <c r="A882" s="285"/>
      <c r="B882" s="285"/>
      <c r="C882" s="601"/>
      <c r="D882" s="602"/>
      <c r="E882" s="602"/>
      <c r="F882" s="602"/>
      <c r="G882" s="1148"/>
      <c r="H882" s="1148"/>
      <c r="I882" s="603"/>
      <c r="J882" s="603"/>
      <c r="K882" s="603"/>
      <c r="L882" s="603"/>
      <c r="M882" s="603"/>
      <c r="N882" s="603"/>
      <c r="O882" s="480"/>
      <c r="P882" s="480"/>
    </row>
    <row r="883" spans="1:16">
      <c r="A883" s="285"/>
      <c r="B883" s="285"/>
      <c r="C883" s="1513" t="s">
        <v>460</v>
      </c>
      <c r="D883" s="1513"/>
      <c r="E883" s="1513"/>
      <c r="F883" s="1513"/>
      <c r="G883" s="1513"/>
      <c r="H883" s="1513"/>
      <c r="I883" s="1513"/>
      <c r="J883" s="1513"/>
      <c r="K883" s="1513"/>
      <c r="L883" s="1513"/>
      <c r="M883" s="1513"/>
      <c r="N883" s="1513"/>
      <c r="O883" s="1513"/>
      <c r="P883" s="480"/>
    </row>
    <row r="884" spans="1:16">
      <c r="A884" s="285"/>
      <c r="B884" s="285"/>
      <c r="C884" s="1513"/>
      <c r="D884" s="1513"/>
      <c r="E884" s="1513"/>
      <c r="F884" s="1513"/>
      <c r="G884" s="1513"/>
      <c r="H884" s="1513"/>
      <c r="I884" s="1513"/>
      <c r="J884" s="1513"/>
      <c r="K884" s="1513"/>
      <c r="L884" s="1513"/>
      <c r="M884" s="1513"/>
      <c r="N884" s="1513"/>
      <c r="O884" s="1513"/>
      <c r="P884" s="480"/>
    </row>
    <row r="885" spans="1:16" ht="20.25">
      <c r="A885" s="604" t="s">
        <v>947</v>
      </c>
      <c r="B885" s="480"/>
      <c r="C885" s="584"/>
      <c r="D885" s="496"/>
      <c r="E885" s="480"/>
      <c r="F885" s="574"/>
      <c r="G885" s="480"/>
      <c r="H885" s="1147"/>
      <c r="I885" s="285"/>
      <c r="J885" s="271"/>
      <c r="K885" s="605"/>
      <c r="L885" s="605"/>
      <c r="M885" s="605"/>
      <c r="N885" s="520" t="str">
        <f>"Page "&amp;SUM(P$6:P885)&amp;" of "</f>
        <v xml:space="preserve">Page 11 of </v>
      </c>
      <c r="O885" s="521">
        <f>COUNT(P$6:P$59606)</f>
        <v>15</v>
      </c>
      <c r="P885" s="480">
        <v>1</v>
      </c>
    </row>
    <row r="886" spans="1:16">
      <c r="A886" s="285"/>
      <c r="B886" s="480"/>
      <c r="C886" s="480"/>
      <c r="D886" s="496"/>
      <c r="E886" s="480"/>
      <c r="F886" s="480"/>
      <c r="G886" s="480"/>
      <c r="H886" s="1147"/>
      <c r="I886" s="480"/>
      <c r="J886" s="517"/>
      <c r="K886" s="480"/>
      <c r="L886" s="480"/>
      <c r="M886" s="480"/>
      <c r="N886" s="480"/>
      <c r="O886" s="480"/>
      <c r="P886" s="480"/>
    </row>
    <row r="887" spans="1:16" ht="18">
      <c r="A887" s="285"/>
      <c r="B887" s="524" t="s">
        <v>174</v>
      </c>
      <c r="C887" s="606" t="s">
        <v>290</v>
      </c>
      <c r="D887" s="496"/>
      <c r="E887" s="480"/>
      <c r="F887" s="480"/>
      <c r="G887" s="480"/>
      <c r="H887" s="1147"/>
      <c r="I887" s="1147"/>
      <c r="J887" s="1148"/>
      <c r="K887" s="1147"/>
      <c r="L887" s="1147"/>
      <c r="M887" s="1147"/>
      <c r="N887" s="1147"/>
      <c r="O887" s="480"/>
      <c r="P887" s="480"/>
    </row>
    <row r="888" spans="1:16" ht="18.75">
      <c r="A888" s="285"/>
      <c r="B888" s="524"/>
      <c r="C888" s="523"/>
      <c r="D888" s="496"/>
      <c r="E888" s="480"/>
      <c r="F888" s="480"/>
      <c r="G888" s="480"/>
      <c r="H888" s="1147"/>
      <c r="I888" s="1147"/>
      <c r="J888" s="1148"/>
      <c r="K888" s="1147"/>
      <c r="L888" s="1147"/>
      <c r="M888" s="1147"/>
      <c r="N888" s="1147"/>
      <c r="O888" s="480"/>
      <c r="P888" s="480"/>
    </row>
    <row r="889" spans="1:16" ht="18.75">
      <c r="A889" s="285"/>
      <c r="B889" s="524"/>
      <c r="C889" s="523" t="s">
        <v>291</v>
      </c>
      <c r="D889" s="496"/>
      <c r="E889" s="480"/>
      <c r="F889" s="480"/>
      <c r="G889" s="480"/>
      <c r="H889" s="1147"/>
      <c r="I889" s="1147"/>
      <c r="J889" s="1148"/>
      <c r="K889" s="1147"/>
      <c r="L889" s="1147"/>
      <c r="M889" s="1147"/>
      <c r="N889" s="1147"/>
      <c r="O889" s="480"/>
      <c r="P889" s="480"/>
    </row>
    <row r="890" spans="1:16" ht="15.75" thickBot="1">
      <c r="A890" s="285"/>
      <c r="B890" s="285"/>
      <c r="C890" s="347"/>
      <c r="D890" s="496"/>
      <c r="E890" s="480"/>
      <c r="F890" s="480"/>
      <c r="G890" s="480"/>
      <c r="H890" s="1147"/>
      <c r="I890" s="1147"/>
      <c r="J890" s="1148"/>
      <c r="K890" s="1147"/>
      <c r="L890" s="1147"/>
      <c r="M890" s="1147"/>
      <c r="N890" s="1147"/>
      <c r="O890" s="480"/>
      <c r="P890" s="480"/>
    </row>
    <row r="891" spans="1:16" ht="15.75">
      <c r="A891" s="285"/>
      <c r="B891" s="285"/>
      <c r="C891" s="525" t="s">
        <v>292</v>
      </c>
      <c r="D891" s="496"/>
      <c r="E891" s="480"/>
      <c r="F891" s="480"/>
      <c r="G891" s="1149"/>
      <c r="H891" s="480" t="s">
        <v>271</v>
      </c>
      <c r="I891" s="480"/>
      <c r="J891" s="517"/>
      <c r="K891" s="607" t="s">
        <v>296</v>
      </c>
      <c r="L891" s="608"/>
      <c r="M891" s="609"/>
      <c r="N891" s="1150">
        <f>VLOOKUP(I897,C904:O963,5)</f>
        <v>6472936.6002367577</v>
      </c>
      <c r="O891" s="480"/>
      <c r="P891" s="480"/>
    </row>
    <row r="892" spans="1:16" ht="15.75">
      <c r="A892" s="285"/>
      <c r="B892" s="285"/>
      <c r="C892" s="525"/>
      <c r="D892" s="496"/>
      <c r="E892" s="480"/>
      <c r="F892" s="480"/>
      <c r="G892" s="480"/>
      <c r="H892" s="1151"/>
      <c r="I892" s="1151"/>
      <c r="J892" s="1152"/>
      <c r="K892" s="612" t="s">
        <v>297</v>
      </c>
      <c r="L892" s="1153"/>
      <c r="M892" s="517"/>
      <c r="N892" s="1154">
        <f>VLOOKUP(I897,C904:O963,6)</f>
        <v>6472936.6002367577</v>
      </c>
      <c r="O892" s="480"/>
      <c r="P892" s="480"/>
    </row>
    <row r="893" spans="1:16" ht="13.5" thickBot="1">
      <c r="A893" s="285"/>
      <c r="B893" s="285"/>
      <c r="C893" s="613" t="s">
        <v>293</v>
      </c>
      <c r="D893" s="1514" t="s">
        <v>958</v>
      </c>
      <c r="E893" s="1514"/>
      <c r="F893" s="1514"/>
      <c r="G893" s="1514"/>
      <c r="H893" s="1514"/>
      <c r="I893" s="1147"/>
      <c r="J893" s="1148"/>
      <c r="K893" s="1155" t="s">
        <v>450</v>
      </c>
      <c r="L893" s="1156"/>
      <c r="M893" s="1156"/>
      <c r="N893" s="1157">
        <f>+N892-N891</f>
        <v>0</v>
      </c>
      <c r="O893" s="480"/>
      <c r="P893" s="480"/>
    </row>
    <row r="894" spans="1:16">
      <c r="A894" s="285"/>
      <c r="B894" s="285"/>
      <c r="C894" s="615"/>
      <c r="D894" s="616"/>
      <c r="E894" s="600"/>
      <c r="F894" s="600"/>
      <c r="G894" s="617"/>
      <c r="H894" s="1147"/>
      <c r="I894" s="1147"/>
      <c r="J894" s="1148"/>
      <c r="K894" s="1147"/>
      <c r="L894" s="1147"/>
      <c r="M894" s="1147"/>
      <c r="N894" s="1147"/>
      <c r="O894" s="480"/>
      <c r="P894" s="480"/>
    </row>
    <row r="895" spans="1:16" ht="13.5" thickBot="1">
      <c r="A895" s="285"/>
      <c r="B895" s="285"/>
      <c r="C895" s="618"/>
      <c r="D895" s="619"/>
      <c r="E895" s="617"/>
      <c r="F895" s="617"/>
      <c r="G895" s="617"/>
      <c r="H895" s="617"/>
      <c r="I895" s="617"/>
      <c r="J895" s="620"/>
      <c r="K895" s="617"/>
      <c r="L895" s="617"/>
      <c r="M895" s="617"/>
      <c r="N895" s="617"/>
      <c r="O895" s="508"/>
      <c r="P895" s="480"/>
    </row>
    <row r="896" spans="1:16" ht="13.5" thickBot="1">
      <c r="A896" s="285"/>
      <c r="B896" s="285"/>
      <c r="C896" s="622" t="s">
        <v>294</v>
      </c>
      <c r="D896" s="623"/>
      <c r="E896" s="623"/>
      <c r="F896" s="623"/>
      <c r="G896" s="623"/>
      <c r="H896" s="623"/>
      <c r="I896" s="624"/>
      <c r="J896" s="625"/>
      <c r="K896" s="480"/>
      <c r="L896" s="480"/>
      <c r="M896" s="480"/>
      <c r="N896" s="480"/>
      <c r="O896" s="626"/>
      <c r="P896" s="480"/>
    </row>
    <row r="897" spans="1:16" ht="15">
      <c r="A897" s="285"/>
      <c r="B897" s="362"/>
      <c r="C897" s="628" t="s">
        <v>272</v>
      </c>
      <c r="D897" s="1158">
        <v>57503655.655625582</v>
      </c>
      <c r="E897" s="584" t="s">
        <v>273</v>
      </c>
      <c r="F897" s="285"/>
      <c r="G897" s="629"/>
      <c r="H897" s="629"/>
      <c r="I897" s="630">
        <f>$L$26</f>
        <v>2024</v>
      </c>
      <c r="J897" s="515"/>
      <c r="K897" s="1515" t="s">
        <v>459</v>
      </c>
      <c r="L897" s="1515"/>
      <c r="M897" s="1515"/>
      <c r="N897" s="1515"/>
      <c r="O897" s="1515"/>
      <c r="P897" s="480"/>
    </row>
    <row r="898" spans="1:16">
      <c r="A898" s="285"/>
      <c r="B898" s="362"/>
      <c r="C898" s="628" t="s">
        <v>275</v>
      </c>
      <c r="D898" s="788">
        <v>2016</v>
      </c>
      <c r="E898" s="628" t="s">
        <v>276</v>
      </c>
      <c r="F898" s="629"/>
      <c r="G898" s="285"/>
      <c r="H898" s="285"/>
      <c r="I898" s="791">
        <f>IF(G891="",0,$F$15)</f>
        <v>0</v>
      </c>
      <c r="J898" s="631"/>
      <c r="K898" s="1148" t="s">
        <v>459</v>
      </c>
      <c r="L898" s="285"/>
      <c r="M898" s="285"/>
      <c r="N898" s="285"/>
      <c r="O898" s="285"/>
      <c r="P898" s="480"/>
    </row>
    <row r="899" spans="1:16">
      <c r="A899" s="285"/>
      <c r="B899" s="362"/>
      <c r="C899" s="628" t="s">
        <v>277</v>
      </c>
      <c r="D899" s="1159">
        <v>6</v>
      </c>
      <c r="E899" s="628" t="s">
        <v>278</v>
      </c>
      <c r="F899" s="629"/>
      <c r="G899" s="285"/>
      <c r="H899" s="285"/>
      <c r="I899" s="632">
        <f>$G$70</f>
        <v>0.10987714662923057</v>
      </c>
      <c r="J899" s="633"/>
      <c r="K899" s="285" t="str">
        <f>"          INPUT PROJECTED ARR (WITH &amp; WITHOUT INCENTIVES) FROM EACH PRIOR YEAR"</f>
        <v xml:space="preserve">          INPUT PROJECTED ARR (WITH &amp; WITHOUT INCENTIVES) FROM EACH PRIOR YEAR</v>
      </c>
      <c r="L899" s="285"/>
      <c r="M899" s="285"/>
      <c r="N899" s="285"/>
      <c r="O899" s="285"/>
      <c r="P899" s="480"/>
    </row>
    <row r="900" spans="1:16">
      <c r="A900" s="285"/>
      <c r="B900" s="362"/>
      <c r="C900" s="628" t="s">
        <v>279</v>
      </c>
      <c r="D900" s="634">
        <f>G$79</f>
        <v>45</v>
      </c>
      <c r="E900" s="628" t="s">
        <v>280</v>
      </c>
      <c r="F900" s="629"/>
      <c r="G900" s="285"/>
      <c r="H900" s="285"/>
      <c r="I900" s="632">
        <f>IF(G891="",I899,$G$67)</f>
        <v>0.10987714662923057</v>
      </c>
      <c r="J900" s="635"/>
      <c r="K900" s="285" t="s">
        <v>357</v>
      </c>
      <c r="L900" s="285"/>
      <c r="M900" s="285"/>
      <c r="N900" s="285"/>
      <c r="O900" s="285"/>
      <c r="P900" s="480"/>
    </row>
    <row r="901" spans="1:16" ht="13.5" thickBot="1">
      <c r="A901" s="285"/>
      <c r="B901" s="362"/>
      <c r="C901" s="628" t="s">
        <v>281</v>
      </c>
      <c r="D901" s="790" t="s">
        <v>949</v>
      </c>
      <c r="E901" s="636" t="s">
        <v>282</v>
      </c>
      <c r="F901" s="637"/>
      <c r="G901" s="638"/>
      <c r="H901" s="638"/>
      <c r="I901" s="1157">
        <f>IF(D897=0,0,D897/D900)</f>
        <v>1277859.0145694574</v>
      </c>
      <c r="J901" s="1148"/>
      <c r="K901" s="1148" t="s">
        <v>363</v>
      </c>
      <c r="L901" s="1148"/>
      <c r="M901" s="1148"/>
      <c r="N901" s="1148"/>
      <c r="O901" s="517"/>
      <c r="P901" s="480"/>
    </row>
    <row r="902" spans="1:16" ht="51">
      <c r="A902" s="470"/>
      <c r="B902" s="470"/>
      <c r="C902" s="639" t="s">
        <v>272</v>
      </c>
      <c r="D902" s="1160" t="s">
        <v>283</v>
      </c>
      <c r="E902" s="1161" t="s">
        <v>284</v>
      </c>
      <c r="F902" s="1160" t="s">
        <v>285</v>
      </c>
      <c r="G902" s="1161" t="s">
        <v>356</v>
      </c>
      <c r="H902" s="1162" t="s">
        <v>356</v>
      </c>
      <c r="I902" s="639" t="s">
        <v>295</v>
      </c>
      <c r="J902" s="643"/>
      <c r="K902" s="1161" t="s">
        <v>365</v>
      </c>
      <c r="L902" s="1163"/>
      <c r="M902" s="1161" t="s">
        <v>365</v>
      </c>
      <c r="N902" s="1163"/>
      <c r="O902" s="1163"/>
      <c r="P902" s="480"/>
    </row>
    <row r="903" spans="1:16" ht="13.5" thickBot="1">
      <c r="A903" s="285"/>
      <c r="B903" s="285"/>
      <c r="C903" s="645" t="s">
        <v>177</v>
      </c>
      <c r="D903" s="646" t="s">
        <v>178</v>
      </c>
      <c r="E903" s="645" t="s">
        <v>37</v>
      </c>
      <c r="F903" s="646" t="s">
        <v>178</v>
      </c>
      <c r="G903" s="1164" t="s">
        <v>298</v>
      </c>
      <c r="H903" s="1165" t="s">
        <v>300</v>
      </c>
      <c r="I903" s="649" t="s">
        <v>389</v>
      </c>
      <c r="J903" s="650"/>
      <c r="K903" s="1164" t="s">
        <v>287</v>
      </c>
      <c r="L903" s="1166"/>
      <c r="M903" s="1164" t="s">
        <v>300</v>
      </c>
      <c r="N903" s="1166"/>
      <c r="O903" s="1166"/>
      <c r="P903" s="480"/>
    </row>
    <row r="904" spans="1:16">
      <c r="A904" s="285"/>
      <c r="B904" s="285"/>
      <c r="C904" s="651">
        <f>IF(D898= "","-",D898)</f>
        <v>2016</v>
      </c>
      <c r="D904" s="602">
        <f>+D897</f>
        <v>57503655.655625582</v>
      </c>
      <c r="E904" s="1167">
        <f>+I901/12*(12-D899)</f>
        <v>638929.50728472869</v>
      </c>
      <c r="F904" s="602">
        <f t="shared" ref="F904:F963" si="59">+D904-E904</f>
        <v>56864726.148340851</v>
      </c>
      <c r="G904" s="1168">
        <f>+$I$899*((D904+F904)/2)+E904</f>
        <v>6922165.2358958507</v>
      </c>
      <c r="H904" s="1169">
        <f>+$I$900*((D904+F904)/2)+E904</f>
        <v>6922165.2358958507</v>
      </c>
      <c r="I904" s="655">
        <f t="shared" ref="I904:I963" si="60">+H904-G904</f>
        <v>0</v>
      </c>
      <c r="J904" s="655"/>
      <c r="K904" s="792">
        <v>5862811</v>
      </c>
      <c r="L904" s="657"/>
      <c r="M904" s="792">
        <v>5862811</v>
      </c>
      <c r="N904" s="657"/>
      <c r="O904" s="657"/>
      <c r="P904" s="480"/>
    </row>
    <row r="905" spans="1:16">
      <c r="A905" s="285"/>
      <c r="B905" s="285"/>
      <c r="C905" s="651">
        <f>IF(D898="","-",+C904+1)</f>
        <v>2017</v>
      </c>
      <c r="D905" s="602">
        <f t="shared" ref="D905:D963" si="61">F904</f>
        <v>56864726.148340851</v>
      </c>
      <c r="E905" s="658">
        <f>IF(D905&gt;$I$901,$I$901,D905)</f>
        <v>1277859.0145694574</v>
      </c>
      <c r="F905" s="602">
        <f t="shared" si="59"/>
        <v>55586867.133771397</v>
      </c>
      <c r="G905" s="1167">
        <f t="shared" ref="G905:G963" si="62">+$I$899*((D905+F905)/2)+E905</f>
        <v>7455789.1164440801</v>
      </c>
      <c r="H905" s="1170">
        <f t="shared" ref="H905:H963" si="63">+$I$900*((D905+F905)/2)+E905</f>
        <v>7455789.1164440801</v>
      </c>
      <c r="I905" s="655">
        <f t="shared" si="60"/>
        <v>0</v>
      </c>
      <c r="J905" s="655"/>
      <c r="K905" s="793">
        <v>3438786</v>
      </c>
      <c r="L905" s="661"/>
      <c r="M905" s="793">
        <v>3438786</v>
      </c>
      <c r="N905" s="661"/>
      <c r="O905" s="661"/>
      <c r="P905" s="480"/>
    </row>
    <row r="906" spans="1:16">
      <c r="A906" s="285"/>
      <c r="B906" s="285"/>
      <c r="C906" s="1194">
        <f>IF(D898="","-",+C905+1)</f>
        <v>2018</v>
      </c>
      <c r="D906" s="1172">
        <f t="shared" si="61"/>
        <v>55586867.133771397</v>
      </c>
      <c r="E906" s="1173">
        <f t="shared" ref="E906:E963" si="64">IF(D906&gt;$I$901,$I$901,D906)</f>
        <v>1277859.0145694574</v>
      </c>
      <c r="F906" s="1172">
        <f t="shared" si="59"/>
        <v>54309008.119201943</v>
      </c>
      <c r="G906" s="1174">
        <f t="shared" si="62"/>
        <v>7315381.6141287489</v>
      </c>
      <c r="H906" s="1175">
        <f t="shared" si="63"/>
        <v>7315381.6141287489</v>
      </c>
      <c r="I906" s="1181">
        <f t="shared" si="60"/>
        <v>0</v>
      </c>
      <c r="J906" s="1181"/>
      <c r="K906" s="793">
        <v>5966416</v>
      </c>
      <c r="L906" s="1180"/>
      <c r="M906" s="793">
        <v>5966416</v>
      </c>
      <c r="N906" s="661"/>
      <c r="O906" s="661"/>
      <c r="P906" s="480"/>
    </row>
    <row r="907" spans="1:16">
      <c r="A907" s="285"/>
      <c r="B907" s="285"/>
      <c r="C907" s="1229">
        <f>IF(D898="","-",+C906+1)</f>
        <v>2019</v>
      </c>
      <c r="D907" s="602">
        <f t="shared" si="61"/>
        <v>54309008.119201943</v>
      </c>
      <c r="E907" s="658">
        <f t="shared" si="64"/>
        <v>1277859.0145694574</v>
      </c>
      <c r="F907" s="602">
        <f t="shared" si="59"/>
        <v>53031149.104632489</v>
      </c>
      <c r="G907" s="1167">
        <f t="shared" si="62"/>
        <v>7174974.1118134167</v>
      </c>
      <c r="H907" s="1170">
        <f t="shared" si="63"/>
        <v>7174974.1118134167</v>
      </c>
      <c r="I907" s="655">
        <f t="shared" si="60"/>
        <v>0</v>
      </c>
      <c r="J907" s="655"/>
      <c r="K907" s="793">
        <v>5898940</v>
      </c>
      <c r="L907" s="661"/>
      <c r="M907" s="793">
        <v>5898940</v>
      </c>
      <c r="N907" s="661"/>
      <c r="O907" s="661"/>
      <c r="P907" s="480"/>
    </row>
    <row r="908" spans="1:16">
      <c r="A908" s="285"/>
      <c r="B908" s="285"/>
      <c r="C908" s="1229">
        <f>IF(D898="","-",+C907+1)</f>
        <v>2020</v>
      </c>
      <c r="D908" s="602">
        <f t="shared" si="61"/>
        <v>53031149.104632489</v>
      </c>
      <c r="E908" s="658">
        <f t="shared" si="64"/>
        <v>1277859.0145694574</v>
      </c>
      <c r="F908" s="602">
        <f t="shared" si="59"/>
        <v>51753290.090063035</v>
      </c>
      <c r="G908" s="1167">
        <f t="shared" si="62"/>
        <v>7034566.6094980855</v>
      </c>
      <c r="H908" s="1170">
        <f t="shared" si="63"/>
        <v>7034566.6094980855</v>
      </c>
      <c r="I908" s="655">
        <f t="shared" si="60"/>
        <v>0</v>
      </c>
      <c r="J908" s="655"/>
      <c r="K908" s="793">
        <v>5887656.2604113696</v>
      </c>
      <c r="L908" s="661"/>
      <c r="M908" s="793">
        <v>5887656.2604113696</v>
      </c>
      <c r="N908" s="661"/>
      <c r="O908" s="661"/>
      <c r="P908" s="480"/>
    </row>
    <row r="909" spans="1:16">
      <c r="A909" s="285"/>
      <c r="B909" s="285"/>
      <c r="C909" s="1229">
        <f>IF(D898="","-",+C908+1)</f>
        <v>2021</v>
      </c>
      <c r="D909" s="602">
        <f t="shared" si="61"/>
        <v>51753290.090063035</v>
      </c>
      <c r="E909" s="658">
        <f t="shared" si="64"/>
        <v>1277859.0145694574</v>
      </c>
      <c r="F909" s="602">
        <f t="shared" si="59"/>
        <v>50475431.075493582</v>
      </c>
      <c r="G909" s="1167">
        <f t="shared" si="62"/>
        <v>6894159.1071827523</v>
      </c>
      <c r="H909" s="1170">
        <f t="shared" si="63"/>
        <v>6894159.1071827523</v>
      </c>
      <c r="I909" s="655">
        <f t="shared" si="60"/>
        <v>0</v>
      </c>
      <c r="J909" s="655"/>
      <c r="K909" s="793">
        <v>5781910.5028277636</v>
      </c>
      <c r="L909" s="661"/>
      <c r="M909" s="1230">
        <v>5781910.5028277636</v>
      </c>
      <c r="N909" s="661"/>
      <c r="O909" s="661"/>
      <c r="P909" s="480"/>
    </row>
    <row r="910" spans="1:16">
      <c r="A910" s="285"/>
      <c r="B910" s="285"/>
      <c r="C910" s="1229">
        <f>IF(D901="","-",+C909+1)</f>
        <v>2022</v>
      </c>
      <c r="D910" s="602">
        <f t="shared" si="61"/>
        <v>50475431.075493582</v>
      </c>
      <c r="E910" s="658">
        <f t="shared" si="64"/>
        <v>1277859.0145694574</v>
      </c>
      <c r="F910" s="602">
        <f t="shared" si="59"/>
        <v>49197572.060924128</v>
      </c>
      <c r="G910" s="1167">
        <f t="shared" si="62"/>
        <v>6753751.6048674211</v>
      </c>
      <c r="H910" s="1170">
        <f t="shared" si="63"/>
        <v>6753751.6048674211</v>
      </c>
      <c r="I910" s="655">
        <f t="shared" si="60"/>
        <v>0</v>
      </c>
      <c r="J910" s="655"/>
      <c r="K910" s="793">
        <v>5625382.4201365365</v>
      </c>
      <c r="L910" s="661"/>
      <c r="M910" s="1230">
        <v>5625382.4201365365</v>
      </c>
      <c r="N910" s="661"/>
      <c r="O910" s="661"/>
      <c r="P910" s="480"/>
    </row>
    <row r="911" spans="1:16">
      <c r="A911" s="285"/>
      <c r="B911" s="285"/>
      <c r="C911" s="1229">
        <f>IF(D901="","-",+C910+1)</f>
        <v>2023</v>
      </c>
      <c r="D911" s="602">
        <f t="shared" si="61"/>
        <v>49197572.060924128</v>
      </c>
      <c r="E911" s="658">
        <f t="shared" si="64"/>
        <v>1277859.0145694574</v>
      </c>
      <c r="F911" s="602">
        <f t="shared" si="59"/>
        <v>47919713.046354674</v>
      </c>
      <c r="G911" s="1167">
        <f t="shared" si="62"/>
        <v>6613344.1025520889</v>
      </c>
      <c r="H911" s="1170">
        <f t="shared" si="63"/>
        <v>6613344.1025520889</v>
      </c>
      <c r="I911" s="655">
        <f t="shared" si="60"/>
        <v>0</v>
      </c>
      <c r="J911" s="655"/>
      <c r="K911" s="793">
        <v>6404780.0560494121</v>
      </c>
      <c r="L911" s="661"/>
      <c r="M911" s="1230">
        <v>6404780.0560494121</v>
      </c>
      <c r="N911" s="661"/>
      <c r="O911" s="661"/>
      <c r="P911" s="480"/>
    </row>
    <row r="912" spans="1:16">
      <c r="A912" s="285"/>
      <c r="B912" s="285"/>
      <c r="C912" s="1171">
        <f>IF(D898="","-",+C911+1)</f>
        <v>2024</v>
      </c>
      <c r="D912" s="602">
        <f t="shared" si="61"/>
        <v>47919713.046354674</v>
      </c>
      <c r="E912" s="658">
        <f t="shared" si="64"/>
        <v>1277859.0145694574</v>
      </c>
      <c r="F912" s="602">
        <f t="shared" si="59"/>
        <v>46641854.03178522</v>
      </c>
      <c r="G912" s="1167">
        <f t="shared" si="62"/>
        <v>6472936.6002367577</v>
      </c>
      <c r="H912" s="1170">
        <f t="shared" si="63"/>
        <v>6472936.6002367577</v>
      </c>
      <c r="I912" s="655">
        <f t="shared" si="60"/>
        <v>0</v>
      </c>
      <c r="J912" s="655"/>
      <c r="K912" s="793"/>
      <c r="L912" s="661"/>
      <c r="M912" s="793"/>
      <c r="N912" s="661"/>
      <c r="O912" s="661"/>
      <c r="P912" s="480"/>
    </row>
    <row r="913" spans="1:16">
      <c r="A913" s="285"/>
      <c r="B913" s="285"/>
      <c r="C913" s="651">
        <f>IF(D898="","-",+C912+1)</f>
        <v>2025</v>
      </c>
      <c r="D913" s="602">
        <f t="shared" si="61"/>
        <v>46641854.03178522</v>
      </c>
      <c r="E913" s="658">
        <f t="shared" si="64"/>
        <v>1277859.0145694574</v>
      </c>
      <c r="F913" s="602">
        <f t="shared" si="59"/>
        <v>45363995.017215766</v>
      </c>
      <c r="G913" s="1167">
        <f t="shared" si="62"/>
        <v>6332529.0979214245</v>
      </c>
      <c r="H913" s="1170">
        <f t="shared" si="63"/>
        <v>6332529.0979214245</v>
      </c>
      <c r="I913" s="655">
        <f t="shared" si="60"/>
        <v>0</v>
      </c>
      <c r="J913" s="655"/>
      <c r="K913" s="793"/>
      <c r="L913" s="661"/>
      <c r="M913" s="793"/>
      <c r="N913" s="661"/>
      <c r="O913" s="661"/>
      <c r="P913" s="480"/>
    </row>
    <row r="914" spans="1:16">
      <c r="A914" s="285"/>
      <c r="B914" s="285"/>
      <c r="C914" s="651">
        <f>IF(D898="","-",+C913+1)</f>
        <v>2026</v>
      </c>
      <c r="D914" s="602">
        <f t="shared" si="61"/>
        <v>45363995.017215766</v>
      </c>
      <c r="E914" s="658">
        <f t="shared" si="64"/>
        <v>1277859.0145694574</v>
      </c>
      <c r="F914" s="602">
        <f t="shared" si="59"/>
        <v>44086136.002646312</v>
      </c>
      <c r="G914" s="1167">
        <f t="shared" si="62"/>
        <v>6192121.5956060933</v>
      </c>
      <c r="H914" s="1170">
        <f t="shared" si="63"/>
        <v>6192121.5956060933</v>
      </c>
      <c r="I914" s="655">
        <f t="shared" si="60"/>
        <v>0</v>
      </c>
      <c r="J914" s="655"/>
      <c r="K914" s="793"/>
      <c r="L914" s="661"/>
      <c r="M914" s="793"/>
      <c r="N914" s="661"/>
      <c r="O914" s="661"/>
      <c r="P914" s="480"/>
    </row>
    <row r="915" spans="1:16">
      <c r="A915" s="285"/>
      <c r="B915" s="285"/>
      <c r="C915" s="651">
        <f>IF(D898="","-",+C914+1)</f>
        <v>2027</v>
      </c>
      <c r="D915" s="602">
        <f t="shared" si="61"/>
        <v>44086136.002646312</v>
      </c>
      <c r="E915" s="658">
        <f t="shared" si="64"/>
        <v>1277859.0145694574</v>
      </c>
      <c r="F915" s="602">
        <f t="shared" si="59"/>
        <v>42808276.988076858</v>
      </c>
      <c r="G915" s="1167">
        <f t="shared" si="62"/>
        <v>6051714.0932907611</v>
      </c>
      <c r="H915" s="1170">
        <f t="shared" si="63"/>
        <v>6051714.0932907611</v>
      </c>
      <c r="I915" s="655">
        <f t="shared" si="60"/>
        <v>0</v>
      </c>
      <c r="J915" s="655"/>
      <c r="K915" s="793"/>
      <c r="L915" s="661"/>
      <c r="M915" s="793"/>
      <c r="N915" s="661"/>
      <c r="O915" s="661"/>
      <c r="P915" s="480"/>
    </row>
    <row r="916" spans="1:16">
      <c r="A916" s="285"/>
      <c r="B916" s="285"/>
      <c r="C916" s="651">
        <f>IF(D898="","-",+C915+1)</f>
        <v>2028</v>
      </c>
      <c r="D916" s="602">
        <f t="shared" si="61"/>
        <v>42808276.988076858</v>
      </c>
      <c r="E916" s="658">
        <f t="shared" si="64"/>
        <v>1277859.0145694574</v>
      </c>
      <c r="F916" s="602">
        <f t="shared" si="59"/>
        <v>41530417.973507404</v>
      </c>
      <c r="G916" s="1167">
        <f t="shared" si="62"/>
        <v>5911306.5909754299</v>
      </c>
      <c r="H916" s="1170">
        <f t="shared" si="63"/>
        <v>5911306.5909754299</v>
      </c>
      <c r="I916" s="655">
        <f t="shared" si="60"/>
        <v>0</v>
      </c>
      <c r="J916" s="655"/>
      <c r="K916" s="793"/>
      <c r="L916" s="661"/>
      <c r="M916" s="793"/>
      <c r="N916" s="662"/>
      <c r="O916" s="661"/>
      <c r="P916" s="480"/>
    </row>
    <row r="917" spans="1:16">
      <c r="A917" s="285"/>
      <c r="B917" s="285"/>
      <c r="C917" s="651">
        <f>IF(D898="","-",+C916+1)</f>
        <v>2029</v>
      </c>
      <c r="D917" s="602">
        <f t="shared" si="61"/>
        <v>41530417.973507404</v>
      </c>
      <c r="E917" s="658">
        <f t="shared" si="64"/>
        <v>1277859.0145694574</v>
      </c>
      <c r="F917" s="602">
        <f t="shared" si="59"/>
        <v>40252558.95893795</v>
      </c>
      <c r="G917" s="1167">
        <f t="shared" si="62"/>
        <v>5770899.0886600967</v>
      </c>
      <c r="H917" s="1170">
        <f t="shared" si="63"/>
        <v>5770899.0886600967</v>
      </c>
      <c r="I917" s="655">
        <f t="shared" si="60"/>
        <v>0</v>
      </c>
      <c r="J917" s="655"/>
      <c r="K917" s="793"/>
      <c r="L917" s="661"/>
      <c r="M917" s="793"/>
      <c r="N917" s="661"/>
      <c r="O917" s="661"/>
      <c r="P917" s="480"/>
    </row>
    <row r="918" spans="1:16">
      <c r="A918" s="285"/>
      <c r="B918" s="285"/>
      <c r="C918" s="651">
        <f>IF(D898="","-",+C917+1)</f>
        <v>2030</v>
      </c>
      <c r="D918" s="602">
        <f t="shared" si="61"/>
        <v>40252558.95893795</v>
      </c>
      <c r="E918" s="658">
        <f t="shared" si="64"/>
        <v>1277859.0145694574</v>
      </c>
      <c r="F918" s="602">
        <f t="shared" si="59"/>
        <v>38974699.944368497</v>
      </c>
      <c r="G918" s="1167">
        <f t="shared" si="62"/>
        <v>5630491.5863447655</v>
      </c>
      <c r="H918" s="1170">
        <f t="shared" si="63"/>
        <v>5630491.5863447655</v>
      </c>
      <c r="I918" s="655">
        <f t="shared" si="60"/>
        <v>0</v>
      </c>
      <c r="J918" s="655"/>
      <c r="K918" s="793"/>
      <c r="L918" s="661"/>
      <c r="M918" s="793"/>
      <c r="N918" s="661"/>
      <c r="O918" s="661"/>
      <c r="P918" s="480"/>
    </row>
    <row r="919" spans="1:16">
      <c r="A919" s="285"/>
      <c r="B919" s="285"/>
      <c r="C919" s="651">
        <f>IF(D898="","-",+C918+1)</f>
        <v>2031</v>
      </c>
      <c r="D919" s="602">
        <f t="shared" si="61"/>
        <v>38974699.944368497</v>
      </c>
      <c r="E919" s="658">
        <f t="shared" si="64"/>
        <v>1277859.0145694574</v>
      </c>
      <c r="F919" s="602">
        <f t="shared" si="59"/>
        <v>37696840.929799043</v>
      </c>
      <c r="G919" s="1167">
        <f t="shared" si="62"/>
        <v>5490084.0840294333</v>
      </c>
      <c r="H919" s="1170">
        <f t="shared" si="63"/>
        <v>5490084.0840294333</v>
      </c>
      <c r="I919" s="655">
        <f t="shared" si="60"/>
        <v>0</v>
      </c>
      <c r="J919" s="655"/>
      <c r="K919" s="793"/>
      <c r="L919" s="661"/>
      <c r="M919" s="793"/>
      <c r="N919" s="661"/>
      <c r="O919" s="661"/>
      <c r="P919" s="480"/>
    </row>
    <row r="920" spans="1:16">
      <c r="A920" s="285"/>
      <c r="B920" s="285"/>
      <c r="C920" s="651">
        <f>IF(D898="","-",+C919+1)</f>
        <v>2032</v>
      </c>
      <c r="D920" s="602">
        <f t="shared" si="61"/>
        <v>37696840.929799043</v>
      </c>
      <c r="E920" s="658">
        <f t="shared" si="64"/>
        <v>1277859.0145694574</v>
      </c>
      <c r="F920" s="602">
        <f t="shared" si="59"/>
        <v>36418981.915229589</v>
      </c>
      <c r="G920" s="1167">
        <f t="shared" si="62"/>
        <v>5349676.5817141011</v>
      </c>
      <c r="H920" s="1170">
        <f t="shared" si="63"/>
        <v>5349676.5817141011</v>
      </c>
      <c r="I920" s="655">
        <f t="shared" si="60"/>
        <v>0</v>
      </c>
      <c r="J920" s="655"/>
      <c r="K920" s="793"/>
      <c r="L920" s="661"/>
      <c r="M920" s="793"/>
      <c r="N920" s="661"/>
      <c r="O920" s="661"/>
      <c r="P920" s="480"/>
    </row>
    <row r="921" spans="1:16">
      <c r="A921" s="285"/>
      <c r="B921" s="285"/>
      <c r="C921" s="651">
        <f>IF(D898="","-",+C920+1)</f>
        <v>2033</v>
      </c>
      <c r="D921" s="602">
        <f t="shared" si="61"/>
        <v>36418981.915229589</v>
      </c>
      <c r="E921" s="658">
        <f t="shared" si="64"/>
        <v>1277859.0145694574</v>
      </c>
      <c r="F921" s="602">
        <f t="shared" si="59"/>
        <v>35141122.900660135</v>
      </c>
      <c r="G921" s="1167">
        <f t="shared" si="62"/>
        <v>5209269.079398769</v>
      </c>
      <c r="H921" s="1170">
        <f t="shared" si="63"/>
        <v>5209269.079398769</v>
      </c>
      <c r="I921" s="655">
        <f t="shared" si="60"/>
        <v>0</v>
      </c>
      <c r="J921" s="655"/>
      <c r="K921" s="793"/>
      <c r="L921" s="661"/>
      <c r="M921" s="793"/>
      <c r="N921" s="661"/>
      <c r="O921" s="661"/>
      <c r="P921" s="480"/>
    </row>
    <row r="922" spans="1:16">
      <c r="A922" s="285"/>
      <c r="B922" s="285"/>
      <c r="C922" s="651">
        <f>IF(D898="","-",+C921+1)</f>
        <v>2034</v>
      </c>
      <c r="D922" s="602">
        <f t="shared" si="61"/>
        <v>35141122.900660135</v>
      </c>
      <c r="E922" s="658">
        <f t="shared" si="64"/>
        <v>1277859.0145694574</v>
      </c>
      <c r="F922" s="602">
        <f t="shared" si="59"/>
        <v>33863263.886090681</v>
      </c>
      <c r="G922" s="1167">
        <f t="shared" si="62"/>
        <v>5068861.5770834377</v>
      </c>
      <c r="H922" s="1170">
        <f t="shared" si="63"/>
        <v>5068861.5770834377</v>
      </c>
      <c r="I922" s="655">
        <f t="shared" si="60"/>
        <v>0</v>
      </c>
      <c r="J922" s="655"/>
      <c r="K922" s="793"/>
      <c r="L922" s="661"/>
      <c r="M922" s="793"/>
      <c r="N922" s="661"/>
      <c r="O922" s="661"/>
      <c r="P922" s="480"/>
    </row>
    <row r="923" spans="1:16">
      <c r="A923" s="285"/>
      <c r="B923" s="285"/>
      <c r="C923" s="651">
        <f>IF(D898="","-",+C922+1)</f>
        <v>2035</v>
      </c>
      <c r="D923" s="602">
        <f t="shared" si="61"/>
        <v>33863263.886090681</v>
      </c>
      <c r="E923" s="658">
        <f t="shared" si="64"/>
        <v>1277859.0145694574</v>
      </c>
      <c r="F923" s="602">
        <f t="shared" si="59"/>
        <v>32585404.871521223</v>
      </c>
      <c r="G923" s="1167">
        <f t="shared" si="62"/>
        <v>4928454.0747681046</v>
      </c>
      <c r="H923" s="1170">
        <f t="shared" si="63"/>
        <v>4928454.0747681046</v>
      </c>
      <c r="I923" s="655">
        <f t="shared" si="60"/>
        <v>0</v>
      </c>
      <c r="J923" s="655"/>
      <c r="K923" s="793"/>
      <c r="L923" s="661"/>
      <c r="M923" s="793"/>
      <c r="N923" s="661"/>
      <c r="O923" s="661"/>
      <c r="P923" s="480"/>
    </row>
    <row r="924" spans="1:16">
      <c r="A924" s="285"/>
      <c r="B924" s="285"/>
      <c r="C924" s="651">
        <f>IF(D898="","-",+C923+1)</f>
        <v>2036</v>
      </c>
      <c r="D924" s="602">
        <f t="shared" si="61"/>
        <v>32585404.871521223</v>
      </c>
      <c r="E924" s="658">
        <f t="shared" si="64"/>
        <v>1277859.0145694574</v>
      </c>
      <c r="F924" s="602">
        <f t="shared" si="59"/>
        <v>31307545.856951766</v>
      </c>
      <c r="G924" s="1167">
        <f t="shared" si="62"/>
        <v>4788046.5724527724</v>
      </c>
      <c r="H924" s="1170">
        <f t="shared" si="63"/>
        <v>4788046.5724527724</v>
      </c>
      <c r="I924" s="655">
        <f t="shared" si="60"/>
        <v>0</v>
      </c>
      <c r="J924" s="655"/>
      <c r="K924" s="793"/>
      <c r="L924" s="661"/>
      <c r="M924" s="793"/>
      <c r="N924" s="661"/>
      <c r="O924" s="661"/>
      <c r="P924" s="480"/>
    </row>
    <row r="925" spans="1:16">
      <c r="A925" s="285"/>
      <c r="B925" s="285"/>
      <c r="C925" s="651">
        <f>IF(D898="","-",+C924+1)</f>
        <v>2037</v>
      </c>
      <c r="D925" s="602">
        <f t="shared" si="61"/>
        <v>31307545.856951766</v>
      </c>
      <c r="E925" s="658">
        <f t="shared" si="64"/>
        <v>1277859.0145694574</v>
      </c>
      <c r="F925" s="602">
        <f t="shared" si="59"/>
        <v>30029686.842382308</v>
      </c>
      <c r="G925" s="1167">
        <f t="shared" si="62"/>
        <v>4647639.0701374402</v>
      </c>
      <c r="H925" s="1170">
        <f t="shared" si="63"/>
        <v>4647639.0701374402</v>
      </c>
      <c r="I925" s="655">
        <f t="shared" si="60"/>
        <v>0</v>
      </c>
      <c r="J925" s="655"/>
      <c r="K925" s="793"/>
      <c r="L925" s="661"/>
      <c r="M925" s="793"/>
      <c r="N925" s="661"/>
      <c r="O925" s="661"/>
      <c r="P925" s="480"/>
    </row>
    <row r="926" spans="1:16">
      <c r="A926" s="285"/>
      <c r="B926" s="285"/>
      <c r="C926" s="651">
        <f>IF(D898="","-",+C925+1)</f>
        <v>2038</v>
      </c>
      <c r="D926" s="602">
        <f t="shared" si="61"/>
        <v>30029686.842382308</v>
      </c>
      <c r="E926" s="658">
        <f t="shared" si="64"/>
        <v>1277859.0145694574</v>
      </c>
      <c r="F926" s="602">
        <f t="shared" si="59"/>
        <v>28751827.82781285</v>
      </c>
      <c r="G926" s="1167">
        <f t="shared" si="62"/>
        <v>4507231.567822108</v>
      </c>
      <c r="H926" s="1170">
        <f t="shared" si="63"/>
        <v>4507231.567822108</v>
      </c>
      <c r="I926" s="655">
        <f t="shared" si="60"/>
        <v>0</v>
      </c>
      <c r="J926" s="655"/>
      <c r="K926" s="793"/>
      <c r="L926" s="661"/>
      <c r="M926" s="793"/>
      <c r="N926" s="661"/>
      <c r="O926" s="661"/>
      <c r="P926" s="480"/>
    </row>
    <row r="927" spans="1:16">
      <c r="A927" s="285"/>
      <c r="B927" s="285"/>
      <c r="C927" s="651">
        <f>IF(D898="","-",+C926+1)</f>
        <v>2039</v>
      </c>
      <c r="D927" s="602">
        <f t="shared" si="61"/>
        <v>28751827.82781285</v>
      </c>
      <c r="E927" s="658">
        <f t="shared" si="64"/>
        <v>1277859.0145694574</v>
      </c>
      <c r="F927" s="602">
        <f t="shared" si="59"/>
        <v>27473968.813243393</v>
      </c>
      <c r="G927" s="1167">
        <f t="shared" si="62"/>
        <v>4366824.0655067749</v>
      </c>
      <c r="H927" s="1170">
        <f t="shared" si="63"/>
        <v>4366824.0655067749</v>
      </c>
      <c r="I927" s="655">
        <f t="shared" si="60"/>
        <v>0</v>
      </c>
      <c r="J927" s="655"/>
      <c r="K927" s="793"/>
      <c r="L927" s="661"/>
      <c r="M927" s="793"/>
      <c r="N927" s="661"/>
      <c r="O927" s="661"/>
      <c r="P927" s="480"/>
    </row>
    <row r="928" spans="1:16">
      <c r="A928" s="285"/>
      <c r="B928" s="285"/>
      <c r="C928" s="651">
        <f>IF(D898="","-",+C927+1)</f>
        <v>2040</v>
      </c>
      <c r="D928" s="602">
        <f t="shared" si="61"/>
        <v>27473968.813243393</v>
      </c>
      <c r="E928" s="658">
        <f t="shared" si="64"/>
        <v>1277859.0145694574</v>
      </c>
      <c r="F928" s="602">
        <f t="shared" si="59"/>
        <v>26196109.798673935</v>
      </c>
      <c r="G928" s="1167">
        <f t="shared" si="62"/>
        <v>4226416.5631914437</v>
      </c>
      <c r="H928" s="1170">
        <f t="shared" si="63"/>
        <v>4226416.5631914437</v>
      </c>
      <c r="I928" s="655">
        <f t="shared" si="60"/>
        <v>0</v>
      </c>
      <c r="J928" s="655"/>
      <c r="K928" s="793"/>
      <c r="L928" s="661"/>
      <c r="M928" s="793"/>
      <c r="N928" s="661"/>
      <c r="O928" s="661"/>
      <c r="P928" s="480"/>
    </row>
    <row r="929" spans="1:16">
      <c r="A929" s="285"/>
      <c r="B929" s="285"/>
      <c r="C929" s="651">
        <f>IF(D898="","-",+C928+1)</f>
        <v>2041</v>
      </c>
      <c r="D929" s="602">
        <f t="shared" si="61"/>
        <v>26196109.798673935</v>
      </c>
      <c r="E929" s="658">
        <f t="shared" si="64"/>
        <v>1277859.0145694574</v>
      </c>
      <c r="F929" s="602">
        <f t="shared" si="59"/>
        <v>24918250.784104478</v>
      </c>
      <c r="G929" s="1167">
        <f t="shared" si="62"/>
        <v>4086009.0608761106</v>
      </c>
      <c r="H929" s="1170">
        <f t="shared" si="63"/>
        <v>4086009.0608761106</v>
      </c>
      <c r="I929" s="655">
        <f t="shared" si="60"/>
        <v>0</v>
      </c>
      <c r="J929" s="655"/>
      <c r="K929" s="793"/>
      <c r="L929" s="661"/>
      <c r="M929" s="793"/>
      <c r="N929" s="661"/>
      <c r="O929" s="661"/>
      <c r="P929" s="480"/>
    </row>
    <row r="930" spans="1:16">
      <c r="A930" s="285"/>
      <c r="B930" s="285"/>
      <c r="C930" s="651">
        <f>IF(D898="","-",+C929+1)</f>
        <v>2042</v>
      </c>
      <c r="D930" s="602">
        <f t="shared" si="61"/>
        <v>24918250.784104478</v>
      </c>
      <c r="E930" s="658">
        <f t="shared" si="64"/>
        <v>1277859.0145694574</v>
      </c>
      <c r="F930" s="602">
        <f t="shared" si="59"/>
        <v>23640391.76953502</v>
      </c>
      <c r="G930" s="1167">
        <f t="shared" si="62"/>
        <v>3945601.5585607784</v>
      </c>
      <c r="H930" s="1170">
        <f t="shared" si="63"/>
        <v>3945601.5585607784</v>
      </c>
      <c r="I930" s="655">
        <f t="shared" si="60"/>
        <v>0</v>
      </c>
      <c r="J930" s="655"/>
      <c r="K930" s="793"/>
      <c r="L930" s="661"/>
      <c r="M930" s="793"/>
      <c r="N930" s="661"/>
      <c r="O930" s="661"/>
      <c r="P930" s="480"/>
    </row>
    <row r="931" spans="1:16">
      <c r="A931" s="285"/>
      <c r="B931" s="285"/>
      <c r="C931" s="651">
        <f>IF(D898="","-",+C930+1)</f>
        <v>2043</v>
      </c>
      <c r="D931" s="602">
        <f t="shared" si="61"/>
        <v>23640391.76953502</v>
      </c>
      <c r="E931" s="658">
        <f t="shared" si="64"/>
        <v>1277859.0145694574</v>
      </c>
      <c r="F931" s="602">
        <f t="shared" si="59"/>
        <v>22362532.754965562</v>
      </c>
      <c r="G931" s="1167">
        <f t="shared" si="62"/>
        <v>3805194.0562454462</v>
      </c>
      <c r="H931" s="1170">
        <f t="shared" si="63"/>
        <v>3805194.0562454462</v>
      </c>
      <c r="I931" s="655">
        <f t="shared" si="60"/>
        <v>0</v>
      </c>
      <c r="J931" s="655"/>
      <c r="K931" s="793"/>
      <c r="L931" s="661"/>
      <c r="M931" s="793"/>
      <c r="N931" s="661"/>
      <c r="O931" s="661"/>
      <c r="P931" s="480"/>
    </row>
    <row r="932" spans="1:16">
      <c r="A932" s="285"/>
      <c r="B932" s="285"/>
      <c r="C932" s="651">
        <f>IF(D898="","-",+C931+1)</f>
        <v>2044</v>
      </c>
      <c r="D932" s="602">
        <f t="shared" si="61"/>
        <v>22362532.754965562</v>
      </c>
      <c r="E932" s="658">
        <f t="shared" si="64"/>
        <v>1277859.0145694574</v>
      </c>
      <c r="F932" s="602">
        <f t="shared" si="59"/>
        <v>21084673.740396105</v>
      </c>
      <c r="G932" s="1176">
        <f t="shared" si="62"/>
        <v>3664786.553930114</v>
      </c>
      <c r="H932" s="1170">
        <f t="shared" si="63"/>
        <v>3664786.553930114</v>
      </c>
      <c r="I932" s="655">
        <f t="shared" si="60"/>
        <v>0</v>
      </c>
      <c r="J932" s="655"/>
      <c r="K932" s="793"/>
      <c r="L932" s="661"/>
      <c r="M932" s="793"/>
      <c r="N932" s="661"/>
      <c r="O932" s="661"/>
      <c r="P932" s="480"/>
    </row>
    <row r="933" spans="1:16">
      <c r="A933" s="285"/>
      <c r="B933" s="285"/>
      <c r="C933" s="651">
        <f>IF(D898="","-",+C932+1)</f>
        <v>2045</v>
      </c>
      <c r="D933" s="602">
        <f t="shared" si="61"/>
        <v>21084673.740396105</v>
      </c>
      <c r="E933" s="658">
        <f t="shared" si="64"/>
        <v>1277859.0145694574</v>
      </c>
      <c r="F933" s="602">
        <f t="shared" si="59"/>
        <v>19806814.725826647</v>
      </c>
      <c r="G933" s="1167">
        <f t="shared" si="62"/>
        <v>3524379.0516147809</v>
      </c>
      <c r="H933" s="1170">
        <f t="shared" si="63"/>
        <v>3524379.0516147809</v>
      </c>
      <c r="I933" s="655">
        <f t="shared" si="60"/>
        <v>0</v>
      </c>
      <c r="J933" s="655"/>
      <c r="K933" s="793"/>
      <c r="L933" s="661"/>
      <c r="M933" s="793"/>
      <c r="N933" s="661"/>
      <c r="O933" s="661"/>
      <c r="P933" s="480"/>
    </row>
    <row r="934" spans="1:16">
      <c r="A934" s="285"/>
      <c r="B934" s="285"/>
      <c r="C934" s="651">
        <f>IF(D898="","-",+C933+1)</f>
        <v>2046</v>
      </c>
      <c r="D934" s="602">
        <f t="shared" si="61"/>
        <v>19806814.725826647</v>
      </c>
      <c r="E934" s="658">
        <f t="shared" si="64"/>
        <v>1277859.0145694574</v>
      </c>
      <c r="F934" s="602">
        <f t="shared" si="59"/>
        <v>18528955.71125719</v>
      </c>
      <c r="G934" s="1167">
        <f t="shared" si="62"/>
        <v>3383971.5492994487</v>
      </c>
      <c r="H934" s="1170">
        <f t="shared" si="63"/>
        <v>3383971.5492994487</v>
      </c>
      <c r="I934" s="655">
        <f t="shared" si="60"/>
        <v>0</v>
      </c>
      <c r="J934" s="655"/>
      <c r="K934" s="793"/>
      <c r="L934" s="661"/>
      <c r="M934" s="793"/>
      <c r="N934" s="661"/>
      <c r="O934" s="661"/>
      <c r="P934" s="480"/>
    </row>
    <row r="935" spans="1:16">
      <c r="A935" s="285"/>
      <c r="B935" s="285"/>
      <c r="C935" s="651">
        <f>IF(D898="","-",+C934+1)</f>
        <v>2047</v>
      </c>
      <c r="D935" s="602">
        <f t="shared" si="61"/>
        <v>18528955.71125719</v>
      </c>
      <c r="E935" s="658">
        <f t="shared" si="64"/>
        <v>1277859.0145694574</v>
      </c>
      <c r="F935" s="602">
        <f t="shared" si="59"/>
        <v>17251096.696687732</v>
      </c>
      <c r="G935" s="1167">
        <f t="shared" si="62"/>
        <v>3243564.0469841165</v>
      </c>
      <c r="H935" s="1170">
        <f t="shared" si="63"/>
        <v>3243564.0469841165</v>
      </c>
      <c r="I935" s="655">
        <f t="shared" si="60"/>
        <v>0</v>
      </c>
      <c r="J935" s="655"/>
      <c r="K935" s="793"/>
      <c r="L935" s="661"/>
      <c r="M935" s="793"/>
      <c r="N935" s="661"/>
      <c r="O935" s="661"/>
      <c r="P935" s="480"/>
    </row>
    <row r="936" spans="1:16">
      <c r="A936" s="285"/>
      <c r="B936" s="285"/>
      <c r="C936" s="651">
        <f>IF(D898="","-",+C935+1)</f>
        <v>2048</v>
      </c>
      <c r="D936" s="602">
        <f t="shared" si="61"/>
        <v>17251096.696687732</v>
      </c>
      <c r="E936" s="658">
        <f t="shared" si="64"/>
        <v>1277859.0145694574</v>
      </c>
      <c r="F936" s="602">
        <f t="shared" si="59"/>
        <v>15973237.682118274</v>
      </c>
      <c r="G936" s="1167">
        <f t="shared" si="62"/>
        <v>3103156.5446687844</v>
      </c>
      <c r="H936" s="1170">
        <f t="shared" si="63"/>
        <v>3103156.5446687844</v>
      </c>
      <c r="I936" s="655">
        <f t="shared" si="60"/>
        <v>0</v>
      </c>
      <c r="J936" s="655"/>
      <c r="K936" s="793"/>
      <c r="L936" s="661"/>
      <c r="M936" s="793"/>
      <c r="N936" s="661"/>
      <c r="O936" s="661"/>
      <c r="P936" s="480"/>
    </row>
    <row r="937" spans="1:16">
      <c r="A937" s="285"/>
      <c r="B937" s="285"/>
      <c r="C937" s="651">
        <f>IF(D898="","-",+C936+1)</f>
        <v>2049</v>
      </c>
      <c r="D937" s="602">
        <f t="shared" si="61"/>
        <v>15973237.682118274</v>
      </c>
      <c r="E937" s="658">
        <f t="shared" si="64"/>
        <v>1277859.0145694574</v>
      </c>
      <c r="F937" s="602">
        <f t="shared" si="59"/>
        <v>14695378.667548817</v>
      </c>
      <c r="G937" s="1167">
        <f t="shared" si="62"/>
        <v>2962749.0423534517</v>
      </c>
      <c r="H937" s="1170">
        <f t="shared" si="63"/>
        <v>2962749.0423534517</v>
      </c>
      <c r="I937" s="655">
        <f t="shared" si="60"/>
        <v>0</v>
      </c>
      <c r="J937" s="655"/>
      <c r="K937" s="793"/>
      <c r="L937" s="661"/>
      <c r="M937" s="793"/>
      <c r="N937" s="661"/>
      <c r="O937" s="661"/>
      <c r="P937" s="480"/>
    </row>
    <row r="938" spans="1:16">
      <c r="A938" s="285"/>
      <c r="B938" s="285"/>
      <c r="C938" s="651">
        <f>IF(D898="","-",+C937+1)</f>
        <v>2050</v>
      </c>
      <c r="D938" s="602">
        <f t="shared" si="61"/>
        <v>14695378.667548817</v>
      </c>
      <c r="E938" s="658">
        <f t="shared" si="64"/>
        <v>1277859.0145694574</v>
      </c>
      <c r="F938" s="602">
        <f t="shared" si="59"/>
        <v>13417519.652979359</v>
      </c>
      <c r="G938" s="1167">
        <f t="shared" si="62"/>
        <v>2822341.5400381191</v>
      </c>
      <c r="H938" s="1170">
        <f t="shared" si="63"/>
        <v>2822341.5400381191</v>
      </c>
      <c r="I938" s="655">
        <f t="shared" si="60"/>
        <v>0</v>
      </c>
      <c r="J938" s="655"/>
      <c r="K938" s="793"/>
      <c r="L938" s="661"/>
      <c r="M938" s="793"/>
      <c r="N938" s="661"/>
      <c r="O938" s="661"/>
      <c r="P938" s="480"/>
    </row>
    <row r="939" spans="1:16">
      <c r="A939" s="285"/>
      <c r="B939" s="285"/>
      <c r="C939" s="651">
        <f>IF(D898="","-",+C938+1)</f>
        <v>2051</v>
      </c>
      <c r="D939" s="602">
        <f t="shared" si="61"/>
        <v>13417519.652979359</v>
      </c>
      <c r="E939" s="658">
        <f t="shared" si="64"/>
        <v>1277859.0145694574</v>
      </c>
      <c r="F939" s="602">
        <f t="shared" si="59"/>
        <v>12139660.638409901</v>
      </c>
      <c r="G939" s="1167">
        <f t="shared" si="62"/>
        <v>2681934.0377227869</v>
      </c>
      <c r="H939" s="1170">
        <f t="shared" si="63"/>
        <v>2681934.0377227869</v>
      </c>
      <c r="I939" s="655">
        <f t="shared" si="60"/>
        <v>0</v>
      </c>
      <c r="J939" s="655"/>
      <c r="K939" s="793"/>
      <c r="L939" s="661"/>
      <c r="M939" s="793"/>
      <c r="N939" s="661"/>
      <c r="O939" s="661"/>
      <c r="P939" s="480"/>
    </row>
    <row r="940" spans="1:16">
      <c r="A940" s="285"/>
      <c r="B940" s="285"/>
      <c r="C940" s="651">
        <f>IF(D898="","-",+C939+1)</f>
        <v>2052</v>
      </c>
      <c r="D940" s="602">
        <f t="shared" si="61"/>
        <v>12139660.638409901</v>
      </c>
      <c r="E940" s="658">
        <f t="shared" si="64"/>
        <v>1277859.0145694574</v>
      </c>
      <c r="F940" s="602">
        <f t="shared" si="59"/>
        <v>10861801.623840444</v>
      </c>
      <c r="G940" s="1167">
        <f t="shared" si="62"/>
        <v>2541526.5354074547</v>
      </c>
      <c r="H940" s="1170">
        <f t="shared" si="63"/>
        <v>2541526.5354074547</v>
      </c>
      <c r="I940" s="655">
        <f t="shared" si="60"/>
        <v>0</v>
      </c>
      <c r="J940" s="655"/>
      <c r="K940" s="793"/>
      <c r="L940" s="661"/>
      <c r="M940" s="793"/>
      <c r="N940" s="661"/>
      <c r="O940" s="661"/>
      <c r="P940" s="480"/>
    </row>
    <row r="941" spans="1:16">
      <c r="A941" s="285"/>
      <c r="B941" s="285"/>
      <c r="C941" s="651">
        <f>IF(D898="","-",+C940+1)</f>
        <v>2053</v>
      </c>
      <c r="D941" s="602">
        <f t="shared" si="61"/>
        <v>10861801.623840444</v>
      </c>
      <c r="E941" s="658">
        <f t="shared" si="64"/>
        <v>1277859.0145694574</v>
      </c>
      <c r="F941" s="602">
        <f t="shared" si="59"/>
        <v>9583942.6092709862</v>
      </c>
      <c r="G941" s="1167">
        <f t="shared" si="62"/>
        <v>2401119.0330921225</v>
      </c>
      <c r="H941" s="1170">
        <f t="shared" si="63"/>
        <v>2401119.0330921225</v>
      </c>
      <c r="I941" s="655">
        <f t="shared" si="60"/>
        <v>0</v>
      </c>
      <c r="J941" s="655"/>
      <c r="K941" s="793"/>
      <c r="L941" s="661"/>
      <c r="M941" s="793"/>
      <c r="N941" s="661"/>
      <c r="O941" s="661"/>
      <c r="P941" s="480"/>
    </row>
    <row r="942" spans="1:16">
      <c r="A942" s="285"/>
      <c r="B942" s="285"/>
      <c r="C942" s="651">
        <f>IF(D898="","-",+C941+1)</f>
        <v>2054</v>
      </c>
      <c r="D942" s="602">
        <f t="shared" si="61"/>
        <v>9583942.6092709862</v>
      </c>
      <c r="E942" s="658">
        <f t="shared" si="64"/>
        <v>1277859.0145694574</v>
      </c>
      <c r="F942" s="602">
        <f t="shared" si="59"/>
        <v>8306083.5947015285</v>
      </c>
      <c r="G942" s="1167">
        <f t="shared" si="62"/>
        <v>2260711.5307767899</v>
      </c>
      <c r="H942" s="1170">
        <f t="shared" si="63"/>
        <v>2260711.5307767899</v>
      </c>
      <c r="I942" s="655">
        <f t="shared" si="60"/>
        <v>0</v>
      </c>
      <c r="J942" s="655"/>
      <c r="K942" s="793"/>
      <c r="L942" s="661"/>
      <c r="M942" s="793"/>
      <c r="N942" s="661"/>
      <c r="O942" s="661"/>
      <c r="P942" s="480"/>
    </row>
    <row r="943" spans="1:16">
      <c r="A943" s="285"/>
      <c r="B943" s="285"/>
      <c r="C943" s="651">
        <f>IF(D898="","-",+C942+1)</f>
        <v>2055</v>
      </c>
      <c r="D943" s="602">
        <f t="shared" si="61"/>
        <v>8306083.5947015285</v>
      </c>
      <c r="E943" s="658">
        <f t="shared" si="64"/>
        <v>1277859.0145694574</v>
      </c>
      <c r="F943" s="602">
        <f t="shared" si="59"/>
        <v>7028224.5801320709</v>
      </c>
      <c r="G943" s="1167">
        <f t="shared" si="62"/>
        <v>2120304.0284614577</v>
      </c>
      <c r="H943" s="1170">
        <f t="shared" si="63"/>
        <v>2120304.0284614577</v>
      </c>
      <c r="I943" s="655">
        <f t="shared" si="60"/>
        <v>0</v>
      </c>
      <c r="J943" s="655"/>
      <c r="K943" s="793"/>
      <c r="L943" s="661"/>
      <c r="M943" s="793"/>
      <c r="N943" s="661"/>
      <c r="O943" s="661"/>
      <c r="P943" s="480"/>
    </row>
    <row r="944" spans="1:16">
      <c r="A944" s="285"/>
      <c r="B944" s="285"/>
      <c r="C944" s="651">
        <f>IF(D898="","-",+C943+1)</f>
        <v>2056</v>
      </c>
      <c r="D944" s="602">
        <f t="shared" si="61"/>
        <v>7028224.5801320709</v>
      </c>
      <c r="E944" s="658">
        <f t="shared" si="64"/>
        <v>1277859.0145694574</v>
      </c>
      <c r="F944" s="602">
        <f t="shared" si="59"/>
        <v>5750365.5655626133</v>
      </c>
      <c r="G944" s="1167">
        <f t="shared" si="62"/>
        <v>1979896.526146125</v>
      </c>
      <c r="H944" s="1170">
        <f t="shared" si="63"/>
        <v>1979896.526146125</v>
      </c>
      <c r="I944" s="655">
        <f t="shared" si="60"/>
        <v>0</v>
      </c>
      <c r="J944" s="655"/>
      <c r="K944" s="793"/>
      <c r="L944" s="661"/>
      <c r="M944" s="793"/>
      <c r="N944" s="661"/>
      <c r="O944" s="661"/>
      <c r="P944" s="480"/>
    </row>
    <row r="945" spans="1:16">
      <c r="A945" s="285"/>
      <c r="B945" s="285"/>
      <c r="C945" s="651">
        <f>IF(D898="","-",+C944+1)</f>
        <v>2057</v>
      </c>
      <c r="D945" s="602">
        <f t="shared" si="61"/>
        <v>5750365.5655626133</v>
      </c>
      <c r="E945" s="658">
        <f t="shared" si="64"/>
        <v>1277859.0145694574</v>
      </c>
      <c r="F945" s="602">
        <f t="shared" si="59"/>
        <v>4472506.5509931557</v>
      </c>
      <c r="G945" s="1167">
        <f t="shared" si="62"/>
        <v>1839489.0238307929</v>
      </c>
      <c r="H945" s="1170">
        <f t="shared" si="63"/>
        <v>1839489.0238307929</v>
      </c>
      <c r="I945" s="655">
        <f t="shared" si="60"/>
        <v>0</v>
      </c>
      <c r="J945" s="655"/>
      <c r="K945" s="793"/>
      <c r="L945" s="661"/>
      <c r="M945" s="793"/>
      <c r="N945" s="661"/>
      <c r="O945" s="661"/>
      <c r="P945" s="480"/>
    </row>
    <row r="946" spans="1:16">
      <c r="A946" s="285"/>
      <c r="B946" s="285"/>
      <c r="C946" s="651">
        <f>IF(D898="","-",+C945+1)</f>
        <v>2058</v>
      </c>
      <c r="D946" s="602">
        <f t="shared" si="61"/>
        <v>4472506.5509931557</v>
      </c>
      <c r="E946" s="658">
        <f t="shared" si="64"/>
        <v>1277859.0145694574</v>
      </c>
      <c r="F946" s="602">
        <f t="shared" si="59"/>
        <v>3194647.5364236981</v>
      </c>
      <c r="G946" s="1167">
        <f t="shared" si="62"/>
        <v>1699081.5215154605</v>
      </c>
      <c r="H946" s="1170">
        <f t="shared" si="63"/>
        <v>1699081.5215154605</v>
      </c>
      <c r="I946" s="655">
        <f t="shared" si="60"/>
        <v>0</v>
      </c>
      <c r="J946" s="655"/>
      <c r="K946" s="793"/>
      <c r="L946" s="661"/>
      <c r="M946" s="793"/>
      <c r="N946" s="661"/>
      <c r="O946" s="661"/>
      <c r="P946" s="480"/>
    </row>
    <row r="947" spans="1:16">
      <c r="A947" s="285"/>
      <c r="B947" s="285"/>
      <c r="C947" s="651">
        <f>IF(D898="","-",+C946+1)</f>
        <v>2059</v>
      </c>
      <c r="D947" s="602">
        <f t="shared" si="61"/>
        <v>3194647.5364236981</v>
      </c>
      <c r="E947" s="658">
        <f t="shared" si="64"/>
        <v>1277859.0145694574</v>
      </c>
      <c r="F947" s="602">
        <f t="shared" si="59"/>
        <v>1916788.5218542407</v>
      </c>
      <c r="G947" s="1167">
        <f t="shared" si="62"/>
        <v>1558674.019200128</v>
      </c>
      <c r="H947" s="1170">
        <f t="shared" si="63"/>
        <v>1558674.019200128</v>
      </c>
      <c r="I947" s="655">
        <f t="shared" si="60"/>
        <v>0</v>
      </c>
      <c r="J947" s="655"/>
      <c r="K947" s="793"/>
      <c r="L947" s="661"/>
      <c r="M947" s="793"/>
      <c r="N947" s="661"/>
      <c r="O947" s="661"/>
      <c r="P947" s="480"/>
    </row>
    <row r="948" spans="1:16">
      <c r="A948" s="285"/>
      <c r="B948" s="285"/>
      <c r="C948" s="651">
        <f>IF(D898="","-",+C947+1)</f>
        <v>2060</v>
      </c>
      <c r="D948" s="602">
        <f t="shared" si="61"/>
        <v>1916788.5218542407</v>
      </c>
      <c r="E948" s="658">
        <f t="shared" si="64"/>
        <v>1277859.0145694574</v>
      </c>
      <c r="F948" s="602">
        <f t="shared" si="59"/>
        <v>638929.50728478329</v>
      </c>
      <c r="G948" s="1167">
        <f t="shared" si="62"/>
        <v>1418266.5168847959</v>
      </c>
      <c r="H948" s="1170">
        <f t="shared" si="63"/>
        <v>1418266.5168847959</v>
      </c>
      <c r="I948" s="655">
        <f t="shared" si="60"/>
        <v>0</v>
      </c>
      <c r="J948" s="655"/>
      <c r="K948" s="793"/>
      <c r="L948" s="661"/>
      <c r="M948" s="793"/>
      <c r="N948" s="661"/>
      <c r="O948" s="661"/>
      <c r="P948" s="480"/>
    </row>
    <row r="949" spans="1:16">
      <c r="A949" s="285"/>
      <c r="B949" s="285"/>
      <c r="C949" s="651">
        <f>IF(D898="","-",+C948+1)</f>
        <v>2061</v>
      </c>
      <c r="D949" s="602">
        <f t="shared" si="61"/>
        <v>638929.50728478329</v>
      </c>
      <c r="E949" s="658">
        <f t="shared" si="64"/>
        <v>638929.50728478329</v>
      </c>
      <c r="F949" s="602">
        <f t="shared" si="59"/>
        <v>0</v>
      </c>
      <c r="G949" s="1167">
        <f t="shared" si="62"/>
        <v>674031.38286361936</v>
      </c>
      <c r="H949" s="1170">
        <f t="shared" si="63"/>
        <v>674031.38286361936</v>
      </c>
      <c r="I949" s="655">
        <f t="shared" si="60"/>
        <v>0</v>
      </c>
      <c r="J949" s="655"/>
      <c r="K949" s="793"/>
      <c r="L949" s="661"/>
      <c r="M949" s="793"/>
      <c r="N949" s="661"/>
      <c r="O949" s="661"/>
      <c r="P949" s="480"/>
    </row>
    <row r="950" spans="1:16">
      <c r="A950" s="285"/>
      <c r="B950" s="285"/>
      <c r="C950" s="651">
        <f>IF(D898="","-",+C949+1)</f>
        <v>2062</v>
      </c>
      <c r="D950" s="602">
        <f t="shared" si="61"/>
        <v>0</v>
      </c>
      <c r="E950" s="658">
        <f t="shared" si="64"/>
        <v>0</v>
      </c>
      <c r="F950" s="602">
        <f t="shared" si="59"/>
        <v>0</v>
      </c>
      <c r="G950" s="1167">
        <f t="shared" si="62"/>
        <v>0</v>
      </c>
      <c r="H950" s="1170">
        <f t="shared" si="63"/>
        <v>0</v>
      </c>
      <c r="I950" s="655">
        <f t="shared" si="60"/>
        <v>0</v>
      </c>
      <c r="J950" s="655"/>
      <c r="K950" s="793"/>
      <c r="L950" s="661"/>
      <c r="M950" s="793"/>
      <c r="N950" s="661"/>
      <c r="O950" s="661"/>
      <c r="P950" s="480"/>
    </row>
    <row r="951" spans="1:16">
      <c r="A951" s="285"/>
      <c r="B951" s="285"/>
      <c r="C951" s="651">
        <f>IF(D898="","-",+C950+1)</f>
        <v>2063</v>
      </c>
      <c r="D951" s="602">
        <f t="shared" si="61"/>
        <v>0</v>
      </c>
      <c r="E951" s="658">
        <f t="shared" si="64"/>
        <v>0</v>
      </c>
      <c r="F951" s="602">
        <f t="shared" si="59"/>
        <v>0</v>
      </c>
      <c r="G951" s="1167">
        <f t="shared" si="62"/>
        <v>0</v>
      </c>
      <c r="H951" s="1170">
        <f t="shared" si="63"/>
        <v>0</v>
      </c>
      <c r="I951" s="655">
        <f t="shared" si="60"/>
        <v>0</v>
      </c>
      <c r="J951" s="655"/>
      <c r="K951" s="793"/>
      <c r="L951" s="661"/>
      <c r="M951" s="793"/>
      <c r="N951" s="661"/>
      <c r="O951" s="661"/>
      <c r="P951" s="480"/>
    </row>
    <row r="952" spans="1:16">
      <c r="A952" s="285"/>
      <c r="B952" s="285"/>
      <c r="C952" s="651">
        <f>IF(D898="","-",+C951+1)</f>
        <v>2064</v>
      </c>
      <c r="D952" s="602">
        <f t="shared" si="61"/>
        <v>0</v>
      </c>
      <c r="E952" s="658">
        <f t="shared" si="64"/>
        <v>0</v>
      </c>
      <c r="F952" s="602">
        <f t="shared" si="59"/>
        <v>0</v>
      </c>
      <c r="G952" s="1167">
        <f t="shared" si="62"/>
        <v>0</v>
      </c>
      <c r="H952" s="1170">
        <f t="shared" si="63"/>
        <v>0</v>
      </c>
      <c r="I952" s="655">
        <f t="shared" si="60"/>
        <v>0</v>
      </c>
      <c r="J952" s="655"/>
      <c r="K952" s="793"/>
      <c r="L952" s="661"/>
      <c r="M952" s="793"/>
      <c r="N952" s="661"/>
      <c r="O952" s="661"/>
      <c r="P952" s="480"/>
    </row>
    <row r="953" spans="1:16">
      <c r="A953" s="285"/>
      <c r="B953" s="285"/>
      <c r="C953" s="651">
        <f>IF(D898="","-",+C952+1)</f>
        <v>2065</v>
      </c>
      <c r="D953" s="602">
        <f t="shared" si="61"/>
        <v>0</v>
      </c>
      <c r="E953" s="658">
        <f t="shared" si="64"/>
        <v>0</v>
      </c>
      <c r="F953" s="602">
        <f t="shared" si="59"/>
        <v>0</v>
      </c>
      <c r="G953" s="1167">
        <f t="shared" si="62"/>
        <v>0</v>
      </c>
      <c r="H953" s="1170">
        <f t="shared" si="63"/>
        <v>0</v>
      </c>
      <c r="I953" s="655">
        <f t="shared" si="60"/>
        <v>0</v>
      </c>
      <c r="J953" s="655"/>
      <c r="K953" s="793"/>
      <c r="L953" s="661"/>
      <c r="M953" s="793"/>
      <c r="N953" s="661"/>
      <c r="O953" s="661"/>
      <c r="P953" s="480"/>
    </row>
    <row r="954" spans="1:16">
      <c r="A954" s="285"/>
      <c r="B954" s="285"/>
      <c r="C954" s="651">
        <f>IF(D898="","-",+C953+1)</f>
        <v>2066</v>
      </c>
      <c r="D954" s="602">
        <f t="shared" si="61"/>
        <v>0</v>
      </c>
      <c r="E954" s="658">
        <f t="shared" si="64"/>
        <v>0</v>
      </c>
      <c r="F954" s="602">
        <f t="shared" si="59"/>
        <v>0</v>
      </c>
      <c r="G954" s="1167">
        <f t="shared" si="62"/>
        <v>0</v>
      </c>
      <c r="H954" s="1170">
        <f t="shared" si="63"/>
        <v>0</v>
      </c>
      <c r="I954" s="655">
        <f t="shared" si="60"/>
        <v>0</v>
      </c>
      <c r="J954" s="655"/>
      <c r="K954" s="793"/>
      <c r="L954" s="661"/>
      <c r="M954" s="793"/>
      <c r="N954" s="661"/>
      <c r="O954" s="661"/>
      <c r="P954" s="480"/>
    </row>
    <row r="955" spans="1:16">
      <c r="A955" s="285"/>
      <c r="B955" s="285"/>
      <c r="C955" s="651">
        <f>IF(D898="","-",+C954+1)</f>
        <v>2067</v>
      </c>
      <c r="D955" s="602">
        <f t="shared" si="61"/>
        <v>0</v>
      </c>
      <c r="E955" s="658">
        <f t="shared" si="64"/>
        <v>0</v>
      </c>
      <c r="F955" s="602">
        <f t="shared" si="59"/>
        <v>0</v>
      </c>
      <c r="G955" s="1167">
        <f t="shared" si="62"/>
        <v>0</v>
      </c>
      <c r="H955" s="1170">
        <f t="shared" si="63"/>
        <v>0</v>
      </c>
      <c r="I955" s="655">
        <f t="shared" si="60"/>
        <v>0</v>
      </c>
      <c r="J955" s="655"/>
      <c r="K955" s="793"/>
      <c r="L955" s="661"/>
      <c r="M955" s="793"/>
      <c r="N955" s="661"/>
      <c r="O955" s="661"/>
      <c r="P955" s="480"/>
    </row>
    <row r="956" spans="1:16">
      <c r="A956" s="285"/>
      <c r="B956" s="285"/>
      <c r="C956" s="651">
        <f>IF(D898="","-",+C955+1)</f>
        <v>2068</v>
      </c>
      <c r="D956" s="602">
        <f t="shared" si="61"/>
        <v>0</v>
      </c>
      <c r="E956" s="658">
        <f t="shared" si="64"/>
        <v>0</v>
      </c>
      <c r="F956" s="602">
        <f t="shared" si="59"/>
        <v>0</v>
      </c>
      <c r="G956" s="1167">
        <f t="shared" si="62"/>
        <v>0</v>
      </c>
      <c r="H956" s="1170">
        <f t="shared" si="63"/>
        <v>0</v>
      </c>
      <c r="I956" s="655">
        <f t="shared" si="60"/>
        <v>0</v>
      </c>
      <c r="J956" s="655"/>
      <c r="K956" s="793"/>
      <c r="L956" s="661"/>
      <c r="M956" s="793"/>
      <c r="N956" s="661"/>
      <c r="O956" s="661"/>
      <c r="P956" s="480"/>
    </row>
    <row r="957" spans="1:16">
      <c r="A957" s="285"/>
      <c r="B957" s="285"/>
      <c r="C957" s="651">
        <f>IF(D898="","-",+C956+1)</f>
        <v>2069</v>
      </c>
      <c r="D957" s="602">
        <f t="shared" si="61"/>
        <v>0</v>
      </c>
      <c r="E957" s="658">
        <f t="shared" si="64"/>
        <v>0</v>
      </c>
      <c r="F957" s="602">
        <f t="shared" si="59"/>
        <v>0</v>
      </c>
      <c r="G957" s="1167">
        <f t="shared" si="62"/>
        <v>0</v>
      </c>
      <c r="H957" s="1170">
        <f t="shared" si="63"/>
        <v>0</v>
      </c>
      <c r="I957" s="655">
        <f t="shared" si="60"/>
        <v>0</v>
      </c>
      <c r="J957" s="655"/>
      <c r="K957" s="793"/>
      <c r="L957" s="661"/>
      <c r="M957" s="793"/>
      <c r="N957" s="661"/>
      <c r="O957" s="661"/>
      <c r="P957" s="480"/>
    </row>
    <row r="958" spans="1:16">
      <c r="A958" s="285"/>
      <c r="B958" s="285"/>
      <c r="C958" s="651">
        <f>IF(D898="","-",+C957+1)</f>
        <v>2070</v>
      </c>
      <c r="D958" s="602">
        <f t="shared" si="61"/>
        <v>0</v>
      </c>
      <c r="E958" s="658">
        <f t="shared" si="64"/>
        <v>0</v>
      </c>
      <c r="F958" s="602">
        <f t="shared" si="59"/>
        <v>0</v>
      </c>
      <c r="G958" s="1167">
        <f t="shared" si="62"/>
        <v>0</v>
      </c>
      <c r="H958" s="1170">
        <f t="shared" si="63"/>
        <v>0</v>
      </c>
      <c r="I958" s="655">
        <f t="shared" si="60"/>
        <v>0</v>
      </c>
      <c r="J958" s="655"/>
      <c r="K958" s="793"/>
      <c r="L958" s="661"/>
      <c r="M958" s="793"/>
      <c r="N958" s="661"/>
      <c r="O958" s="661"/>
      <c r="P958" s="480"/>
    </row>
    <row r="959" spans="1:16">
      <c r="A959" s="285"/>
      <c r="B959" s="285"/>
      <c r="C959" s="651">
        <f>IF(D898="","-",+C958+1)</f>
        <v>2071</v>
      </c>
      <c r="D959" s="602">
        <f t="shared" si="61"/>
        <v>0</v>
      </c>
      <c r="E959" s="658">
        <f t="shared" si="64"/>
        <v>0</v>
      </c>
      <c r="F959" s="602">
        <f t="shared" si="59"/>
        <v>0</v>
      </c>
      <c r="G959" s="1167">
        <f t="shared" si="62"/>
        <v>0</v>
      </c>
      <c r="H959" s="1170">
        <f t="shared" si="63"/>
        <v>0</v>
      </c>
      <c r="I959" s="655">
        <f t="shared" si="60"/>
        <v>0</v>
      </c>
      <c r="J959" s="655"/>
      <c r="K959" s="793"/>
      <c r="L959" s="661"/>
      <c r="M959" s="793"/>
      <c r="N959" s="661"/>
      <c r="O959" s="661"/>
      <c r="P959" s="480"/>
    </row>
    <row r="960" spans="1:16">
      <c r="A960" s="285"/>
      <c r="B960" s="285"/>
      <c r="C960" s="651">
        <f>IF(D898="","-",+C959+1)</f>
        <v>2072</v>
      </c>
      <c r="D960" s="602">
        <f t="shared" si="61"/>
        <v>0</v>
      </c>
      <c r="E960" s="658">
        <f t="shared" si="64"/>
        <v>0</v>
      </c>
      <c r="F960" s="602">
        <f t="shared" si="59"/>
        <v>0</v>
      </c>
      <c r="G960" s="1167">
        <f t="shared" si="62"/>
        <v>0</v>
      </c>
      <c r="H960" s="1170">
        <f t="shared" si="63"/>
        <v>0</v>
      </c>
      <c r="I960" s="655">
        <f t="shared" si="60"/>
        <v>0</v>
      </c>
      <c r="J960" s="655"/>
      <c r="K960" s="793"/>
      <c r="L960" s="661"/>
      <c r="M960" s="793"/>
      <c r="N960" s="661"/>
      <c r="O960" s="661"/>
      <c r="P960" s="480"/>
    </row>
    <row r="961" spans="1:16">
      <c r="A961" s="285"/>
      <c r="B961" s="285"/>
      <c r="C961" s="651">
        <f>IF(D898="","-",+C960+1)</f>
        <v>2073</v>
      </c>
      <c r="D961" s="602">
        <f t="shared" si="61"/>
        <v>0</v>
      </c>
      <c r="E961" s="658">
        <f t="shared" si="64"/>
        <v>0</v>
      </c>
      <c r="F961" s="602">
        <f t="shared" si="59"/>
        <v>0</v>
      </c>
      <c r="G961" s="1167">
        <f t="shared" si="62"/>
        <v>0</v>
      </c>
      <c r="H961" s="1170">
        <f t="shared" si="63"/>
        <v>0</v>
      </c>
      <c r="I961" s="655">
        <f t="shared" si="60"/>
        <v>0</v>
      </c>
      <c r="J961" s="655"/>
      <c r="K961" s="793"/>
      <c r="L961" s="661"/>
      <c r="M961" s="793"/>
      <c r="N961" s="661"/>
      <c r="O961" s="661"/>
      <c r="P961" s="480"/>
    </row>
    <row r="962" spans="1:16">
      <c r="A962" s="285"/>
      <c r="B962" s="285"/>
      <c r="C962" s="651">
        <f>IF(D898="","-",+C961+1)</f>
        <v>2074</v>
      </c>
      <c r="D962" s="602">
        <f t="shared" si="61"/>
        <v>0</v>
      </c>
      <c r="E962" s="658">
        <f t="shared" si="64"/>
        <v>0</v>
      </c>
      <c r="F962" s="602">
        <f t="shared" si="59"/>
        <v>0</v>
      </c>
      <c r="G962" s="1167">
        <f t="shared" si="62"/>
        <v>0</v>
      </c>
      <c r="H962" s="1170">
        <f t="shared" si="63"/>
        <v>0</v>
      </c>
      <c r="I962" s="655">
        <f t="shared" si="60"/>
        <v>0</v>
      </c>
      <c r="J962" s="655"/>
      <c r="K962" s="793"/>
      <c r="L962" s="661"/>
      <c r="M962" s="793"/>
      <c r="N962" s="661"/>
      <c r="O962" s="661"/>
      <c r="P962" s="480"/>
    </row>
    <row r="963" spans="1:16" ht="13.5" thickBot="1">
      <c r="A963" s="285"/>
      <c r="B963" s="285"/>
      <c r="C963" s="663">
        <f>IF(D898="","-",+C962+1)</f>
        <v>2075</v>
      </c>
      <c r="D963" s="664">
        <f t="shared" si="61"/>
        <v>0</v>
      </c>
      <c r="E963" s="665">
        <f t="shared" si="64"/>
        <v>0</v>
      </c>
      <c r="F963" s="664">
        <f t="shared" si="59"/>
        <v>0</v>
      </c>
      <c r="G963" s="1177">
        <f t="shared" si="62"/>
        <v>0</v>
      </c>
      <c r="H963" s="1177">
        <f t="shared" si="63"/>
        <v>0</v>
      </c>
      <c r="I963" s="667">
        <f t="shared" si="60"/>
        <v>0</v>
      </c>
      <c r="J963" s="655"/>
      <c r="K963" s="794"/>
      <c r="L963" s="669"/>
      <c r="M963" s="794"/>
      <c r="N963" s="669"/>
      <c r="O963" s="669"/>
      <c r="P963" s="480"/>
    </row>
    <row r="964" spans="1:16">
      <c r="A964" s="285"/>
      <c r="B964" s="285"/>
      <c r="C964" s="602" t="s">
        <v>288</v>
      </c>
      <c r="D964" s="1148"/>
      <c r="E964" s="1148">
        <f>SUM(E904:E963)</f>
        <v>57503655.655625574</v>
      </c>
      <c r="F964" s="1148"/>
      <c r="G964" s="1148">
        <f>SUM(G904:G963)</f>
        <v>202825420.55199483</v>
      </c>
      <c r="H964" s="1148">
        <f>SUM(H904:H963)</f>
        <v>202825420.55199483</v>
      </c>
      <c r="I964" s="1148">
        <f>SUM(I904:I963)</f>
        <v>0</v>
      </c>
      <c r="J964" s="1148"/>
      <c r="K964" s="1148"/>
      <c r="L964" s="1148"/>
      <c r="M964" s="1148"/>
      <c r="N964" s="1148"/>
      <c r="O964" s="480"/>
      <c r="P964" s="480"/>
    </row>
    <row r="965" spans="1:16">
      <c r="A965" s="285"/>
      <c r="B965" s="285"/>
      <c r="C965" s="285"/>
      <c r="D965" s="496"/>
      <c r="E965" s="480"/>
      <c r="F965" s="480"/>
      <c r="G965" s="480"/>
      <c r="H965" s="1147"/>
      <c r="I965" s="1147"/>
      <c r="J965" s="1148"/>
      <c r="K965" s="1147"/>
      <c r="L965" s="1147"/>
      <c r="M965" s="1147"/>
      <c r="N965" s="1147"/>
      <c r="O965" s="480"/>
      <c r="P965" s="480"/>
    </row>
    <row r="966" spans="1:16">
      <c r="A966" s="285"/>
      <c r="B966" s="285"/>
      <c r="C966" s="480" t="s">
        <v>601</v>
      </c>
      <c r="D966" s="496"/>
      <c r="E966" s="480"/>
      <c r="F966" s="480"/>
      <c r="G966" s="480"/>
      <c r="H966" s="1147"/>
      <c r="I966" s="1147"/>
      <c r="J966" s="1148"/>
      <c r="K966" s="1147"/>
      <c r="L966" s="1147"/>
      <c r="M966" s="1147"/>
      <c r="N966" s="1147"/>
      <c r="O966" s="480"/>
      <c r="P966" s="480"/>
    </row>
    <row r="967" spans="1:16">
      <c r="A967" s="285"/>
      <c r="B967" s="285"/>
      <c r="C967" s="285"/>
      <c r="D967" s="496"/>
      <c r="E967" s="480"/>
      <c r="F967" s="480"/>
      <c r="G967" s="480"/>
      <c r="H967" s="1147"/>
      <c r="I967" s="1147"/>
      <c r="J967" s="1148"/>
      <c r="K967" s="1147"/>
      <c r="L967" s="1147"/>
      <c r="M967" s="1147"/>
      <c r="N967" s="1147"/>
      <c r="O967" s="480"/>
      <c r="P967" s="480"/>
    </row>
    <row r="968" spans="1:16">
      <c r="A968" s="285"/>
      <c r="B968" s="285"/>
      <c r="C968" s="508" t="s">
        <v>602</v>
      </c>
      <c r="D968" s="602"/>
      <c r="E968" s="602"/>
      <c r="F968" s="602"/>
      <c r="G968" s="1148"/>
      <c r="H968" s="1148"/>
      <c r="I968" s="603"/>
      <c r="J968" s="603"/>
      <c r="K968" s="603"/>
      <c r="L968" s="603"/>
      <c r="M968" s="603"/>
      <c r="N968" s="603"/>
      <c r="O968" s="480"/>
      <c r="P968" s="480"/>
    </row>
    <row r="969" spans="1:16">
      <c r="A969" s="285"/>
      <c r="B969" s="285"/>
      <c r="C969" s="508" t="s">
        <v>476</v>
      </c>
      <c r="D969" s="602"/>
      <c r="E969" s="602"/>
      <c r="F969" s="602"/>
      <c r="G969" s="1148"/>
      <c r="H969" s="1148"/>
      <c r="I969" s="603"/>
      <c r="J969" s="603"/>
      <c r="K969" s="603"/>
      <c r="L969" s="603"/>
      <c r="M969" s="603"/>
      <c r="N969" s="603"/>
      <c r="O969" s="480"/>
      <c r="P969" s="480"/>
    </row>
    <row r="970" spans="1:16">
      <c r="A970" s="285"/>
      <c r="B970" s="285"/>
      <c r="C970" s="508" t="s">
        <v>289</v>
      </c>
      <c r="D970" s="602"/>
      <c r="E970" s="602"/>
      <c r="F970" s="602"/>
      <c r="G970" s="1148"/>
      <c r="H970" s="1148"/>
      <c r="I970" s="603"/>
      <c r="J970" s="603"/>
      <c r="K970" s="603"/>
      <c r="L970" s="603"/>
      <c r="M970" s="603"/>
      <c r="N970" s="603"/>
      <c r="O970" s="480"/>
      <c r="P970" s="480"/>
    </row>
    <row r="971" spans="1:16">
      <c r="A971" s="285"/>
      <c r="B971" s="285"/>
      <c r="C971" s="601"/>
      <c r="D971" s="602"/>
      <c r="E971" s="602"/>
      <c r="F971" s="602"/>
      <c r="G971" s="1148"/>
      <c r="H971" s="1148"/>
      <c r="I971" s="603"/>
      <c r="J971" s="603"/>
      <c r="K971" s="603"/>
      <c r="L971" s="603"/>
      <c r="M971" s="603"/>
      <c r="N971" s="603"/>
      <c r="O971" s="480"/>
      <c r="P971" s="480"/>
    </row>
    <row r="972" spans="1:16">
      <c r="A972" s="285"/>
      <c r="B972" s="285"/>
      <c r="C972" s="1513" t="s">
        <v>460</v>
      </c>
      <c r="D972" s="1513"/>
      <c r="E972" s="1513"/>
      <c r="F972" s="1513"/>
      <c r="G972" s="1513"/>
      <c r="H972" s="1513"/>
      <c r="I972" s="1513"/>
      <c r="J972" s="1513"/>
      <c r="K972" s="1513"/>
      <c r="L972" s="1513"/>
      <c r="M972" s="1513"/>
      <c r="N972" s="1513"/>
      <c r="O972" s="1513"/>
      <c r="P972" s="480"/>
    </row>
    <row r="973" spans="1:16">
      <c r="A973" s="285"/>
      <c r="B973" s="285"/>
      <c r="C973" s="1513"/>
      <c r="D973" s="1513"/>
      <c r="E973" s="1513"/>
      <c r="F973" s="1513"/>
      <c r="G973" s="1513"/>
      <c r="H973" s="1513"/>
      <c r="I973" s="1513"/>
      <c r="J973" s="1513"/>
      <c r="K973" s="1513"/>
      <c r="L973" s="1513"/>
      <c r="M973" s="1513"/>
      <c r="N973" s="1513"/>
      <c r="O973" s="1513"/>
      <c r="P973" s="480"/>
    </row>
    <row r="974" spans="1:16" ht="20.25">
      <c r="A974" s="604" t="s">
        <v>947</v>
      </c>
      <c r="B974" s="480"/>
      <c r="C974" s="584"/>
      <c r="D974" s="496"/>
      <c r="E974" s="480"/>
      <c r="F974" s="574"/>
      <c r="G974" s="480"/>
      <c r="H974" s="1147"/>
      <c r="I974" s="285"/>
      <c r="J974" s="271"/>
      <c r="K974" s="605"/>
      <c r="L974" s="605"/>
      <c r="M974" s="605"/>
      <c r="N974" s="520" t="str">
        <f>"Page "&amp;SUM(P$6:P974)&amp;" of "</f>
        <v xml:space="preserve">Page 12 of </v>
      </c>
      <c r="O974" s="521">
        <f>COUNT(P$6:P$59606)</f>
        <v>15</v>
      </c>
      <c r="P974" s="480">
        <v>1</v>
      </c>
    </row>
    <row r="975" spans="1:16">
      <c r="A975" s="285"/>
      <c r="B975" s="480"/>
      <c r="C975" s="480"/>
      <c r="D975" s="496"/>
      <c r="E975" s="480"/>
      <c r="F975" s="480"/>
      <c r="G975" s="480"/>
      <c r="H975" s="1147"/>
      <c r="I975" s="480"/>
      <c r="J975" s="517"/>
      <c r="K975" s="480"/>
      <c r="L975" s="480"/>
      <c r="M975" s="480"/>
      <c r="N975" s="480"/>
      <c r="O975" s="480"/>
      <c r="P975" s="480"/>
    </row>
    <row r="976" spans="1:16" ht="18">
      <c r="A976" s="285"/>
      <c r="B976" s="524" t="s">
        <v>174</v>
      </c>
      <c r="C976" s="606" t="s">
        <v>290</v>
      </c>
      <c r="D976" s="496"/>
      <c r="E976" s="480"/>
      <c r="F976" s="480"/>
      <c r="G976" s="480"/>
      <c r="H976" s="1147"/>
      <c r="I976" s="1147"/>
      <c r="J976" s="1148"/>
      <c r="K976" s="1147"/>
      <c r="L976" s="1147"/>
      <c r="M976" s="1147"/>
      <c r="N976" s="1147"/>
      <c r="O976" s="480"/>
      <c r="P976" s="480"/>
    </row>
    <row r="977" spans="1:16" ht="18.75">
      <c r="A977" s="285"/>
      <c r="B977" s="524"/>
      <c r="C977" s="523"/>
      <c r="D977" s="496"/>
      <c r="E977" s="480"/>
      <c r="F977" s="480"/>
      <c r="G977" s="480"/>
      <c r="H977" s="1147"/>
      <c r="I977" s="1147"/>
      <c r="J977" s="1148"/>
      <c r="K977" s="1147"/>
      <c r="L977" s="1147"/>
      <c r="M977" s="1147"/>
      <c r="N977" s="1147"/>
      <c r="O977" s="480"/>
      <c r="P977" s="480"/>
    </row>
    <row r="978" spans="1:16" ht="18.75">
      <c r="A978" s="285"/>
      <c r="B978" s="524"/>
      <c r="C978" s="523" t="s">
        <v>291</v>
      </c>
      <c r="D978" s="496"/>
      <c r="E978" s="480"/>
      <c r="F978" s="480"/>
      <c r="G978" s="480"/>
      <c r="H978" s="1147"/>
      <c r="I978" s="1147"/>
      <c r="J978" s="1148"/>
      <c r="K978" s="1147"/>
      <c r="L978" s="1147"/>
      <c r="M978" s="1147"/>
      <c r="N978" s="1147"/>
      <c r="O978" s="480"/>
      <c r="P978" s="480"/>
    </row>
    <row r="979" spans="1:16" ht="15.75" thickBot="1">
      <c r="A979" s="285"/>
      <c r="B979" s="285"/>
      <c r="C979" s="347"/>
      <c r="D979" s="496"/>
      <c r="E979" s="480"/>
      <c r="F979" s="480"/>
      <c r="G979" s="480"/>
      <c r="H979" s="1147"/>
      <c r="I979" s="1147"/>
      <c r="J979" s="1148"/>
      <c r="K979" s="1147"/>
      <c r="L979" s="1147"/>
      <c r="M979" s="1147"/>
      <c r="N979" s="1147"/>
      <c r="O979" s="480"/>
      <c r="P979" s="480"/>
    </row>
    <row r="980" spans="1:16" ht="15.75">
      <c r="A980" s="285"/>
      <c r="B980" s="285"/>
      <c r="C980" s="525" t="s">
        <v>292</v>
      </c>
      <c r="D980" s="496"/>
      <c r="E980" s="480"/>
      <c r="F980" s="480"/>
      <c r="G980" s="1149"/>
      <c r="H980" s="480" t="s">
        <v>271</v>
      </c>
      <c r="I980" s="480"/>
      <c r="J980" s="517"/>
      <c r="K980" s="607" t="s">
        <v>296</v>
      </c>
      <c r="L980" s="608"/>
      <c r="M980" s="609"/>
      <c r="N980" s="1150">
        <f>VLOOKUP(I986,C993:O1052,5)</f>
        <v>28585.028390207699</v>
      </c>
      <c r="O980" s="480"/>
      <c r="P980" s="480"/>
    </row>
    <row r="981" spans="1:16" ht="15.75">
      <c r="A981" s="285"/>
      <c r="B981" s="285"/>
      <c r="C981" s="525"/>
      <c r="D981" s="496"/>
      <c r="E981" s="480"/>
      <c r="F981" s="480"/>
      <c r="G981" s="480"/>
      <c r="H981" s="1151"/>
      <c r="I981" s="1151"/>
      <c r="J981" s="1152"/>
      <c r="K981" s="612" t="s">
        <v>297</v>
      </c>
      <c r="L981" s="1153"/>
      <c r="M981" s="517"/>
      <c r="N981" s="1154">
        <f>VLOOKUP(I986,C993:O1052,6)</f>
        <v>28585.028390207699</v>
      </c>
      <c r="O981" s="480"/>
      <c r="P981" s="480"/>
    </row>
    <row r="982" spans="1:16" ht="13.5" thickBot="1">
      <c r="A982" s="285"/>
      <c r="B982" s="285"/>
      <c r="C982" s="613" t="s">
        <v>293</v>
      </c>
      <c r="D982" s="1514" t="s">
        <v>959</v>
      </c>
      <c r="E982" s="1514"/>
      <c r="F982" s="1514"/>
      <c r="G982" s="1514"/>
      <c r="H982" s="1514"/>
      <c r="I982" s="1147"/>
      <c r="J982" s="1148"/>
      <c r="K982" s="1155" t="s">
        <v>450</v>
      </c>
      <c r="L982" s="1156"/>
      <c r="M982" s="1156"/>
      <c r="N982" s="1157">
        <f>+N981-N980</f>
        <v>0</v>
      </c>
      <c r="O982" s="480"/>
      <c r="P982" s="480"/>
    </row>
    <row r="983" spans="1:16">
      <c r="A983" s="285"/>
      <c r="B983" s="285"/>
      <c r="C983" s="615"/>
      <c r="D983" s="616"/>
      <c r="E983" s="600"/>
      <c r="F983" s="600"/>
      <c r="G983" s="617"/>
      <c r="H983" s="1147"/>
      <c r="I983" s="1147"/>
      <c r="J983" s="1148"/>
      <c r="K983" s="1147"/>
      <c r="L983" s="1147"/>
      <c r="M983" s="1147"/>
      <c r="N983" s="1147"/>
      <c r="O983" s="480"/>
      <c r="P983" s="480"/>
    </row>
    <row r="984" spans="1:16" ht="13.5" thickBot="1">
      <c r="A984" s="285"/>
      <c r="B984" s="285"/>
      <c r="C984" s="618"/>
      <c r="D984" s="619"/>
      <c r="E984" s="617"/>
      <c r="F984" s="617"/>
      <c r="G984" s="617"/>
      <c r="H984" s="617"/>
      <c r="I984" s="617"/>
      <c r="J984" s="620"/>
      <c r="K984" s="617"/>
      <c r="L984" s="617"/>
      <c r="M984" s="617"/>
      <c r="N984" s="617"/>
      <c r="O984" s="508"/>
      <c r="P984" s="480"/>
    </row>
    <row r="985" spans="1:16" ht="13.5" thickBot="1">
      <c r="A985" s="285"/>
      <c r="B985" s="285"/>
      <c r="C985" s="622" t="s">
        <v>294</v>
      </c>
      <c r="D985" s="623"/>
      <c r="E985" s="623"/>
      <c r="F985" s="623"/>
      <c r="G985" s="623"/>
      <c r="H985" s="623"/>
      <c r="I985" s="624"/>
      <c r="J985" s="625"/>
      <c r="K985" s="480"/>
      <c r="L985" s="480"/>
      <c r="M985" s="480"/>
      <c r="N985" s="480"/>
      <c r="O985" s="626"/>
      <c r="P985" s="480"/>
    </row>
    <row r="986" spans="1:16" ht="15">
      <c r="A986" s="285"/>
      <c r="B986" s="362"/>
      <c r="C986" s="628" t="s">
        <v>272</v>
      </c>
      <c r="D986" s="1158">
        <v>267989.22000000003</v>
      </c>
      <c r="E986" s="584" t="s">
        <v>273</v>
      </c>
      <c r="F986" s="285"/>
      <c r="G986" s="629"/>
      <c r="H986" s="629"/>
      <c r="I986" s="630">
        <f>$L$26</f>
        <v>2024</v>
      </c>
      <c r="J986" s="515"/>
      <c r="K986" s="1515" t="s">
        <v>459</v>
      </c>
      <c r="L986" s="1515"/>
      <c r="M986" s="1515"/>
      <c r="N986" s="1515"/>
      <c r="O986" s="1515"/>
      <c r="P986" s="480"/>
    </row>
    <row r="987" spans="1:16">
      <c r="A987" s="285"/>
      <c r="B987" s="362"/>
      <c r="C987" s="628" t="s">
        <v>275</v>
      </c>
      <c r="D987" s="788">
        <v>2014</v>
      </c>
      <c r="E987" s="628" t="s">
        <v>276</v>
      </c>
      <c r="F987" s="629"/>
      <c r="G987" s="285"/>
      <c r="H987" s="285"/>
      <c r="I987" s="791">
        <f>IF(G980="",0,$F$15)</f>
        <v>0</v>
      </c>
      <c r="J987" s="631"/>
      <c r="K987" s="1148" t="s">
        <v>459</v>
      </c>
      <c r="L987" s="285"/>
      <c r="M987" s="285"/>
      <c r="N987" s="285"/>
      <c r="O987" s="285"/>
      <c r="P987" s="480"/>
    </row>
    <row r="988" spans="1:16">
      <c r="A988" s="285"/>
      <c r="B988" s="362"/>
      <c r="C988" s="628" t="s">
        <v>277</v>
      </c>
      <c r="D988" s="1159">
        <v>1</v>
      </c>
      <c r="E988" s="628" t="s">
        <v>278</v>
      </c>
      <c r="F988" s="629"/>
      <c r="G988" s="285"/>
      <c r="H988" s="285"/>
      <c r="I988" s="632">
        <f>$G$70</f>
        <v>0.10987714662923057</v>
      </c>
      <c r="J988" s="633"/>
      <c r="K988" s="285" t="str">
        <f>"          INPUT PROJECTED ARR (WITH &amp; WITHOUT INCENTIVES) FROM EACH PRIOR YEAR"</f>
        <v xml:space="preserve">          INPUT PROJECTED ARR (WITH &amp; WITHOUT INCENTIVES) FROM EACH PRIOR YEAR</v>
      </c>
      <c r="L988" s="285"/>
      <c r="M988" s="285"/>
      <c r="N988" s="285"/>
      <c r="O988" s="285"/>
      <c r="P988" s="480"/>
    </row>
    <row r="989" spans="1:16">
      <c r="A989" s="285"/>
      <c r="B989" s="362"/>
      <c r="C989" s="628" t="s">
        <v>279</v>
      </c>
      <c r="D989" s="634">
        <f>G$79</f>
        <v>45</v>
      </c>
      <c r="E989" s="628" t="s">
        <v>280</v>
      </c>
      <c r="F989" s="629"/>
      <c r="G989" s="285"/>
      <c r="H989" s="285"/>
      <c r="I989" s="632">
        <f>IF(G980="",I988,$G$67)</f>
        <v>0.10987714662923057</v>
      </c>
      <c r="J989" s="635"/>
      <c r="K989" s="285" t="s">
        <v>357</v>
      </c>
      <c r="L989" s="285"/>
      <c r="M989" s="285"/>
      <c r="N989" s="285"/>
      <c r="O989" s="285"/>
      <c r="P989" s="480"/>
    </row>
    <row r="990" spans="1:16" ht="13.5" thickBot="1">
      <c r="A990" s="285"/>
      <c r="B990" s="362"/>
      <c r="C990" s="628" t="s">
        <v>281</v>
      </c>
      <c r="D990" s="790" t="s">
        <v>949</v>
      </c>
      <c r="E990" s="636" t="s">
        <v>282</v>
      </c>
      <c r="F990" s="637"/>
      <c r="G990" s="638"/>
      <c r="H990" s="638"/>
      <c r="I990" s="1157">
        <f>IF(D986=0,0,D986/D989)</f>
        <v>5955.3160000000007</v>
      </c>
      <c r="J990" s="1148"/>
      <c r="K990" s="1148" t="s">
        <v>363</v>
      </c>
      <c r="L990" s="1148"/>
      <c r="M990" s="1148"/>
      <c r="N990" s="1148"/>
      <c r="O990" s="517"/>
      <c r="P990" s="480"/>
    </row>
    <row r="991" spans="1:16" ht="51">
      <c r="A991" s="470"/>
      <c r="B991" s="470"/>
      <c r="C991" s="639" t="s">
        <v>272</v>
      </c>
      <c r="D991" s="1160" t="s">
        <v>283</v>
      </c>
      <c r="E991" s="1161" t="s">
        <v>284</v>
      </c>
      <c r="F991" s="1160" t="s">
        <v>285</v>
      </c>
      <c r="G991" s="1161" t="s">
        <v>356</v>
      </c>
      <c r="H991" s="1162" t="s">
        <v>356</v>
      </c>
      <c r="I991" s="639" t="s">
        <v>295</v>
      </c>
      <c r="J991" s="643"/>
      <c r="K991" s="1161" t="s">
        <v>365</v>
      </c>
      <c r="L991" s="1163"/>
      <c r="M991" s="1161" t="s">
        <v>365</v>
      </c>
      <c r="N991" s="1163"/>
      <c r="O991" s="1163"/>
      <c r="P991" s="480"/>
    </row>
    <row r="992" spans="1:16" ht="13.5" thickBot="1">
      <c r="A992" s="285"/>
      <c r="B992" s="285"/>
      <c r="C992" s="645" t="s">
        <v>177</v>
      </c>
      <c r="D992" s="646" t="s">
        <v>178</v>
      </c>
      <c r="E992" s="645" t="s">
        <v>37</v>
      </c>
      <c r="F992" s="646" t="s">
        <v>178</v>
      </c>
      <c r="G992" s="1164" t="s">
        <v>298</v>
      </c>
      <c r="H992" s="1165" t="s">
        <v>300</v>
      </c>
      <c r="I992" s="649" t="s">
        <v>389</v>
      </c>
      <c r="J992" s="650"/>
      <c r="K992" s="1164" t="s">
        <v>287</v>
      </c>
      <c r="L992" s="1166"/>
      <c r="M992" s="1164" t="s">
        <v>300</v>
      </c>
      <c r="N992" s="1166"/>
      <c r="O992" s="1166"/>
      <c r="P992" s="480"/>
    </row>
    <row r="993" spans="1:16">
      <c r="A993" s="285"/>
      <c r="B993" s="285"/>
      <c r="C993" s="651">
        <f>IF(D987= "","-",D987)</f>
        <v>2014</v>
      </c>
      <c r="D993" s="602">
        <f>+D986</f>
        <v>267989.22000000003</v>
      </c>
      <c r="E993" s="1167">
        <f>+I990/12*(12-D988)</f>
        <v>5459.0396666666675</v>
      </c>
      <c r="F993" s="602">
        <f t="shared" ref="F993:F1052" si="65">+D993-E993</f>
        <v>262530.18033333338</v>
      </c>
      <c r="G993" s="1168">
        <f>+$I$988*((D993+F993)/2)+E993</f>
        <v>34605.018636705237</v>
      </c>
      <c r="H993" s="1169">
        <f>+$I$989*((D993+F993)/2)+E993</f>
        <v>34605.018636705237</v>
      </c>
      <c r="I993" s="655">
        <f t="shared" ref="I993:I1052" si="66">+H993-G993</f>
        <v>0</v>
      </c>
      <c r="J993" s="655"/>
      <c r="K993" s="792"/>
      <c r="L993" s="657"/>
      <c r="M993" s="792"/>
      <c r="N993" s="657"/>
      <c r="O993" s="657"/>
      <c r="P993" s="480"/>
    </row>
    <row r="994" spans="1:16">
      <c r="A994" s="285"/>
      <c r="B994" s="285"/>
      <c r="C994" s="651">
        <f>IF(D987="","-",+C993+1)</f>
        <v>2015</v>
      </c>
      <c r="D994" s="602">
        <f t="shared" ref="D994:D1052" si="67">F993</f>
        <v>262530.18033333338</v>
      </c>
      <c r="E994" s="658">
        <f>IF(D994&gt;$I$990,$I$990,D994)</f>
        <v>5955.3160000000007</v>
      </c>
      <c r="F994" s="602">
        <f t="shared" si="65"/>
        <v>256574.86433333339</v>
      </c>
      <c r="G994" s="1167">
        <f t="shared" ref="G994:G1052" si="68">+$I$988*((D994+F994)/2)+E994</f>
        <v>34474.206554406315</v>
      </c>
      <c r="H994" s="1170">
        <f t="shared" ref="H994:H1052" si="69">+$I$989*((D994+F994)/2)+E994</f>
        <v>34474.206554406315</v>
      </c>
      <c r="I994" s="655">
        <f t="shared" si="66"/>
        <v>0</v>
      </c>
      <c r="J994" s="655"/>
      <c r="K994" s="793"/>
      <c r="L994" s="661"/>
      <c r="M994" s="793"/>
      <c r="N994" s="661"/>
      <c r="O994" s="661"/>
      <c r="P994" s="480"/>
    </row>
    <row r="995" spans="1:16">
      <c r="A995" s="285"/>
      <c r="B995" s="285"/>
      <c r="C995" s="651">
        <f>IF(D987="","-",+C994+1)</f>
        <v>2016</v>
      </c>
      <c r="D995" s="602">
        <f t="shared" si="67"/>
        <v>256574.86433333339</v>
      </c>
      <c r="E995" s="658">
        <f t="shared" ref="E995:E1052" si="70">IF(D995&gt;$I$990,$I$990,D995)</f>
        <v>5955.3160000000007</v>
      </c>
      <c r="F995" s="602">
        <f t="shared" si="65"/>
        <v>250619.5483333334</v>
      </c>
      <c r="G995" s="1167">
        <f t="shared" si="68"/>
        <v>33819.853425050911</v>
      </c>
      <c r="H995" s="1170">
        <f t="shared" si="69"/>
        <v>33819.853425050911</v>
      </c>
      <c r="I995" s="655">
        <f t="shared" si="66"/>
        <v>0</v>
      </c>
      <c r="J995" s="655"/>
      <c r="K995" s="1192"/>
      <c r="L995" s="1180"/>
      <c r="M995" s="1192"/>
      <c r="N995" s="661"/>
      <c r="O995" s="661"/>
      <c r="P995" s="480"/>
    </row>
    <row r="996" spans="1:16">
      <c r="A996" s="285"/>
      <c r="B996" s="285"/>
      <c r="C996" s="651">
        <f>IF(D987="","-",+C995+1)</f>
        <v>2017</v>
      </c>
      <c r="D996" s="602">
        <f t="shared" si="67"/>
        <v>250619.5483333334</v>
      </c>
      <c r="E996" s="658">
        <f t="shared" si="70"/>
        <v>5955.3160000000007</v>
      </c>
      <c r="F996" s="602">
        <f t="shared" si="65"/>
        <v>244664.23233333341</v>
      </c>
      <c r="G996" s="1167">
        <f t="shared" si="68"/>
        <v>33165.500295695507</v>
      </c>
      <c r="H996" s="1170">
        <f t="shared" si="69"/>
        <v>33165.500295695507</v>
      </c>
      <c r="I996" s="655">
        <f t="shared" si="66"/>
        <v>0</v>
      </c>
      <c r="J996" s="655"/>
      <c r="K996" s="1230">
        <v>31947</v>
      </c>
      <c r="L996" s="661"/>
      <c r="M996" s="1230">
        <v>31947</v>
      </c>
      <c r="N996" s="661"/>
      <c r="O996" s="661"/>
      <c r="P996" s="480"/>
    </row>
    <row r="997" spans="1:16">
      <c r="A997" s="285"/>
      <c r="B997" s="285"/>
      <c r="C997" s="1194">
        <f>IF(D987="","-",+C996+1)</f>
        <v>2018</v>
      </c>
      <c r="D997" s="602">
        <f t="shared" si="67"/>
        <v>244664.23233333341</v>
      </c>
      <c r="E997" s="658">
        <f t="shared" si="70"/>
        <v>5955.3160000000007</v>
      </c>
      <c r="F997" s="602">
        <f t="shared" si="65"/>
        <v>238708.91633333341</v>
      </c>
      <c r="G997" s="1167">
        <f t="shared" si="68"/>
        <v>32511.14716634011</v>
      </c>
      <c r="H997" s="1170">
        <f t="shared" si="69"/>
        <v>32511.14716634011</v>
      </c>
      <c r="I997" s="655">
        <f t="shared" si="66"/>
        <v>0</v>
      </c>
      <c r="J997" s="655"/>
      <c r="K997" s="1230">
        <v>35555</v>
      </c>
      <c r="L997" s="661"/>
      <c r="M997" s="1230">
        <v>35555</v>
      </c>
      <c r="N997" s="661"/>
      <c r="O997" s="661"/>
      <c r="P997" s="480"/>
    </row>
    <row r="998" spans="1:16">
      <c r="A998" s="285"/>
      <c r="B998" s="285"/>
      <c r="C998" s="1229">
        <f>IF(D989="","-",+C997+1)</f>
        <v>2019</v>
      </c>
      <c r="D998" s="602">
        <f t="shared" si="67"/>
        <v>238708.91633333341</v>
      </c>
      <c r="E998" s="658">
        <f t="shared" si="70"/>
        <v>5955.3160000000007</v>
      </c>
      <c r="F998" s="602">
        <f t="shared" si="65"/>
        <v>232753.60033333342</v>
      </c>
      <c r="G998" s="1167">
        <f t="shared" si="68"/>
        <v>31856.794036984706</v>
      </c>
      <c r="H998" s="1170">
        <f t="shared" si="69"/>
        <v>31856.794036984706</v>
      </c>
      <c r="I998" s="655">
        <f t="shared" si="66"/>
        <v>0</v>
      </c>
      <c r="J998" s="655"/>
      <c r="K998" s="1230">
        <v>31143</v>
      </c>
      <c r="L998" s="661"/>
      <c r="M998" s="1230">
        <v>31143</v>
      </c>
      <c r="N998" s="661"/>
      <c r="O998" s="661"/>
      <c r="P998" s="480"/>
    </row>
    <row r="999" spans="1:16">
      <c r="A999" s="285"/>
      <c r="B999" s="285"/>
      <c r="C999" s="1229">
        <f>IF(D989="","-",+C998+1)</f>
        <v>2020</v>
      </c>
      <c r="D999" s="602">
        <f t="shared" si="67"/>
        <v>232753.60033333342</v>
      </c>
      <c r="E999" s="658">
        <f t="shared" si="70"/>
        <v>5955.3160000000007</v>
      </c>
      <c r="F999" s="602">
        <f t="shared" si="65"/>
        <v>226798.28433333343</v>
      </c>
      <c r="G999" s="1167">
        <f t="shared" si="68"/>
        <v>31202.440907629301</v>
      </c>
      <c r="H999" s="1170">
        <f t="shared" si="69"/>
        <v>31202.440907629301</v>
      </c>
      <c r="I999" s="655">
        <f t="shared" si="66"/>
        <v>0</v>
      </c>
      <c r="J999" s="655"/>
      <c r="K999" s="1230">
        <v>29632.778508013103</v>
      </c>
      <c r="L999" s="661"/>
      <c r="M999" s="1230">
        <v>29632.778508013103</v>
      </c>
      <c r="N999" s="661"/>
      <c r="O999" s="661"/>
      <c r="P999" s="480"/>
    </row>
    <row r="1000" spans="1:16">
      <c r="A1000" s="285"/>
      <c r="B1000" s="285"/>
      <c r="C1000" s="1229">
        <f>IF(D987="","-",+C999+1)</f>
        <v>2021</v>
      </c>
      <c r="D1000" s="1172">
        <f t="shared" si="67"/>
        <v>226798.28433333343</v>
      </c>
      <c r="E1000" s="1173">
        <f t="shared" si="70"/>
        <v>5955.3160000000007</v>
      </c>
      <c r="F1000" s="1172">
        <f t="shared" si="65"/>
        <v>220842.96833333344</v>
      </c>
      <c r="G1000" s="1174">
        <f t="shared" si="68"/>
        <v>30548.087778273904</v>
      </c>
      <c r="H1000" s="1175">
        <f t="shared" si="69"/>
        <v>30548.087778273904</v>
      </c>
      <c r="I1000" s="1181">
        <f t="shared" si="66"/>
        <v>0</v>
      </c>
      <c r="J1000" s="655"/>
      <c r="K1000" s="1230">
        <v>29062.167010673293</v>
      </c>
      <c r="L1000" s="661"/>
      <c r="M1000" s="1230">
        <v>29062.167010673293</v>
      </c>
      <c r="N1000" s="661"/>
      <c r="O1000" s="661"/>
      <c r="P1000" s="480"/>
    </row>
    <row r="1001" spans="1:16">
      <c r="A1001" s="285"/>
      <c r="B1001" s="285"/>
      <c r="C1001" s="1229">
        <f>IF(D992="","-",+C1000+1)</f>
        <v>2022</v>
      </c>
      <c r="D1001" s="602">
        <f t="shared" si="67"/>
        <v>220842.96833333344</v>
      </c>
      <c r="E1001" s="658">
        <f t="shared" si="70"/>
        <v>5955.3160000000007</v>
      </c>
      <c r="F1001" s="602">
        <f t="shared" si="65"/>
        <v>214887.65233333345</v>
      </c>
      <c r="G1001" s="1167">
        <f t="shared" si="68"/>
        <v>29893.7346489185</v>
      </c>
      <c r="H1001" s="1170">
        <f t="shared" si="69"/>
        <v>29893.7346489185</v>
      </c>
      <c r="I1001" s="655">
        <f t="shared" si="66"/>
        <v>0</v>
      </c>
      <c r="J1001" s="655"/>
      <c r="K1001" s="1230">
        <v>28656.328529869774</v>
      </c>
      <c r="L1001" s="661"/>
      <c r="M1001" s="1230">
        <v>28656.328529869774</v>
      </c>
      <c r="N1001" s="661"/>
      <c r="O1001" s="661"/>
      <c r="P1001" s="480"/>
    </row>
    <row r="1002" spans="1:16">
      <c r="A1002" s="285"/>
      <c r="B1002" s="285"/>
      <c r="C1002" s="1229">
        <f>IF(D992="","-",+C1001+1)</f>
        <v>2023</v>
      </c>
      <c r="D1002" s="602">
        <f t="shared" si="67"/>
        <v>214887.65233333345</v>
      </c>
      <c r="E1002" s="658">
        <f t="shared" si="70"/>
        <v>5955.3160000000007</v>
      </c>
      <c r="F1002" s="602">
        <f t="shared" si="65"/>
        <v>208932.33633333346</v>
      </c>
      <c r="G1002" s="1167">
        <f t="shared" si="68"/>
        <v>29239.381519563096</v>
      </c>
      <c r="H1002" s="1170">
        <f t="shared" si="69"/>
        <v>29239.381519563096</v>
      </c>
      <c r="I1002" s="655">
        <f t="shared" si="66"/>
        <v>0</v>
      </c>
      <c r="J1002" s="655"/>
      <c r="K1002" s="793">
        <v>29426.158755165296</v>
      </c>
      <c r="L1002" s="661"/>
      <c r="M1002" s="1230">
        <v>29426.158755165296</v>
      </c>
      <c r="N1002" s="661"/>
      <c r="O1002" s="661"/>
      <c r="P1002" s="480"/>
    </row>
    <row r="1003" spans="1:16">
      <c r="A1003" s="285"/>
      <c r="B1003" s="285"/>
      <c r="C1003" s="1171">
        <f>IF(D987="","-",+C1002+1)</f>
        <v>2024</v>
      </c>
      <c r="D1003" s="602">
        <f t="shared" si="67"/>
        <v>208932.33633333346</v>
      </c>
      <c r="E1003" s="658">
        <f t="shared" si="70"/>
        <v>5955.3160000000007</v>
      </c>
      <c r="F1003" s="602">
        <f t="shared" si="65"/>
        <v>202977.02033333346</v>
      </c>
      <c r="G1003" s="1167">
        <f t="shared" si="68"/>
        <v>28585.028390207699</v>
      </c>
      <c r="H1003" s="1170">
        <f t="shared" si="69"/>
        <v>28585.028390207699</v>
      </c>
      <c r="I1003" s="655">
        <f t="shared" si="66"/>
        <v>0</v>
      </c>
      <c r="J1003" s="655"/>
      <c r="K1003" s="793"/>
      <c r="L1003" s="661"/>
      <c r="M1003" s="793"/>
      <c r="N1003" s="661"/>
      <c r="O1003" s="661"/>
      <c r="P1003" s="480"/>
    </row>
    <row r="1004" spans="1:16">
      <c r="A1004" s="285"/>
      <c r="B1004" s="285"/>
      <c r="C1004" s="651">
        <f>IF(D987="","-",+C1003+1)</f>
        <v>2025</v>
      </c>
      <c r="D1004" s="602">
        <f t="shared" si="67"/>
        <v>202977.02033333346</v>
      </c>
      <c r="E1004" s="658">
        <f t="shared" si="70"/>
        <v>5955.3160000000007</v>
      </c>
      <c r="F1004" s="602">
        <f t="shared" si="65"/>
        <v>197021.70433333347</v>
      </c>
      <c r="G1004" s="1167">
        <f t="shared" si="68"/>
        <v>27930.675260852295</v>
      </c>
      <c r="H1004" s="1170">
        <f t="shared" si="69"/>
        <v>27930.675260852295</v>
      </c>
      <c r="I1004" s="655">
        <f t="shared" si="66"/>
        <v>0</v>
      </c>
      <c r="J1004" s="655"/>
      <c r="K1004" s="793"/>
      <c r="L1004" s="661"/>
      <c r="M1004" s="793"/>
      <c r="N1004" s="661"/>
      <c r="O1004" s="661"/>
      <c r="P1004" s="480"/>
    </row>
    <row r="1005" spans="1:16">
      <c r="A1005" s="285"/>
      <c r="B1005" s="285"/>
      <c r="C1005" s="651">
        <f>IF(D987="","-",+C1004+1)</f>
        <v>2026</v>
      </c>
      <c r="D1005" s="602">
        <f t="shared" si="67"/>
        <v>197021.70433333347</v>
      </c>
      <c r="E1005" s="658">
        <f t="shared" si="70"/>
        <v>5955.3160000000007</v>
      </c>
      <c r="F1005" s="602">
        <f t="shared" si="65"/>
        <v>191066.38833333348</v>
      </c>
      <c r="G1005" s="1167">
        <f t="shared" si="68"/>
        <v>27276.322131496891</v>
      </c>
      <c r="H1005" s="1170">
        <f t="shared" si="69"/>
        <v>27276.322131496891</v>
      </c>
      <c r="I1005" s="655">
        <f t="shared" si="66"/>
        <v>0</v>
      </c>
      <c r="J1005" s="655"/>
      <c r="K1005" s="793"/>
      <c r="L1005" s="661"/>
      <c r="M1005" s="793"/>
      <c r="N1005" s="662"/>
      <c r="O1005" s="661"/>
      <c r="P1005" s="480"/>
    </row>
    <row r="1006" spans="1:16">
      <c r="A1006" s="285"/>
      <c r="B1006" s="285"/>
      <c r="C1006" s="651">
        <f>IF(D987="","-",+C1005+1)</f>
        <v>2027</v>
      </c>
      <c r="D1006" s="602">
        <f t="shared" si="67"/>
        <v>191066.38833333348</v>
      </c>
      <c r="E1006" s="658">
        <f t="shared" si="70"/>
        <v>5955.3160000000007</v>
      </c>
      <c r="F1006" s="602">
        <f t="shared" si="65"/>
        <v>185111.07233333349</v>
      </c>
      <c r="G1006" s="1167">
        <f t="shared" si="68"/>
        <v>26621.969002141494</v>
      </c>
      <c r="H1006" s="1170">
        <f t="shared" si="69"/>
        <v>26621.969002141494</v>
      </c>
      <c r="I1006" s="655">
        <f t="shared" si="66"/>
        <v>0</v>
      </c>
      <c r="J1006" s="655"/>
      <c r="K1006" s="793"/>
      <c r="L1006" s="661"/>
      <c r="M1006" s="793"/>
      <c r="N1006" s="661"/>
      <c r="O1006" s="661"/>
      <c r="P1006" s="480"/>
    </row>
    <row r="1007" spans="1:16">
      <c r="A1007" s="285"/>
      <c r="B1007" s="285"/>
      <c r="C1007" s="651">
        <f>IF(D987="","-",+C1006+1)</f>
        <v>2028</v>
      </c>
      <c r="D1007" s="602">
        <f t="shared" si="67"/>
        <v>185111.07233333349</v>
      </c>
      <c r="E1007" s="658">
        <f t="shared" si="70"/>
        <v>5955.3160000000007</v>
      </c>
      <c r="F1007" s="602">
        <f t="shared" si="65"/>
        <v>179155.7563333335</v>
      </c>
      <c r="G1007" s="1167">
        <f t="shared" si="68"/>
        <v>25967.615872786089</v>
      </c>
      <c r="H1007" s="1170">
        <f t="shared" si="69"/>
        <v>25967.615872786089</v>
      </c>
      <c r="I1007" s="655">
        <f t="shared" si="66"/>
        <v>0</v>
      </c>
      <c r="J1007" s="655"/>
      <c r="K1007" s="793"/>
      <c r="L1007" s="661"/>
      <c r="M1007" s="793"/>
      <c r="N1007" s="661"/>
      <c r="O1007" s="661"/>
      <c r="P1007" s="480"/>
    </row>
    <row r="1008" spans="1:16">
      <c r="A1008" s="285"/>
      <c r="B1008" s="285"/>
      <c r="C1008" s="651">
        <f>IF(D987="","-",+C1007+1)</f>
        <v>2029</v>
      </c>
      <c r="D1008" s="602">
        <f t="shared" si="67"/>
        <v>179155.7563333335</v>
      </c>
      <c r="E1008" s="658">
        <f t="shared" si="70"/>
        <v>5955.3160000000007</v>
      </c>
      <c r="F1008" s="602">
        <f t="shared" si="65"/>
        <v>173200.44033333351</v>
      </c>
      <c r="G1008" s="1167">
        <f t="shared" si="68"/>
        <v>25313.262743430685</v>
      </c>
      <c r="H1008" s="1170">
        <f t="shared" si="69"/>
        <v>25313.262743430685</v>
      </c>
      <c r="I1008" s="655">
        <f t="shared" si="66"/>
        <v>0</v>
      </c>
      <c r="J1008" s="655"/>
      <c r="K1008" s="793"/>
      <c r="L1008" s="661"/>
      <c r="M1008" s="793"/>
      <c r="N1008" s="661"/>
      <c r="O1008" s="661"/>
      <c r="P1008" s="480"/>
    </row>
    <row r="1009" spans="1:16">
      <c r="A1009" s="285"/>
      <c r="B1009" s="285"/>
      <c r="C1009" s="651">
        <f>IF(D987="","-",+C1008+1)</f>
        <v>2030</v>
      </c>
      <c r="D1009" s="602">
        <f t="shared" si="67"/>
        <v>173200.44033333351</v>
      </c>
      <c r="E1009" s="658">
        <f t="shared" si="70"/>
        <v>5955.3160000000007</v>
      </c>
      <c r="F1009" s="602">
        <f t="shared" si="65"/>
        <v>167245.12433333352</v>
      </c>
      <c r="G1009" s="1167">
        <f t="shared" si="68"/>
        <v>24658.909614075288</v>
      </c>
      <c r="H1009" s="1170">
        <f t="shared" si="69"/>
        <v>24658.909614075288</v>
      </c>
      <c r="I1009" s="655">
        <f t="shared" si="66"/>
        <v>0</v>
      </c>
      <c r="J1009" s="655"/>
      <c r="K1009" s="793"/>
      <c r="L1009" s="661"/>
      <c r="M1009" s="793"/>
      <c r="N1009" s="661"/>
      <c r="O1009" s="661"/>
      <c r="P1009" s="480"/>
    </row>
    <row r="1010" spans="1:16">
      <c r="A1010" s="285"/>
      <c r="B1010" s="285"/>
      <c r="C1010" s="651">
        <f>IF(D987="","-",+C1009+1)</f>
        <v>2031</v>
      </c>
      <c r="D1010" s="602">
        <f t="shared" si="67"/>
        <v>167245.12433333352</v>
      </c>
      <c r="E1010" s="658">
        <f t="shared" si="70"/>
        <v>5955.3160000000007</v>
      </c>
      <c r="F1010" s="602">
        <f t="shared" si="65"/>
        <v>161289.80833333352</v>
      </c>
      <c r="G1010" s="1167">
        <f t="shared" si="68"/>
        <v>24004.556484719884</v>
      </c>
      <c r="H1010" s="1170">
        <f t="shared" si="69"/>
        <v>24004.556484719884</v>
      </c>
      <c r="I1010" s="655">
        <f t="shared" si="66"/>
        <v>0</v>
      </c>
      <c r="J1010" s="655"/>
      <c r="K1010" s="793"/>
      <c r="L1010" s="661"/>
      <c r="M1010" s="793"/>
      <c r="N1010" s="661"/>
      <c r="O1010" s="661"/>
      <c r="P1010" s="480"/>
    </row>
    <row r="1011" spans="1:16">
      <c r="A1011" s="285"/>
      <c r="B1011" s="285"/>
      <c r="C1011" s="651">
        <f>IF(D987="","-",+C1010+1)</f>
        <v>2032</v>
      </c>
      <c r="D1011" s="602">
        <f t="shared" si="67"/>
        <v>161289.80833333352</v>
      </c>
      <c r="E1011" s="658">
        <f t="shared" si="70"/>
        <v>5955.3160000000007</v>
      </c>
      <c r="F1011" s="602">
        <f t="shared" si="65"/>
        <v>155334.49233333353</v>
      </c>
      <c r="G1011" s="1167">
        <f t="shared" si="68"/>
        <v>23350.20335536448</v>
      </c>
      <c r="H1011" s="1170">
        <f t="shared" si="69"/>
        <v>23350.20335536448</v>
      </c>
      <c r="I1011" s="655">
        <f t="shared" si="66"/>
        <v>0</v>
      </c>
      <c r="J1011" s="655"/>
      <c r="K1011" s="793"/>
      <c r="L1011" s="661"/>
      <c r="M1011" s="793"/>
      <c r="N1011" s="661"/>
      <c r="O1011" s="661"/>
      <c r="P1011" s="480"/>
    </row>
    <row r="1012" spans="1:16">
      <c r="A1012" s="285"/>
      <c r="B1012" s="285"/>
      <c r="C1012" s="651">
        <f>IF(D987="","-",+C1011+1)</f>
        <v>2033</v>
      </c>
      <c r="D1012" s="602">
        <f t="shared" si="67"/>
        <v>155334.49233333353</v>
      </c>
      <c r="E1012" s="658">
        <f t="shared" si="70"/>
        <v>5955.3160000000007</v>
      </c>
      <c r="F1012" s="602">
        <f t="shared" si="65"/>
        <v>149379.17633333354</v>
      </c>
      <c r="G1012" s="1167">
        <f t="shared" si="68"/>
        <v>22695.850226009083</v>
      </c>
      <c r="H1012" s="1170">
        <f t="shared" si="69"/>
        <v>22695.850226009083</v>
      </c>
      <c r="I1012" s="655">
        <f t="shared" si="66"/>
        <v>0</v>
      </c>
      <c r="J1012" s="655"/>
      <c r="K1012" s="793"/>
      <c r="L1012" s="661"/>
      <c r="M1012" s="793"/>
      <c r="N1012" s="661"/>
      <c r="O1012" s="661"/>
      <c r="P1012" s="480"/>
    </row>
    <row r="1013" spans="1:16">
      <c r="A1013" s="285"/>
      <c r="B1013" s="285"/>
      <c r="C1013" s="651">
        <f>IF(D987="","-",+C1012+1)</f>
        <v>2034</v>
      </c>
      <c r="D1013" s="602">
        <f t="shared" si="67"/>
        <v>149379.17633333354</v>
      </c>
      <c r="E1013" s="658">
        <f t="shared" si="70"/>
        <v>5955.3160000000007</v>
      </c>
      <c r="F1013" s="602">
        <f t="shared" si="65"/>
        <v>143423.86033333355</v>
      </c>
      <c r="G1013" s="1167">
        <f t="shared" si="68"/>
        <v>22041.497096653678</v>
      </c>
      <c r="H1013" s="1170">
        <f t="shared" si="69"/>
        <v>22041.497096653678</v>
      </c>
      <c r="I1013" s="655">
        <f t="shared" si="66"/>
        <v>0</v>
      </c>
      <c r="J1013" s="655"/>
      <c r="K1013" s="793"/>
      <c r="L1013" s="661"/>
      <c r="M1013" s="793"/>
      <c r="N1013" s="661"/>
      <c r="O1013" s="661"/>
      <c r="P1013" s="480"/>
    </row>
    <row r="1014" spans="1:16">
      <c r="A1014" s="285"/>
      <c r="B1014" s="285"/>
      <c r="C1014" s="651">
        <f>IF(D987="","-",+C1013+1)</f>
        <v>2035</v>
      </c>
      <c r="D1014" s="602">
        <f t="shared" si="67"/>
        <v>143423.86033333355</v>
      </c>
      <c r="E1014" s="658">
        <f t="shared" si="70"/>
        <v>5955.3160000000007</v>
      </c>
      <c r="F1014" s="602">
        <f t="shared" si="65"/>
        <v>137468.54433333356</v>
      </c>
      <c r="G1014" s="1167">
        <f t="shared" si="68"/>
        <v>21387.143967298274</v>
      </c>
      <c r="H1014" s="1170">
        <f t="shared" si="69"/>
        <v>21387.143967298274</v>
      </c>
      <c r="I1014" s="655">
        <f t="shared" si="66"/>
        <v>0</v>
      </c>
      <c r="J1014" s="655"/>
      <c r="K1014" s="793"/>
      <c r="L1014" s="661"/>
      <c r="M1014" s="793"/>
      <c r="N1014" s="661"/>
      <c r="O1014" s="661"/>
      <c r="P1014" s="480"/>
    </row>
    <row r="1015" spans="1:16">
      <c r="A1015" s="285"/>
      <c r="B1015" s="285"/>
      <c r="C1015" s="651">
        <f>IF(D987="","-",+C1014+1)</f>
        <v>2036</v>
      </c>
      <c r="D1015" s="602">
        <f t="shared" si="67"/>
        <v>137468.54433333356</v>
      </c>
      <c r="E1015" s="658">
        <f t="shared" si="70"/>
        <v>5955.3160000000007</v>
      </c>
      <c r="F1015" s="602">
        <f t="shared" si="65"/>
        <v>131513.22833333357</v>
      </c>
      <c r="G1015" s="1167">
        <f t="shared" si="68"/>
        <v>20732.790837942874</v>
      </c>
      <c r="H1015" s="1170">
        <f t="shared" si="69"/>
        <v>20732.790837942874</v>
      </c>
      <c r="I1015" s="655">
        <f t="shared" si="66"/>
        <v>0</v>
      </c>
      <c r="J1015" s="655"/>
      <c r="K1015" s="793"/>
      <c r="L1015" s="661"/>
      <c r="M1015" s="793"/>
      <c r="N1015" s="661"/>
      <c r="O1015" s="661"/>
      <c r="P1015" s="480"/>
    </row>
    <row r="1016" spans="1:16">
      <c r="A1016" s="285"/>
      <c r="B1016" s="285"/>
      <c r="C1016" s="651">
        <f>IF(D987="","-",+C1015+1)</f>
        <v>2037</v>
      </c>
      <c r="D1016" s="602">
        <f t="shared" si="67"/>
        <v>131513.22833333357</v>
      </c>
      <c r="E1016" s="658">
        <f t="shared" si="70"/>
        <v>5955.3160000000007</v>
      </c>
      <c r="F1016" s="602">
        <f t="shared" si="65"/>
        <v>125557.91233333356</v>
      </c>
      <c r="G1016" s="1167">
        <f t="shared" si="68"/>
        <v>20078.437708587473</v>
      </c>
      <c r="H1016" s="1170">
        <f t="shared" si="69"/>
        <v>20078.437708587473</v>
      </c>
      <c r="I1016" s="655">
        <f t="shared" si="66"/>
        <v>0</v>
      </c>
      <c r="J1016" s="655"/>
      <c r="K1016" s="793"/>
      <c r="L1016" s="661"/>
      <c r="M1016" s="793"/>
      <c r="N1016" s="661"/>
      <c r="O1016" s="661"/>
      <c r="P1016" s="480"/>
    </row>
    <row r="1017" spans="1:16">
      <c r="A1017" s="285"/>
      <c r="B1017" s="285"/>
      <c r="C1017" s="651">
        <f>IF(D987="","-",+C1016+1)</f>
        <v>2038</v>
      </c>
      <c r="D1017" s="602">
        <f t="shared" si="67"/>
        <v>125557.91233333356</v>
      </c>
      <c r="E1017" s="658">
        <f t="shared" si="70"/>
        <v>5955.3160000000007</v>
      </c>
      <c r="F1017" s="602">
        <f t="shared" si="65"/>
        <v>119602.59633333355</v>
      </c>
      <c r="G1017" s="1167">
        <f t="shared" si="68"/>
        <v>19424.084579232069</v>
      </c>
      <c r="H1017" s="1170">
        <f t="shared" si="69"/>
        <v>19424.084579232069</v>
      </c>
      <c r="I1017" s="655">
        <f t="shared" si="66"/>
        <v>0</v>
      </c>
      <c r="J1017" s="655"/>
      <c r="K1017" s="793"/>
      <c r="L1017" s="661"/>
      <c r="M1017" s="793"/>
      <c r="N1017" s="661"/>
      <c r="O1017" s="661"/>
      <c r="P1017" s="480"/>
    </row>
    <row r="1018" spans="1:16">
      <c r="A1018" s="285"/>
      <c r="B1018" s="285"/>
      <c r="C1018" s="651">
        <f>IF(D987="","-",+C1017+1)</f>
        <v>2039</v>
      </c>
      <c r="D1018" s="602">
        <f t="shared" si="67"/>
        <v>119602.59633333355</v>
      </c>
      <c r="E1018" s="658">
        <f t="shared" si="70"/>
        <v>5955.3160000000007</v>
      </c>
      <c r="F1018" s="602">
        <f t="shared" si="65"/>
        <v>113647.28033333355</v>
      </c>
      <c r="G1018" s="1167">
        <f t="shared" si="68"/>
        <v>18769.731449876665</v>
      </c>
      <c r="H1018" s="1170">
        <f t="shared" si="69"/>
        <v>18769.731449876665</v>
      </c>
      <c r="I1018" s="655">
        <f t="shared" si="66"/>
        <v>0</v>
      </c>
      <c r="J1018" s="655"/>
      <c r="K1018" s="793"/>
      <c r="L1018" s="661"/>
      <c r="M1018" s="793"/>
      <c r="N1018" s="661"/>
      <c r="O1018" s="661"/>
      <c r="P1018" s="480"/>
    </row>
    <row r="1019" spans="1:16">
      <c r="A1019" s="285"/>
      <c r="B1019" s="285"/>
      <c r="C1019" s="651">
        <f>IF(D987="","-",+C1018+1)</f>
        <v>2040</v>
      </c>
      <c r="D1019" s="602">
        <f t="shared" si="67"/>
        <v>113647.28033333355</v>
      </c>
      <c r="E1019" s="658">
        <f t="shared" si="70"/>
        <v>5955.3160000000007</v>
      </c>
      <c r="F1019" s="602">
        <f t="shared" si="65"/>
        <v>107691.96433333354</v>
      </c>
      <c r="G1019" s="1167">
        <f t="shared" si="68"/>
        <v>18115.37832052126</v>
      </c>
      <c r="H1019" s="1170">
        <f t="shared" si="69"/>
        <v>18115.37832052126</v>
      </c>
      <c r="I1019" s="655">
        <f t="shared" si="66"/>
        <v>0</v>
      </c>
      <c r="J1019" s="655"/>
      <c r="K1019" s="793"/>
      <c r="L1019" s="661"/>
      <c r="M1019" s="793"/>
      <c r="N1019" s="661"/>
      <c r="O1019" s="661"/>
      <c r="P1019" s="480"/>
    </row>
    <row r="1020" spans="1:16">
      <c r="A1020" s="285"/>
      <c r="B1020" s="285"/>
      <c r="C1020" s="651">
        <f>IF(D987="","-",+C1019+1)</f>
        <v>2041</v>
      </c>
      <c r="D1020" s="602">
        <f t="shared" si="67"/>
        <v>107691.96433333354</v>
      </c>
      <c r="E1020" s="658">
        <f t="shared" si="70"/>
        <v>5955.3160000000007</v>
      </c>
      <c r="F1020" s="602">
        <f t="shared" si="65"/>
        <v>101736.64833333353</v>
      </c>
      <c r="G1020" s="1167">
        <f t="shared" si="68"/>
        <v>17461.025191165856</v>
      </c>
      <c r="H1020" s="1170">
        <f t="shared" si="69"/>
        <v>17461.025191165856</v>
      </c>
      <c r="I1020" s="655">
        <f t="shared" si="66"/>
        <v>0</v>
      </c>
      <c r="J1020" s="655"/>
      <c r="K1020" s="793"/>
      <c r="L1020" s="661"/>
      <c r="M1020" s="793"/>
      <c r="N1020" s="661"/>
      <c r="O1020" s="661"/>
      <c r="P1020" s="480"/>
    </row>
    <row r="1021" spans="1:16">
      <c r="A1021" s="285"/>
      <c r="B1021" s="285"/>
      <c r="C1021" s="651">
        <f>IF(D987="","-",+C1020+1)</f>
        <v>2042</v>
      </c>
      <c r="D1021" s="602">
        <f t="shared" si="67"/>
        <v>101736.64833333353</v>
      </c>
      <c r="E1021" s="658">
        <f t="shared" si="70"/>
        <v>5955.3160000000007</v>
      </c>
      <c r="F1021" s="602">
        <f t="shared" si="65"/>
        <v>95781.332333333528</v>
      </c>
      <c r="G1021" s="1176">
        <f t="shared" si="68"/>
        <v>16806.672061810452</v>
      </c>
      <c r="H1021" s="1170">
        <f t="shared" si="69"/>
        <v>16806.672061810452</v>
      </c>
      <c r="I1021" s="655">
        <f t="shared" si="66"/>
        <v>0</v>
      </c>
      <c r="J1021" s="655"/>
      <c r="K1021" s="793"/>
      <c r="L1021" s="661"/>
      <c r="M1021" s="793"/>
      <c r="N1021" s="661"/>
      <c r="O1021" s="661"/>
      <c r="P1021" s="480"/>
    </row>
    <row r="1022" spans="1:16">
      <c r="A1022" s="285"/>
      <c r="B1022" s="285"/>
      <c r="C1022" s="651">
        <f>IF(D987="","-",+C1021+1)</f>
        <v>2043</v>
      </c>
      <c r="D1022" s="602">
        <f t="shared" si="67"/>
        <v>95781.332333333528</v>
      </c>
      <c r="E1022" s="658">
        <f t="shared" si="70"/>
        <v>5955.3160000000007</v>
      </c>
      <c r="F1022" s="602">
        <f t="shared" si="65"/>
        <v>89826.016333333522</v>
      </c>
      <c r="G1022" s="1167">
        <f t="shared" si="68"/>
        <v>16152.318932455051</v>
      </c>
      <c r="H1022" s="1170">
        <f t="shared" si="69"/>
        <v>16152.318932455051</v>
      </c>
      <c r="I1022" s="655">
        <f t="shared" si="66"/>
        <v>0</v>
      </c>
      <c r="J1022" s="655"/>
      <c r="K1022" s="793"/>
      <c r="L1022" s="661"/>
      <c r="M1022" s="793"/>
      <c r="N1022" s="661"/>
      <c r="O1022" s="661"/>
      <c r="P1022" s="480"/>
    </row>
    <row r="1023" spans="1:16">
      <c r="A1023" s="285"/>
      <c r="B1023" s="285"/>
      <c r="C1023" s="651">
        <f>IF(D987="","-",+C1022+1)</f>
        <v>2044</v>
      </c>
      <c r="D1023" s="602">
        <f t="shared" si="67"/>
        <v>89826.016333333522</v>
      </c>
      <c r="E1023" s="658">
        <f t="shared" si="70"/>
        <v>5955.3160000000007</v>
      </c>
      <c r="F1023" s="602">
        <f t="shared" si="65"/>
        <v>83870.700333333516</v>
      </c>
      <c r="G1023" s="1167">
        <f t="shared" si="68"/>
        <v>15497.965803099645</v>
      </c>
      <c r="H1023" s="1170">
        <f t="shared" si="69"/>
        <v>15497.965803099645</v>
      </c>
      <c r="I1023" s="655">
        <f t="shared" si="66"/>
        <v>0</v>
      </c>
      <c r="J1023" s="655"/>
      <c r="K1023" s="793"/>
      <c r="L1023" s="661"/>
      <c r="M1023" s="793"/>
      <c r="N1023" s="661"/>
      <c r="O1023" s="661"/>
      <c r="P1023" s="480"/>
    </row>
    <row r="1024" spans="1:16">
      <c r="A1024" s="285"/>
      <c r="B1024" s="285"/>
      <c r="C1024" s="651">
        <f>IF(D987="","-",+C1023+1)</f>
        <v>2045</v>
      </c>
      <c r="D1024" s="602">
        <f t="shared" si="67"/>
        <v>83870.700333333516</v>
      </c>
      <c r="E1024" s="658">
        <f t="shared" si="70"/>
        <v>5955.3160000000007</v>
      </c>
      <c r="F1024" s="602">
        <f t="shared" si="65"/>
        <v>77915.38433333351</v>
      </c>
      <c r="G1024" s="1167">
        <f t="shared" si="68"/>
        <v>14843.612673744243</v>
      </c>
      <c r="H1024" s="1170">
        <f t="shared" si="69"/>
        <v>14843.612673744243</v>
      </c>
      <c r="I1024" s="655">
        <f t="shared" si="66"/>
        <v>0</v>
      </c>
      <c r="J1024" s="655"/>
      <c r="K1024" s="793"/>
      <c r="L1024" s="661"/>
      <c r="M1024" s="793"/>
      <c r="N1024" s="661"/>
      <c r="O1024" s="661"/>
      <c r="P1024" s="480"/>
    </row>
    <row r="1025" spans="1:16">
      <c r="A1025" s="285"/>
      <c r="B1025" s="285"/>
      <c r="C1025" s="651">
        <f>IF(D987="","-",+C1024+1)</f>
        <v>2046</v>
      </c>
      <c r="D1025" s="602">
        <f t="shared" si="67"/>
        <v>77915.38433333351</v>
      </c>
      <c r="E1025" s="658">
        <f t="shared" si="70"/>
        <v>5955.3160000000007</v>
      </c>
      <c r="F1025" s="602">
        <f t="shared" si="65"/>
        <v>71960.068333333504</v>
      </c>
      <c r="G1025" s="1167">
        <f t="shared" si="68"/>
        <v>14189.259544388839</v>
      </c>
      <c r="H1025" s="1170">
        <f t="shared" si="69"/>
        <v>14189.259544388839</v>
      </c>
      <c r="I1025" s="655">
        <f t="shared" si="66"/>
        <v>0</v>
      </c>
      <c r="J1025" s="655"/>
      <c r="K1025" s="793"/>
      <c r="L1025" s="661"/>
      <c r="M1025" s="793"/>
      <c r="N1025" s="661"/>
      <c r="O1025" s="661"/>
      <c r="P1025" s="480"/>
    </row>
    <row r="1026" spans="1:16">
      <c r="A1026" s="285"/>
      <c r="B1026" s="285"/>
      <c r="C1026" s="651">
        <f>IF(D987="","-",+C1025+1)</f>
        <v>2047</v>
      </c>
      <c r="D1026" s="602">
        <f t="shared" si="67"/>
        <v>71960.068333333504</v>
      </c>
      <c r="E1026" s="658">
        <f t="shared" si="70"/>
        <v>5955.3160000000007</v>
      </c>
      <c r="F1026" s="602">
        <f t="shared" si="65"/>
        <v>66004.752333333498</v>
      </c>
      <c r="G1026" s="1167">
        <f t="shared" si="68"/>
        <v>13534.906415033436</v>
      </c>
      <c r="H1026" s="1170">
        <f t="shared" si="69"/>
        <v>13534.906415033436</v>
      </c>
      <c r="I1026" s="655">
        <f t="shared" si="66"/>
        <v>0</v>
      </c>
      <c r="J1026" s="655"/>
      <c r="K1026" s="793"/>
      <c r="L1026" s="661"/>
      <c r="M1026" s="793"/>
      <c r="N1026" s="661"/>
      <c r="O1026" s="661"/>
      <c r="P1026" s="480"/>
    </row>
    <row r="1027" spans="1:16">
      <c r="A1027" s="285"/>
      <c r="B1027" s="285"/>
      <c r="C1027" s="651">
        <f>IF(D987="","-",+C1026+1)</f>
        <v>2048</v>
      </c>
      <c r="D1027" s="602">
        <f t="shared" si="67"/>
        <v>66004.752333333498</v>
      </c>
      <c r="E1027" s="658">
        <f t="shared" si="70"/>
        <v>5955.3160000000007</v>
      </c>
      <c r="F1027" s="602">
        <f t="shared" si="65"/>
        <v>60049.436333333499</v>
      </c>
      <c r="G1027" s="1167">
        <f t="shared" si="68"/>
        <v>12880.553285678034</v>
      </c>
      <c r="H1027" s="1170">
        <f t="shared" si="69"/>
        <v>12880.553285678034</v>
      </c>
      <c r="I1027" s="655">
        <f t="shared" si="66"/>
        <v>0</v>
      </c>
      <c r="J1027" s="655"/>
      <c r="K1027" s="793"/>
      <c r="L1027" s="661"/>
      <c r="M1027" s="793"/>
      <c r="N1027" s="661"/>
      <c r="O1027" s="661"/>
      <c r="P1027" s="480"/>
    </row>
    <row r="1028" spans="1:16">
      <c r="A1028" s="285"/>
      <c r="B1028" s="285"/>
      <c r="C1028" s="651">
        <f>IF(D987="","-",+C1027+1)</f>
        <v>2049</v>
      </c>
      <c r="D1028" s="602">
        <f t="shared" si="67"/>
        <v>60049.436333333499</v>
      </c>
      <c r="E1028" s="658">
        <f t="shared" si="70"/>
        <v>5955.3160000000007</v>
      </c>
      <c r="F1028" s="602">
        <f t="shared" si="65"/>
        <v>54094.1203333335</v>
      </c>
      <c r="G1028" s="1167">
        <f t="shared" si="68"/>
        <v>12226.200156322629</v>
      </c>
      <c r="H1028" s="1170">
        <f t="shared" si="69"/>
        <v>12226.200156322629</v>
      </c>
      <c r="I1028" s="655">
        <f t="shared" si="66"/>
        <v>0</v>
      </c>
      <c r="J1028" s="655"/>
      <c r="K1028" s="793"/>
      <c r="L1028" s="661"/>
      <c r="M1028" s="793"/>
      <c r="N1028" s="661"/>
      <c r="O1028" s="661"/>
      <c r="P1028" s="480"/>
    </row>
    <row r="1029" spans="1:16">
      <c r="A1029" s="285"/>
      <c r="B1029" s="285"/>
      <c r="C1029" s="651">
        <f>IF(D987="","-",+C1028+1)</f>
        <v>2050</v>
      </c>
      <c r="D1029" s="602">
        <f t="shared" si="67"/>
        <v>54094.1203333335</v>
      </c>
      <c r="E1029" s="658">
        <f t="shared" si="70"/>
        <v>5955.3160000000007</v>
      </c>
      <c r="F1029" s="602">
        <f t="shared" si="65"/>
        <v>48138.804333333501</v>
      </c>
      <c r="G1029" s="1167">
        <f t="shared" si="68"/>
        <v>11571.847026967227</v>
      </c>
      <c r="H1029" s="1170">
        <f t="shared" si="69"/>
        <v>11571.847026967227</v>
      </c>
      <c r="I1029" s="655">
        <f t="shared" si="66"/>
        <v>0</v>
      </c>
      <c r="J1029" s="655"/>
      <c r="K1029" s="793"/>
      <c r="L1029" s="661"/>
      <c r="M1029" s="793"/>
      <c r="N1029" s="661"/>
      <c r="O1029" s="661"/>
      <c r="P1029" s="480"/>
    </row>
    <row r="1030" spans="1:16">
      <c r="A1030" s="285"/>
      <c r="B1030" s="285"/>
      <c r="C1030" s="651">
        <f>IF(D987="","-",+C1029+1)</f>
        <v>2051</v>
      </c>
      <c r="D1030" s="602">
        <f t="shared" si="67"/>
        <v>48138.804333333501</v>
      </c>
      <c r="E1030" s="658">
        <f t="shared" si="70"/>
        <v>5955.3160000000007</v>
      </c>
      <c r="F1030" s="602">
        <f t="shared" si="65"/>
        <v>42183.488333333502</v>
      </c>
      <c r="G1030" s="1167">
        <f t="shared" si="68"/>
        <v>10917.493897611825</v>
      </c>
      <c r="H1030" s="1170">
        <f t="shared" si="69"/>
        <v>10917.493897611825</v>
      </c>
      <c r="I1030" s="655">
        <f t="shared" si="66"/>
        <v>0</v>
      </c>
      <c r="J1030" s="655"/>
      <c r="K1030" s="793"/>
      <c r="L1030" s="661"/>
      <c r="M1030" s="793"/>
      <c r="N1030" s="661"/>
      <c r="O1030" s="661"/>
      <c r="P1030" s="480"/>
    </row>
    <row r="1031" spans="1:16">
      <c r="A1031" s="285"/>
      <c r="B1031" s="285"/>
      <c r="C1031" s="651">
        <f>IF(D987="","-",+C1030+1)</f>
        <v>2052</v>
      </c>
      <c r="D1031" s="602">
        <f t="shared" si="67"/>
        <v>42183.488333333502</v>
      </c>
      <c r="E1031" s="658">
        <f t="shared" si="70"/>
        <v>5955.3160000000007</v>
      </c>
      <c r="F1031" s="602">
        <f t="shared" si="65"/>
        <v>36228.172333333503</v>
      </c>
      <c r="G1031" s="1167">
        <f t="shared" si="68"/>
        <v>10263.140768256422</v>
      </c>
      <c r="H1031" s="1170">
        <f t="shared" si="69"/>
        <v>10263.140768256422</v>
      </c>
      <c r="I1031" s="655">
        <f t="shared" si="66"/>
        <v>0</v>
      </c>
      <c r="J1031" s="655"/>
      <c r="K1031" s="793"/>
      <c r="L1031" s="661"/>
      <c r="M1031" s="793"/>
      <c r="N1031" s="661"/>
      <c r="O1031" s="661"/>
      <c r="P1031" s="480"/>
    </row>
    <row r="1032" spans="1:16">
      <c r="A1032" s="285"/>
      <c r="B1032" s="285"/>
      <c r="C1032" s="651">
        <f>IF(D987="","-",+C1031+1)</f>
        <v>2053</v>
      </c>
      <c r="D1032" s="602">
        <f t="shared" si="67"/>
        <v>36228.172333333503</v>
      </c>
      <c r="E1032" s="658">
        <f t="shared" si="70"/>
        <v>5955.3160000000007</v>
      </c>
      <c r="F1032" s="602">
        <f t="shared" si="65"/>
        <v>30272.856333333504</v>
      </c>
      <c r="G1032" s="1167">
        <f t="shared" si="68"/>
        <v>9608.787638901018</v>
      </c>
      <c r="H1032" s="1170">
        <f t="shared" si="69"/>
        <v>9608.787638901018</v>
      </c>
      <c r="I1032" s="655">
        <f t="shared" si="66"/>
        <v>0</v>
      </c>
      <c r="J1032" s="655"/>
      <c r="K1032" s="793"/>
      <c r="L1032" s="661"/>
      <c r="M1032" s="793"/>
      <c r="N1032" s="661"/>
      <c r="O1032" s="661"/>
      <c r="P1032" s="480"/>
    </row>
    <row r="1033" spans="1:16">
      <c r="A1033" s="285"/>
      <c r="B1033" s="285"/>
      <c r="C1033" s="651">
        <f>IF(D987="","-",+C1032+1)</f>
        <v>2054</v>
      </c>
      <c r="D1033" s="602">
        <f t="shared" si="67"/>
        <v>30272.856333333504</v>
      </c>
      <c r="E1033" s="658">
        <f t="shared" si="70"/>
        <v>5955.3160000000007</v>
      </c>
      <c r="F1033" s="602">
        <f t="shared" si="65"/>
        <v>24317.540333333505</v>
      </c>
      <c r="G1033" s="1167">
        <f t="shared" si="68"/>
        <v>8954.4345095456156</v>
      </c>
      <c r="H1033" s="1170">
        <f t="shared" si="69"/>
        <v>8954.4345095456156</v>
      </c>
      <c r="I1033" s="655">
        <f t="shared" si="66"/>
        <v>0</v>
      </c>
      <c r="J1033" s="655"/>
      <c r="K1033" s="793"/>
      <c r="L1033" s="661"/>
      <c r="M1033" s="793"/>
      <c r="N1033" s="661"/>
      <c r="O1033" s="661"/>
      <c r="P1033" s="480"/>
    </row>
    <row r="1034" spans="1:16">
      <c r="A1034" s="285"/>
      <c r="B1034" s="285"/>
      <c r="C1034" s="651">
        <f>IF(D987="","-",+C1033+1)</f>
        <v>2055</v>
      </c>
      <c r="D1034" s="602">
        <f t="shared" si="67"/>
        <v>24317.540333333505</v>
      </c>
      <c r="E1034" s="658">
        <f t="shared" si="70"/>
        <v>5955.3160000000007</v>
      </c>
      <c r="F1034" s="602">
        <f t="shared" si="65"/>
        <v>18362.224333333506</v>
      </c>
      <c r="G1034" s="1167">
        <f t="shared" si="68"/>
        <v>8300.0813801902132</v>
      </c>
      <c r="H1034" s="1170">
        <f t="shared" si="69"/>
        <v>8300.0813801902132</v>
      </c>
      <c r="I1034" s="655">
        <f t="shared" si="66"/>
        <v>0</v>
      </c>
      <c r="J1034" s="655"/>
      <c r="K1034" s="793"/>
      <c r="L1034" s="661"/>
      <c r="M1034" s="793"/>
      <c r="N1034" s="661"/>
      <c r="O1034" s="661"/>
      <c r="P1034" s="480"/>
    </row>
    <row r="1035" spans="1:16">
      <c r="A1035" s="285"/>
      <c r="B1035" s="285"/>
      <c r="C1035" s="651">
        <f>IF(D987="","-",+C1034+1)</f>
        <v>2056</v>
      </c>
      <c r="D1035" s="602">
        <f t="shared" si="67"/>
        <v>18362.224333333506</v>
      </c>
      <c r="E1035" s="658">
        <f t="shared" si="70"/>
        <v>5955.3160000000007</v>
      </c>
      <c r="F1035" s="602">
        <f t="shared" si="65"/>
        <v>12406.908333333506</v>
      </c>
      <c r="G1035" s="1167">
        <f t="shared" si="68"/>
        <v>7645.7282508348108</v>
      </c>
      <c r="H1035" s="1170">
        <f t="shared" si="69"/>
        <v>7645.7282508348108</v>
      </c>
      <c r="I1035" s="655">
        <f t="shared" si="66"/>
        <v>0</v>
      </c>
      <c r="J1035" s="655"/>
      <c r="K1035" s="793"/>
      <c r="L1035" s="661"/>
      <c r="M1035" s="793"/>
      <c r="N1035" s="661"/>
      <c r="O1035" s="661"/>
      <c r="P1035" s="480"/>
    </row>
    <row r="1036" spans="1:16">
      <c r="A1036" s="285"/>
      <c r="B1036" s="285"/>
      <c r="C1036" s="651">
        <f>IF(D987="","-",+C1035+1)</f>
        <v>2057</v>
      </c>
      <c r="D1036" s="602">
        <f t="shared" si="67"/>
        <v>12406.908333333506</v>
      </c>
      <c r="E1036" s="658">
        <f t="shared" si="70"/>
        <v>5955.3160000000007</v>
      </c>
      <c r="F1036" s="602">
        <f t="shared" si="65"/>
        <v>6451.5923333335049</v>
      </c>
      <c r="G1036" s="1167">
        <f t="shared" si="68"/>
        <v>6991.3751214794074</v>
      </c>
      <c r="H1036" s="1170">
        <f t="shared" si="69"/>
        <v>6991.3751214794074</v>
      </c>
      <c r="I1036" s="655">
        <f t="shared" si="66"/>
        <v>0</v>
      </c>
      <c r="J1036" s="655"/>
      <c r="K1036" s="793"/>
      <c r="L1036" s="661"/>
      <c r="M1036" s="793"/>
      <c r="N1036" s="661"/>
      <c r="O1036" s="661"/>
      <c r="P1036" s="480"/>
    </row>
    <row r="1037" spans="1:16">
      <c r="A1037" s="285"/>
      <c r="B1037" s="285"/>
      <c r="C1037" s="651">
        <f>IF(D987="","-",+C1036+1)</f>
        <v>2058</v>
      </c>
      <c r="D1037" s="602">
        <f t="shared" si="67"/>
        <v>6451.5923333335049</v>
      </c>
      <c r="E1037" s="658">
        <f t="shared" si="70"/>
        <v>5955.3160000000007</v>
      </c>
      <c r="F1037" s="602">
        <f t="shared" si="65"/>
        <v>496.27633333350423</v>
      </c>
      <c r="G1037" s="1167">
        <f t="shared" si="68"/>
        <v>6337.0219921240041</v>
      </c>
      <c r="H1037" s="1170">
        <f t="shared" si="69"/>
        <v>6337.0219921240041</v>
      </c>
      <c r="I1037" s="655">
        <f t="shared" si="66"/>
        <v>0</v>
      </c>
      <c r="J1037" s="655"/>
      <c r="K1037" s="793"/>
      <c r="L1037" s="661"/>
      <c r="M1037" s="793"/>
      <c r="N1037" s="661"/>
      <c r="O1037" s="661"/>
      <c r="P1037" s="480"/>
    </row>
    <row r="1038" spans="1:16">
      <c r="A1038" s="285"/>
      <c r="B1038" s="285"/>
      <c r="C1038" s="651">
        <f>IF(D987="","-",+C1037+1)</f>
        <v>2059</v>
      </c>
      <c r="D1038" s="602">
        <f t="shared" si="67"/>
        <v>496.27633333350423</v>
      </c>
      <c r="E1038" s="658">
        <f t="shared" si="70"/>
        <v>496.27633333350423</v>
      </c>
      <c r="F1038" s="602">
        <f t="shared" si="65"/>
        <v>0</v>
      </c>
      <c r="G1038" s="1167">
        <f t="shared" si="68"/>
        <v>523.54104705665543</v>
      </c>
      <c r="H1038" s="1170">
        <f t="shared" si="69"/>
        <v>523.54104705665543</v>
      </c>
      <c r="I1038" s="655">
        <f t="shared" si="66"/>
        <v>0</v>
      </c>
      <c r="J1038" s="655"/>
      <c r="K1038" s="793"/>
      <c r="L1038" s="661"/>
      <c r="M1038" s="793"/>
      <c r="N1038" s="661"/>
      <c r="O1038" s="661"/>
      <c r="P1038" s="480"/>
    </row>
    <row r="1039" spans="1:16">
      <c r="A1039" s="285"/>
      <c r="B1039" s="285"/>
      <c r="C1039" s="651">
        <f>IF(D987="","-",+C1038+1)</f>
        <v>2060</v>
      </c>
      <c r="D1039" s="602">
        <f t="shared" si="67"/>
        <v>0</v>
      </c>
      <c r="E1039" s="658">
        <f t="shared" si="70"/>
        <v>0</v>
      </c>
      <c r="F1039" s="602">
        <f t="shared" si="65"/>
        <v>0</v>
      </c>
      <c r="G1039" s="1167">
        <f t="shared" si="68"/>
        <v>0</v>
      </c>
      <c r="H1039" s="1170">
        <f t="shared" si="69"/>
        <v>0</v>
      </c>
      <c r="I1039" s="655">
        <f t="shared" si="66"/>
        <v>0</v>
      </c>
      <c r="J1039" s="655"/>
      <c r="K1039" s="793"/>
      <c r="L1039" s="661"/>
      <c r="M1039" s="793"/>
      <c r="N1039" s="661"/>
      <c r="O1039" s="661"/>
      <c r="P1039" s="480"/>
    </row>
    <row r="1040" spans="1:16">
      <c r="A1040" s="285"/>
      <c r="B1040" s="285"/>
      <c r="C1040" s="651">
        <f>IF(D987="","-",+C1039+1)</f>
        <v>2061</v>
      </c>
      <c r="D1040" s="602">
        <f t="shared" si="67"/>
        <v>0</v>
      </c>
      <c r="E1040" s="658">
        <f t="shared" si="70"/>
        <v>0</v>
      </c>
      <c r="F1040" s="602">
        <f t="shared" si="65"/>
        <v>0</v>
      </c>
      <c r="G1040" s="1167">
        <f t="shared" si="68"/>
        <v>0</v>
      </c>
      <c r="H1040" s="1170">
        <f t="shared" si="69"/>
        <v>0</v>
      </c>
      <c r="I1040" s="655">
        <f t="shared" si="66"/>
        <v>0</v>
      </c>
      <c r="J1040" s="655"/>
      <c r="K1040" s="793"/>
      <c r="L1040" s="661"/>
      <c r="M1040" s="793"/>
      <c r="N1040" s="661"/>
      <c r="O1040" s="661"/>
      <c r="P1040" s="480"/>
    </row>
    <row r="1041" spans="1:16">
      <c r="A1041" s="285"/>
      <c r="B1041" s="285"/>
      <c r="C1041" s="651">
        <f>IF(D987="","-",+C1040+1)</f>
        <v>2062</v>
      </c>
      <c r="D1041" s="602">
        <f t="shared" si="67"/>
        <v>0</v>
      </c>
      <c r="E1041" s="658">
        <f t="shared" si="70"/>
        <v>0</v>
      </c>
      <c r="F1041" s="602">
        <f t="shared" si="65"/>
        <v>0</v>
      </c>
      <c r="G1041" s="1167">
        <f t="shared" si="68"/>
        <v>0</v>
      </c>
      <c r="H1041" s="1170">
        <f t="shared" si="69"/>
        <v>0</v>
      </c>
      <c r="I1041" s="655">
        <f t="shared" si="66"/>
        <v>0</v>
      </c>
      <c r="J1041" s="655"/>
      <c r="K1041" s="793"/>
      <c r="L1041" s="661"/>
      <c r="M1041" s="793"/>
      <c r="N1041" s="661"/>
      <c r="O1041" s="661"/>
      <c r="P1041" s="480"/>
    </row>
    <row r="1042" spans="1:16">
      <c r="A1042" s="285"/>
      <c r="B1042" s="285"/>
      <c r="C1042" s="651">
        <f>IF(D987="","-",+C1041+1)</f>
        <v>2063</v>
      </c>
      <c r="D1042" s="602">
        <f t="shared" si="67"/>
        <v>0</v>
      </c>
      <c r="E1042" s="658">
        <f t="shared" si="70"/>
        <v>0</v>
      </c>
      <c r="F1042" s="602">
        <f t="shared" si="65"/>
        <v>0</v>
      </c>
      <c r="G1042" s="1167">
        <f t="shared" si="68"/>
        <v>0</v>
      </c>
      <c r="H1042" s="1170">
        <f t="shared" si="69"/>
        <v>0</v>
      </c>
      <c r="I1042" s="655">
        <f t="shared" si="66"/>
        <v>0</v>
      </c>
      <c r="J1042" s="655"/>
      <c r="K1042" s="793"/>
      <c r="L1042" s="661"/>
      <c r="M1042" s="793"/>
      <c r="N1042" s="661"/>
      <c r="O1042" s="661"/>
      <c r="P1042" s="480"/>
    </row>
    <row r="1043" spans="1:16">
      <c r="A1043" s="285"/>
      <c r="B1043" s="285"/>
      <c r="C1043" s="651">
        <f>IF(D987="","-",+C1042+1)</f>
        <v>2064</v>
      </c>
      <c r="D1043" s="602">
        <f t="shared" si="67"/>
        <v>0</v>
      </c>
      <c r="E1043" s="658">
        <f t="shared" si="70"/>
        <v>0</v>
      </c>
      <c r="F1043" s="602">
        <f t="shared" si="65"/>
        <v>0</v>
      </c>
      <c r="G1043" s="1167">
        <f t="shared" si="68"/>
        <v>0</v>
      </c>
      <c r="H1043" s="1170">
        <f t="shared" si="69"/>
        <v>0</v>
      </c>
      <c r="I1043" s="655">
        <f t="shared" si="66"/>
        <v>0</v>
      </c>
      <c r="J1043" s="655"/>
      <c r="K1043" s="793"/>
      <c r="L1043" s="661"/>
      <c r="M1043" s="793"/>
      <c r="N1043" s="661"/>
      <c r="O1043" s="661"/>
      <c r="P1043" s="480"/>
    </row>
    <row r="1044" spans="1:16">
      <c r="A1044" s="285"/>
      <c r="B1044" s="285"/>
      <c r="C1044" s="651">
        <f>IF(D987="","-",+C1043+1)</f>
        <v>2065</v>
      </c>
      <c r="D1044" s="602">
        <f t="shared" si="67"/>
        <v>0</v>
      </c>
      <c r="E1044" s="658">
        <f t="shared" si="70"/>
        <v>0</v>
      </c>
      <c r="F1044" s="602">
        <f t="shared" si="65"/>
        <v>0</v>
      </c>
      <c r="G1044" s="1167">
        <f t="shared" si="68"/>
        <v>0</v>
      </c>
      <c r="H1044" s="1170">
        <f t="shared" si="69"/>
        <v>0</v>
      </c>
      <c r="I1044" s="655">
        <f t="shared" si="66"/>
        <v>0</v>
      </c>
      <c r="J1044" s="655"/>
      <c r="K1044" s="793"/>
      <c r="L1044" s="661"/>
      <c r="M1044" s="793"/>
      <c r="N1044" s="661"/>
      <c r="O1044" s="661"/>
      <c r="P1044" s="480"/>
    </row>
    <row r="1045" spans="1:16">
      <c r="A1045" s="285"/>
      <c r="B1045" s="285"/>
      <c r="C1045" s="651">
        <f>IF(D987="","-",+C1044+1)</f>
        <v>2066</v>
      </c>
      <c r="D1045" s="602">
        <f t="shared" si="67"/>
        <v>0</v>
      </c>
      <c r="E1045" s="658">
        <f t="shared" si="70"/>
        <v>0</v>
      </c>
      <c r="F1045" s="602">
        <f t="shared" si="65"/>
        <v>0</v>
      </c>
      <c r="G1045" s="1167">
        <f t="shared" si="68"/>
        <v>0</v>
      </c>
      <c r="H1045" s="1170">
        <f t="shared" si="69"/>
        <v>0</v>
      </c>
      <c r="I1045" s="655">
        <f t="shared" si="66"/>
        <v>0</v>
      </c>
      <c r="J1045" s="655"/>
      <c r="K1045" s="793"/>
      <c r="L1045" s="661"/>
      <c r="M1045" s="793"/>
      <c r="N1045" s="661"/>
      <c r="O1045" s="661"/>
      <c r="P1045" s="480"/>
    </row>
    <row r="1046" spans="1:16">
      <c r="A1046" s="285"/>
      <c r="B1046" s="285"/>
      <c r="C1046" s="651">
        <f>IF(D987="","-",+C1045+1)</f>
        <v>2067</v>
      </c>
      <c r="D1046" s="602">
        <f t="shared" si="67"/>
        <v>0</v>
      </c>
      <c r="E1046" s="658">
        <f t="shared" si="70"/>
        <v>0</v>
      </c>
      <c r="F1046" s="602">
        <f t="shared" si="65"/>
        <v>0</v>
      </c>
      <c r="G1046" s="1167">
        <f t="shared" si="68"/>
        <v>0</v>
      </c>
      <c r="H1046" s="1170">
        <f t="shared" si="69"/>
        <v>0</v>
      </c>
      <c r="I1046" s="655">
        <f t="shared" si="66"/>
        <v>0</v>
      </c>
      <c r="J1046" s="655"/>
      <c r="K1046" s="793"/>
      <c r="L1046" s="661"/>
      <c r="M1046" s="793"/>
      <c r="N1046" s="661"/>
      <c r="O1046" s="661"/>
      <c r="P1046" s="480"/>
    </row>
    <row r="1047" spans="1:16">
      <c r="A1047" s="285"/>
      <c r="B1047" s="285"/>
      <c r="C1047" s="651">
        <f>IF(D987="","-",+C1046+1)</f>
        <v>2068</v>
      </c>
      <c r="D1047" s="602">
        <f t="shared" si="67"/>
        <v>0</v>
      </c>
      <c r="E1047" s="658">
        <f t="shared" si="70"/>
        <v>0</v>
      </c>
      <c r="F1047" s="602">
        <f t="shared" si="65"/>
        <v>0</v>
      </c>
      <c r="G1047" s="1167">
        <f t="shared" si="68"/>
        <v>0</v>
      </c>
      <c r="H1047" s="1170">
        <f t="shared" si="69"/>
        <v>0</v>
      </c>
      <c r="I1047" s="655">
        <f t="shared" si="66"/>
        <v>0</v>
      </c>
      <c r="J1047" s="655"/>
      <c r="K1047" s="793"/>
      <c r="L1047" s="661"/>
      <c r="M1047" s="793"/>
      <c r="N1047" s="661"/>
      <c r="O1047" s="661"/>
      <c r="P1047" s="480"/>
    </row>
    <row r="1048" spans="1:16">
      <c r="A1048" s="285"/>
      <c r="B1048" s="285"/>
      <c r="C1048" s="651">
        <f>IF(D987="","-",+C1047+1)</f>
        <v>2069</v>
      </c>
      <c r="D1048" s="602">
        <f t="shared" si="67"/>
        <v>0</v>
      </c>
      <c r="E1048" s="658">
        <f t="shared" si="70"/>
        <v>0</v>
      </c>
      <c r="F1048" s="602">
        <f t="shared" si="65"/>
        <v>0</v>
      </c>
      <c r="G1048" s="1167">
        <f t="shared" si="68"/>
        <v>0</v>
      </c>
      <c r="H1048" s="1170">
        <f t="shared" si="69"/>
        <v>0</v>
      </c>
      <c r="I1048" s="655">
        <f t="shared" si="66"/>
        <v>0</v>
      </c>
      <c r="J1048" s="655"/>
      <c r="K1048" s="793"/>
      <c r="L1048" s="661"/>
      <c r="M1048" s="793"/>
      <c r="N1048" s="661"/>
      <c r="O1048" s="661"/>
      <c r="P1048" s="480"/>
    </row>
    <row r="1049" spans="1:16">
      <c r="A1049" s="285"/>
      <c r="B1049" s="285"/>
      <c r="C1049" s="651">
        <f>IF(D987="","-",+C1048+1)</f>
        <v>2070</v>
      </c>
      <c r="D1049" s="602">
        <f t="shared" si="67"/>
        <v>0</v>
      </c>
      <c r="E1049" s="658">
        <f t="shared" si="70"/>
        <v>0</v>
      </c>
      <c r="F1049" s="602">
        <f t="shared" si="65"/>
        <v>0</v>
      </c>
      <c r="G1049" s="1167">
        <f t="shared" si="68"/>
        <v>0</v>
      </c>
      <c r="H1049" s="1170">
        <f t="shared" si="69"/>
        <v>0</v>
      </c>
      <c r="I1049" s="655">
        <f t="shared" si="66"/>
        <v>0</v>
      </c>
      <c r="J1049" s="655"/>
      <c r="K1049" s="793"/>
      <c r="L1049" s="661"/>
      <c r="M1049" s="793"/>
      <c r="N1049" s="661"/>
      <c r="O1049" s="661"/>
      <c r="P1049" s="480"/>
    </row>
    <row r="1050" spans="1:16">
      <c r="A1050" s="285"/>
      <c r="B1050" s="285"/>
      <c r="C1050" s="651">
        <f>IF(D987="","-",+C1049+1)</f>
        <v>2071</v>
      </c>
      <c r="D1050" s="602">
        <f t="shared" si="67"/>
        <v>0</v>
      </c>
      <c r="E1050" s="658">
        <f t="shared" si="70"/>
        <v>0</v>
      </c>
      <c r="F1050" s="602">
        <f t="shared" si="65"/>
        <v>0</v>
      </c>
      <c r="G1050" s="1167">
        <f t="shared" si="68"/>
        <v>0</v>
      </c>
      <c r="H1050" s="1170">
        <f t="shared" si="69"/>
        <v>0</v>
      </c>
      <c r="I1050" s="655">
        <f t="shared" si="66"/>
        <v>0</v>
      </c>
      <c r="J1050" s="655"/>
      <c r="K1050" s="793"/>
      <c r="L1050" s="661"/>
      <c r="M1050" s="793"/>
      <c r="N1050" s="661"/>
      <c r="O1050" s="661"/>
      <c r="P1050" s="480"/>
    </row>
    <row r="1051" spans="1:16">
      <c r="A1051" s="285"/>
      <c r="B1051" s="285"/>
      <c r="C1051" s="651">
        <f>IF(D987="","-",+C1050+1)</f>
        <v>2072</v>
      </c>
      <c r="D1051" s="602">
        <f t="shared" si="67"/>
        <v>0</v>
      </c>
      <c r="E1051" s="658">
        <f t="shared" si="70"/>
        <v>0</v>
      </c>
      <c r="F1051" s="602">
        <f t="shared" si="65"/>
        <v>0</v>
      </c>
      <c r="G1051" s="1167">
        <f t="shared" si="68"/>
        <v>0</v>
      </c>
      <c r="H1051" s="1170">
        <f t="shared" si="69"/>
        <v>0</v>
      </c>
      <c r="I1051" s="655">
        <f t="shared" si="66"/>
        <v>0</v>
      </c>
      <c r="J1051" s="655"/>
      <c r="K1051" s="793"/>
      <c r="L1051" s="661"/>
      <c r="M1051" s="793"/>
      <c r="N1051" s="661"/>
      <c r="O1051" s="661"/>
      <c r="P1051" s="480"/>
    </row>
    <row r="1052" spans="1:16" ht="13.5" thickBot="1">
      <c r="A1052" s="285"/>
      <c r="B1052" s="285"/>
      <c r="C1052" s="663">
        <f>IF(D987="","-",+C1051+1)</f>
        <v>2073</v>
      </c>
      <c r="D1052" s="664">
        <f t="shared" si="67"/>
        <v>0</v>
      </c>
      <c r="E1052" s="665">
        <f t="shared" si="70"/>
        <v>0</v>
      </c>
      <c r="F1052" s="664">
        <f t="shared" si="65"/>
        <v>0</v>
      </c>
      <c r="G1052" s="1177">
        <f t="shared" si="68"/>
        <v>0</v>
      </c>
      <c r="H1052" s="1177">
        <f t="shared" si="69"/>
        <v>0</v>
      </c>
      <c r="I1052" s="667">
        <f t="shared" si="66"/>
        <v>0</v>
      </c>
      <c r="J1052" s="655"/>
      <c r="K1052" s="794"/>
      <c r="L1052" s="669"/>
      <c r="M1052" s="794"/>
      <c r="N1052" s="669"/>
      <c r="O1052" s="669"/>
      <c r="P1052" s="480"/>
    </row>
    <row r="1053" spans="1:16">
      <c r="A1053" s="285"/>
      <c r="B1053" s="285"/>
      <c r="C1053" s="602" t="s">
        <v>288</v>
      </c>
      <c r="D1053" s="1148"/>
      <c r="E1053" s="1148">
        <f>SUM(E993:E1052)</f>
        <v>267989.22000000009</v>
      </c>
      <c r="F1053" s="1148"/>
      <c r="G1053" s="1148">
        <f>SUM(G993:G1052)</f>
        <v>932975.58770742919</v>
      </c>
      <c r="H1053" s="1148">
        <f>SUM(H993:H1052)</f>
        <v>932975.58770742919</v>
      </c>
      <c r="I1053" s="1148">
        <f>SUM(I993:I1052)</f>
        <v>0</v>
      </c>
      <c r="J1053" s="1148"/>
      <c r="K1053" s="1148"/>
      <c r="L1053" s="1148"/>
      <c r="M1053" s="1148"/>
      <c r="N1053" s="1148"/>
      <c r="O1053" s="480"/>
      <c r="P1053" s="480"/>
    </row>
    <row r="1054" spans="1:16">
      <c r="A1054" s="285"/>
      <c r="B1054" s="285"/>
      <c r="C1054" s="285"/>
      <c r="D1054" s="496"/>
      <c r="E1054" s="480"/>
      <c r="F1054" s="480"/>
      <c r="G1054" s="480"/>
      <c r="H1054" s="1147"/>
      <c r="I1054" s="1147"/>
      <c r="J1054" s="1148"/>
      <c r="K1054" s="1147"/>
      <c r="L1054" s="1147"/>
      <c r="M1054" s="1147"/>
      <c r="N1054" s="1147"/>
      <c r="O1054" s="480"/>
      <c r="P1054" s="480"/>
    </row>
    <row r="1055" spans="1:16">
      <c r="A1055" s="285"/>
      <c r="B1055" s="285"/>
      <c r="C1055" s="480" t="s">
        <v>601</v>
      </c>
      <c r="D1055" s="496"/>
      <c r="E1055" s="480"/>
      <c r="F1055" s="480"/>
      <c r="G1055" s="480"/>
      <c r="H1055" s="1147"/>
      <c r="I1055" s="1147"/>
      <c r="J1055" s="1148"/>
      <c r="K1055" s="1147"/>
      <c r="L1055" s="1147"/>
      <c r="M1055" s="1147"/>
      <c r="N1055" s="1147"/>
      <c r="O1055" s="480"/>
      <c r="P1055" s="480"/>
    </row>
    <row r="1056" spans="1:16">
      <c r="A1056" s="285"/>
      <c r="B1056" s="285"/>
      <c r="C1056" s="285"/>
      <c r="D1056" s="496"/>
      <c r="E1056" s="480"/>
      <c r="F1056" s="480"/>
      <c r="G1056" s="480"/>
      <c r="H1056" s="1147"/>
      <c r="I1056" s="1147"/>
      <c r="J1056" s="1148"/>
      <c r="K1056" s="1147"/>
      <c r="L1056" s="1147"/>
      <c r="M1056" s="1147"/>
      <c r="N1056" s="1147"/>
      <c r="O1056" s="480"/>
      <c r="P1056" s="480"/>
    </row>
    <row r="1057" spans="1:16">
      <c r="A1057" s="285"/>
      <c r="B1057" s="285"/>
      <c r="C1057" s="508" t="s">
        <v>602</v>
      </c>
      <c r="D1057" s="602"/>
      <c r="E1057" s="602"/>
      <c r="F1057" s="602"/>
      <c r="G1057" s="1148"/>
      <c r="H1057" s="1148"/>
      <c r="I1057" s="603"/>
      <c r="J1057" s="603"/>
      <c r="K1057" s="603"/>
      <c r="L1057" s="603"/>
      <c r="M1057" s="603"/>
      <c r="N1057" s="603"/>
      <c r="O1057" s="480"/>
      <c r="P1057" s="480"/>
    </row>
    <row r="1058" spans="1:16">
      <c r="A1058" s="285"/>
      <c r="B1058" s="285"/>
      <c r="C1058" s="508" t="s">
        <v>476</v>
      </c>
      <c r="D1058" s="602"/>
      <c r="E1058" s="602"/>
      <c r="F1058" s="602"/>
      <c r="G1058" s="1148"/>
      <c r="H1058" s="1148"/>
      <c r="I1058" s="603"/>
      <c r="J1058" s="603"/>
      <c r="K1058" s="603"/>
      <c r="L1058" s="603"/>
      <c r="M1058" s="603"/>
      <c r="N1058" s="603"/>
      <c r="O1058" s="480"/>
      <c r="P1058" s="480"/>
    </row>
    <row r="1059" spans="1:16">
      <c r="A1059" s="285"/>
      <c r="B1059" s="285"/>
      <c r="C1059" s="508" t="s">
        <v>289</v>
      </c>
      <c r="D1059" s="602"/>
      <c r="E1059" s="602"/>
      <c r="F1059" s="602"/>
      <c r="G1059" s="1148"/>
      <c r="H1059" s="1148"/>
      <c r="I1059" s="603"/>
      <c r="J1059" s="603"/>
      <c r="K1059" s="603"/>
      <c r="L1059" s="603"/>
      <c r="M1059" s="603"/>
      <c r="N1059" s="603"/>
      <c r="O1059" s="480"/>
      <c r="P1059" s="480"/>
    </row>
    <row r="1060" spans="1:16">
      <c r="A1060" s="285"/>
      <c r="B1060" s="285"/>
      <c r="C1060" s="601"/>
      <c r="D1060" s="602"/>
      <c r="E1060" s="602"/>
      <c r="F1060" s="602"/>
      <c r="G1060" s="1148"/>
      <c r="H1060" s="1148"/>
      <c r="I1060" s="603"/>
      <c r="J1060" s="603"/>
      <c r="K1060" s="603"/>
      <c r="L1060" s="603"/>
      <c r="M1060" s="603"/>
      <c r="N1060" s="603"/>
      <c r="O1060" s="480"/>
      <c r="P1060" s="480"/>
    </row>
    <row r="1061" spans="1:16">
      <c r="A1061" s="285"/>
      <c r="B1061" s="285"/>
      <c r="C1061" s="1513" t="s">
        <v>460</v>
      </c>
      <c r="D1061" s="1513"/>
      <c r="E1061" s="1513"/>
      <c r="F1061" s="1513"/>
      <c r="G1061" s="1513"/>
      <c r="H1061" s="1513"/>
      <c r="I1061" s="1513"/>
      <c r="J1061" s="1513"/>
      <c r="K1061" s="1513"/>
      <c r="L1061" s="1513"/>
      <c r="M1061" s="1513"/>
      <c r="N1061" s="1513"/>
      <c r="O1061" s="1513"/>
      <c r="P1061" s="480"/>
    </row>
    <row r="1062" spans="1:16">
      <c r="A1062" s="285"/>
      <c r="B1062" s="285"/>
      <c r="C1062" s="1513"/>
      <c r="D1062" s="1513"/>
      <c r="E1062" s="1513"/>
      <c r="F1062" s="1513"/>
      <c r="G1062" s="1513"/>
      <c r="H1062" s="1513"/>
      <c r="I1062" s="1513"/>
      <c r="J1062" s="1513"/>
      <c r="K1062" s="1513"/>
      <c r="L1062" s="1513"/>
      <c r="M1062" s="1513"/>
      <c r="N1062" s="1513"/>
      <c r="O1062" s="1513"/>
      <c r="P1062" s="480"/>
    </row>
    <row r="1063" spans="1:16" ht="20.25">
      <c r="A1063" s="604" t="s">
        <v>947</v>
      </c>
      <c r="B1063" s="480"/>
      <c r="C1063" s="584"/>
      <c r="D1063" s="496"/>
      <c r="E1063" s="480"/>
      <c r="F1063" s="574"/>
      <c r="G1063" s="480"/>
      <c r="H1063" s="1147"/>
      <c r="I1063" s="285"/>
      <c r="J1063" s="271"/>
      <c r="K1063" s="605"/>
      <c r="L1063" s="605"/>
      <c r="M1063" s="605"/>
      <c r="N1063" s="520" t="str">
        <f>"Page "&amp;SUM(P$6:P1063)&amp;" of "</f>
        <v xml:space="preserve">Page 13 of </v>
      </c>
      <c r="O1063" s="521">
        <f>COUNT(P$6:P$59606)</f>
        <v>15</v>
      </c>
      <c r="P1063" s="480">
        <v>1</v>
      </c>
    </row>
    <row r="1064" spans="1:16">
      <c r="A1064" s="285"/>
      <c r="B1064" s="480"/>
      <c r="C1064" s="480"/>
      <c r="D1064" s="496"/>
      <c r="E1064" s="480"/>
      <c r="F1064" s="480"/>
      <c r="G1064" s="480"/>
      <c r="H1064" s="1147"/>
      <c r="I1064" s="480"/>
      <c r="J1064" s="517"/>
      <c r="K1064" s="480"/>
      <c r="L1064" s="480"/>
      <c r="M1064" s="480"/>
      <c r="N1064" s="480"/>
      <c r="O1064" s="480"/>
      <c r="P1064" s="480"/>
    </row>
    <row r="1065" spans="1:16" ht="18">
      <c r="A1065" s="285"/>
      <c r="B1065" s="524" t="s">
        <v>174</v>
      </c>
      <c r="C1065" s="606" t="s">
        <v>290</v>
      </c>
      <c r="D1065" s="496"/>
      <c r="E1065" s="480"/>
      <c r="F1065" s="480"/>
      <c r="G1065" s="480"/>
      <c r="H1065" s="1147"/>
      <c r="I1065" s="1147"/>
      <c r="J1065" s="1148"/>
      <c r="K1065" s="1147"/>
      <c r="L1065" s="1147"/>
      <c r="M1065" s="1147"/>
      <c r="N1065" s="1147"/>
      <c r="O1065" s="480"/>
      <c r="P1065" s="480"/>
    </row>
    <row r="1066" spans="1:16" ht="18.75">
      <c r="A1066" s="285"/>
      <c r="B1066" s="524"/>
      <c r="C1066" s="523"/>
      <c r="D1066" s="496"/>
      <c r="E1066" s="480"/>
      <c r="F1066" s="480"/>
      <c r="G1066" s="480"/>
      <c r="H1066" s="1147"/>
      <c r="I1066" s="1147"/>
      <c r="J1066" s="1148"/>
      <c r="K1066" s="1147"/>
      <c r="L1066" s="1147"/>
      <c r="M1066" s="1147"/>
      <c r="N1066" s="1147"/>
      <c r="O1066" s="480"/>
      <c r="P1066" s="480"/>
    </row>
    <row r="1067" spans="1:16" ht="18.75">
      <c r="A1067" s="285"/>
      <c r="B1067" s="524"/>
      <c r="C1067" s="523" t="s">
        <v>291</v>
      </c>
      <c r="D1067" s="496"/>
      <c r="E1067" s="480"/>
      <c r="F1067" s="480"/>
      <c r="G1067" s="480"/>
      <c r="H1067" s="1147"/>
      <c r="I1067" s="1147"/>
      <c r="J1067" s="1148"/>
      <c r="K1067" s="1147"/>
      <c r="L1067" s="1147"/>
      <c r="M1067" s="1147"/>
      <c r="N1067" s="1147"/>
      <c r="O1067" s="480"/>
      <c r="P1067" s="480"/>
    </row>
    <row r="1068" spans="1:16" ht="15.75" thickBot="1">
      <c r="A1068" s="285"/>
      <c r="B1068" s="285"/>
      <c r="C1068" s="347"/>
      <c r="D1068" s="496"/>
      <c r="E1068" s="480"/>
      <c r="F1068" s="480"/>
      <c r="G1068" s="480"/>
      <c r="H1068" s="1147"/>
      <c r="I1068" s="1147"/>
      <c r="J1068" s="1148"/>
      <c r="K1068" s="1147"/>
      <c r="L1068" s="1147"/>
      <c r="M1068" s="1147"/>
      <c r="N1068" s="1147"/>
      <c r="O1068" s="480"/>
      <c r="P1068" s="480"/>
    </row>
    <row r="1069" spans="1:16" ht="15.75">
      <c r="A1069" s="285"/>
      <c r="B1069" s="285"/>
      <c r="C1069" s="525" t="s">
        <v>292</v>
      </c>
      <c r="D1069" s="496"/>
      <c r="E1069" s="480"/>
      <c r="F1069" s="480"/>
      <c r="G1069" s="1149"/>
      <c r="H1069" s="480" t="s">
        <v>271</v>
      </c>
      <c r="I1069" s="480"/>
      <c r="J1069" s="517"/>
      <c r="K1069" s="607" t="s">
        <v>296</v>
      </c>
      <c r="L1069" s="608"/>
      <c r="M1069" s="609"/>
      <c r="N1069" s="1150">
        <f>VLOOKUP(I1075,C1082:O1141,5)</f>
        <v>1113729.0232925727</v>
      </c>
      <c r="O1069" s="480"/>
      <c r="P1069" s="480"/>
    </row>
    <row r="1070" spans="1:16" ht="15.75">
      <c r="A1070" s="285"/>
      <c r="B1070" s="285"/>
      <c r="C1070" s="525"/>
      <c r="D1070" s="496"/>
      <c r="E1070" s="480"/>
      <c r="F1070" s="480"/>
      <c r="G1070" s="480"/>
      <c r="H1070" s="1151"/>
      <c r="I1070" s="1151"/>
      <c r="J1070" s="1152"/>
      <c r="K1070" s="612" t="s">
        <v>297</v>
      </c>
      <c r="L1070" s="1153"/>
      <c r="M1070" s="517"/>
      <c r="N1070" s="1154">
        <f>VLOOKUP(I1075,C1082:O1141,6)</f>
        <v>1113729.0232925727</v>
      </c>
      <c r="O1070" s="480"/>
      <c r="P1070" s="480"/>
    </row>
    <row r="1071" spans="1:16" ht="13.5" thickBot="1">
      <c r="A1071" s="285"/>
      <c r="B1071" s="285"/>
      <c r="C1071" s="613" t="s">
        <v>293</v>
      </c>
      <c r="D1071" s="1514" t="s">
        <v>960</v>
      </c>
      <c r="E1071" s="1514"/>
      <c r="F1071" s="1514"/>
      <c r="G1071" s="1514"/>
      <c r="H1071" s="1514"/>
      <c r="I1071" s="1147"/>
      <c r="J1071" s="1148"/>
      <c r="K1071" s="1155" t="s">
        <v>450</v>
      </c>
      <c r="L1071" s="1156"/>
      <c r="M1071" s="1156"/>
      <c r="N1071" s="1157">
        <f>+N1070-N1069</f>
        <v>0</v>
      </c>
      <c r="O1071" s="480"/>
      <c r="P1071" s="480"/>
    </row>
    <row r="1072" spans="1:16">
      <c r="A1072" s="285"/>
      <c r="B1072" s="285"/>
      <c r="C1072" s="615"/>
      <c r="D1072" s="616"/>
      <c r="E1072" s="600"/>
      <c r="F1072" s="600"/>
      <c r="G1072" s="617"/>
      <c r="H1072" s="1147"/>
      <c r="I1072" s="1147"/>
      <c r="J1072" s="1148"/>
      <c r="K1072" s="1147"/>
      <c r="L1072" s="1147"/>
      <c r="M1072" s="1147"/>
      <c r="N1072" s="1147"/>
      <c r="O1072" s="480"/>
      <c r="P1072" s="480"/>
    </row>
    <row r="1073" spans="1:16" ht="13.5" thickBot="1">
      <c r="A1073" s="285"/>
      <c r="B1073" s="285"/>
      <c r="C1073" s="618"/>
      <c r="D1073" s="619"/>
      <c r="E1073" s="617"/>
      <c r="F1073" s="617"/>
      <c r="G1073" s="617"/>
      <c r="H1073" s="617"/>
      <c r="I1073" s="617"/>
      <c r="J1073" s="620"/>
      <c r="K1073" s="617"/>
      <c r="L1073" s="617"/>
      <c r="M1073" s="617"/>
      <c r="N1073" s="617"/>
      <c r="O1073" s="508"/>
      <c r="P1073" s="480"/>
    </row>
    <row r="1074" spans="1:16" ht="13.5" thickBot="1">
      <c r="A1074" s="285"/>
      <c r="B1074" s="285"/>
      <c r="C1074" s="622" t="s">
        <v>294</v>
      </c>
      <c r="D1074" s="623"/>
      <c r="E1074" s="623"/>
      <c r="F1074" s="623"/>
      <c r="G1074" s="623"/>
      <c r="H1074" s="623"/>
      <c r="I1074" s="624"/>
      <c r="J1074" s="625"/>
      <c r="K1074" s="480"/>
      <c r="L1074" s="480"/>
      <c r="M1074" s="480"/>
      <c r="N1074" s="480"/>
      <c r="O1074" s="626"/>
      <c r="P1074" s="480"/>
    </row>
    <row r="1075" spans="1:16" ht="15">
      <c r="A1075" s="285"/>
      <c r="B1075" s="362"/>
      <c r="C1075" s="628" t="s">
        <v>272</v>
      </c>
      <c r="D1075" s="1158">
        <v>9582259.5500000007</v>
      </c>
      <c r="E1075" s="584" t="s">
        <v>273</v>
      </c>
      <c r="F1075" s="285"/>
      <c r="G1075" s="629"/>
      <c r="H1075" s="629"/>
      <c r="I1075" s="630">
        <f>$L$26</f>
        <v>2024</v>
      </c>
      <c r="J1075" s="515"/>
      <c r="K1075" s="1515" t="s">
        <v>459</v>
      </c>
      <c r="L1075" s="1515"/>
      <c r="M1075" s="1515"/>
      <c r="N1075" s="1515"/>
      <c r="O1075" s="1515"/>
      <c r="P1075" s="480"/>
    </row>
    <row r="1076" spans="1:16">
      <c r="A1076" s="285"/>
      <c r="B1076" s="362"/>
      <c r="C1076" s="628" t="s">
        <v>275</v>
      </c>
      <c r="D1076" s="1195">
        <v>2017</v>
      </c>
      <c r="E1076" s="628" t="s">
        <v>276</v>
      </c>
      <c r="F1076" s="629"/>
      <c r="G1076" s="285"/>
      <c r="H1076" s="285"/>
      <c r="I1076" s="791">
        <f>IF(G1069="",0,$F$15)</f>
        <v>0</v>
      </c>
      <c r="J1076" s="631"/>
      <c r="K1076" s="1148" t="s">
        <v>459</v>
      </c>
      <c r="L1076" s="285"/>
      <c r="M1076" s="285"/>
      <c r="N1076" s="285"/>
      <c r="O1076" s="285"/>
      <c r="P1076" s="480"/>
    </row>
    <row r="1077" spans="1:16">
      <c r="A1077" s="285"/>
      <c r="B1077" s="362"/>
      <c r="C1077" s="628" t="s">
        <v>277</v>
      </c>
      <c r="D1077" s="1158">
        <v>12</v>
      </c>
      <c r="E1077" s="628" t="s">
        <v>278</v>
      </c>
      <c r="F1077" s="629"/>
      <c r="G1077" s="285"/>
      <c r="H1077" s="285"/>
      <c r="I1077" s="632">
        <f>$G$70</f>
        <v>0.10987714662923057</v>
      </c>
      <c r="J1077" s="633"/>
      <c r="K1077" s="285" t="str">
        <f>"          INPUT PROJECTED ARR (WITH &amp; WITHOUT INCENTIVES) FROM EACH PRIOR YEAR"</f>
        <v xml:space="preserve">          INPUT PROJECTED ARR (WITH &amp; WITHOUT INCENTIVES) FROM EACH PRIOR YEAR</v>
      </c>
      <c r="L1077" s="285"/>
      <c r="M1077" s="285"/>
      <c r="N1077" s="285"/>
      <c r="O1077" s="285"/>
      <c r="P1077" s="480"/>
    </row>
    <row r="1078" spans="1:16">
      <c r="A1078" s="285"/>
      <c r="B1078" s="362"/>
      <c r="C1078" s="628" t="s">
        <v>279</v>
      </c>
      <c r="D1078" s="634">
        <f>G$79</f>
        <v>45</v>
      </c>
      <c r="E1078" s="628" t="s">
        <v>280</v>
      </c>
      <c r="F1078" s="629"/>
      <c r="G1078" s="285"/>
      <c r="H1078" s="285"/>
      <c r="I1078" s="632">
        <f>IF(G1069="",I1077,$G$67)</f>
        <v>0.10987714662923057</v>
      </c>
      <c r="J1078" s="635"/>
      <c r="K1078" s="285" t="s">
        <v>357</v>
      </c>
      <c r="L1078" s="285"/>
      <c r="M1078" s="285"/>
      <c r="N1078" s="285"/>
      <c r="O1078" s="285"/>
      <c r="P1078" s="480"/>
    </row>
    <row r="1079" spans="1:16" ht="13.5" thickBot="1">
      <c r="A1079" s="285"/>
      <c r="B1079" s="362"/>
      <c r="C1079" s="628" t="s">
        <v>281</v>
      </c>
      <c r="D1079" s="790" t="s">
        <v>949</v>
      </c>
      <c r="E1079" s="636" t="s">
        <v>282</v>
      </c>
      <c r="F1079" s="637"/>
      <c r="G1079" s="638"/>
      <c r="H1079" s="638"/>
      <c r="I1079" s="1157">
        <f>IF(D1075=0,0,D1075/D1078)</f>
        <v>212939.10111111111</v>
      </c>
      <c r="J1079" s="1148"/>
      <c r="K1079" s="1148" t="s">
        <v>363</v>
      </c>
      <c r="L1079" s="1148"/>
      <c r="M1079" s="1148"/>
      <c r="N1079" s="1148"/>
      <c r="O1079" s="517"/>
      <c r="P1079" s="480"/>
    </row>
    <row r="1080" spans="1:16" ht="51">
      <c r="A1080" s="470"/>
      <c r="B1080" s="470"/>
      <c r="C1080" s="639" t="s">
        <v>272</v>
      </c>
      <c r="D1080" s="1160" t="s">
        <v>283</v>
      </c>
      <c r="E1080" s="1161" t="s">
        <v>284</v>
      </c>
      <c r="F1080" s="1160" t="s">
        <v>285</v>
      </c>
      <c r="G1080" s="1161" t="s">
        <v>356</v>
      </c>
      <c r="H1080" s="1162" t="s">
        <v>356</v>
      </c>
      <c r="I1080" s="639" t="s">
        <v>295</v>
      </c>
      <c r="J1080" s="643"/>
      <c r="K1080" s="1161" t="s">
        <v>365</v>
      </c>
      <c r="L1080" s="1163"/>
      <c r="M1080" s="1161" t="s">
        <v>365</v>
      </c>
      <c r="N1080" s="1163"/>
      <c r="O1080" s="1163"/>
      <c r="P1080" s="480"/>
    </row>
    <row r="1081" spans="1:16" ht="13.5" thickBot="1">
      <c r="A1081" s="285"/>
      <c r="B1081" s="285"/>
      <c r="C1081" s="645" t="s">
        <v>177</v>
      </c>
      <c r="D1081" s="646" t="s">
        <v>178</v>
      </c>
      <c r="E1081" s="645" t="s">
        <v>37</v>
      </c>
      <c r="F1081" s="646" t="s">
        <v>178</v>
      </c>
      <c r="G1081" s="1164" t="s">
        <v>298</v>
      </c>
      <c r="H1081" s="1165" t="s">
        <v>300</v>
      </c>
      <c r="I1081" s="649" t="s">
        <v>389</v>
      </c>
      <c r="J1081" s="650"/>
      <c r="K1081" s="1164" t="s">
        <v>287</v>
      </c>
      <c r="L1081" s="1166"/>
      <c r="M1081" s="1164" t="s">
        <v>300</v>
      </c>
      <c r="N1081" s="1166"/>
      <c r="O1081" s="1166"/>
      <c r="P1081" s="480"/>
    </row>
    <row r="1082" spans="1:16">
      <c r="A1082" s="285"/>
      <c r="B1082" s="285"/>
      <c r="C1082" s="651">
        <f>IF(D1076= "","-",D1076)</f>
        <v>2017</v>
      </c>
      <c r="D1082" s="602">
        <f>+D1075</f>
        <v>9582259.5500000007</v>
      </c>
      <c r="E1082" s="1167">
        <f>+I1079/12*(12-D1077)</f>
        <v>0</v>
      </c>
      <c r="F1082" s="602">
        <f t="shared" ref="F1082:F1141" si="71">+D1082-E1082</f>
        <v>9582259.5500000007</v>
      </c>
      <c r="G1082" s="1168">
        <f>+$I$988*((D1082+F1082)/2)+E1082</f>
        <v>1052871.3376146951</v>
      </c>
      <c r="H1082" s="1169">
        <f>+$I$989*((D1082+F1082)/2)+E1082</f>
        <v>1052871.3376146951</v>
      </c>
      <c r="I1082" s="655">
        <f t="shared" ref="I1082:I1141" si="72">+H1082-G1082</f>
        <v>0</v>
      </c>
      <c r="J1082" s="655"/>
      <c r="K1082" s="792"/>
      <c r="L1082" s="657"/>
      <c r="M1082" s="792"/>
      <c r="N1082" s="657"/>
      <c r="O1082" s="657"/>
      <c r="P1082" s="480"/>
    </row>
    <row r="1083" spans="1:16">
      <c r="A1083" s="285"/>
      <c r="B1083" s="285"/>
      <c r="C1083" s="1194">
        <f>IF(D1076="","-",+C1082+1)</f>
        <v>2018</v>
      </c>
      <c r="D1083" s="1172">
        <f t="shared" ref="D1083:D1141" si="73">F1082</f>
        <v>9582259.5500000007</v>
      </c>
      <c r="E1083" s="1173">
        <f>IF(D1083&gt;$I$1079,$I$1079,D1083)</f>
        <v>212939.10111111111</v>
      </c>
      <c r="F1083" s="1172">
        <f t="shared" si="71"/>
        <v>9369320.4488888904</v>
      </c>
      <c r="G1083" s="1174">
        <f>+$I$1077*((D1083+F1083)/2)+E1083</f>
        <v>1254111.8683078652</v>
      </c>
      <c r="H1083" s="1175">
        <f>+$I$1078*((D1083+F1083)/2)+E1083</f>
        <v>1254111.8683078652</v>
      </c>
      <c r="I1083" s="1181">
        <f t="shared" si="72"/>
        <v>0</v>
      </c>
      <c r="J1083" s="655"/>
      <c r="K1083" s="793">
        <v>1174872</v>
      </c>
      <c r="L1083" s="661"/>
      <c r="M1083" s="793">
        <v>1174872</v>
      </c>
      <c r="N1083" s="661"/>
      <c r="O1083" s="661"/>
      <c r="P1083" s="480"/>
    </row>
    <row r="1084" spans="1:16">
      <c r="A1084" s="285"/>
      <c r="B1084" s="285"/>
      <c r="C1084" s="1229">
        <f>IF(D1075="","-",+C1083+1)</f>
        <v>2019</v>
      </c>
      <c r="D1084" s="602">
        <f t="shared" si="73"/>
        <v>9369320.4488888904</v>
      </c>
      <c r="E1084" s="1173">
        <f t="shared" ref="E1084:E1141" si="74">IF(D1084&gt;$I$1079,$I$1079,D1084)</f>
        <v>212939.10111111111</v>
      </c>
      <c r="F1084" s="602">
        <f t="shared" si="71"/>
        <v>9156381.3477777801</v>
      </c>
      <c r="G1084" s="1174">
        <f t="shared" ref="G1084:G1141" si="75">+$I$1077*((D1084+F1084)/2)+E1084</f>
        <v>1230714.7274719831</v>
      </c>
      <c r="H1084" s="1231">
        <f t="shared" ref="H1084:H1141" si="76">+$I$1078*((D1084+F1084)/2)+E1084</f>
        <v>1230714.7274719831</v>
      </c>
      <c r="I1084" s="655">
        <f t="shared" si="72"/>
        <v>0</v>
      </c>
      <c r="J1084" s="655"/>
      <c r="K1084" s="1230">
        <v>1181870</v>
      </c>
      <c r="L1084" s="661"/>
      <c r="M1084" s="1230">
        <v>1181870</v>
      </c>
      <c r="N1084" s="661"/>
      <c r="O1084" s="661"/>
      <c r="P1084" s="480"/>
    </row>
    <row r="1085" spans="1:16">
      <c r="A1085" s="285"/>
      <c r="B1085" s="285"/>
      <c r="C1085" s="1229">
        <f>IF(D1075="","-",+C1084+1)</f>
        <v>2020</v>
      </c>
      <c r="D1085" s="602">
        <f t="shared" si="73"/>
        <v>9156381.3477777801</v>
      </c>
      <c r="E1085" s="1173">
        <f t="shared" si="74"/>
        <v>212939.10111111111</v>
      </c>
      <c r="F1085" s="602">
        <f t="shared" si="71"/>
        <v>8943442.2466666698</v>
      </c>
      <c r="G1085" s="1174">
        <f t="shared" si="75"/>
        <v>1207317.5866361009</v>
      </c>
      <c r="H1085" s="1231">
        <f t="shared" si="76"/>
        <v>1207317.5866361009</v>
      </c>
      <c r="I1085" s="655">
        <f t="shared" si="72"/>
        <v>0</v>
      </c>
      <c r="J1085" s="655"/>
      <c r="K1085" s="1230">
        <v>1110564.6850760612</v>
      </c>
      <c r="L1085" s="661"/>
      <c r="M1085" s="1230">
        <v>1110564.6850760612</v>
      </c>
      <c r="N1085" s="661"/>
      <c r="O1085" s="661"/>
      <c r="P1085" s="480"/>
    </row>
    <row r="1086" spans="1:16">
      <c r="A1086" s="285"/>
      <c r="B1086" s="285"/>
      <c r="C1086" s="1229">
        <f>IF(D1076="","-",+C1085+1)</f>
        <v>2021</v>
      </c>
      <c r="D1086" s="602">
        <f t="shared" si="73"/>
        <v>8943442.2466666698</v>
      </c>
      <c r="E1086" s="1173">
        <f t="shared" si="74"/>
        <v>212939.10111111111</v>
      </c>
      <c r="F1086" s="602">
        <f t="shared" si="71"/>
        <v>8730503.1455555595</v>
      </c>
      <c r="G1086" s="1174">
        <f t="shared" si="75"/>
        <v>1183920.4458002192</v>
      </c>
      <c r="H1086" s="1231">
        <f t="shared" si="76"/>
        <v>1183920.4458002192</v>
      </c>
      <c r="I1086" s="655">
        <f t="shared" si="72"/>
        <v>0</v>
      </c>
      <c r="J1086" s="655"/>
      <c r="K1086" s="1230">
        <v>1123491.0735588395</v>
      </c>
      <c r="L1086" s="661"/>
      <c r="M1086" s="1230">
        <v>1123491.0735588395</v>
      </c>
      <c r="N1086" s="661"/>
      <c r="O1086" s="661"/>
      <c r="P1086" s="480"/>
    </row>
    <row r="1087" spans="1:16">
      <c r="A1087" s="285"/>
      <c r="B1087" s="285"/>
      <c r="C1087" s="1229">
        <f>IF(D1078="","-",+C1086+1)</f>
        <v>2022</v>
      </c>
      <c r="D1087" s="602">
        <f t="shared" si="73"/>
        <v>8730503.1455555595</v>
      </c>
      <c r="E1087" s="1173">
        <f t="shared" si="74"/>
        <v>212939.10111111111</v>
      </c>
      <c r="F1087" s="602">
        <f t="shared" si="71"/>
        <v>8517564.0444444492</v>
      </c>
      <c r="G1087" s="1174">
        <f t="shared" si="75"/>
        <v>1160523.304964337</v>
      </c>
      <c r="H1087" s="1231">
        <f t="shared" si="76"/>
        <v>1160523.304964337</v>
      </c>
      <c r="I1087" s="655">
        <f t="shared" si="72"/>
        <v>0</v>
      </c>
      <c r="J1087" s="655"/>
      <c r="K1087" s="1230">
        <v>1111541.5192683607</v>
      </c>
      <c r="L1087" s="661"/>
      <c r="M1087" s="1230">
        <v>1111541.5192683607</v>
      </c>
      <c r="N1087" s="661"/>
      <c r="O1087" s="661"/>
      <c r="P1087" s="480"/>
    </row>
    <row r="1088" spans="1:16">
      <c r="A1088" s="285"/>
      <c r="B1088" s="285"/>
      <c r="C1088" s="1229">
        <f>IF(D1078="","-",+C1087+1)</f>
        <v>2023</v>
      </c>
      <c r="D1088" s="602">
        <f t="shared" si="73"/>
        <v>8517564.0444444492</v>
      </c>
      <c r="E1088" s="1173">
        <f t="shared" si="74"/>
        <v>212939.10111111111</v>
      </c>
      <c r="F1088" s="602">
        <f t="shared" si="71"/>
        <v>8304624.943333338</v>
      </c>
      <c r="G1088" s="1174">
        <f t="shared" si="75"/>
        <v>1137126.1641284549</v>
      </c>
      <c r="H1088" s="1231">
        <f t="shared" si="76"/>
        <v>1137126.1641284549</v>
      </c>
      <c r="I1088" s="655">
        <f t="shared" si="72"/>
        <v>0</v>
      </c>
      <c r="J1088" s="655"/>
      <c r="K1088" s="1230">
        <v>1153662.4994624322</v>
      </c>
      <c r="L1088" s="661"/>
      <c r="M1088" s="1230">
        <v>1153662.4994624322</v>
      </c>
      <c r="N1088" s="661"/>
      <c r="O1088" s="661"/>
      <c r="P1088" s="480"/>
    </row>
    <row r="1089" spans="1:16">
      <c r="A1089" s="285"/>
      <c r="B1089" s="285"/>
      <c r="C1089" s="1171">
        <f>IF(D1076="","-",+C1088+1)</f>
        <v>2024</v>
      </c>
      <c r="D1089" s="1172">
        <f t="shared" si="73"/>
        <v>8304624.943333338</v>
      </c>
      <c r="E1089" s="1173">
        <f t="shared" si="74"/>
        <v>212939.10111111111</v>
      </c>
      <c r="F1089" s="1172">
        <f t="shared" si="71"/>
        <v>8091685.8422222268</v>
      </c>
      <c r="G1089" s="1174">
        <f t="shared" si="75"/>
        <v>1113729.0232925727</v>
      </c>
      <c r="H1089" s="1231">
        <f t="shared" si="76"/>
        <v>1113729.0232925727</v>
      </c>
      <c r="I1089" s="1181">
        <f t="shared" si="72"/>
        <v>0</v>
      </c>
      <c r="J1089" s="655"/>
      <c r="K1089" s="1230"/>
      <c r="L1089" s="661"/>
      <c r="M1089" s="1230"/>
      <c r="N1089" s="661"/>
      <c r="O1089" s="661"/>
      <c r="P1089" s="480"/>
    </row>
    <row r="1090" spans="1:16">
      <c r="A1090" s="285"/>
      <c r="B1090" s="285"/>
      <c r="C1090" s="651">
        <f>IF(D1076="","-",+C1089+1)</f>
        <v>2025</v>
      </c>
      <c r="D1090" s="602">
        <f t="shared" si="73"/>
        <v>8091685.8422222268</v>
      </c>
      <c r="E1090" s="1173">
        <f t="shared" si="74"/>
        <v>212939.10111111111</v>
      </c>
      <c r="F1090" s="602">
        <f t="shared" si="71"/>
        <v>7878746.7411111156</v>
      </c>
      <c r="G1090" s="1174">
        <f t="shared" si="75"/>
        <v>1090331.8824566908</v>
      </c>
      <c r="H1090" s="1231">
        <f t="shared" si="76"/>
        <v>1090331.8824566908</v>
      </c>
      <c r="I1090" s="655">
        <f t="shared" si="72"/>
        <v>0</v>
      </c>
      <c r="J1090" s="655"/>
      <c r="K1090" s="1230"/>
      <c r="L1090" s="661"/>
      <c r="M1090" s="1230"/>
      <c r="N1090" s="661"/>
      <c r="O1090" s="661"/>
      <c r="P1090" s="480"/>
    </row>
    <row r="1091" spans="1:16">
      <c r="A1091" s="285"/>
      <c r="B1091" s="285"/>
      <c r="C1091" s="651">
        <f>IF(D1076="","-",+C1090+1)</f>
        <v>2026</v>
      </c>
      <c r="D1091" s="602">
        <f t="shared" si="73"/>
        <v>7878746.7411111156</v>
      </c>
      <c r="E1091" s="1173">
        <f t="shared" si="74"/>
        <v>212939.10111111111</v>
      </c>
      <c r="F1091" s="602">
        <f t="shared" si="71"/>
        <v>7665807.6400000043</v>
      </c>
      <c r="G1091" s="1174">
        <f t="shared" si="75"/>
        <v>1066934.7416208084</v>
      </c>
      <c r="H1091" s="1231">
        <f t="shared" si="76"/>
        <v>1066934.7416208084</v>
      </c>
      <c r="I1091" s="655">
        <f t="shared" si="72"/>
        <v>0</v>
      </c>
      <c r="J1091" s="655"/>
      <c r="K1091" s="1230"/>
      <c r="L1091" s="661"/>
      <c r="M1091" s="1230"/>
      <c r="N1091" s="661"/>
      <c r="O1091" s="661"/>
      <c r="P1091" s="480"/>
    </row>
    <row r="1092" spans="1:16">
      <c r="A1092" s="285"/>
      <c r="B1092" s="285"/>
      <c r="C1092" s="651">
        <f>IF(D1076="","-",+C1091+1)</f>
        <v>2027</v>
      </c>
      <c r="D1092" s="602">
        <f t="shared" si="73"/>
        <v>7665807.6400000043</v>
      </c>
      <c r="E1092" s="1173">
        <f t="shared" si="74"/>
        <v>212939.10111111111</v>
      </c>
      <c r="F1092" s="602">
        <f t="shared" si="71"/>
        <v>7452868.5388888931</v>
      </c>
      <c r="G1092" s="1174">
        <f t="shared" si="75"/>
        <v>1043537.6007849264</v>
      </c>
      <c r="H1092" s="1231">
        <f t="shared" si="76"/>
        <v>1043537.6007849264</v>
      </c>
      <c r="I1092" s="655">
        <f t="shared" si="72"/>
        <v>0</v>
      </c>
      <c r="J1092" s="655"/>
      <c r="K1092" s="1230"/>
      <c r="L1092" s="661"/>
      <c r="M1092" s="1230"/>
      <c r="N1092" s="661"/>
      <c r="O1092" s="661"/>
      <c r="P1092" s="480"/>
    </row>
    <row r="1093" spans="1:16">
      <c r="A1093" s="285"/>
      <c r="B1093" s="285"/>
      <c r="C1093" s="651">
        <f>IF(D1076="","-",+C1092+1)</f>
        <v>2028</v>
      </c>
      <c r="D1093" s="602">
        <f t="shared" si="73"/>
        <v>7452868.5388888931</v>
      </c>
      <c r="E1093" s="1173">
        <f t="shared" si="74"/>
        <v>212939.10111111111</v>
      </c>
      <c r="F1093" s="602">
        <f t="shared" si="71"/>
        <v>7239929.4377777819</v>
      </c>
      <c r="G1093" s="1174">
        <f t="shared" si="75"/>
        <v>1020140.4599490443</v>
      </c>
      <c r="H1093" s="1231">
        <f t="shared" si="76"/>
        <v>1020140.4599490443</v>
      </c>
      <c r="I1093" s="655">
        <f t="shared" si="72"/>
        <v>0</v>
      </c>
      <c r="J1093" s="655"/>
      <c r="K1093" s="1230"/>
      <c r="L1093" s="661"/>
      <c r="M1093" s="1230"/>
      <c r="N1093" s="661"/>
      <c r="O1093" s="661"/>
      <c r="P1093" s="480"/>
    </row>
    <row r="1094" spans="1:16">
      <c r="A1094" s="285"/>
      <c r="B1094" s="285"/>
      <c r="C1094" s="651">
        <f>IF(D1076="","-",+C1093+1)</f>
        <v>2029</v>
      </c>
      <c r="D1094" s="602">
        <f t="shared" si="73"/>
        <v>7239929.4377777819</v>
      </c>
      <c r="E1094" s="1173">
        <f t="shared" si="74"/>
        <v>212939.10111111111</v>
      </c>
      <c r="F1094" s="602">
        <f t="shared" si="71"/>
        <v>7026990.3366666706</v>
      </c>
      <c r="G1094" s="1174">
        <f t="shared" si="75"/>
        <v>996743.31911316223</v>
      </c>
      <c r="H1094" s="1231">
        <f t="shared" si="76"/>
        <v>996743.31911316223</v>
      </c>
      <c r="I1094" s="655">
        <f t="shared" si="72"/>
        <v>0</v>
      </c>
      <c r="J1094" s="655"/>
      <c r="K1094" s="1230"/>
      <c r="L1094" s="661"/>
      <c r="M1094" s="1230"/>
      <c r="N1094" s="662"/>
      <c r="O1094" s="661"/>
      <c r="P1094" s="480"/>
    </row>
    <row r="1095" spans="1:16">
      <c r="A1095" s="285"/>
      <c r="B1095" s="285"/>
      <c r="C1095" s="651">
        <f>IF(D1076="","-",+C1094+1)</f>
        <v>2030</v>
      </c>
      <c r="D1095" s="602">
        <f t="shared" si="73"/>
        <v>7026990.3366666706</v>
      </c>
      <c r="E1095" s="1173">
        <f t="shared" si="74"/>
        <v>212939.10111111111</v>
      </c>
      <c r="F1095" s="602">
        <f t="shared" si="71"/>
        <v>6814051.2355555594</v>
      </c>
      <c r="G1095" s="1174">
        <f t="shared" si="75"/>
        <v>973346.17827728007</v>
      </c>
      <c r="H1095" s="1231">
        <f t="shared" si="76"/>
        <v>973346.17827728007</v>
      </c>
      <c r="I1095" s="655">
        <f t="shared" si="72"/>
        <v>0</v>
      </c>
      <c r="J1095" s="655"/>
      <c r="K1095" s="1230"/>
      <c r="L1095" s="661"/>
      <c r="M1095" s="1230"/>
      <c r="N1095" s="661"/>
      <c r="O1095" s="661"/>
      <c r="P1095" s="480"/>
    </row>
    <row r="1096" spans="1:16">
      <c r="A1096" s="285"/>
      <c r="B1096" s="285"/>
      <c r="C1096" s="651">
        <f>IF(D1076="","-",+C1095+1)</f>
        <v>2031</v>
      </c>
      <c r="D1096" s="602">
        <f t="shared" si="73"/>
        <v>6814051.2355555594</v>
      </c>
      <c r="E1096" s="1173">
        <f t="shared" si="74"/>
        <v>212939.10111111111</v>
      </c>
      <c r="F1096" s="602">
        <f t="shared" si="71"/>
        <v>6601112.1344444482</v>
      </c>
      <c r="G1096" s="1174">
        <f t="shared" si="75"/>
        <v>949949.03744139802</v>
      </c>
      <c r="H1096" s="1231">
        <f t="shared" si="76"/>
        <v>949949.03744139802</v>
      </c>
      <c r="I1096" s="655">
        <f t="shared" si="72"/>
        <v>0</v>
      </c>
      <c r="J1096" s="655"/>
      <c r="K1096" s="1230"/>
      <c r="L1096" s="661"/>
      <c r="M1096" s="1230"/>
      <c r="N1096" s="661"/>
      <c r="O1096" s="661"/>
      <c r="P1096" s="480"/>
    </row>
    <row r="1097" spans="1:16">
      <c r="A1097" s="285"/>
      <c r="B1097" s="285"/>
      <c r="C1097" s="651">
        <f>IF(D1076="","-",+C1096+1)</f>
        <v>2032</v>
      </c>
      <c r="D1097" s="602">
        <f t="shared" si="73"/>
        <v>6601112.1344444482</v>
      </c>
      <c r="E1097" s="1173">
        <f t="shared" si="74"/>
        <v>212939.10111111111</v>
      </c>
      <c r="F1097" s="602">
        <f t="shared" si="71"/>
        <v>6388173.0333333369</v>
      </c>
      <c r="G1097" s="1174">
        <f t="shared" si="75"/>
        <v>926551.89660551574</v>
      </c>
      <c r="H1097" s="1231">
        <f t="shared" si="76"/>
        <v>926551.89660551574</v>
      </c>
      <c r="I1097" s="655">
        <f t="shared" si="72"/>
        <v>0</v>
      </c>
      <c r="J1097" s="655"/>
      <c r="K1097" s="1230"/>
      <c r="L1097" s="661"/>
      <c r="M1097" s="1230"/>
      <c r="N1097" s="661"/>
      <c r="O1097" s="661"/>
      <c r="P1097" s="480"/>
    </row>
    <row r="1098" spans="1:16">
      <c r="A1098" s="285"/>
      <c r="B1098" s="285"/>
      <c r="C1098" s="651">
        <f>IF(D1076="","-",+C1097+1)</f>
        <v>2033</v>
      </c>
      <c r="D1098" s="602">
        <f t="shared" si="73"/>
        <v>6388173.0333333369</v>
      </c>
      <c r="E1098" s="1173">
        <f t="shared" si="74"/>
        <v>212939.10111111111</v>
      </c>
      <c r="F1098" s="602">
        <f t="shared" si="71"/>
        <v>6175233.9322222257</v>
      </c>
      <c r="G1098" s="1174">
        <f t="shared" si="75"/>
        <v>903154.7557696338</v>
      </c>
      <c r="H1098" s="1231">
        <f t="shared" si="76"/>
        <v>903154.7557696338</v>
      </c>
      <c r="I1098" s="655">
        <f t="shared" si="72"/>
        <v>0</v>
      </c>
      <c r="J1098" s="655"/>
      <c r="K1098" s="1230"/>
      <c r="L1098" s="661"/>
      <c r="M1098" s="1230"/>
      <c r="N1098" s="661"/>
      <c r="O1098" s="661"/>
      <c r="P1098" s="480"/>
    </row>
    <row r="1099" spans="1:16">
      <c r="A1099" s="285"/>
      <c r="B1099" s="285"/>
      <c r="C1099" s="651">
        <f>IF(D1076="","-",+C1098+1)</f>
        <v>2034</v>
      </c>
      <c r="D1099" s="602">
        <f t="shared" si="73"/>
        <v>6175233.9322222257</v>
      </c>
      <c r="E1099" s="1173">
        <f t="shared" si="74"/>
        <v>212939.10111111111</v>
      </c>
      <c r="F1099" s="602">
        <f t="shared" si="71"/>
        <v>5962294.8311111145</v>
      </c>
      <c r="G1099" s="1174">
        <f t="shared" si="75"/>
        <v>879757.61493375152</v>
      </c>
      <c r="H1099" s="1231">
        <f t="shared" si="76"/>
        <v>879757.61493375152</v>
      </c>
      <c r="I1099" s="655">
        <f t="shared" si="72"/>
        <v>0</v>
      </c>
      <c r="J1099" s="655"/>
      <c r="K1099" s="1230"/>
      <c r="L1099" s="661"/>
      <c r="M1099" s="1230"/>
      <c r="N1099" s="661"/>
      <c r="O1099" s="661"/>
      <c r="P1099" s="480"/>
    </row>
    <row r="1100" spans="1:16">
      <c r="A1100" s="285"/>
      <c r="B1100" s="285"/>
      <c r="C1100" s="651">
        <f>IF(D1076="","-",+C1099+1)</f>
        <v>2035</v>
      </c>
      <c r="D1100" s="602">
        <f t="shared" si="73"/>
        <v>5962294.8311111145</v>
      </c>
      <c r="E1100" s="1173">
        <f t="shared" si="74"/>
        <v>212939.10111111111</v>
      </c>
      <c r="F1100" s="602">
        <f t="shared" si="71"/>
        <v>5749355.7300000032</v>
      </c>
      <c r="G1100" s="1174">
        <f t="shared" si="75"/>
        <v>856360.47409786948</v>
      </c>
      <c r="H1100" s="1231">
        <f t="shared" si="76"/>
        <v>856360.47409786948</v>
      </c>
      <c r="I1100" s="655">
        <f t="shared" si="72"/>
        <v>0</v>
      </c>
      <c r="J1100" s="655"/>
      <c r="K1100" s="1230"/>
      <c r="L1100" s="661"/>
      <c r="M1100" s="1230"/>
      <c r="N1100" s="661"/>
      <c r="O1100" s="661"/>
      <c r="P1100" s="480"/>
    </row>
    <row r="1101" spans="1:16">
      <c r="A1101" s="285"/>
      <c r="B1101" s="285"/>
      <c r="C1101" s="651">
        <f>IF(D1076="","-",+C1100+1)</f>
        <v>2036</v>
      </c>
      <c r="D1101" s="602">
        <f t="shared" si="73"/>
        <v>5749355.7300000032</v>
      </c>
      <c r="E1101" s="1173">
        <f t="shared" si="74"/>
        <v>212939.10111111111</v>
      </c>
      <c r="F1101" s="602">
        <f t="shared" si="71"/>
        <v>5536416.628888892</v>
      </c>
      <c r="G1101" s="1174">
        <f t="shared" si="75"/>
        <v>832963.33326198731</v>
      </c>
      <c r="H1101" s="1231">
        <f t="shared" si="76"/>
        <v>832963.33326198731</v>
      </c>
      <c r="I1101" s="655">
        <f t="shared" si="72"/>
        <v>0</v>
      </c>
      <c r="J1101" s="655"/>
      <c r="K1101" s="1230"/>
      <c r="L1101" s="661"/>
      <c r="M1101" s="1230"/>
      <c r="N1101" s="661"/>
      <c r="O1101" s="661"/>
      <c r="P1101" s="480"/>
    </row>
    <row r="1102" spans="1:16">
      <c r="A1102" s="285"/>
      <c r="B1102" s="285"/>
      <c r="C1102" s="651">
        <f>IF(D1076="","-",+C1101+1)</f>
        <v>2037</v>
      </c>
      <c r="D1102" s="602">
        <f t="shared" si="73"/>
        <v>5536416.628888892</v>
      </c>
      <c r="E1102" s="1173">
        <f t="shared" si="74"/>
        <v>212939.10111111111</v>
      </c>
      <c r="F1102" s="602">
        <f t="shared" si="71"/>
        <v>5323477.5277777808</v>
      </c>
      <c r="G1102" s="1174">
        <f t="shared" si="75"/>
        <v>809566.19242610526</v>
      </c>
      <c r="H1102" s="1231">
        <f t="shared" si="76"/>
        <v>809566.19242610526</v>
      </c>
      <c r="I1102" s="655">
        <f t="shared" si="72"/>
        <v>0</v>
      </c>
      <c r="J1102" s="655"/>
      <c r="K1102" s="1230"/>
      <c r="L1102" s="661"/>
      <c r="M1102" s="1230"/>
      <c r="N1102" s="661"/>
      <c r="O1102" s="661"/>
      <c r="P1102" s="480"/>
    </row>
    <row r="1103" spans="1:16">
      <c r="A1103" s="285"/>
      <c r="B1103" s="285"/>
      <c r="C1103" s="651">
        <f>IF(D1076="","-",+C1102+1)</f>
        <v>2038</v>
      </c>
      <c r="D1103" s="602">
        <f t="shared" si="73"/>
        <v>5323477.5277777808</v>
      </c>
      <c r="E1103" s="1173">
        <f t="shared" si="74"/>
        <v>212939.10111111111</v>
      </c>
      <c r="F1103" s="602">
        <f t="shared" si="71"/>
        <v>5110538.4266666695</v>
      </c>
      <c r="G1103" s="1174">
        <f t="shared" si="75"/>
        <v>786169.0515902231</v>
      </c>
      <c r="H1103" s="1231">
        <f t="shared" si="76"/>
        <v>786169.0515902231</v>
      </c>
      <c r="I1103" s="655">
        <f t="shared" si="72"/>
        <v>0</v>
      </c>
      <c r="J1103" s="655"/>
      <c r="K1103" s="1230"/>
      <c r="L1103" s="661"/>
      <c r="M1103" s="1230"/>
      <c r="N1103" s="661"/>
      <c r="O1103" s="661"/>
      <c r="P1103" s="480"/>
    </row>
    <row r="1104" spans="1:16">
      <c r="A1104" s="285"/>
      <c r="B1104" s="285"/>
      <c r="C1104" s="651">
        <f>IF(D1076="","-",+C1103+1)</f>
        <v>2039</v>
      </c>
      <c r="D1104" s="602">
        <f t="shared" si="73"/>
        <v>5110538.4266666695</v>
      </c>
      <c r="E1104" s="1173">
        <f t="shared" si="74"/>
        <v>212939.10111111111</v>
      </c>
      <c r="F1104" s="602">
        <f t="shared" si="71"/>
        <v>4897599.3255555583</v>
      </c>
      <c r="G1104" s="1174">
        <f t="shared" si="75"/>
        <v>762771.91075434105</v>
      </c>
      <c r="H1104" s="1231">
        <f t="shared" si="76"/>
        <v>762771.91075434105</v>
      </c>
      <c r="I1104" s="655">
        <f t="shared" si="72"/>
        <v>0</v>
      </c>
      <c r="J1104" s="655"/>
      <c r="K1104" s="1230"/>
      <c r="L1104" s="661"/>
      <c r="M1104" s="1230"/>
      <c r="N1104" s="661"/>
      <c r="O1104" s="661"/>
      <c r="P1104" s="480"/>
    </row>
    <row r="1105" spans="1:16">
      <c r="A1105" s="285"/>
      <c r="B1105" s="285"/>
      <c r="C1105" s="651">
        <f>IF(D1076="","-",+C1104+1)</f>
        <v>2040</v>
      </c>
      <c r="D1105" s="602">
        <f t="shared" si="73"/>
        <v>4897599.3255555583</v>
      </c>
      <c r="E1105" s="1173">
        <f t="shared" si="74"/>
        <v>212939.10111111111</v>
      </c>
      <c r="F1105" s="602">
        <f t="shared" si="71"/>
        <v>4684660.2244444471</v>
      </c>
      <c r="G1105" s="1174">
        <f t="shared" si="75"/>
        <v>739374.76991845877</v>
      </c>
      <c r="H1105" s="1231">
        <f t="shared" si="76"/>
        <v>739374.76991845877</v>
      </c>
      <c r="I1105" s="655">
        <f t="shared" si="72"/>
        <v>0</v>
      </c>
      <c r="J1105" s="655"/>
      <c r="K1105" s="1230"/>
      <c r="L1105" s="661"/>
      <c r="M1105" s="1230"/>
      <c r="N1105" s="661"/>
      <c r="O1105" s="661"/>
      <c r="P1105" s="480"/>
    </row>
    <row r="1106" spans="1:16">
      <c r="A1106" s="285"/>
      <c r="B1106" s="285"/>
      <c r="C1106" s="651">
        <f>IF(D1076="","-",+C1105+1)</f>
        <v>2041</v>
      </c>
      <c r="D1106" s="602">
        <f t="shared" si="73"/>
        <v>4684660.2244444471</v>
      </c>
      <c r="E1106" s="1173">
        <f t="shared" si="74"/>
        <v>212939.10111111111</v>
      </c>
      <c r="F1106" s="602">
        <f t="shared" si="71"/>
        <v>4471721.1233333359</v>
      </c>
      <c r="G1106" s="1174">
        <f t="shared" si="75"/>
        <v>715977.62908257684</v>
      </c>
      <c r="H1106" s="1231">
        <f t="shared" si="76"/>
        <v>715977.62908257684</v>
      </c>
      <c r="I1106" s="655">
        <f t="shared" si="72"/>
        <v>0</v>
      </c>
      <c r="J1106" s="655"/>
      <c r="K1106" s="1230"/>
      <c r="L1106" s="661"/>
      <c r="M1106" s="1230"/>
      <c r="N1106" s="661"/>
      <c r="O1106" s="661"/>
      <c r="P1106" s="480"/>
    </row>
    <row r="1107" spans="1:16">
      <c r="A1107" s="285"/>
      <c r="B1107" s="285"/>
      <c r="C1107" s="651">
        <f>IF(D1076="","-",+C1106+1)</f>
        <v>2042</v>
      </c>
      <c r="D1107" s="602">
        <f t="shared" si="73"/>
        <v>4471721.1233333359</v>
      </c>
      <c r="E1107" s="1173">
        <f t="shared" si="74"/>
        <v>212939.10111111111</v>
      </c>
      <c r="F1107" s="602">
        <f t="shared" si="71"/>
        <v>4258782.0222222246</v>
      </c>
      <c r="G1107" s="1174">
        <f t="shared" si="75"/>
        <v>692580.48824669456</v>
      </c>
      <c r="H1107" s="1231">
        <f t="shared" si="76"/>
        <v>692580.48824669456</v>
      </c>
      <c r="I1107" s="655">
        <f t="shared" si="72"/>
        <v>0</v>
      </c>
      <c r="J1107" s="655"/>
      <c r="K1107" s="1230"/>
      <c r="L1107" s="661"/>
      <c r="M1107" s="1230"/>
      <c r="N1107" s="661"/>
      <c r="O1107" s="661"/>
      <c r="P1107" s="480"/>
    </row>
    <row r="1108" spans="1:16">
      <c r="A1108" s="285"/>
      <c r="B1108" s="285"/>
      <c r="C1108" s="651">
        <f>IF(D1076="","-",+C1107+1)</f>
        <v>2043</v>
      </c>
      <c r="D1108" s="602">
        <f t="shared" si="73"/>
        <v>4258782.0222222246</v>
      </c>
      <c r="E1108" s="1173">
        <f t="shared" si="74"/>
        <v>212939.10111111111</v>
      </c>
      <c r="F1108" s="602">
        <f t="shared" si="71"/>
        <v>4045842.9211111134</v>
      </c>
      <c r="G1108" s="1174">
        <f t="shared" si="75"/>
        <v>669183.34741081251</v>
      </c>
      <c r="H1108" s="1231">
        <f t="shared" si="76"/>
        <v>669183.34741081251</v>
      </c>
      <c r="I1108" s="655">
        <f t="shared" si="72"/>
        <v>0</v>
      </c>
      <c r="J1108" s="655"/>
      <c r="K1108" s="1230"/>
      <c r="L1108" s="661"/>
      <c r="M1108" s="1230"/>
      <c r="N1108" s="661"/>
      <c r="O1108" s="661"/>
      <c r="P1108" s="480"/>
    </row>
    <row r="1109" spans="1:16">
      <c r="A1109" s="285"/>
      <c r="B1109" s="285"/>
      <c r="C1109" s="651">
        <f>IF(D1076="","-",+C1108+1)</f>
        <v>2044</v>
      </c>
      <c r="D1109" s="602">
        <f t="shared" si="73"/>
        <v>4045842.9211111134</v>
      </c>
      <c r="E1109" s="1173">
        <f t="shared" si="74"/>
        <v>212939.10111111111</v>
      </c>
      <c r="F1109" s="602">
        <f t="shared" si="71"/>
        <v>3832903.8200000022</v>
      </c>
      <c r="G1109" s="1174">
        <f t="shared" si="75"/>
        <v>645786.20657493034</v>
      </c>
      <c r="H1109" s="1231">
        <f t="shared" si="76"/>
        <v>645786.20657493034</v>
      </c>
      <c r="I1109" s="655">
        <f t="shared" si="72"/>
        <v>0</v>
      </c>
      <c r="J1109" s="655"/>
      <c r="K1109" s="1230"/>
      <c r="L1109" s="661"/>
      <c r="M1109" s="1230"/>
      <c r="N1109" s="661"/>
      <c r="O1109" s="661"/>
      <c r="P1109" s="480"/>
    </row>
    <row r="1110" spans="1:16">
      <c r="A1110" s="285"/>
      <c r="B1110" s="285"/>
      <c r="C1110" s="651">
        <f>IF(D1076="","-",+C1109+1)</f>
        <v>2045</v>
      </c>
      <c r="D1110" s="602">
        <f t="shared" si="73"/>
        <v>3832903.8200000022</v>
      </c>
      <c r="E1110" s="1173">
        <f t="shared" si="74"/>
        <v>212939.10111111111</v>
      </c>
      <c r="F1110" s="602">
        <f t="shared" si="71"/>
        <v>3619964.7188888909</v>
      </c>
      <c r="G1110" s="1174">
        <f t="shared" si="75"/>
        <v>622389.06573904818</v>
      </c>
      <c r="H1110" s="1231">
        <f t="shared" si="76"/>
        <v>622389.06573904818</v>
      </c>
      <c r="I1110" s="655">
        <f t="shared" si="72"/>
        <v>0</v>
      </c>
      <c r="J1110" s="655"/>
      <c r="K1110" s="1230"/>
      <c r="L1110" s="661"/>
      <c r="M1110" s="1230"/>
      <c r="N1110" s="661"/>
      <c r="O1110" s="661"/>
      <c r="P1110" s="480"/>
    </row>
    <row r="1111" spans="1:16">
      <c r="A1111" s="285"/>
      <c r="B1111" s="285"/>
      <c r="C1111" s="651">
        <f>IF(D1076="","-",+C1110+1)</f>
        <v>2046</v>
      </c>
      <c r="D1111" s="602">
        <f t="shared" si="73"/>
        <v>3619964.7188888909</v>
      </c>
      <c r="E1111" s="1173">
        <f t="shared" si="74"/>
        <v>212939.10111111111</v>
      </c>
      <c r="F1111" s="602">
        <f t="shared" si="71"/>
        <v>3407025.6177777797</v>
      </c>
      <c r="G1111" s="1174">
        <f t="shared" si="75"/>
        <v>598991.92490316613</v>
      </c>
      <c r="H1111" s="1231">
        <f t="shared" si="76"/>
        <v>598991.92490316613</v>
      </c>
      <c r="I1111" s="655">
        <f t="shared" si="72"/>
        <v>0</v>
      </c>
      <c r="J1111" s="655"/>
      <c r="K1111" s="1230"/>
      <c r="L1111" s="661"/>
      <c r="M1111" s="1230"/>
      <c r="N1111" s="661"/>
      <c r="O1111" s="661"/>
      <c r="P1111" s="480"/>
    </row>
    <row r="1112" spans="1:16">
      <c r="A1112" s="285"/>
      <c r="B1112" s="285"/>
      <c r="C1112" s="651">
        <f>IF(D1076="","-",+C1111+1)</f>
        <v>2047</v>
      </c>
      <c r="D1112" s="602">
        <f t="shared" si="73"/>
        <v>3407025.6177777797</v>
      </c>
      <c r="E1112" s="1173">
        <f t="shared" si="74"/>
        <v>212939.10111111111</v>
      </c>
      <c r="F1112" s="602">
        <f t="shared" si="71"/>
        <v>3194086.5166666685</v>
      </c>
      <c r="G1112" s="1174">
        <f t="shared" si="75"/>
        <v>575594.78406728408</v>
      </c>
      <c r="H1112" s="1231">
        <f t="shared" si="76"/>
        <v>575594.78406728408</v>
      </c>
      <c r="I1112" s="655">
        <f t="shared" si="72"/>
        <v>0</v>
      </c>
      <c r="J1112" s="655"/>
      <c r="K1112" s="1230"/>
      <c r="L1112" s="661"/>
      <c r="M1112" s="1230"/>
      <c r="N1112" s="661"/>
      <c r="O1112" s="661"/>
      <c r="P1112" s="480"/>
    </row>
    <row r="1113" spans="1:16">
      <c r="A1113" s="285"/>
      <c r="B1113" s="285"/>
      <c r="C1113" s="651">
        <f>IF(D1076="","-",+C1112+1)</f>
        <v>2048</v>
      </c>
      <c r="D1113" s="602">
        <f t="shared" si="73"/>
        <v>3194086.5166666685</v>
      </c>
      <c r="E1113" s="1173">
        <f t="shared" si="74"/>
        <v>212939.10111111111</v>
      </c>
      <c r="F1113" s="602">
        <f t="shared" si="71"/>
        <v>2981147.4155555572</v>
      </c>
      <c r="G1113" s="1174">
        <f t="shared" si="75"/>
        <v>552197.64323140192</v>
      </c>
      <c r="H1113" s="1231">
        <f t="shared" si="76"/>
        <v>552197.64323140192</v>
      </c>
      <c r="I1113" s="655">
        <f t="shared" si="72"/>
        <v>0</v>
      </c>
      <c r="J1113" s="655"/>
      <c r="K1113" s="1230"/>
      <c r="L1113" s="661"/>
      <c r="M1113" s="1230"/>
      <c r="N1113" s="661"/>
      <c r="O1113" s="661"/>
      <c r="P1113" s="480"/>
    </row>
    <row r="1114" spans="1:16">
      <c r="A1114" s="285"/>
      <c r="B1114" s="285"/>
      <c r="C1114" s="651">
        <f>IF(D1076="","-",+C1113+1)</f>
        <v>2049</v>
      </c>
      <c r="D1114" s="602">
        <f t="shared" si="73"/>
        <v>2981147.4155555572</v>
      </c>
      <c r="E1114" s="1173">
        <f t="shared" si="74"/>
        <v>212939.10111111111</v>
      </c>
      <c r="F1114" s="602">
        <f t="shared" si="71"/>
        <v>2768208.314444446</v>
      </c>
      <c r="G1114" s="1174">
        <f t="shared" si="75"/>
        <v>528800.50239551975</v>
      </c>
      <c r="H1114" s="1231">
        <f t="shared" si="76"/>
        <v>528800.50239551975</v>
      </c>
      <c r="I1114" s="655">
        <f t="shared" si="72"/>
        <v>0</v>
      </c>
      <c r="J1114" s="655"/>
      <c r="K1114" s="1230"/>
      <c r="L1114" s="661"/>
      <c r="M1114" s="1230"/>
      <c r="N1114" s="661"/>
      <c r="O1114" s="661"/>
      <c r="P1114" s="480"/>
    </row>
    <row r="1115" spans="1:16">
      <c r="A1115" s="285"/>
      <c r="B1115" s="285"/>
      <c r="C1115" s="651">
        <f>IF(D1076="","-",+C1114+1)</f>
        <v>2050</v>
      </c>
      <c r="D1115" s="602">
        <f t="shared" si="73"/>
        <v>2768208.314444446</v>
      </c>
      <c r="E1115" s="1173">
        <f t="shared" si="74"/>
        <v>212939.10111111111</v>
      </c>
      <c r="F1115" s="602">
        <f t="shared" si="71"/>
        <v>2555269.2133333348</v>
      </c>
      <c r="G1115" s="1174">
        <f t="shared" si="75"/>
        <v>505403.36155963765</v>
      </c>
      <c r="H1115" s="1231">
        <f t="shared" si="76"/>
        <v>505403.36155963765</v>
      </c>
      <c r="I1115" s="655">
        <f t="shared" si="72"/>
        <v>0</v>
      </c>
      <c r="J1115" s="655"/>
      <c r="K1115" s="1230"/>
      <c r="L1115" s="661"/>
      <c r="M1115" s="1230"/>
      <c r="N1115" s="661"/>
      <c r="O1115" s="661"/>
      <c r="P1115" s="480"/>
    </row>
    <row r="1116" spans="1:16">
      <c r="A1116" s="285"/>
      <c r="B1116" s="285"/>
      <c r="C1116" s="651">
        <f>IF(D1076="","-",+C1115+1)</f>
        <v>2051</v>
      </c>
      <c r="D1116" s="602">
        <f t="shared" si="73"/>
        <v>2555269.2133333348</v>
      </c>
      <c r="E1116" s="1173">
        <f t="shared" si="74"/>
        <v>212939.10111111111</v>
      </c>
      <c r="F1116" s="602">
        <f t="shared" si="71"/>
        <v>2342330.1122222235</v>
      </c>
      <c r="G1116" s="1174">
        <f t="shared" si="75"/>
        <v>482006.22072375554</v>
      </c>
      <c r="H1116" s="1231">
        <f t="shared" si="76"/>
        <v>482006.22072375554</v>
      </c>
      <c r="I1116" s="655">
        <f t="shared" si="72"/>
        <v>0</v>
      </c>
      <c r="J1116" s="655"/>
      <c r="K1116" s="1230"/>
      <c r="L1116" s="661"/>
      <c r="M1116" s="1230"/>
      <c r="N1116" s="661"/>
      <c r="O1116" s="661"/>
      <c r="P1116" s="480"/>
    </row>
    <row r="1117" spans="1:16">
      <c r="A1117" s="285"/>
      <c r="B1117" s="285"/>
      <c r="C1117" s="651">
        <f>IF(D1076="","-",+C1116+1)</f>
        <v>2052</v>
      </c>
      <c r="D1117" s="602">
        <f t="shared" si="73"/>
        <v>2342330.1122222235</v>
      </c>
      <c r="E1117" s="1173">
        <f t="shared" si="74"/>
        <v>212939.10111111111</v>
      </c>
      <c r="F1117" s="602">
        <f t="shared" si="71"/>
        <v>2129391.0111111123</v>
      </c>
      <c r="G1117" s="1174">
        <f t="shared" si="75"/>
        <v>458609.07988787338</v>
      </c>
      <c r="H1117" s="1231">
        <f t="shared" si="76"/>
        <v>458609.07988787338</v>
      </c>
      <c r="I1117" s="655">
        <f t="shared" si="72"/>
        <v>0</v>
      </c>
      <c r="J1117" s="655"/>
      <c r="K1117" s="1230"/>
      <c r="L1117" s="661"/>
      <c r="M1117" s="1230"/>
      <c r="N1117" s="661"/>
      <c r="O1117" s="661"/>
      <c r="P1117" s="480"/>
    </row>
    <row r="1118" spans="1:16">
      <c r="A1118" s="285"/>
      <c r="B1118" s="285"/>
      <c r="C1118" s="651">
        <f>IF(D1076="","-",+C1117+1)</f>
        <v>2053</v>
      </c>
      <c r="D1118" s="602">
        <f t="shared" si="73"/>
        <v>2129391.0111111123</v>
      </c>
      <c r="E1118" s="1173">
        <f t="shared" si="74"/>
        <v>212939.10111111111</v>
      </c>
      <c r="F1118" s="602">
        <f t="shared" si="71"/>
        <v>1916451.9100000011</v>
      </c>
      <c r="G1118" s="1174">
        <f t="shared" si="75"/>
        <v>435211.93905199127</v>
      </c>
      <c r="H1118" s="1231">
        <f t="shared" si="76"/>
        <v>435211.93905199127</v>
      </c>
      <c r="I1118" s="655">
        <f t="shared" si="72"/>
        <v>0</v>
      </c>
      <c r="J1118" s="655"/>
      <c r="K1118" s="1230"/>
      <c r="L1118" s="661"/>
      <c r="M1118" s="793"/>
      <c r="N1118" s="661"/>
      <c r="O1118" s="661"/>
      <c r="P1118" s="480"/>
    </row>
    <row r="1119" spans="1:16">
      <c r="A1119" s="285"/>
      <c r="B1119" s="285"/>
      <c r="C1119" s="651">
        <f>IF(D1076="","-",+C1118+1)</f>
        <v>2054</v>
      </c>
      <c r="D1119" s="602">
        <f t="shared" si="73"/>
        <v>1916451.9100000011</v>
      </c>
      <c r="E1119" s="1173">
        <f t="shared" si="74"/>
        <v>212939.10111111111</v>
      </c>
      <c r="F1119" s="602">
        <f t="shared" si="71"/>
        <v>1703512.8088888898</v>
      </c>
      <c r="G1119" s="1174">
        <f t="shared" si="75"/>
        <v>411814.79821610916</v>
      </c>
      <c r="H1119" s="1231">
        <f t="shared" si="76"/>
        <v>411814.79821610916</v>
      </c>
      <c r="I1119" s="655">
        <f t="shared" si="72"/>
        <v>0</v>
      </c>
      <c r="J1119" s="655"/>
      <c r="K1119" s="793"/>
      <c r="L1119" s="661"/>
      <c r="M1119" s="793"/>
      <c r="N1119" s="661"/>
      <c r="O1119" s="661"/>
      <c r="P1119" s="480"/>
    </row>
    <row r="1120" spans="1:16">
      <c r="A1120" s="285"/>
      <c r="B1120" s="285"/>
      <c r="C1120" s="651">
        <f>IF(D1076="","-",+C1119+1)</f>
        <v>2055</v>
      </c>
      <c r="D1120" s="602">
        <f t="shared" si="73"/>
        <v>1703512.8088888898</v>
      </c>
      <c r="E1120" s="1173">
        <f t="shared" si="74"/>
        <v>212939.10111111111</v>
      </c>
      <c r="F1120" s="602">
        <f t="shared" si="71"/>
        <v>1490573.7077777786</v>
      </c>
      <c r="G1120" s="1174">
        <f t="shared" si="75"/>
        <v>388417.657380227</v>
      </c>
      <c r="H1120" s="1231">
        <f t="shared" si="76"/>
        <v>388417.657380227</v>
      </c>
      <c r="I1120" s="655">
        <f t="shared" si="72"/>
        <v>0</v>
      </c>
      <c r="J1120" s="655"/>
      <c r="K1120" s="793"/>
      <c r="L1120" s="661"/>
      <c r="M1120" s="793"/>
      <c r="N1120" s="661"/>
      <c r="O1120" s="661"/>
      <c r="P1120" s="480"/>
    </row>
    <row r="1121" spans="1:16">
      <c r="A1121" s="285"/>
      <c r="B1121" s="285"/>
      <c r="C1121" s="651">
        <f>IF(D1076="","-",+C1120+1)</f>
        <v>2056</v>
      </c>
      <c r="D1121" s="602">
        <f t="shared" si="73"/>
        <v>1490573.7077777786</v>
      </c>
      <c r="E1121" s="1173">
        <f t="shared" si="74"/>
        <v>212939.10111111111</v>
      </c>
      <c r="F1121" s="602">
        <f t="shared" si="71"/>
        <v>1277634.6066666674</v>
      </c>
      <c r="G1121" s="1174">
        <f t="shared" si="75"/>
        <v>365020.51654434489</v>
      </c>
      <c r="H1121" s="1231">
        <f t="shared" si="76"/>
        <v>365020.51654434489</v>
      </c>
      <c r="I1121" s="655">
        <f t="shared" si="72"/>
        <v>0</v>
      </c>
      <c r="J1121" s="655"/>
      <c r="K1121" s="793"/>
      <c r="L1121" s="661"/>
      <c r="M1121" s="793"/>
      <c r="N1121" s="661"/>
      <c r="O1121" s="661"/>
      <c r="P1121" s="480"/>
    </row>
    <row r="1122" spans="1:16">
      <c r="A1122" s="285"/>
      <c r="B1122" s="285"/>
      <c r="C1122" s="651">
        <f>IF(D1076="","-",+C1121+1)</f>
        <v>2057</v>
      </c>
      <c r="D1122" s="602">
        <f t="shared" si="73"/>
        <v>1277634.6066666674</v>
      </c>
      <c r="E1122" s="1173">
        <f t="shared" si="74"/>
        <v>212939.10111111111</v>
      </c>
      <c r="F1122" s="602">
        <f t="shared" si="71"/>
        <v>1064695.5055555562</v>
      </c>
      <c r="G1122" s="1174">
        <f t="shared" si="75"/>
        <v>341623.37570846279</v>
      </c>
      <c r="H1122" s="1231">
        <f t="shared" si="76"/>
        <v>341623.37570846279</v>
      </c>
      <c r="I1122" s="655">
        <f t="shared" si="72"/>
        <v>0</v>
      </c>
      <c r="J1122" s="655"/>
      <c r="K1122" s="793"/>
      <c r="L1122" s="661"/>
      <c r="M1122" s="793"/>
      <c r="N1122" s="661"/>
      <c r="O1122" s="661"/>
      <c r="P1122" s="480"/>
    </row>
    <row r="1123" spans="1:16">
      <c r="A1123" s="285"/>
      <c r="B1123" s="285"/>
      <c r="C1123" s="651">
        <f>IF(D1076="","-",+C1122+1)</f>
        <v>2058</v>
      </c>
      <c r="D1123" s="602">
        <f t="shared" si="73"/>
        <v>1064695.5055555562</v>
      </c>
      <c r="E1123" s="1173">
        <f t="shared" si="74"/>
        <v>212939.10111111111</v>
      </c>
      <c r="F1123" s="602">
        <f t="shared" si="71"/>
        <v>851756.40444444504</v>
      </c>
      <c r="G1123" s="1174">
        <f t="shared" si="75"/>
        <v>318226.23487258068</v>
      </c>
      <c r="H1123" s="1231">
        <f t="shared" si="76"/>
        <v>318226.23487258068</v>
      </c>
      <c r="I1123" s="655">
        <f t="shared" si="72"/>
        <v>0</v>
      </c>
      <c r="J1123" s="655"/>
      <c r="K1123" s="793"/>
      <c r="L1123" s="661"/>
      <c r="M1123" s="793"/>
      <c r="N1123" s="661"/>
      <c r="O1123" s="661"/>
      <c r="P1123" s="480"/>
    </row>
    <row r="1124" spans="1:16">
      <c r="A1124" s="285"/>
      <c r="B1124" s="285"/>
      <c r="C1124" s="651">
        <f>IF(D1076="","-",+C1123+1)</f>
        <v>2059</v>
      </c>
      <c r="D1124" s="602">
        <f t="shared" si="73"/>
        <v>851756.40444444504</v>
      </c>
      <c r="E1124" s="1173">
        <f t="shared" si="74"/>
        <v>212939.10111111111</v>
      </c>
      <c r="F1124" s="602">
        <f t="shared" si="71"/>
        <v>638817.30333333393</v>
      </c>
      <c r="G1124" s="1174">
        <f t="shared" si="75"/>
        <v>294829.09403669857</v>
      </c>
      <c r="H1124" s="1231">
        <f t="shared" si="76"/>
        <v>294829.09403669857</v>
      </c>
      <c r="I1124" s="655">
        <f t="shared" si="72"/>
        <v>0</v>
      </c>
      <c r="J1124" s="655"/>
      <c r="K1124" s="793"/>
      <c r="L1124" s="661"/>
      <c r="M1124" s="793"/>
      <c r="N1124" s="661"/>
      <c r="O1124" s="661"/>
      <c r="P1124" s="480"/>
    </row>
    <row r="1125" spans="1:16">
      <c r="A1125" s="285"/>
      <c r="B1125" s="285"/>
      <c r="C1125" s="651">
        <f>IF(D1076="","-",+C1124+1)</f>
        <v>2060</v>
      </c>
      <c r="D1125" s="602">
        <f t="shared" si="73"/>
        <v>638817.30333333393</v>
      </c>
      <c r="E1125" s="1173">
        <f t="shared" si="74"/>
        <v>212939.10111111111</v>
      </c>
      <c r="F1125" s="602">
        <f t="shared" si="71"/>
        <v>425878.20222222281</v>
      </c>
      <c r="G1125" s="1174">
        <f t="shared" si="75"/>
        <v>271431.95320081647</v>
      </c>
      <c r="H1125" s="1231">
        <f t="shared" si="76"/>
        <v>271431.95320081647</v>
      </c>
      <c r="I1125" s="655">
        <f t="shared" si="72"/>
        <v>0</v>
      </c>
      <c r="J1125" s="655"/>
      <c r="K1125" s="793"/>
      <c r="L1125" s="661"/>
      <c r="M1125" s="793"/>
      <c r="N1125" s="661"/>
      <c r="O1125" s="661"/>
      <c r="P1125" s="480"/>
    </row>
    <row r="1126" spans="1:16">
      <c r="A1126" s="285"/>
      <c r="B1126" s="285"/>
      <c r="C1126" s="651">
        <f>IF(D1076="","-",+C1125+1)</f>
        <v>2061</v>
      </c>
      <c r="D1126" s="602">
        <f t="shared" si="73"/>
        <v>425878.20222222281</v>
      </c>
      <c r="E1126" s="1173">
        <f t="shared" si="74"/>
        <v>212939.10111111111</v>
      </c>
      <c r="F1126" s="602">
        <f t="shared" si="71"/>
        <v>212939.1011111117</v>
      </c>
      <c r="G1126" s="1174">
        <f t="shared" si="75"/>
        <v>248034.81236493433</v>
      </c>
      <c r="H1126" s="1231">
        <f t="shared" si="76"/>
        <v>248034.81236493433</v>
      </c>
      <c r="I1126" s="655">
        <f t="shared" si="72"/>
        <v>0</v>
      </c>
      <c r="J1126" s="655"/>
      <c r="K1126" s="793"/>
      <c r="L1126" s="661"/>
      <c r="M1126" s="793"/>
      <c r="N1126" s="661"/>
      <c r="O1126" s="661"/>
      <c r="P1126" s="480"/>
    </row>
    <row r="1127" spans="1:16">
      <c r="A1127" s="285"/>
      <c r="B1127" s="285"/>
      <c r="C1127" s="651">
        <f>IF(D1076="","-",+C1126+1)</f>
        <v>2062</v>
      </c>
      <c r="D1127" s="602">
        <f t="shared" si="73"/>
        <v>212939.1011111117</v>
      </c>
      <c r="E1127" s="1173">
        <f t="shared" si="74"/>
        <v>212939.10111111111</v>
      </c>
      <c r="F1127" s="602">
        <f t="shared" si="71"/>
        <v>5.8207660913467407E-10</v>
      </c>
      <c r="G1127" s="1174">
        <f t="shared" si="75"/>
        <v>224637.67152905223</v>
      </c>
      <c r="H1127" s="1231">
        <f t="shared" si="76"/>
        <v>224637.67152905223</v>
      </c>
      <c r="I1127" s="655">
        <f t="shared" si="72"/>
        <v>0</v>
      </c>
      <c r="J1127" s="655"/>
      <c r="K1127" s="793"/>
      <c r="L1127" s="661"/>
      <c r="M1127" s="793"/>
      <c r="N1127" s="661"/>
      <c r="O1127" s="661"/>
      <c r="P1127" s="480"/>
    </row>
    <row r="1128" spans="1:16">
      <c r="A1128" s="285"/>
      <c r="B1128" s="285"/>
      <c r="C1128" s="651">
        <f>IF(D1076="","-",+C1127+1)</f>
        <v>2063</v>
      </c>
      <c r="D1128" s="602">
        <f t="shared" si="73"/>
        <v>5.8207660913467407E-10</v>
      </c>
      <c r="E1128" s="1173">
        <f t="shared" si="74"/>
        <v>5.8207660913467407E-10</v>
      </c>
      <c r="F1128" s="602">
        <f t="shared" si="71"/>
        <v>0</v>
      </c>
      <c r="G1128" s="1174">
        <f t="shared" si="75"/>
        <v>6.1405506760034202E-10</v>
      </c>
      <c r="H1128" s="1231">
        <f t="shared" si="76"/>
        <v>6.1405506760034202E-10</v>
      </c>
      <c r="I1128" s="655">
        <f t="shared" si="72"/>
        <v>0</v>
      </c>
      <c r="J1128" s="655"/>
      <c r="K1128" s="793"/>
      <c r="L1128" s="661"/>
      <c r="M1128" s="793"/>
      <c r="N1128" s="661"/>
      <c r="O1128" s="661"/>
      <c r="P1128" s="480"/>
    </row>
    <row r="1129" spans="1:16">
      <c r="A1129" s="285"/>
      <c r="B1129" s="285"/>
      <c r="C1129" s="651">
        <f>IF(D1076="","-",+C1128+1)</f>
        <v>2064</v>
      </c>
      <c r="D1129" s="602">
        <f t="shared" si="73"/>
        <v>0</v>
      </c>
      <c r="E1129" s="1173">
        <f t="shared" si="74"/>
        <v>0</v>
      </c>
      <c r="F1129" s="602">
        <f t="shared" si="71"/>
        <v>0</v>
      </c>
      <c r="G1129" s="1174">
        <f t="shared" si="75"/>
        <v>0</v>
      </c>
      <c r="H1129" s="1231">
        <f t="shared" si="76"/>
        <v>0</v>
      </c>
      <c r="I1129" s="655">
        <f t="shared" si="72"/>
        <v>0</v>
      </c>
      <c r="J1129" s="655"/>
      <c r="K1129" s="793"/>
      <c r="L1129" s="661"/>
      <c r="M1129" s="793"/>
      <c r="N1129" s="661"/>
      <c r="O1129" s="661"/>
      <c r="P1129" s="480"/>
    </row>
    <row r="1130" spans="1:16">
      <c r="A1130" s="285"/>
      <c r="B1130" s="285"/>
      <c r="C1130" s="651">
        <f>IF(D1076="","-",+C1129+1)</f>
        <v>2065</v>
      </c>
      <c r="D1130" s="602">
        <f t="shared" si="73"/>
        <v>0</v>
      </c>
      <c r="E1130" s="1173">
        <f t="shared" si="74"/>
        <v>0</v>
      </c>
      <c r="F1130" s="602">
        <f t="shared" si="71"/>
        <v>0</v>
      </c>
      <c r="G1130" s="1174">
        <f t="shared" si="75"/>
        <v>0</v>
      </c>
      <c r="H1130" s="1231">
        <f t="shared" si="76"/>
        <v>0</v>
      </c>
      <c r="I1130" s="655">
        <f t="shared" si="72"/>
        <v>0</v>
      </c>
      <c r="J1130" s="655"/>
      <c r="K1130" s="793"/>
      <c r="L1130" s="661"/>
      <c r="M1130" s="793"/>
      <c r="N1130" s="661"/>
      <c r="O1130" s="661"/>
      <c r="P1130" s="480"/>
    </row>
    <row r="1131" spans="1:16">
      <c r="A1131" s="285"/>
      <c r="B1131" s="285"/>
      <c r="C1131" s="651">
        <f>IF(D1076="","-",+C1130+1)</f>
        <v>2066</v>
      </c>
      <c r="D1131" s="602">
        <f t="shared" si="73"/>
        <v>0</v>
      </c>
      <c r="E1131" s="1173">
        <f t="shared" si="74"/>
        <v>0</v>
      </c>
      <c r="F1131" s="602">
        <f t="shared" si="71"/>
        <v>0</v>
      </c>
      <c r="G1131" s="1174">
        <f t="shared" si="75"/>
        <v>0</v>
      </c>
      <c r="H1131" s="1231">
        <f t="shared" si="76"/>
        <v>0</v>
      </c>
      <c r="I1131" s="655">
        <f t="shared" si="72"/>
        <v>0</v>
      </c>
      <c r="J1131" s="655"/>
      <c r="K1131" s="793"/>
      <c r="L1131" s="661"/>
      <c r="M1131" s="793"/>
      <c r="N1131" s="661"/>
      <c r="O1131" s="661"/>
      <c r="P1131" s="480"/>
    </row>
    <row r="1132" spans="1:16">
      <c r="A1132" s="285"/>
      <c r="B1132" s="285"/>
      <c r="C1132" s="651">
        <f>IF(D1076="","-",+C1131+1)</f>
        <v>2067</v>
      </c>
      <c r="D1132" s="602">
        <f t="shared" si="73"/>
        <v>0</v>
      </c>
      <c r="E1132" s="1173">
        <f t="shared" si="74"/>
        <v>0</v>
      </c>
      <c r="F1132" s="602">
        <f t="shared" si="71"/>
        <v>0</v>
      </c>
      <c r="G1132" s="1174">
        <f t="shared" si="75"/>
        <v>0</v>
      </c>
      <c r="H1132" s="1231">
        <f t="shared" si="76"/>
        <v>0</v>
      </c>
      <c r="I1132" s="655">
        <f t="shared" si="72"/>
        <v>0</v>
      </c>
      <c r="J1132" s="655"/>
      <c r="K1132" s="793"/>
      <c r="L1132" s="661"/>
      <c r="M1132" s="793"/>
      <c r="N1132" s="661"/>
      <c r="O1132" s="661"/>
      <c r="P1132" s="480"/>
    </row>
    <row r="1133" spans="1:16">
      <c r="A1133" s="285"/>
      <c r="B1133" s="285"/>
      <c r="C1133" s="651">
        <f>IF(D1076="","-",+C1132+1)</f>
        <v>2068</v>
      </c>
      <c r="D1133" s="602">
        <f t="shared" si="73"/>
        <v>0</v>
      </c>
      <c r="E1133" s="1173">
        <f t="shared" si="74"/>
        <v>0</v>
      </c>
      <c r="F1133" s="602">
        <f t="shared" si="71"/>
        <v>0</v>
      </c>
      <c r="G1133" s="1174">
        <f t="shared" si="75"/>
        <v>0</v>
      </c>
      <c r="H1133" s="1231">
        <f t="shared" si="76"/>
        <v>0</v>
      </c>
      <c r="I1133" s="655">
        <f t="shared" si="72"/>
        <v>0</v>
      </c>
      <c r="J1133" s="655"/>
      <c r="K1133" s="793"/>
      <c r="L1133" s="661"/>
      <c r="M1133" s="793"/>
      <c r="N1133" s="661"/>
      <c r="O1133" s="661"/>
      <c r="P1133" s="480"/>
    </row>
    <row r="1134" spans="1:16">
      <c r="A1134" s="285"/>
      <c r="B1134" s="285"/>
      <c r="C1134" s="651">
        <f>IF(D1076="","-",+C1133+1)</f>
        <v>2069</v>
      </c>
      <c r="D1134" s="602">
        <f t="shared" si="73"/>
        <v>0</v>
      </c>
      <c r="E1134" s="1173">
        <f t="shared" si="74"/>
        <v>0</v>
      </c>
      <c r="F1134" s="602">
        <f t="shared" si="71"/>
        <v>0</v>
      </c>
      <c r="G1134" s="1174">
        <f t="shared" si="75"/>
        <v>0</v>
      </c>
      <c r="H1134" s="1231">
        <f t="shared" si="76"/>
        <v>0</v>
      </c>
      <c r="I1134" s="655">
        <f t="shared" si="72"/>
        <v>0</v>
      </c>
      <c r="J1134" s="655"/>
      <c r="K1134" s="793"/>
      <c r="L1134" s="661"/>
      <c r="M1134" s="793"/>
      <c r="N1134" s="661"/>
      <c r="O1134" s="661"/>
      <c r="P1134" s="480"/>
    </row>
    <row r="1135" spans="1:16">
      <c r="A1135" s="285"/>
      <c r="B1135" s="285"/>
      <c r="C1135" s="651">
        <f>IF(D1076="","-",+C1134+1)</f>
        <v>2070</v>
      </c>
      <c r="D1135" s="602">
        <f t="shared" si="73"/>
        <v>0</v>
      </c>
      <c r="E1135" s="1173">
        <f t="shared" si="74"/>
        <v>0</v>
      </c>
      <c r="F1135" s="602">
        <f t="shared" si="71"/>
        <v>0</v>
      </c>
      <c r="G1135" s="1174">
        <f t="shared" si="75"/>
        <v>0</v>
      </c>
      <c r="H1135" s="1231">
        <f t="shared" si="76"/>
        <v>0</v>
      </c>
      <c r="I1135" s="655">
        <f t="shared" si="72"/>
        <v>0</v>
      </c>
      <c r="J1135" s="655"/>
      <c r="K1135" s="793"/>
      <c r="L1135" s="661"/>
      <c r="M1135" s="793"/>
      <c r="N1135" s="661"/>
      <c r="O1135" s="661"/>
      <c r="P1135" s="480"/>
    </row>
    <row r="1136" spans="1:16">
      <c r="A1136" s="285"/>
      <c r="B1136" s="285"/>
      <c r="C1136" s="651">
        <f>IF(D1076="","-",+C1135+1)</f>
        <v>2071</v>
      </c>
      <c r="D1136" s="602">
        <f t="shared" si="73"/>
        <v>0</v>
      </c>
      <c r="E1136" s="1173">
        <f t="shared" si="74"/>
        <v>0</v>
      </c>
      <c r="F1136" s="602">
        <f t="shared" si="71"/>
        <v>0</v>
      </c>
      <c r="G1136" s="1174">
        <f t="shared" si="75"/>
        <v>0</v>
      </c>
      <c r="H1136" s="1199">
        <f t="shared" si="76"/>
        <v>0</v>
      </c>
      <c r="I1136" s="655">
        <f t="shared" si="72"/>
        <v>0</v>
      </c>
      <c r="J1136" s="655"/>
      <c r="K1136" s="793"/>
      <c r="L1136" s="661"/>
      <c r="M1136" s="793"/>
      <c r="N1136" s="661"/>
      <c r="O1136" s="661"/>
      <c r="P1136" s="480"/>
    </row>
    <row r="1137" spans="1:16">
      <c r="A1137" s="285"/>
      <c r="B1137" s="285"/>
      <c r="C1137" s="651">
        <f>IF(D1076="","-",+C1136+1)</f>
        <v>2072</v>
      </c>
      <c r="D1137" s="602">
        <f t="shared" si="73"/>
        <v>0</v>
      </c>
      <c r="E1137" s="1173">
        <f t="shared" si="74"/>
        <v>0</v>
      </c>
      <c r="F1137" s="602">
        <f t="shared" si="71"/>
        <v>0</v>
      </c>
      <c r="G1137" s="1174">
        <f t="shared" si="75"/>
        <v>0</v>
      </c>
      <c r="H1137" s="1199">
        <f t="shared" si="76"/>
        <v>0</v>
      </c>
      <c r="I1137" s="655">
        <f t="shared" si="72"/>
        <v>0</v>
      </c>
      <c r="J1137" s="655"/>
      <c r="K1137" s="793"/>
      <c r="L1137" s="661"/>
      <c r="M1137" s="793"/>
      <c r="N1137" s="661"/>
      <c r="O1137" s="661"/>
      <c r="P1137" s="480"/>
    </row>
    <row r="1138" spans="1:16">
      <c r="A1138" s="285"/>
      <c r="B1138" s="285"/>
      <c r="C1138" s="651">
        <f>IF(D1076="","-",+C1137+1)</f>
        <v>2073</v>
      </c>
      <c r="D1138" s="602">
        <f t="shared" si="73"/>
        <v>0</v>
      </c>
      <c r="E1138" s="1173">
        <f t="shared" si="74"/>
        <v>0</v>
      </c>
      <c r="F1138" s="602">
        <f t="shared" si="71"/>
        <v>0</v>
      </c>
      <c r="G1138" s="1174">
        <f t="shared" si="75"/>
        <v>0</v>
      </c>
      <c r="H1138" s="1199">
        <f t="shared" si="76"/>
        <v>0</v>
      </c>
      <c r="I1138" s="655">
        <f t="shared" si="72"/>
        <v>0</v>
      </c>
      <c r="J1138" s="655"/>
      <c r="K1138" s="793"/>
      <c r="L1138" s="661"/>
      <c r="M1138" s="793"/>
      <c r="N1138" s="661"/>
      <c r="O1138" s="661"/>
      <c r="P1138" s="480"/>
    </row>
    <row r="1139" spans="1:16">
      <c r="A1139" s="285"/>
      <c r="B1139" s="285"/>
      <c r="C1139" s="651">
        <f>IF(D1076="","-",+C1138+1)</f>
        <v>2074</v>
      </c>
      <c r="D1139" s="602">
        <f t="shared" si="73"/>
        <v>0</v>
      </c>
      <c r="E1139" s="1173">
        <f t="shared" si="74"/>
        <v>0</v>
      </c>
      <c r="F1139" s="602">
        <f t="shared" si="71"/>
        <v>0</v>
      </c>
      <c r="G1139" s="1174">
        <f t="shared" si="75"/>
        <v>0</v>
      </c>
      <c r="H1139" s="1199">
        <f t="shared" si="76"/>
        <v>0</v>
      </c>
      <c r="I1139" s="655">
        <f t="shared" si="72"/>
        <v>0</v>
      </c>
      <c r="J1139" s="655"/>
      <c r="K1139" s="793"/>
      <c r="L1139" s="661"/>
      <c r="M1139" s="793"/>
      <c r="N1139" s="661"/>
      <c r="O1139" s="661"/>
      <c r="P1139" s="480"/>
    </row>
    <row r="1140" spans="1:16">
      <c r="A1140" s="285"/>
      <c r="B1140" s="285"/>
      <c r="C1140" s="651">
        <f>IF(D1076="","-",+C1139+1)</f>
        <v>2075</v>
      </c>
      <c r="D1140" s="602">
        <f t="shared" si="73"/>
        <v>0</v>
      </c>
      <c r="E1140" s="1173">
        <f t="shared" si="74"/>
        <v>0</v>
      </c>
      <c r="F1140" s="602">
        <f t="shared" si="71"/>
        <v>0</v>
      </c>
      <c r="G1140" s="1174">
        <f t="shared" si="75"/>
        <v>0</v>
      </c>
      <c r="H1140" s="1199">
        <f t="shared" si="76"/>
        <v>0</v>
      </c>
      <c r="I1140" s="655">
        <f t="shared" si="72"/>
        <v>0</v>
      </c>
      <c r="J1140" s="655"/>
      <c r="K1140" s="793"/>
      <c r="L1140" s="661"/>
      <c r="M1140" s="793"/>
      <c r="N1140" s="661"/>
      <c r="O1140" s="661"/>
      <c r="P1140" s="480"/>
    </row>
    <row r="1141" spans="1:16" ht="13.5" thickBot="1">
      <c r="A1141" s="285"/>
      <c r="B1141" s="285"/>
      <c r="C1141" s="663">
        <f>IF(D1076="","-",+C1140+1)</f>
        <v>2076</v>
      </c>
      <c r="D1141" s="664">
        <f t="shared" si="73"/>
        <v>0</v>
      </c>
      <c r="E1141" s="1196">
        <f t="shared" si="74"/>
        <v>0</v>
      </c>
      <c r="F1141" s="664">
        <f t="shared" si="71"/>
        <v>0</v>
      </c>
      <c r="G1141" s="1200">
        <f t="shared" si="75"/>
        <v>0</v>
      </c>
      <c r="H1141" s="1202">
        <f t="shared" si="76"/>
        <v>0</v>
      </c>
      <c r="I1141" s="667">
        <f t="shared" si="72"/>
        <v>0</v>
      </c>
      <c r="J1141" s="655"/>
      <c r="K1141" s="794"/>
      <c r="L1141" s="669"/>
      <c r="M1141" s="794"/>
      <c r="N1141" s="669"/>
      <c r="O1141" s="669"/>
      <c r="P1141" s="480"/>
    </row>
    <row r="1142" spans="1:16">
      <c r="A1142" s="285"/>
      <c r="B1142" s="285"/>
      <c r="C1142" s="602" t="s">
        <v>288</v>
      </c>
      <c r="D1142" s="1148"/>
      <c r="E1142" s="1148">
        <f>SUM(E1082:E1141)</f>
        <v>9582259.5499999989</v>
      </c>
      <c r="F1142" s="1148"/>
      <c r="G1142" s="1148">
        <f>SUM(G1082:G1141)</f>
        <v>34324735.983945347</v>
      </c>
      <c r="H1142" s="1148">
        <f>SUM(H1082:H1141)</f>
        <v>34324735.983945347</v>
      </c>
      <c r="I1142" s="1148">
        <f>SUM(I1082:I1141)</f>
        <v>0</v>
      </c>
      <c r="J1142" s="1148"/>
      <c r="K1142" s="1148"/>
      <c r="L1142" s="1148"/>
      <c r="M1142" s="1148"/>
      <c r="N1142" s="1148"/>
      <c r="O1142" s="480"/>
      <c r="P1142" s="480"/>
    </row>
    <row r="1143" spans="1:16">
      <c r="A1143" s="285"/>
      <c r="B1143" s="285"/>
      <c r="C1143" s="285"/>
      <c r="D1143" s="496"/>
      <c r="E1143" s="480"/>
      <c r="F1143" s="480"/>
      <c r="G1143" s="480"/>
      <c r="H1143" s="1147"/>
      <c r="I1143" s="1147"/>
      <c r="J1143" s="1148"/>
      <c r="K1143" s="1147"/>
      <c r="L1143" s="1147"/>
      <c r="M1143" s="1147"/>
      <c r="N1143" s="1147"/>
      <c r="O1143" s="480"/>
      <c r="P1143" s="480"/>
    </row>
    <row r="1144" spans="1:16">
      <c r="A1144" s="285"/>
      <c r="B1144" s="285"/>
      <c r="C1144" s="480" t="s">
        <v>601</v>
      </c>
      <c r="D1144" s="496"/>
      <c r="E1144" s="480"/>
      <c r="F1144" s="480"/>
      <c r="G1144" s="480"/>
      <c r="H1144" s="1147"/>
      <c r="I1144" s="1147"/>
      <c r="J1144" s="1148"/>
      <c r="K1144" s="1147"/>
      <c r="L1144" s="1147"/>
      <c r="M1144" s="1147"/>
      <c r="N1144" s="1147"/>
      <c r="O1144" s="480"/>
      <c r="P1144" s="480"/>
    </row>
    <row r="1145" spans="1:16">
      <c r="A1145" s="285"/>
      <c r="B1145" s="285"/>
      <c r="C1145" s="285"/>
      <c r="D1145" s="496"/>
      <c r="E1145" s="480"/>
      <c r="F1145" s="480"/>
      <c r="G1145" s="480"/>
      <c r="H1145" s="1147"/>
      <c r="I1145" s="1147"/>
      <c r="J1145" s="1148"/>
      <c r="K1145" s="1147"/>
      <c r="L1145" s="1147"/>
      <c r="M1145" s="1147"/>
      <c r="N1145" s="1147"/>
      <c r="O1145" s="480"/>
      <c r="P1145" s="480"/>
    </row>
    <row r="1146" spans="1:16">
      <c r="A1146" s="285"/>
      <c r="B1146" s="285"/>
      <c r="C1146" s="508" t="s">
        <v>602</v>
      </c>
      <c r="D1146" s="602"/>
      <c r="E1146" s="602"/>
      <c r="F1146" s="602"/>
      <c r="G1146" s="1148"/>
      <c r="H1146" s="1148"/>
      <c r="I1146" s="603"/>
      <c r="J1146" s="603"/>
      <c r="K1146" s="603"/>
      <c r="L1146" s="603"/>
      <c r="M1146" s="603"/>
      <c r="N1146" s="603"/>
      <c r="O1146" s="480"/>
      <c r="P1146" s="480"/>
    </row>
    <row r="1147" spans="1:16">
      <c r="A1147" s="285"/>
      <c r="B1147" s="285"/>
      <c r="C1147" s="508" t="s">
        <v>476</v>
      </c>
      <c r="D1147" s="602"/>
      <c r="E1147" s="602"/>
      <c r="F1147" s="602"/>
      <c r="G1147" s="1148"/>
      <c r="H1147" s="1148"/>
      <c r="I1147" s="603"/>
      <c r="J1147" s="603"/>
      <c r="K1147" s="603"/>
      <c r="L1147" s="603"/>
      <c r="M1147" s="603"/>
      <c r="N1147" s="603"/>
      <c r="O1147" s="480"/>
      <c r="P1147" s="480"/>
    </row>
    <row r="1148" spans="1:16">
      <c r="A1148" s="285"/>
      <c r="B1148" s="285"/>
      <c r="C1148" s="508" t="s">
        <v>289</v>
      </c>
      <c r="D1148" s="602"/>
      <c r="E1148" s="602"/>
      <c r="F1148" s="602"/>
      <c r="G1148" s="1148"/>
      <c r="H1148" s="1148"/>
      <c r="I1148" s="603"/>
      <c r="J1148" s="603"/>
      <c r="K1148" s="603"/>
      <c r="L1148" s="603"/>
      <c r="M1148" s="603"/>
      <c r="N1148" s="603"/>
      <c r="O1148" s="480"/>
      <c r="P1148" s="480"/>
    </row>
    <row r="1149" spans="1:16">
      <c r="A1149" s="285"/>
      <c r="B1149" s="285"/>
      <c r="C1149" s="601"/>
      <c r="D1149" s="602"/>
      <c r="E1149" s="602"/>
      <c r="F1149" s="602"/>
      <c r="G1149" s="1148"/>
      <c r="H1149" s="1148"/>
      <c r="I1149" s="603"/>
      <c r="J1149" s="603"/>
      <c r="K1149" s="603"/>
      <c r="L1149" s="603"/>
      <c r="M1149" s="603"/>
      <c r="N1149" s="603"/>
      <c r="O1149" s="480"/>
      <c r="P1149" s="480"/>
    </row>
    <row r="1150" spans="1:16">
      <c r="A1150" s="285"/>
      <c r="B1150" s="285"/>
      <c r="C1150" s="1513" t="s">
        <v>460</v>
      </c>
      <c r="D1150" s="1513"/>
      <c r="E1150" s="1513"/>
      <c r="F1150" s="1513"/>
      <c r="G1150" s="1513"/>
      <c r="H1150" s="1513"/>
      <c r="I1150" s="1513"/>
      <c r="J1150" s="1513"/>
      <c r="K1150" s="1513"/>
      <c r="L1150" s="1513"/>
      <c r="M1150" s="1513"/>
      <c r="N1150" s="1513"/>
      <c r="O1150" s="1513"/>
      <c r="P1150" s="480"/>
    </row>
    <row r="1151" spans="1:16">
      <c r="A1151" s="285"/>
      <c r="B1151" s="285"/>
      <c r="C1151" s="1513"/>
      <c r="D1151" s="1513"/>
      <c r="E1151" s="1513"/>
      <c r="F1151" s="1513"/>
      <c r="G1151" s="1513"/>
      <c r="H1151" s="1513"/>
      <c r="I1151" s="1513"/>
      <c r="J1151" s="1513"/>
      <c r="K1151" s="1513"/>
      <c r="L1151" s="1513"/>
      <c r="M1151" s="1513"/>
      <c r="N1151" s="1513"/>
      <c r="O1151" s="1513"/>
      <c r="P1151" s="480"/>
    </row>
    <row r="1152" spans="1:16" ht="20.25">
      <c r="A1152" s="604" t="s">
        <v>947</v>
      </c>
      <c r="B1152" s="480"/>
      <c r="C1152" s="584"/>
      <c r="D1152" s="496"/>
      <c r="E1152" s="480"/>
      <c r="F1152" s="574"/>
      <c r="G1152" s="480"/>
      <c r="H1152" s="1147"/>
      <c r="I1152" s="285"/>
      <c r="J1152" s="271"/>
      <c r="K1152" s="605"/>
      <c r="L1152" s="605"/>
      <c r="M1152" s="605"/>
      <c r="N1152" s="520" t="str">
        <f>"Page "&amp;SUM(P$6:P1152)&amp;" of "</f>
        <v xml:space="preserve">Page 14 of </v>
      </c>
      <c r="O1152" s="521">
        <f>COUNT(P$6:P$59606)</f>
        <v>15</v>
      </c>
      <c r="P1152" s="480">
        <v>1</v>
      </c>
    </row>
    <row r="1153" spans="1:16">
      <c r="A1153" s="285"/>
      <c r="B1153" s="480"/>
      <c r="C1153" s="480"/>
      <c r="D1153" s="496"/>
      <c r="E1153" s="480"/>
      <c r="F1153" s="480"/>
      <c r="G1153" s="480"/>
      <c r="H1153" s="1147"/>
      <c r="I1153" s="480"/>
      <c r="J1153" s="517"/>
      <c r="K1153" s="480"/>
      <c r="L1153" s="480"/>
      <c r="M1153" s="480"/>
      <c r="N1153" s="480"/>
      <c r="O1153" s="480"/>
      <c r="P1153" s="480"/>
    </row>
    <row r="1154" spans="1:16" ht="18">
      <c r="A1154" s="285"/>
      <c r="B1154" s="524" t="s">
        <v>174</v>
      </c>
      <c r="C1154" s="606" t="s">
        <v>290</v>
      </c>
      <c r="D1154" s="496"/>
      <c r="E1154" s="480"/>
      <c r="F1154" s="480"/>
      <c r="G1154" s="480"/>
      <c r="H1154" s="1147"/>
      <c r="I1154" s="1147"/>
      <c r="J1154" s="1148"/>
      <c r="K1154" s="1147"/>
      <c r="L1154" s="1147"/>
      <c r="M1154" s="1147"/>
      <c r="N1154" s="1147"/>
      <c r="O1154" s="480"/>
      <c r="P1154" s="480"/>
    </row>
    <row r="1155" spans="1:16" ht="18.75">
      <c r="A1155" s="285"/>
      <c r="B1155" s="524"/>
      <c r="C1155" s="523"/>
      <c r="D1155" s="496"/>
      <c r="E1155" s="480"/>
      <c r="F1155" s="480"/>
      <c r="G1155" s="480"/>
      <c r="H1155" s="1147"/>
      <c r="I1155" s="1147"/>
      <c r="J1155" s="1148"/>
      <c r="K1155" s="1147"/>
      <c r="L1155" s="1147"/>
      <c r="M1155" s="1147"/>
      <c r="N1155" s="1147"/>
      <c r="O1155" s="480"/>
      <c r="P1155" s="480"/>
    </row>
    <row r="1156" spans="1:16" ht="18.75">
      <c r="A1156" s="285"/>
      <c r="B1156" s="524"/>
      <c r="C1156" s="523" t="s">
        <v>291</v>
      </c>
      <c r="D1156" s="496"/>
      <c r="E1156" s="480"/>
      <c r="F1156" s="480"/>
      <c r="G1156" s="480"/>
      <c r="H1156" s="1147"/>
      <c r="I1156" s="1147"/>
      <c r="J1156" s="1148"/>
      <c r="K1156" s="1147"/>
      <c r="L1156" s="1147"/>
      <c r="M1156" s="1147"/>
      <c r="N1156" s="1147"/>
      <c r="O1156" s="480"/>
      <c r="P1156" s="480"/>
    </row>
    <row r="1157" spans="1:16" ht="15.75" thickBot="1">
      <c r="A1157" s="285"/>
      <c r="B1157" s="285"/>
      <c r="C1157" s="347"/>
      <c r="D1157" s="496"/>
      <c r="E1157" s="480"/>
      <c r="F1157" s="480"/>
      <c r="G1157" s="480"/>
      <c r="H1157" s="1147"/>
      <c r="I1157" s="1147"/>
      <c r="J1157" s="1148"/>
      <c r="K1157" s="1147"/>
      <c r="L1157" s="1147"/>
      <c r="M1157" s="1147"/>
      <c r="N1157" s="1147"/>
      <c r="O1157" s="480"/>
      <c r="P1157" s="480"/>
    </row>
    <row r="1158" spans="1:16" ht="15.75">
      <c r="A1158" s="285"/>
      <c r="B1158" s="285"/>
      <c r="C1158" s="525" t="s">
        <v>292</v>
      </c>
      <c r="D1158" s="496"/>
      <c r="E1158" s="480"/>
      <c r="F1158" s="480"/>
      <c r="G1158" s="1149"/>
      <c r="H1158" s="480" t="s">
        <v>271</v>
      </c>
      <c r="I1158" s="480"/>
      <c r="J1158" s="517"/>
      <c r="K1158" s="607" t="s">
        <v>296</v>
      </c>
      <c r="L1158" s="608"/>
      <c r="M1158" s="609"/>
      <c r="N1158" s="1150">
        <f>VLOOKUP(I1164,C1171:O1230,5)</f>
        <v>8259550.7369593196</v>
      </c>
      <c r="O1158" s="480"/>
      <c r="P1158" s="480"/>
    </row>
    <row r="1159" spans="1:16" ht="15.75">
      <c r="A1159" s="285"/>
      <c r="B1159" s="285"/>
      <c r="C1159" s="525"/>
      <c r="D1159" s="496"/>
      <c r="E1159" s="480"/>
      <c r="F1159" s="480"/>
      <c r="G1159" s="480"/>
      <c r="H1159" s="1151"/>
      <c r="I1159" s="1151"/>
      <c r="J1159" s="1152"/>
      <c r="K1159" s="612" t="s">
        <v>297</v>
      </c>
      <c r="L1159" s="1153"/>
      <c r="M1159" s="517"/>
      <c r="N1159" s="1154">
        <f>VLOOKUP(I1164,C1171:O1230,6)</f>
        <v>8259550.7369593196</v>
      </c>
      <c r="O1159" s="480"/>
      <c r="P1159" s="480"/>
    </row>
    <row r="1160" spans="1:16" ht="13.5" thickBot="1">
      <c r="A1160" s="285"/>
      <c r="B1160" s="285"/>
      <c r="C1160" s="613" t="s">
        <v>293</v>
      </c>
      <c r="D1160" s="1514" t="s">
        <v>961</v>
      </c>
      <c r="E1160" s="1514"/>
      <c r="F1160" s="1514"/>
      <c r="G1160" s="1514"/>
      <c r="H1160" s="1514"/>
      <c r="I1160" s="1147"/>
      <c r="J1160" s="1148"/>
      <c r="K1160" s="1155" t="s">
        <v>450</v>
      </c>
      <c r="L1160" s="1156"/>
      <c r="M1160" s="1156"/>
      <c r="N1160" s="1157">
        <f>+N1159-N1158</f>
        <v>0</v>
      </c>
      <c r="O1160" s="480"/>
      <c r="P1160" s="480"/>
    </row>
    <row r="1161" spans="1:16">
      <c r="A1161" s="285"/>
      <c r="B1161" s="285"/>
      <c r="C1161" s="615"/>
      <c r="D1161" s="616"/>
      <c r="E1161" s="600"/>
      <c r="F1161" s="600"/>
      <c r="G1161" s="617"/>
      <c r="H1161" s="1147"/>
      <c r="I1161" s="1147"/>
      <c r="J1161" s="1148"/>
      <c r="K1161" s="1147"/>
      <c r="L1161" s="1147"/>
      <c r="M1161" s="1147"/>
      <c r="N1161" s="1147"/>
      <c r="O1161" s="480"/>
      <c r="P1161" s="480"/>
    </row>
    <row r="1162" spans="1:16" ht="13.5" thickBot="1">
      <c r="A1162" s="285"/>
      <c r="B1162" s="285"/>
      <c r="C1162" s="618"/>
      <c r="D1162" s="619"/>
      <c r="E1162" s="617"/>
      <c r="F1162" s="617"/>
      <c r="G1162" s="617"/>
      <c r="H1162" s="617"/>
      <c r="I1162" s="617"/>
      <c r="J1162" s="620"/>
      <c r="K1162" s="617"/>
      <c r="L1162" s="617"/>
      <c r="M1162" s="617"/>
      <c r="N1162" s="617"/>
      <c r="O1162" s="508"/>
      <c r="P1162" s="480"/>
    </row>
    <row r="1163" spans="1:16" ht="13.5" thickBot="1">
      <c r="A1163" s="285"/>
      <c r="B1163" s="285"/>
      <c r="C1163" s="622" t="s">
        <v>294</v>
      </c>
      <c r="D1163" s="623"/>
      <c r="E1163" s="623"/>
      <c r="F1163" s="623"/>
      <c r="G1163" s="623"/>
      <c r="H1163" s="623"/>
      <c r="I1163" s="624"/>
      <c r="J1163" s="625"/>
      <c r="K1163" s="480"/>
      <c r="L1163" s="480"/>
      <c r="M1163" s="480"/>
      <c r="N1163" s="480"/>
      <c r="O1163" s="626"/>
      <c r="P1163" s="480"/>
    </row>
    <row r="1164" spans="1:16" ht="15">
      <c r="A1164" s="285"/>
      <c r="B1164" s="362"/>
      <c r="C1164" s="628" t="s">
        <v>272</v>
      </c>
      <c r="D1164" s="1158">
        <v>69840538.590000004</v>
      </c>
      <c r="E1164" s="584" t="s">
        <v>273</v>
      </c>
      <c r="F1164" s="285"/>
      <c r="G1164" s="629"/>
      <c r="H1164" s="629"/>
      <c r="I1164" s="630">
        <f>$L$26</f>
        <v>2024</v>
      </c>
      <c r="J1164" s="515"/>
      <c r="K1164" s="1515" t="s">
        <v>459</v>
      </c>
      <c r="L1164" s="1515"/>
      <c r="M1164" s="1515"/>
      <c r="N1164" s="1515"/>
      <c r="O1164" s="1515"/>
      <c r="P1164" s="480"/>
    </row>
    <row r="1165" spans="1:16">
      <c r="A1165" s="285"/>
      <c r="B1165" s="362"/>
      <c r="C1165" s="628" t="s">
        <v>275</v>
      </c>
      <c r="D1165" s="1195">
        <v>2018</v>
      </c>
      <c r="E1165" s="628" t="s">
        <v>276</v>
      </c>
      <c r="F1165" s="629"/>
      <c r="G1165" s="285"/>
      <c r="H1165" s="285"/>
      <c r="I1165" s="791">
        <f>IF(G1158="",0,$F$15)</f>
        <v>0</v>
      </c>
      <c r="J1165" s="631"/>
      <c r="K1165" s="1148" t="s">
        <v>459</v>
      </c>
      <c r="L1165" s="285"/>
      <c r="M1165" s="285"/>
      <c r="N1165" s="285"/>
      <c r="O1165" s="285"/>
      <c r="P1165" s="480"/>
    </row>
    <row r="1166" spans="1:16">
      <c r="A1166" s="285"/>
      <c r="B1166" s="362"/>
      <c r="C1166" s="628" t="s">
        <v>277</v>
      </c>
      <c r="D1166" s="1158">
        <v>10</v>
      </c>
      <c r="E1166" s="628" t="s">
        <v>278</v>
      </c>
      <c r="F1166" s="629"/>
      <c r="G1166" s="285"/>
      <c r="H1166" s="285"/>
      <c r="I1166" s="632">
        <f>$G$70</f>
        <v>0.10987714662923057</v>
      </c>
      <c r="J1166" s="633"/>
      <c r="K1166" s="285" t="str">
        <f>"          INPUT PROJECTED ARR (WITH &amp; WITHOUT INCENTIVES) FROM EACH PRIOR YEAR"</f>
        <v xml:space="preserve">          INPUT PROJECTED ARR (WITH &amp; WITHOUT INCENTIVES) FROM EACH PRIOR YEAR</v>
      </c>
      <c r="L1166" s="285"/>
      <c r="M1166" s="285"/>
      <c r="N1166" s="285"/>
      <c r="O1166" s="285"/>
      <c r="P1166" s="480"/>
    </row>
    <row r="1167" spans="1:16">
      <c r="A1167" s="285"/>
      <c r="B1167" s="362"/>
      <c r="C1167" s="628" t="s">
        <v>279</v>
      </c>
      <c r="D1167" s="634">
        <f>G$79</f>
        <v>45</v>
      </c>
      <c r="E1167" s="628" t="s">
        <v>280</v>
      </c>
      <c r="F1167" s="629"/>
      <c r="G1167" s="285"/>
      <c r="H1167" s="285"/>
      <c r="I1167" s="632">
        <f>IF(G1158="",I1166,$G$67)</f>
        <v>0.10987714662923057</v>
      </c>
      <c r="J1167" s="635"/>
      <c r="K1167" s="285" t="s">
        <v>357</v>
      </c>
      <c r="L1167" s="285"/>
      <c r="M1167" s="285"/>
      <c r="N1167" s="285"/>
      <c r="O1167" s="285"/>
      <c r="P1167" s="480"/>
    </row>
    <row r="1168" spans="1:16" ht="13.5" thickBot="1">
      <c r="A1168" s="285"/>
      <c r="B1168" s="362"/>
      <c r="C1168" s="628" t="s">
        <v>281</v>
      </c>
      <c r="D1168" s="790" t="s">
        <v>949</v>
      </c>
      <c r="E1168" s="636" t="s">
        <v>282</v>
      </c>
      <c r="F1168" s="637"/>
      <c r="G1168" s="638"/>
      <c r="H1168" s="638"/>
      <c r="I1168" s="1157">
        <f>IF(D1164=0,0,D1164/D1167)</f>
        <v>1552011.9686666667</v>
      </c>
      <c r="J1168" s="1148"/>
      <c r="K1168" s="1148" t="s">
        <v>363</v>
      </c>
      <c r="L1168" s="1148"/>
      <c r="M1168" s="1148"/>
      <c r="N1168" s="1148"/>
      <c r="O1168" s="517"/>
      <c r="P1168" s="480"/>
    </row>
    <row r="1169" spans="1:16" ht="51">
      <c r="A1169" s="470"/>
      <c r="B1169" s="470"/>
      <c r="C1169" s="639" t="s">
        <v>272</v>
      </c>
      <c r="D1169" s="1160" t="s">
        <v>283</v>
      </c>
      <c r="E1169" s="1161" t="s">
        <v>284</v>
      </c>
      <c r="F1169" s="1160" t="s">
        <v>285</v>
      </c>
      <c r="G1169" s="1161" t="s">
        <v>356</v>
      </c>
      <c r="H1169" s="1162" t="s">
        <v>356</v>
      </c>
      <c r="I1169" s="639" t="s">
        <v>295</v>
      </c>
      <c r="J1169" s="643"/>
      <c r="K1169" s="1161" t="s">
        <v>365</v>
      </c>
      <c r="L1169" s="1163"/>
      <c r="M1169" s="1161" t="s">
        <v>365</v>
      </c>
      <c r="N1169" s="1163"/>
      <c r="O1169" s="1163"/>
      <c r="P1169" s="480"/>
    </row>
    <row r="1170" spans="1:16" ht="13.5" thickBot="1">
      <c r="A1170" s="285"/>
      <c r="B1170" s="285"/>
      <c r="C1170" s="645" t="s">
        <v>177</v>
      </c>
      <c r="D1170" s="646" t="s">
        <v>178</v>
      </c>
      <c r="E1170" s="645" t="s">
        <v>37</v>
      </c>
      <c r="F1170" s="646" t="s">
        <v>178</v>
      </c>
      <c r="G1170" s="1164" t="s">
        <v>298</v>
      </c>
      <c r="H1170" s="1165" t="s">
        <v>300</v>
      </c>
      <c r="I1170" s="649" t="s">
        <v>389</v>
      </c>
      <c r="J1170" s="650"/>
      <c r="K1170" s="1164" t="s">
        <v>287</v>
      </c>
      <c r="L1170" s="1166"/>
      <c r="M1170" s="1164" t="s">
        <v>300</v>
      </c>
      <c r="N1170" s="1166"/>
      <c r="O1170" s="1166"/>
      <c r="P1170" s="480"/>
    </row>
    <row r="1171" spans="1:16">
      <c r="A1171" s="285"/>
      <c r="B1171" s="285"/>
      <c r="C1171" s="1194">
        <f>IF(D1165= "","-",D1165)</f>
        <v>2018</v>
      </c>
      <c r="D1171" s="602">
        <f>+D1164</f>
        <v>69840538.590000004</v>
      </c>
      <c r="E1171" s="1167">
        <f>+I1168/12*(12-D1166)</f>
        <v>258668.66144444444</v>
      </c>
      <c r="F1171" s="602">
        <f t="shared" ref="F1171:F1230" si="77">+D1171-E1171</f>
        <v>69581869.928555563</v>
      </c>
      <c r="G1171" s="1168">
        <f>+$I$1166*((D1171+F1171)/2)+E1171</f>
        <v>7918336.8735413523</v>
      </c>
      <c r="H1171" s="1169">
        <f>+$I$1167*((D1171+F1171)/2)+E1171</f>
        <v>7918336.8735413523</v>
      </c>
      <c r="I1171" s="655">
        <f t="shared" ref="I1171:I1230" si="78">+H1171-G1171</f>
        <v>0</v>
      </c>
      <c r="J1171" s="655"/>
      <c r="K1171" s="792">
        <v>8045448</v>
      </c>
      <c r="L1171" s="657"/>
      <c r="M1171" s="792">
        <v>8045448</v>
      </c>
      <c r="N1171" s="657"/>
      <c r="O1171" s="657"/>
      <c r="P1171" s="480"/>
    </row>
    <row r="1172" spans="1:16">
      <c r="A1172" s="285"/>
      <c r="B1172" s="285"/>
      <c r="C1172" s="1229">
        <f>IF(D1165="","-",+C1171+1)</f>
        <v>2019</v>
      </c>
      <c r="D1172" s="1172">
        <f t="shared" ref="D1172:D1230" si="79">F1171</f>
        <v>69581869.928555563</v>
      </c>
      <c r="E1172" s="1173">
        <f>IF(D1172&gt;$I$1168,$I$1168,D1172)</f>
        <v>1552011.9686666667</v>
      </c>
      <c r="F1172" s="1172">
        <f t="shared" si="77"/>
        <v>68029857.95988889</v>
      </c>
      <c r="G1172" s="1174">
        <f>+$I$1166*((D1172+F1172)/2)+E1172</f>
        <v>9112203.970216861</v>
      </c>
      <c r="H1172" s="1175">
        <f>+$I$1167*((D1172+F1172)/2)+E1172</f>
        <v>9112203.970216861</v>
      </c>
      <c r="I1172" s="1181">
        <f t="shared" si="78"/>
        <v>0</v>
      </c>
      <c r="J1172" s="655"/>
      <c r="K1172" s="793">
        <v>8376603</v>
      </c>
      <c r="L1172" s="661"/>
      <c r="M1172" s="793">
        <v>8376603</v>
      </c>
      <c r="N1172" s="661"/>
      <c r="O1172" s="661"/>
      <c r="P1172" s="480"/>
    </row>
    <row r="1173" spans="1:16">
      <c r="A1173" s="285"/>
      <c r="B1173" s="285"/>
      <c r="C1173" s="1229">
        <f>IF(D1165="","-",+C1172+1)</f>
        <v>2020</v>
      </c>
      <c r="D1173" s="602">
        <f t="shared" si="79"/>
        <v>68029857.95988889</v>
      </c>
      <c r="E1173" s="1173">
        <f t="shared" ref="E1173:E1230" si="80">IF(D1173&gt;$I$1168,$I$1168,D1173)</f>
        <v>1552011.9686666667</v>
      </c>
      <c r="F1173" s="602">
        <f t="shared" si="77"/>
        <v>66477845.991222225</v>
      </c>
      <c r="G1173" s="1174">
        <f t="shared" ref="G1173:G1230" si="81">+$I$1166*((D1173+F1173)/2)+E1173</f>
        <v>8941673.3235653527</v>
      </c>
      <c r="H1173" s="1175">
        <f t="shared" ref="H1173:H1230" si="82">+$I$1167*((D1173+F1173)/2)+E1173</f>
        <v>8941673.3235653527</v>
      </c>
      <c r="I1173" s="655">
        <f t="shared" si="78"/>
        <v>0</v>
      </c>
      <c r="J1173" s="655"/>
      <c r="K1173" s="1230">
        <v>4444448.7830443121</v>
      </c>
      <c r="L1173" s="1180"/>
      <c r="M1173" s="1230">
        <v>4444448.7830443121</v>
      </c>
      <c r="N1173" s="661"/>
      <c r="O1173" s="661"/>
      <c r="P1173" s="480"/>
    </row>
    <row r="1174" spans="1:16">
      <c r="A1174" s="285"/>
      <c r="B1174" s="285"/>
      <c r="C1174" s="1229">
        <f>IF(D1165="","-",+C1173+1)</f>
        <v>2021</v>
      </c>
      <c r="D1174" s="602">
        <f t="shared" si="79"/>
        <v>66477845.991222225</v>
      </c>
      <c r="E1174" s="1173">
        <f t="shared" si="80"/>
        <v>1552011.9686666667</v>
      </c>
      <c r="F1174" s="602">
        <f t="shared" si="77"/>
        <v>64925834.02255556</v>
      </c>
      <c r="G1174" s="1174">
        <f t="shared" si="81"/>
        <v>8771142.6769138444</v>
      </c>
      <c r="H1174" s="1175">
        <f t="shared" si="82"/>
        <v>8771142.6769138444</v>
      </c>
      <c r="I1174" s="655">
        <f t="shared" si="78"/>
        <v>0</v>
      </c>
      <c r="J1174" s="655"/>
      <c r="K1174" s="793">
        <v>8170471.5991193904</v>
      </c>
      <c r="L1174" s="661"/>
      <c r="M1174" s="1230">
        <v>8170471.5991193904</v>
      </c>
      <c r="N1174" s="661"/>
      <c r="O1174" s="661"/>
      <c r="P1174" s="480"/>
    </row>
    <row r="1175" spans="1:16">
      <c r="A1175" s="285"/>
      <c r="B1175" s="285"/>
      <c r="C1175" s="1229">
        <f>IF(D1166="","-",+C1174+1)</f>
        <v>2022</v>
      </c>
      <c r="D1175" s="602">
        <f t="shared" si="79"/>
        <v>64925834.02255556</v>
      </c>
      <c r="E1175" s="1173">
        <f t="shared" si="80"/>
        <v>1552011.9686666667</v>
      </c>
      <c r="F1175" s="602">
        <f t="shared" si="77"/>
        <v>63373822.053888895</v>
      </c>
      <c r="G1175" s="1174">
        <f t="shared" si="81"/>
        <v>8600612.0302623361</v>
      </c>
      <c r="H1175" s="1175">
        <f t="shared" si="82"/>
        <v>8600612.0302623361</v>
      </c>
      <c r="I1175" s="655">
        <f t="shared" si="78"/>
        <v>0</v>
      </c>
      <c r="J1175" s="655"/>
      <c r="K1175" s="793">
        <v>8092331.2716201618</v>
      </c>
      <c r="L1175" s="661"/>
      <c r="M1175" s="1230">
        <v>8092331.2716201618</v>
      </c>
      <c r="N1175" s="661"/>
      <c r="O1175" s="661"/>
      <c r="P1175" s="480"/>
    </row>
    <row r="1176" spans="1:16">
      <c r="A1176" s="285"/>
      <c r="B1176" s="285"/>
      <c r="C1176" s="1229">
        <f>IF(D1166="","-",+C1175+1)</f>
        <v>2023</v>
      </c>
      <c r="D1176" s="602">
        <f t="shared" si="79"/>
        <v>63373822.053888895</v>
      </c>
      <c r="E1176" s="1173">
        <f t="shared" si="80"/>
        <v>1552011.9686666667</v>
      </c>
      <c r="F1176" s="602">
        <f t="shared" si="77"/>
        <v>61821810.085222229</v>
      </c>
      <c r="G1176" s="1174">
        <f t="shared" si="81"/>
        <v>8430081.3836108297</v>
      </c>
      <c r="H1176" s="1175">
        <f t="shared" si="82"/>
        <v>8430081.3836108297</v>
      </c>
      <c r="I1176" s="655">
        <f t="shared" si="78"/>
        <v>0</v>
      </c>
      <c r="J1176" s="655"/>
      <c r="K1176" s="793">
        <v>8418535.7912043519</v>
      </c>
      <c r="L1176" s="661"/>
      <c r="M1176" s="1230">
        <v>8418535.7912043519</v>
      </c>
      <c r="N1176" s="661"/>
      <c r="O1176" s="661"/>
      <c r="P1176" s="480"/>
    </row>
    <row r="1177" spans="1:16">
      <c r="A1177" s="285"/>
      <c r="B1177" s="285"/>
      <c r="C1177" s="1171">
        <f>IF(D1165="","-",+C1176+1)</f>
        <v>2024</v>
      </c>
      <c r="D1177" s="602">
        <f t="shared" si="79"/>
        <v>61821810.085222229</v>
      </c>
      <c r="E1177" s="1173">
        <f t="shared" si="80"/>
        <v>1552011.9686666667</v>
      </c>
      <c r="F1177" s="602">
        <f t="shared" si="77"/>
        <v>60269798.116555564</v>
      </c>
      <c r="G1177" s="1174">
        <f t="shared" si="81"/>
        <v>8259550.7369593196</v>
      </c>
      <c r="H1177" s="1175">
        <f t="shared" si="82"/>
        <v>8259550.7369593196</v>
      </c>
      <c r="I1177" s="655">
        <f t="shared" si="78"/>
        <v>0</v>
      </c>
      <c r="J1177" s="655"/>
      <c r="K1177" s="793"/>
      <c r="L1177" s="661"/>
      <c r="M1177" s="793"/>
      <c r="N1177" s="661"/>
      <c r="O1177" s="661"/>
      <c r="P1177" s="480"/>
    </row>
    <row r="1178" spans="1:16">
      <c r="A1178" s="285"/>
      <c r="B1178" s="285"/>
      <c r="C1178" s="651">
        <f>IF(D1165="","-",+C1177+1)</f>
        <v>2025</v>
      </c>
      <c r="D1178" s="1172">
        <f t="shared" si="79"/>
        <v>60269798.116555564</v>
      </c>
      <c r="E1178" s="1173">
        <f t="shared" si="80"/>
        <v>1552011.9686666667</v>
      </c>
      <c r="F1178" s="1172">
        <f t="shared" si="77"/>
        <v>58717786.147888899</v>
      </c>
      <c r="G1178" s="1174">
        <f t="shared" si="81"/>
        <v>8089020.0903078131</v>
      </c>
      <c r="H1178" s="1175">
        <f t="shared" si="82"/>
        <v>8089020.0903078131</v>
      </c>
      <c r="I1178" s="1181">
        <f t="shared" si="78"/>
        <v>0</v>
      </c>
      <c r="J1178" s="655"/>
      <c r="K1178" s="793"/>
      <c r="L1178" s="661"/>
      <c r="M1178" s="793"/>
      <c r="N1178" s="661"/>
      <c r="O1178" s="661"/>
      <c r="P1178" s="480"/>
    </row>
    <row r="1179" spans="1:16">
      <c r="A1179" s="285"/>
      <c r="B1179" s="285"/>
      <c r="C1179" s="651">
        <f>IF(D1165="","-",+C1178+1)</f>
        <v>2026</v>
      </c>
      <c r="D1179" s="602">
        <f t="shared" si="79"/>
        <v>58717786.147888899</v>
      </c>
      <c r="E1179" s="1173">
        <f t="shared" si="80"/>
        <v>1552011.9686666667</v>
      </c>
      <c r="F1179" s="602">
        <f t="shared" si="77"/>
        <v>57165774.179222234</v>
      </c>
      <c r="G1179" s="1174">
        <f t="shared" si="81"/>
        <v>7918489.4436563049</v>
      </c>
      <c r="H1179" s="1175">
        <f t="shared" si="82"/>
        <v>7918489.4436563049</v>
      </c>
      <c r="I1179" s="655">
        <f t="shared" si="78"/>
        <v>0</v>
      </c>
      <c r="J1179" s="655"/>
      <c r="K1179" s="793"/>
      <c r="L1179" s="661"/>
      <c r="M1179" s="793"/>
      <c r="N1179" s="661"/>
      <c r="O1179" s="661"/>
      <c r="P1179" s="480"/>
    </row>
    <row r="1180" spans="1:16">
      <c r="A1180" s="285"/>
      <c r="B1180" s="285"/>
      <c r="C1180" s="651">
        <f>IF(D1165="","-",+C1179+1)</f>
        <v>2027</v>
      </c>
      <c r="D1180" s="602">
        <f t="shared" si="79"/>
        <v>57165774.179222234</v>
      </c>
      <c r="E1180" s="1173">
        <f t="shared" si="80"/>
        <v>1552011.9686666667</v>
      </c>
      <c r="F1180" s="602">
        <f t="shared" si="77"/>
        <v>55613762.210555568</v>
      </c>
      <c r="G1180" s="1174">
        <f t="shared" si="81"/>
        <v>7747958.7970047966</v>
      </c>
      <c r="H1180" s="1175">
        <f t="shared" si="82"/>
        <v>7747958.7970047966</v>
      </c>
      <c r="I1180" s="655">
        <f t="shared" si="78"/>
        <v>0</v>
      </c>
      <c r="J1180" s="655"/>
      <c r="K1180" s="793"/>
      <c r="L1180" s="661"/>
      <c r="M1180" s="793"/>
      <c r="N1180" s="661"/>
      <c r="O1180" s="661"/>
      <c r="P1180" s="480"/>
    </row>
    <row r="1181" spans="1:16">
      <c r="A1181" s="285"/>
      <c r="B1181" s="285"/>
      <c r="C1181" s="651">
        <f>IF(D1165="","-",+C1180+1)</f>
        <v>2028</v>
      </c>
      <c r="D1181" s="602">
        <f t="shared" si="79"/>
        <v>55613762.210555568</v>
      </c>
      <c r="E1181" s="1173">
        <f t="shared" si="80"/>
        <v>1552011.9686666667</v>
      </c>
      <c r="F1181" s="602">
        <f t="shared" si="77"/>
        <v>54061750.241888903</v>
      </c>
      <c r="G1181" s="1174">
        <f t="shared" si="81"/>
        <v>7577428.1503532883</v>
      </c>
      <c r="H1181" s="1175">
        <f t="shared" si="82"/>
        <v>7577428.1503532883</v>
      </c>
      <c r="I1181" s="655">
        <f t="shared" si="78"/>
        <v>0</v>
      </c>
      <c r="J1181" s="655"/>
      <c r="K1181" s="793"/>
      <c r="L1181" s="661"/>
      <c r="M1181" s="793"/>
      <c r="N1181" s="661"/>
      <c r="O1181" s="661"/>
      <c r="P1181" s="480"/>
    </row>
    <row r="1182" spans="1:16">
      <c r="A1182" s="285"/>
      <c r="B1182" s="285"/>
      <c r="C1182" s="651">
        <f>IF(D1165="","-",+C1181+1)</f>
        <v>2029</v>
      </c>
      <c r="D1182" s="602">
        <f t="shared" si="79"/>
        <v>54061750.241888903</v>
      </c>
      <c r="E1182" s="1173">
        <f t="shared" si="80"/>
        <v>1552011.9686666667</v>
      </c>
      <c r="F1182" s="602">
        <f t="shared" si="77"/>
        <v>52509738.273222238</v>
      </c>
      <c r="G1182" s="1174">
        <f t="shared" si="81"/>
        <v>7406897.5037017819</v>
      </c>
      <c r="H1182" s="1175">
        <f t="shared" si="82"/>
        <v>7406897.5037017819</v>
      </c>
      <c r="I1182" s="655">
        <f t="shared" si="78"/>
        <v>0</v>
      </c>
      <c r="J1182" s="655"/>
      <c r="K1182" s="793"/>
      <c r="L1182" s="661"/>
      <c r="M1182" s="793"/>
      <c r="N1182" s="661"/>
      <c r="O1182" s="661"/>
      <c r="P1182" s="480"/>
    </row>
    <row r="1183" spans="1:16">
      <c r="A1183" s="285"/>
      <c r="B1183" s="285"/>
      <c r="C1183" s="651">
        <f>IF(D1165="","-",+C1182+1)</f>
        <v>2030</v>
      </c>
      <c r="D1183" s="602">
        <f t="shared" si="79"/>
        <v>52509738.273222238</v>
      </c>
      <c r="E1183" s="1173">
        <f t="shared" si="80"/>
        <v>1552011.9686666667</v>
      </c>
      <c r="F1183" s="602">
        <f t="shared" si="77"/>
        <v>50957726.304555573</v>
      </c>
      <c r="G1183" s="1174">
        <f t="shared" si="81"/>
        <v>7236366.8570502717</v>
      </c>
      <c r="H1183" s="1175">
        <f t="shared" si="82"/>
        <v>7236366.8570502717</v>
      </c>
      <c r="I1183" s="655">
        <f t="shared" si="78"/>
        <v>0</v>
      </c>
      <c r="J1183" s="655"/>
      <c r="K1183" s="793"/>
      <c r="L1183" s="661"/>
      <c r="M1183" s="793"/>
      <c r="N1183" s="662"/>
      <c r="O1183" s="661"/>
      <c r="P1183" s="480"/>
    </row>
    <row r="1184" spans="1:16">
      <c r="A1184" s="285"/>
      <c r="B1184" s="285"/>
      <c r="C1184" s="651">
        <f>IF(D1165="","-",+C1183+1)</f>
        <v>2031</v>
      </c>
      <c r="D1184" s="602">
        <f t="shared" si="79"/>
        <v>50957726.304555573</v>
      </c>
      <c r="E1184" s="1173">
        <f t="shared" si="80"/>
        <v>1552011.9686666667</v>
      </c>
      <c r="F1184" s="602">
        <f t="shared" si="77"/>
        <v>49405714.335888907</v>
      </c>
      <c r="G1184" s="1174">
        <f t="shared" si="81"/>
        <v>7065836.2103987653</v>
      </c>
      <c r="H1184" s="1175">
        <f t="shared" si="82"/>
        <v>7065836.2103987653</v>
      </c>
      <c r="I1184" s="655">
        <f t="shared" si="78"/>
        <v>0</v>
      </c>
      <c r="J1184" s="655"/>
      <c r="K1184" s="793"/>
      <c r="L1184" s="661"/>
      <c r="M1184" s="793"/>
      <c r="N1184" s="661"/>
      <c r="O1184" s="661"/>
      <c r="P1184" s="480"/>
    </row>
    <row r="1185" spans="1:16">
      <c r="A1185" s="285"/>
      <c r="B1185" s="285"/>
      <c r="C1185" s="651">
        <f>IF(D1165="","-",+C1184+1)</f>
        <v>2032</v>
      </c>
      <c r="D1185" s="602">
        <f t="shared" si="79"/>
        <v>49405714.335888907</v>
      </c>
      <c r="E1185" s="1173">
        <f t="shared" si="80"/>
        <v>1552011.9686666667</v>
      </c>
      <c r="F1185" s="602">
        <f t="shared" si="77"/>
        <v>47853702.367222242</v>
      </c>
      <c r="G1185" s="1174">
        <f t="shared" si="81"/>
        <v>6895305.563747257</v>
      </c>
      <c r="H1185" s="1175">
        <f t="shared" si="82"/>
        <v>6895305.563747257</v>
      </c>
      <c r="I1185" s="655">
        <f t="shared" si="78"/>
        <v>0</v>
      </c>
      <c r="J1185" s="655"/>
      <c r="K1185" s="793"/>
      <c r="L1185" s="661"/>
      <c r="M1185" s="793"/>
      <c r="N1185" s="661"/>
      <c r="O1185" s="661"/>
      <c r="P1185" s="480"/>
    </row>
    <row r="1186" spans="1:16">
      <c r="A1186" s="285"/>
      <c r="B1186" s="285"/>
      <c r="C1186" s="651">
        <f>IF(D1165="","-",+C1185+1)</f>
        <v>2033</v>
      </c>
      <c r="D1186" s="602">
        <f t="shared" si="79"/>
        <v>47853702.367222242</v>
      </c>
      <c r="E1186" s="1173">
        <f t="shared" si="80"/>
        <v>1552011.9686666667</v>
      </c>
      <c r="F1186" s="602">
        <f t="shared" si="77"/>
        <v>46301690.398555577</v>
      </c>
      <c r="G1186" s="1174">
        <f t="shared" si="81"/>
        <v>6724774.9170957487</v>
      </c>
      <c r="H1186" s="1175">
        <f t="shared" si="82"/>
        <v>6724774.9170957487</v>
      </c>
      <c r="I1186" s="655">
        <f t="shared" si="78"/>
        <v>0</v>
      </c>
      <c r="J1186" s="655"/>
      <c r="K1186" s="793"/>
      <c r="L1186" s="661"/>
      <c r="M1186" s="793"/>
      <c r="N1186" s="661"/>
      <c r="O1186" s="661"/>
      <c r="P1186" s="480"/>
    </row>
    <row r="1187" spans="1:16">
      <c r="A1187" s="285"/>
      <c r="B1187" s="285"/>
      <c r="C1187" s="651">
        <f>IF(D1165="","-",+C1186+1)</f>
        <v>2034</v>
      </c>
      <c r="D1187" s="602">
        <f t="shared" si="79"/>
        <v>46301690.398555577</v>
      </c>
      <c r="E1187" s="1173">
        <f t="shared" si="80"/>
        <v>1552011.9686666667</v>
      </c>
      <c r="F1187" s="602">
        <f t="shared" si="77"/>
        <v>44749678.429888912</v>
      </c>
      <c r="G1187" s="1174">
        <f t="shared" si="81"/>
        <v>6554244.2704442404</v>
      </c>
      <c r="H1187" s="1175">
        <f t="shared" si="82"/>
        <v>6554244.2704442404</v>
      </c>
      <c r="I1187" s="655">
        <f t="shared" si="78"/>
        <v>0</v>
      </c>
      <c r="J1187" s="655"/>
      <c r="K1187" s="793"/>
      <c r="L1187" s="661"/>
      <c r="M1187" s="793"/>
      <c r="N1187" s="661"/>
      <c r="O1187" s="661"/>
      <c r="P1187" s="480"/>
    </row>
    <row r="1188" spans="1:16">
      <c r="A1188" s="285"/>
      <c r="B1188" s="285"/>
      <c r="C1188" s="651">
        <f>IF(D1165="","-",+C1187+1)</f>
        <v>2035</v>
      </c>
      <c r="D1188" s="602">
        <f t="shared" si="79"/>
        <v>44749678.429888912</v>
      </c>
      <c r="E1188" s="1173">
        <f t="shared" si="80"/>
        <v>1552011.9686666667</v>
      </c>
      <c r="F1188" s="602">
        <f t="shared" si="77"/>
        <v>43197666.461222246</v>
      </c>
      <c r="G1188" s="1174">
        <f t="shared" si="81"/>
        <v>6383713.623792734</v>
      </c>
      <c r="H1188" s="1175">
        <f t="shared" si="82"/>
        <v>6383713.623792734</v>
      </c>
      <c r="I1188" s="655">
        <f t="shared" si="78"/>
        <v>0</v>
      </c>
      <c r="J1188" s="655"/>
      <c r="K1188" s="793"/>
      <c r="L1188" s="661"/>
      <c r="M1188" s="793"/>
      <c r="N1188" s="661"/>
      <c r="O1188" s="661"/>
      <c r="P1188" s="480"/>
    </row>
    <row r="1189" spans="1:16">
      <c r="A1189" s="285"/>
      <c r="B1189" s="285"/>
      <c r="C1189" s="651">
        <f>IF(D1165="","-",+C1188+1)</f>
        <v>2036</v>
      </c>
      <c r="D1189" s="602">
        <f t="shared" si="79"/>
        <v>43197666.461222246</v>
      </c>
      <c r="E1189" s="1173">
        <f t="shared" si="80"/>
        <v>1552011.9686666667</v>
      </c>
      <c r="F1189" s="602">
        <f t="shared" si="77"/>
        <v>41645654.492555581</v>
      </c>
      <c r="G1189" s="1174">
        <f t="shared" si="81"/>
        <v>6213182.9771412238</v>
      </c>
      <c r="H1189" s="1175">
        <f t="shared" si="82"/>
        <v>6213182.9771412238</v>
      </c>
      <c r="I1189" s="655">
        <f t="shared" si="78"/>
        <v>0</v>
      </c>
      <c r="J1189" s="655"/>
      <c r="K1189" s="793"/>
      <c r="L1189" s="661"/>
      <c r="M1189" s="793"/>
      <c r="N1189" s="661"/>
      <c r="O1189" s="661"/>
      <c r="P1189" s="480"/>
    </row>
    <row r="1190" spans="1:16">
      <c r="A1190" s="285"/>
      <c r="B1190" s="285"/>
      <c r="C1190" s="651">
        <f>IF(D1165="","-",+C1189+1)</f>
        <v>2037</v>
      </c>
      <c r="D1190" s="602">
        <f t="shared" si="79"/>
        <v>41645654.492555581</v>
      </c>
      <c r="E1190" s="1173">
        <f t="shared" si="80"/>
        <v>1552011.9686666667</v>
      </c>
      <c r="F1190" s="602">
        <f t="shared" si="77"/>
        <v>40093642.523888916</v>
      </c>
      <c r="G1190" s="1174">
        <f t="shared" si="81"/>
        <v>6042652.3304897174</v>
      </c>
      <c r="H1190" s="1175">
        <f t="shared" si="82"/>
        <v>6042652.3304897174</v>
      </c>
      <c r="I1190" s="655">
        <f t="shared" si="78"/>
        <v>0</v>
      </c>
      <c r="J1190" s="655"/>
      <c r="K1190" s="793"/>
      <c r="L1190" s="661"/>
      <c r="M1190" s="793"/>
      <c r="N1190" s="661"/>
      <c r="O1190" s="661"/>
      <c r="P1190" s="480"/>
    </row>
    <row r="1191" spans="1:16">
      <c r="A1191" s="285"/>
      <c r="B1191" s="285"/>
      <c r="C1191" s="651">
        <f>IF(D1165="","-",+C1190+1)</f>
        <v>2038</v>
      </c>
      <c r="D1191" s="602">
        <f t="shared" si="79"/>
        <v>40093642.523888916</v>
      </c>
      <c r="E1191" s="1173">
        <f t="shared" si="80"/>
        <v>1552011.9686666667</v>
      </c>
      <c r="F1191" s="602">
        <f t="shared" si="77"/>
        <v>38541630.555222251</v>
      </c>
      <c r="G1191" s="1174">
        <f t="shared" si="81"/>
        <v>5872121.6838382091</v>
      </c>
      <c r="H1191" s="1175">
        <f t="shared" si="82"/>
        <v>5872121.6838382091</v>
      </c>
      <c r="I1191" s="655">
        <f t="shared" si="78"/>
        <v>0</v>
      </c>
      <c r="J1191" s="655"/>
      <c r="K1191" s="793"/>
      <c r="L1191" s="661"/>
      <c r="M1191" s="793"/>
      <c r="N1191" s="661"/>
      <c r="O1191" s="661"/>
      <c r="P1191" s="480"/>
    </row>
    <row r="1192" spans="1:16">
      <c r="A1192" s="285"/>
      <c r="B1192" s="285"/>
      <c r="C1192" s="651">
        <f>IF(D1165="","-",+C1191+1)</f>
        <v>2039</v>
      </c>
      <c r="D1192" s="602">
        <f t="shared" si="79"/>
        <v>38541630.555222251</v>
      </c>
      <c r="E1192" s="1173">
        <f t="shared" si="80"/>
        <v>1552011.9686666667</v>
      </c>
      <c r="F1192" s="602">
        <f t="shared" si="77"/>
        <v>36989618.586555585</v>
      </c>
      <c r="G1192" s="1174">
        <f t="shared" si="81"/>
        <v>5701591.0371867009</v>
      </c>
      <c r="H1192" s="1175">
        <f t="shared" si="82"/>
        <v>5701591.0371867009</v>
      </c>
      <c r="I1192" s="655">
        <f t="shared" si="78"/>
        <v>0</v>
      </c>
      <c r="J1192" s="655"/>
      <c r="K1192" s="793"/>
      <c r="L1192" s="661"/>
      <c r="M1192" s="793"/>
      <c r="N1192" s="661"/>
      <c r="O1192" s="661"/>
      <c r="P1192" s="480"/>
    </row>
    <row r="1193" spans="1:16">
      <c r="A1193" s="285"/>
      <c r="B1193" s="285"/>
      <c r="C1193" s="651">
        <f>IF(D1165="","-",+C1192+1)</f>
        <v>2040</v>
      </c>
      <c r="D1193" s="602">
        <f t="shared" si="79"/>
        <v>36989618.586555585</v>
      </c>
      <c r="E1193" s="1173">
        <f t="shared" si="80"/>
        <v>1552011.9686666667</v>
      </c>
      <c r="F1193" s="602">
        <f t="shared" si="77"/>
        <v>35437606.61788892</v>
      </c>
      <c r="G1193" s="1174">
        <f t="shared" si="81"/>
        <v>5531060.3905351926</v>
      </c>
      <c r="H1193" s="1175">
        <f t="shared" si="82"/>
        <v>5531060.3905351926</v>
      </c>
      <c r="I1193" s="655">
        <f t="shared" si="78"/>
        <v>0</v>
      </c>
      <c r="J1193" s="655"/>
      <c r="K1193" s="793"/>
      <c r="L1193" s="661"/>
      <c r="M1193" s="793"/>
      <c r="N1193" s="661"/>
      <c r="O1193" s="661"/>
      <c r="P1193" s="480"/>
    </row>
    <row r="1194" spans="1:16">
      <c r="A1194" s="285"/>
      <c r="B1194" s="285"/>
      <c r="C1194" s="651">
        <f>IF(D1165="","-",+C1193+1)</f>
        <v>2041</v>
      </c>
      <c r="D1194" s="602">
        <f t="shared" si="79"/>
        <v>35437606.61788892</v>
      </c>
      <c r="E1194" s="1173">
        <f t="shared" si="80"/>
        <v>1552011.9686666667</v>
      </c>
      <c r="F1194" s="602">
        <f t="shared" si="77"/>
        <v>33885594.649222255</v>
      </c>
      <c r="G1194" s="1174">
        <f t="shared" si="81"/>
        <v>5360529.7438836852</v>
      </c>
      <c r="H1194" s="1175">
        <f t="shared" si="82"/>
        <v>5360529.7438836852</v>
      </c>
      <c r="I1194" s="655">
        <f t="shared" si="78"/>
        <v>0</v>
      </c>
      <c r="J1194" s="655"/>
      <c r="K1194" s="793"/>
      <c r="L1194" s="661"/>
      <c r="M1194" s="793"/>
      <c r="N1194" s="661"/>
      <c r="O1194" s="661"/>
      <c r="P1194" s="480"/>
    </row>
    <row r="1195" spans="1:16">
      <c r="A1195" s="285"/>
      <c r="B1195" s="285"/>
      <c r="C1195" s="651">
        <f>IF(D1165="","-",+C1194+1)</f>
        <v>2042</v>
      </c>
      <c r="D1195" s="602">
        <f t="shared" si="79"/>
        <v>33885594.649222255</v>
      </c>
      <c r="E1195" s="1173">
        <f t="shared" si="80"/>
        <v>1552011.9686666667</v>
      </c>
      <c r="F1195" s="602">
        <f t="shared" si="77"/>
        <v>32333582.680555589</v>
      </c>
      <c r="G1195" s="1174">
        <f t="shared" si="81"/>
        <v>5189999.0972321769</v>
      </c>
      <c r="H1195" s="1175">
        <f t="shared" si="82"/>
        <v>5189999.0972321769</v>
      </c>
      <c r="I1195" s="655">
        <f t="shared" si="78"/>
        <v>0</v>
      </c>
      <c r="J1195" s="655"/>
      <c r="K1195" s="793"/>
      <c r="L1195" s="661"/>
      <c r="M1195" s="793"/>
      <c r="N1195" s="661"/>
      <c r="O1195" s="661"/>
      <c r="P1195" s="480"/>
    </row>
    <row r="1196" spans="1:16">
      <c r="A1196" s="285"/>
      <c r="B1196" s="285"/>
      <c r="C1196" s="651">
        <f>IF(D1165="","-",+C1195+1)</f>
        <v>2043</v>
      </c>
      <c r="D1196" s="602">
        <f t="shared" si="79"/>
        <v>32333582.680555589</v>
      </c>
      <c r="E1196" s="1173">
        <f t="shared" si="80"/>
        <v>1552011.9686666667</v>
      </c>
      <c r="F1196" s="602">
        <f t="shared" si="77"/>
        <v>30781570.711888924</v>
      </c>
      <c r="G1196" s="1174">
        <f t="shared" si="81"/>
        <v>5019468.4505806696</v>
      </c>
      <c r="H1196" s="1175">
        <f t="shared" si="82"/>
        <v>5019468.4505806696</v>
      </c>
      <c r="I1196" s="655">
        <f t="shared" si="78"/>
        <v>0</v>
      </c>
      <c r="J1196" s="655"/>
      <c r="K1196" s="793"/>
      <c r="L1196" s="661"/>
      <c r="M1196" s="793"/>
      <c r="N1196" s="661"/>
      <c r="O1196" s="661"/>
      <c r="P1196" s="480"/>
    </row>
    <row r="1197" spans="1:16">
      <c r="A1197" s="285"/>
      <c r="B1197" s="285"/>
      <c r="C1197" s="651">
        <f>IF(D1165="","-",+C1196+1)</f>
        <v>2044</v>
      </c>
      <c r="D1197" s="602">
        <f t="shared" si="79"/>
        <v>30781570.711888924</v>
      </c>
      <c r="E1197" s="1173">
        <f t="shared" si="80"/>
        <v>1552011.9686666667</v>
      </c>
      <c r="F1197" s="602">
        <f t="shared" si="77"/>
        <v>29229558.743222259</v>
      </c>
      <c r="G1197" s="1174">
        <f t="shared" si="81"/>
        <v>4848937.8039291613</v>
      </c>
      <c r="H1197" s="1175">
        <f t="shared" si="82"/>
        <v>4848937.8039291613</v>
      </c>
      <c r="I1197" s="655">
        <f t="shared" si="78"/>
        <v>0</v>
      </c>
      <c r="J1197" s="655"/>
      <c r="K1197" s="793"/>
      <c r="L1197" s="661"/>
      <c r="M1197" s="793"/>
      <c r="N1197" s="661"/>
      <c r="O1197" s="661"/>
      <c r="P1197" s="480"/>
    </row>
    <row r="1198" spans="1:16">
      <c r="A1198" s="285"/>
      <c r="B1198" s="285"/>
      <c r="C1198" s="651">
        <f>IF(D1165="","-",+C1197+1)</f>
        <v>2045</v>
      </c>
      <c r="D1198" s="602">
        <f t="shared" si="79"/>
        <v>29229558.743222259</v>
      </c>
      <c r="E1198" s="1173">
        <f t="shared" si="80"/>
        <v>1552011.9686666667</v>
      </c>
      <c r="F1198" s="602">
        <f t="shared" si="77"/>
        <v>27677546.774555594</v>
      </c>
      <c r="G1198" s="1174">
        <f t="shared" si="81"/>
        <v>4678407.157277653</v>
      </c>
      <c r="H1198" s="1175">
        <f t="shared" si="82"/>
        <v>4678407.157277653</v>
      </c>
      <c r="I1198" s="655">
        <f t="shared" si="78"/>
        <v>0</v>
      </c>
      <c r="J1198" s="655"/>
      <c r="K1198" s="793"/>
      <c r="L1198" s="661"/>
      <c r="M1198" s="793"/>
      <c r="N1198" s="661"/>
      <c r="O1198" s="661"/>
      <c r="P1198" s="480"/>
    </row>
    <row r="1199" spans="1:16">
      <c r="A1199" s="285"/>
      <c r="B1199" s="285"/>
      <c r="C1199" s="651">
        <f>IF(D1165="","-",+C1198+1)</f>
        <v>2046</v>
      </c>
      <c r="D1199" s="602">
        <f t="shared" si="79"/>
        <v>27677546.774555594</v>
      </c>
      <c r="E1199" s="1173">
        <f t="shared" si="80"/>
        <v>1552011.9686666667</v>
      </c>
      <c r="F1199" s="602">
        <f t="shared" si="77"/>
        <v>26125534.805888928</v>
      </c>
      <c r="G1199" s="1174">
        <f t="shared" si="81"/>
        <v>4507876.5106261447</v>
      </c>
      <c r="H1199" s="1175">
        <f t="shared" si="82"/>
        <v>4507876.5106261447</v>
      </c>
      <c r="I1199" s="655">
        <f t="shared" si="78"/>
        <v>0</v>
      </c>
      <c r="J1199" s="655"/>
      <c r="K1199" s="793"/>
      <c r="L1199" s="661"/>
      <c r="M1199" s="793"/>
      <c r="N1199" s="661"/>
      <c r="O1199" s="661"/>
      <c r="P1199" s="480"/>
    </row>
    <row r="1200" spans="1:16">
      <c r="A1200" s="285"/>
      <c r="B1200" s="285"/>
      <c r="C1200" s="651">
        <f>IF(D1165="","-",+C1199+1)</f>
        <v>2047</v>
      </c>
      <c r="D1200" s="602">
        <f t="shared" si="79"/>
        <v>26125534.805888928</v>
      </c>
      <c r="E1200" s="1173">
        <f t="shared" si="80"/>
        <v>1552011.9686666667</v>
      </c>
      <c r="F1200" s="602">
        <f t="shared" si="77"/>
        <v>24573522.837222263</v>
      </c>
      <c r="G1200" s="1174">
        <f t="shared" si="81"/>
        <v>4337345.8639746374</v>
      </c>
      <c r="H1200" s="1175">
        <f t="shared" si="82"/>
        <v>4337345.8639746374</v>
      </c>
      <c r="I1200" s="655">
        <f t="shared" si="78"/>
        <v>0</v>
      </c>
      <c r="J1200" s="655"/>
      <c r="K1200" s="793"/>
      <c r="L1200" s="661"/>
      <c r="M1200" s="793"/>
      <c r="N1200" s="661"/>
      <c r="O1200" s="661"/>
      <c r="P1200" s="480"/>
    </row>
    <row r="1201" spans="1:16">
      <c r="A1201" s="285"/>
      <c r="B1201" s="285"/>
      <c r="C1201" s="651">
        <f>IF(D1165="","-",+C1200+1)</f>
        <v>2048</v>
      </c>
      <c r="D1201" s="602">
        <f t="shared" si="79"/>
        <v>24573522.837222263</v>
      </c>
      <c r="E1201" s="1173">
        <f t="shared" si="80"/>
        <v>1552011.9686666667</v>
      </c>
      <c r="F1201" s="602">
        <f t="shared" si="77"/>
        <v>23021510.868555598</v>
      </c>
      <c r="G1201" s="1174">
        <f t="shared" si="81"/>
        <v>4166815.2173231291</v>
      </c>
      <c r="H1201" s="1175">
        <f t="shared" si="82"/>
        <v>4166815.2173231291</v>
      </c>
      <c r="I1201" s="655">
        <f t="shared" si="78"/>
        <v>0</v>
      </c>
      <c r="J1201" s="655"/>
      <c r="K1201" s="793"/>
      <c r="L1201" s="661"/>
      <c r="M1201" s="793"/>
      <c r="N1201" s="661"/>
      <c r="O1201" s="661"/>
      <c r="P1201" s="480"/>
    </row>
    <row r="1202" spans="1:16">
      <c r="A1202" s="285"/>
      <c r="B1202" s="285"/>
      <c r="C1202" s="651">
        <f>IF(D1165="","-",+C1201+1)</f>
        <v>2049</v>
      </c>
      <c r="D1202" s="602">
        <f t="shared" si="79"/>
        <v>23021510.868555598</v>
      </c>
      <c r="E1202" s="1173">
        <f t="shared" si="80"/>
        <v>1552011.9686666667</v>
      </c>
      <c r="F1202" s="602">
        <f t="shared" si="77"/>
        <v>21469498.899888933</v>
      </c>
      <c r="G1202" s="1174">
        <f t="shared" si="81"/>
        <v>3996284.5706716212</v>
      </c>
      <c r="H1202" s="1175">
        <f t="shared" si="82"/>
        <v>3996284.5706716212</v>
      </c>
      <c r="I1202" s="655">
        <f t="shared" si="78"/>
        <v>0</v>
      </c>
      <c r="J1202" s="655"/>
      <c r="K1202" s="793"/>
      <c r="L1202" s="661"/>
      <c r="M1202" s="793"/>
      <c r="N1202" s="661"/>
      <c r="O1202" s="661"/>
      <c r="P1202" s="480"/>
    </row>
    <row r="1203" spans="1:16">
      <c r="A1203" s="285"/>
      <c r="B1203" s="285"/>
      <c r="C1203" s="651">
        <f>IF(D1165="","-",+C1202+1)</f>
        <v>2050</v>
      </c>
      <c r="D1203" s="602">
        <f t="shared" si="79"/>
        <v>21469498.899888933</v>
      </c>
      <c r="E1203" s="1173">
        <f t="shared" si="80"/>
        <v>1552011.9686666667</v>
      </c>
      <c r="F1203" s="602">
        <f t="shared" si="77"/>
        <v>19917486.931222267</v>
      </c>
      <c r="G1203" s="1174">
        <f t="shared" si="81"/>
        <v>3825753.9240201134</v>
      </c>
      <c r="H1203" s="1175">
        <f t="shared" si="82"/>
        <v>3825753.9240201134</v>
      </c>
      <c r="I1203" s="655">
        <f t="shared" si="78"/>
        <v>0</v>
      </c>
      <c r="J1203" s="655"/>
      <c r="K1203" s="793"/>
      <c r="L1203" s="661"/>
      <c r="M1203" s="793"/>
      <c r="N1203" s="661"/>
      <c r="O1203" s="661"/>
      <c r="P1203" s="480"/>
    </row>
    <row r="1204" spans="1:16">
      <c r="A1204" s="285"/>
      <c r="B1204" s="285"/>
      <c r="C1204" s="651">
        <f>IF(D1165="","-",+C1203+1)</f>
        <v>2051</v>
      </c>
      <c r="D1204" s="602">
        <f t="shared" si="79"/>
        <v>19917486.931222267</v>
      </c>
      <c r="E1204" s="1173">
        <f t="shared" si="80"/>
        <v>1552011.9686666667</v>
      </c>
      <c r="F1204" s="602">
        <f t="shared" si="77"/>
        <v>18365474.962555602</v>
      </c>
      <c r="G1204" s="1174">
        <f t="shared" si="81"/>
        <v>3655223.2773686051</v>
      </c>
      <c r="H1204" s="1175">
        <f t="shared" si="82"/>
        <v>3655223.2773686051</v>
      </c>
      <c r="I1204" s="655">
        <f t="shared" si="78"/>
        <v>0</v>
      </c>
      <c r="J1204" s="655"/>
      <c r="K1204" s="793"/>
      <c r="L1204" s="661"/>
      <c r="M1204" s="793"/>
      <c r="N1204" s="661"/>
      <c r="O1204" s="661"/>
      <c r="P1204" s="480"/>
    </row>
    <row r="1205" spans="1:16">
      <c r="A1205" s="285"/>
      <c r="B1205" s="285"/>
      <c r="C1205" s="651">
        <f>IF(D1165="","-",+C1204+1)</f>
        <v>2052</v>
      </c>
      <c r="D1205" s="602">
        <f t="shared" si="79"/>
        <v>18365474.962555602</v>
      </c>
      <c r="E1205" s="1173">
        <f t="shared" si="80"/>
        <v>1552011.9686666667</v>
      </c>
      <c r="F1205" s="602">
        <f t="shared" si="77"/>
        <v>16813462.993888937</v>
      </c>
      <c r="G1205" s="1174">
        <f t="shared" si="81"/>
        <v>3484692.6307170973</v>
      </c>
      <c r="H1205" s="1175">
        <f t="shared" si="82"/>
        <v>3484692.6307170973</v>
      </c>
      <c r="I1205" s="655">
        <f t="shared" si="78"/>
        <v>0</v>
      </c>
      <c r="J1205" s="655"/>
      <c r="K1205" s="793"/>
      <c r="L1205" s="661"/>
      <c r="M1205" s="793"/>
      <c r="N1205" s="661"/>
      <c r="O1205" s="661"/>
      <c r="P1205" s="480"/>
    </row>
    <row r="1206" spans="1:16">
      <c r="A1206" s="285"/>
      <c r="B1206" s="285"/>
      <c r="C1206" s="651">
        <f>IF(D1165="","-",+C1205+1)</f>
        <v>2053</v>
      </c>
      <c r="D1206" s="602">
        <f t="shared" si="79"/>
        <v>16813462.993888937</v>
      </c>
      <c r="E1206" s="1173">
        <f t="shared" si="80"/>
        <v>1552011.9686666667</v>
      </c>
      <c r="F1206" s="602">
        <f t="shared" si="77"/>
        <v>15261451.02522227</v>
      </c>
      <c r="G1206" s="1174">
        <f t="shared" si="81"/>
        <v>3314161.9840655895</v>
      </c>
      <c r="H1206" s="1175">
        <f t="shared" si="82"/>
        <v>3314161.9840655895</v>
      </c>
      <c r="I1206" s="655">
        <f t="shared" si="78"/>
        <v>0</v>
      </c>
      <c r="J1206" s="655"/>
      <c r="K1206" s="793"/>
      <c r="L1206" s="661"/>
      <c r="M1206" s="793"/>
      <c r="N1206" s="661"/>
      <c r="O1206" s="661"/>
      <c r="P1206" s="480"/>
    </row>
    <row r="1207" spans="1:16">
      <c r="A1207" s="285"/>
      <c r="B1207" s="285"/>
      <c r="C1207" s="651">
        <f>IF(D1165="","-",+C1206+1)</f>
        <v>2054</v>
      </c>
      <c r="D1207" s="602">
        <f t="shared" si="79"/>
        <v>15261451.02522227</v>
      </c>
      <c r="E1207" s="1173">
        <f t="shared" si="80"/>
        <v>1552011.9686666667</v>
      </c>
      <c r="F1207" s="602">
        <f t="shared" si="77"/>
        <v>13709439.056555603</v>
      </c>
      <c r="G1207" s="1174">
        <f t="shared" si="81"/>
        <v>3143631.3374140812</v>
      </c>
      <c r="H1207" s="1175">
        <f t="shared" si="82"/>
        <v>3143631.3374140812</v>
      </c>
      <c r="I1207" s="655">
        <f t="shared" si="78"/>
        <v>0</v>
      </c>
      <c r="J1207" s="655"/>
      <c r="K1207" s="793"/>
      <c r="L1207" s="661"/>
      <c r="M1207" s="793"/>
      <c r="N1207" s="661"/>
      <c r="O1207" s="661"/>
      <c r="P1207" s="480"/>
    </row>
    <row r="1208" spans="1:16">
      <c r="A1208" s="285"/>
      <c r="B1208" s="285"/>
      <c r="C1208" s="651">
        <f>IF(D1165="","-",+C1207+1)</f>
        <v>2055</v>
      </c>
      <c r="D1208" s="602">
        <f t="shared" si="79"/>
        <v>13709439.056555603</v>
      </c>
      <c r="E1208" s="1173">
        <f t="shared" si="80"/>
        <v>1552011.9686666667</v>
      </c>
      <c r="F1208" s="602">
        <f t="shared" si="77"/>
        <v>12157427.087888936</v>
      </c>
      <c r="G1208" s="1174">
        <f t="shared" si="81"/>
        <v>2973100.6907625729</v>
      </c>
      <c r="H1208" s="1175">
        <f t="shared" si="82"/>
        <v>2973100.6907625729</v>
      </c>
      <c r="I1208" s="655">
        <f t="shared" si="78"/>
        <v>0</v>
      </c>
      <c r="J1208" s="655"/>
      <c r="K1208" s="793"/>
      <c r="L1208" s="661"/>
      <c r="M1208" s="793"/>
      <c r="N1208" s="661"/>
      <c r="O1208" s="661"/>
      <c r="P1208" s="480"/>
    </row>
    <row r="1209" spans="1:16">
      <c r="A1209" s="285"/>
      <c r="B1209" s="285"/>
      <c r="C1209" s="651">
        <f>IF(D1165="","-",+C1208+1)</f>
        <v>2056</v>
      </c>
      <c r="D1209" s="602">
        <f t="shared" si="79"/>
        <v>12157427.087888936</v>
      </c>
      <c r="E1209" s="1173">
        <f t="shared" si="80"/>
        <v>1552011.9686666667</v>
      </c>
      <c r="F1209" s="602">
        <f t="shared" si="77"/>
        <v>10605415.119222268</v>
      </c>
      <c r="G1209" s="1174">
        <f t="shared" si="81"/>
        <v>2802570.0441110646</v>
      </c>
      <c r="H1209" s="1175">
        <f t="shared" si="82"/>
        <v>2802570.0441110646</v>
      </c>
      <c r="I1209" s="655">
        <f t="shared" si="78"/>
        <v>0</v>
      </c>
      <c r="J1209" s="655"/>
      <c r="K1209" s="793"/>
      <c r="L1209" s="661"/>
      <c r="M1209" s="793"/>
      <c r="N1209" s="661"/>
      <c r="O1209" s="661"/>
      <c r="P1209" s="480"/>
    </row>
    <row r="1210" spans="1:16">
      <c r="A1210" s="285"/>
      <c r="B1210" s="285"/>
      <c r="C1210" s="651">
        <f>IF(D1165="","-",+C1209+1)</f>
        <v>2057</v>
      </c>
      <c r="D1210" s="602">
        <f t="shared" si="79"/>
        <v>10605415.119222268</v>
      </c>
      <c r="E1210" s="1173">
        <f t="shared" si="80"/>
        <v>1552011.9686666667</v>
      </c>
      <c r="F1210" s="602">
        <f t="shared" si="77"/>
        <v>9053403.1505556013</v>
      </c>
      <c r="G1210" s="1174">
        <f t="shared" si="81"/>
        <v>2632039.3974595563</v>
      </c>
      <c r="H1210" s="1175">
        <f t="shared" si="82"/>
        <v>2632039.3974595563</v>
      </c>
      <c r="I1210" s="655">
        <f t="shared" si="78"/>
        <v>0</v>
      </c>
      <c r="J1210" s="655"/>
      <c r="K1210" s="793"/>
      <c r="L1210" s="661"/>
      <c r="M1210" s="793"/>
      <c r="N1210" s="661"/>
      <c r="O1210" s="661"/>
      <c r="P1210" s="480"/>
    </row>
    <row r="1211" spans="1:16">
      <c r="A1211" s="285"/>
      <c r="B1211" s="285"/>
      <c r="C1211" s="651">
        <f>IF(D1165="","-",+C1210+1)</f>
        <v>2058</v>
      </c>
      <c r="D1211" s="602">
        <f t="shared" si="79"/>
        <v>9053403.1505556013</v>
      </c>
      <c r="E1211" s="1173">
        <f t="shared" si="80"/>
        <v>1552011.9686666667</v>
      </c>
      <c r="F1211" s="602">
        <f t="shared" si="77"/>
        <v>7501391.1818889342</v>
      </c>
      <c r="G1211" s="1174">
        <f t="shared" si="81"/>
        <v>2461508.7508080481</v>
      </c>
      <c r="H1211" s="1175">
        <f t="shared" si="82"/>
        <v>2461508.7508080481</v>
      </c>
      <c r="I1211" s="655">
        <f t="shared" si="78"/>
        <v>0</v>
      </c>
      <c r="J1211" s="655"/>
      <c r="K1211" s="793"/>
      <c r="L1211" s="661"/>
      <c r="M1211" s="793"/>
      <c r="N1211" s="661"/>
      <c r="O1211" s="661"/>
      <c r="P1211" s="480"/>
    </row>
    <row r="1212" spans="1:16">
      <c r="A1212" s="285"/>
      <c r="B1212" s="285"/>
      <c r="C1212" s="651">
        <f>IF(D1165="","-",+C1211+1)</f>
        <v>2059</v>
      </c>
      <c r="D1212" s="602">
        <f t="shared" si="79"/>
        <v>7501391.1818889342</v>
      </c>
      <c r="E1212" s="1173">
        <f t="shared" si="80"/>
        <v>1552011.9686666667</v>
      </c>
      <c r="F1212" s="602">
        <f t="shared" si="77"/>
        <v>5949379.2132222671</v>
      </c>
      <c r="G1212" s="1174">
        <f t="shared" si="81"/>
        <v>2290978.1041565402</v>
      </c>
      <c r="H1212" s="1175">
        <f t="shared" si="82"/>
        <v>2290978.1041565402</v>
      </c>
      <c r="I1212" s="655">
        <f t="shared" si="78"/>
        <v>0</v>
      </c>
      <c r="J1212" s="655"/>
      <c r="K1212" s="793"/>
      <c r="L1212" s="661"/>
      <c r="M1212" s="793"/>
      <c r="N1212" s="661"/>
      <c r="O1212" s="661"/>
      <c r="P1212" s="480"/>
    </row>
    <row r="1213" spans="1:16">
      <c r="A1213" s="285"/>
      <c r="B1213" s="285"/>
      <c r="C1213" s="651">
        <f>IF(D1165="","-",+C1212+1)</f>
        <v>2060</v>
      </c>
      <c r="D1213" s="602">
        <f t="shared" si="79"/>
        <v>5949379.2132222671</v>
      </c>
      <c r="E1213" s="1173">
        <f t="shared" si="80"/>
        <v>1552011.9686666667</v>
      </c>
      <c r="F1213" s="602">
        <f t="shared" si="77"/>
        <v>4397367.2445556</v>
      </c>
      <c r="G1213" s="1174">
        <f t="shared" si="81"/>
        <v>2120447.457505032</v>
      </c>
      <c r="H1213" s="1175">
        <f t="shared" si="82"/>
        <v>2120447.457505032</v>
      </c>
      <c r="I1213" s="655">
        <f t="shared" si="78"/>
        <v>0</v>
      </c>
      <c r="J1213" s="655"/>
      <c r="K1213" s="793"/>
      <c r="L1213" s="661"/>
      <c r="M1213" s="793"/>
      <c r="N1213" s="661"/>
      <c r="O1213" s="661"/>
      <c r="P1213" s="480"/>
    </row>
    <row r="1214" spans="1:16">
      <c r="A1214" s="285"/>
      <c r="B1214" s="285"/>
      <c r="C1214" s="651">
        <f>IF(D1165="","-",+C1213+1)</f>
        <v>2061</v>
      </c>
      <c r="D1214" s="602">
        <f t="shared" si="79"/>
        <v>4397367.2445556</v>
      </c>
      <c r="E1214" s="1173">
        <f t="shared" si="80"/>
        <v>1552011.9686666667</v>
      </c>
      <c r="F1214" s="602">
        <f t="shared" si="77"/>
        <v>2845355.2758889333</v>
      </c>
      <c r="G1214" s="1174">
        <f t="shared" si="81"/>
        <v>1949916.8108535237</v>
      </c>
      <c r="H1214" s="1175">
        <f t="shared" si="82"/>
        <v>1949916.8108535237</v>
      </c>
      <c r="I1214" s="655">
        <f t="shared" si="78"/>
        <v>0</v>
      </c>
      <c r="J1214" s="655"/>
      <c r="K1214" s="793"/>
      <c r="L1214" s="661"/>
      <c r="M1214" s="793"/>
      <c r="N1214" s="661"/>
      <c r="O1214" s="661"/>
      <c r="P1214" s="480"/>
    </row>
    <row r="1215" spans="1:16">
      <c r="A1215" s="285"/>
      <c r="B1215" s="285"/>
      <c r="C1215" s="651">
        <f>IF(D1165="","-",+C1214+1)</f>
        <v>2062</v>
      </c>
      <c r="D1215" s="602">
        <f t="shared" si="79"/>
        <v>2845355.2758889333</v>
      </c>
      <c r="E1215" s="1173">
        <f t="shared" si="80"/>
        <v>1552011.9686666667</v>
      </c>
      <c r="F1215" s="602">
        <f t="shared" si="77"/>
        <v>1293343.3072222667</v>
      </c>
      <c r="G1215" s="1174">
        <f t="shared" si="81"/>
        <v>1779386.1642020156</v>
      </c>
      <c r="H1215" s="1175">
        <f t="shared" si="82"/>
        <v>1779386.1642020156</v>
      </c>
      <c r="I1215" s="655">
        <f t="shared" si="78"/>
        <v>0</v>
      </c>
      <c r="J1215" s="655"/>
      <c r="K1215" s="793"/>
      <c r="L1215" s="661"/>
      <c r="M1215" s="793"/>
      <c r="N1215" s="661"/>
      <c r="O1215" s="661"/>
      <c r="P1215" s="480"/>
    </row>
    <row r="1216" spans="1:16">
      <c r="A1216" s="285"/>
      <c r="B1216" s="285"/>
      <c r="C1216" s="651">
        <f>IF(D1165="","-",+C1215+1)</f>
        <v>2063</v>
      </c>
      <c r="D1216" s="602">
        <f t="shared" si="79"/>
        <v>1293343.3072222667</v>
      </c>
      <c r="E1216" s="1173">
        <f t="shared" si="80"/>
        <v>1293343.3072222667</v>
      </c>
      <c r="F1216" s="602">
        <f t="shared" si="77"/>
        <v>0</v>
      </c>
      <c r="G1216" s="1174">
        <f t="shared" si="81"/>
        <v>1364397.7433270642</v>
      </c>
      <c r="H1216" s="1175">
        <f t="shared" si="82"/>
        <v>1364397.7433270642</v>
      </c>
      <c r="I1216" s="655">
        <f t="shared" si="78"/>
        <v>0</v>
      </c>
      <c r="J1216" s="655"/>
      <c r="K1216" s="793"/>
      <c r="L1216" s="661"/>
      <c r="M1216" s="793"/>
      <c r="N1216" s="661"/>
      <c r="O1216" s="661"/>
      <c r="P1216" s="480"/>
    </row>
    <row r="1217" spans="1:16">
      <c r="A1217" s="285"/>
      <c r="B1217" s="285"/>
      <c r="C1217" s="651">
        <f>IF(D1165="","-",+C1216+1)</f>
        <v>2064</v>
      </c>
      <c r="D1217" s="602">
        <f t="shared" si="79"/>
        <v>0</v>
      </c>
      <c r="E1217" s="1173">
        <f t="shared" si="80"/>
        <v>0</v>
      </c>
      <c r="F1217" s="602">
        <f t="shared" si="77"/>
        <v>0</v>
      </c>
      <c r="G1217" s="1174">
        <f t="shared" si="81"/>
        <v>0</v>
      </c>
      <c r="H1217" s="1175">
        <f t="shared" si="82"/>
        <v>0</v>
      </c>
      <c r="I1217" s="655">
        <f t="shared" si="78"/>
        <v>0</v>
      </c>
      <c r="J1217" s="655"/>
      <c r="K1217" s="793"/>
      <c r="L1217" s="661"/>
      <c r="M1217" s="793"/>
      <c r="N1217" s="661"/>
      <c r="O1217" s="661"/>
      <c r="P1217" s="480"/>
    </row>
    <row r="1218" spans="1:16">
      <c r="A1218" s="285"/>
      <c r="B1218" s="285"/>
      <c r="C1218" s="651">
        <f>IF(D1165="","-",+C1217+1)</f>
        <v>2065</v>
      </c>
      <c r="D1218" s="602">
        <f t="shared" si="79"/>
        <v>0</v>
      </c>
      <c r="E1218" s="1173">
        <f t="shared" si="80"/>
        <v>0</v>
      </c>
      <c r="F1218" s="602">
        <f t="shared" si="77"/>
        <v>0</v>
      </c>
      <c r="G1218" s="1174">
        <f t="shared" si="81"/>
        <v>0</v>
      </c>
      <c r="H1218" s="1175">
        <f t="shared" si="82"/>
        <v>0</v>
      </c>
      <c r="I1218" s="655">
        <f t="shared" si="78"/>
        <v>0</v>
      </c>
      <c r="J1218" s="655"/>
      <c r="K1218" s="793"/>
      <c r="L1218" s="661"/>
      <c r="M1218" s="793"/>
      <c r="N1218" s="661"/>
      <c r="O1218" s="661"/>
      <c r="P1218" s="480"/>
    </row>
    <row r="1219" spans="1:16">
      <c r="A1219" s="285"/>
      <c r="B1219" s="285"/>
      <c r="C1219" s="651">
        <f>IF(D1165="","-",+C1218+1)</f>
        <v>2066</v>
      </c>
      <c r="D1219" s="602">
        <f t="shared" si="79"/>
        <v>0</v>
      </c>
      <c r="E1219" s="1173">
        <f t="shared" si="80"/>
        <v>0</v>
      </c>
      <c r="F1219" s="602">
        <f t="shared" si="77"/>
        <v>0</v>
      </c>
      <c r="G1219" s="1174">
        <f t="shared" si="81"/>
        <v>0</v>
      </c>
      <c r="H1219" s="1175">
        <f t="shared" si="82"/>
        <v>0</v>
      </c>
      <c r="I1219" s="655">
        <f t="shared" si="78"/>
        <v>0</v>
      </c>
      <c r="J1219" s="655"/>
      <c r="K1219" s="793"/>
      <c r="L1219" s="661"/>
      <c r="M1219" s="793"/>
      <c r="N1219" s="661"/>
      <c r="O1219" s="661"/>
      <c r="P1219" s="480"/>
    </row>
    <row r="1220" spans="1:16">
      <c r="A1220" s="285"/>
      <c r="B1220" s="285"/>
      <c r="C1220" s="651">
        <f>IF(D1165="","-",+C1219+1)</f>
        <v>2067</v>
      </c>
      <c r="D1220" s="602">
        <f t="shared" si="79"/>
        <v>0</v>
      </c>
      <c r="E1220" s="1173">
        <f t="shared" si="80"/>
        <v>0</v>
      </c>
      <c r="F1220" s="602">
        <f t="shared" si="77"/>
        <v>0</v>
      </c>
      <c r="G1220" s="1174">
        <f t="shared" si="81"/>
        <v>0</v>
      </c>
      <c r="H1220" s="1175">
        <f t="shared" si="82"/>
        <v>0</v>
      </c>
      <c r="I1220" s="655">
        <f t="shared" si="78"/>
        <v>0</v>
      </c>
      <c r="J1220" s="655"/>
      <c r="K1220" s="793"/>
      <c r="L1220" s="661"/>
      <c r="M1220" s="793"/>
      <c r="N1220" s="661"/>
      <c r="O1220" s="661"/>
      <c r="P1220" s="480"/>
    </row>
    <row r="1221" spans="1:16">
      <c r="A1221" s="285"/>
      <c r="B1221" s="285"/>
      <c r="C1221" s="651">
        <f>IF(D1165="","-",+C1220+1)</f>
        <v>2068</v>
      </c>
      <c r="D1221" s="602">
        <f t="shared" si="79"/>
        <v>0</v>
      </c>
      <c r="E1221" s="1173">
        <f t="shared" si="80"/>
        <v>0</v>
      </c>
      <c r="F1221" s="602">
        <f t="shared" si="77"/>
        <v>0</v>
      </c>
      <c r="G1221" s="1174">
        <f t="shared" si="81"/>
        <v>0</v>
      </c>
      <c r="H1221" s="1175">
        <f t="shared" si="82"/>
        <v>0</v>
      </c>
      <c r="I1221" s="655">
        <f t="shared" si="78"/>
        <v>0</v>
      </c>
      <c r="J1221" s="655"/>
      <c r="K1221" s="793"/>
      <c r="L1221" s="661"/>
      <c r="M1221" s="793"/>
      <c r="N1221" s="661"/>
      <c r="O1221" s="661"/>
      <c r="P1221" s="480"/>
    </row>
    <row r="1222" spans="1:16">
      <c r="A1222" s="285"/>
      <c r="B1222" s="285"/>
      <c r="C1222" s="651">
        <f>IF(D1165="","-",+C1221+1)</f>
        <v>2069</v>
      </c>
      <c r="D1222" s="602">
        <f t="shared" si="79"/>
        <v>0</v>
      </c>
      <c r="E1222" s="1173">
        <f t="shared" si="80"/>
        <v>0</v>
      </c>
      <c r="F1222" s="602">
        <f t="shared" si="77"/>
        <v>0</v>
      </c>
      <c r="G1222" s="1174">
        <f t="shared" si="81"/>
        <v>0</v>
      </c>
      <c r="H1222" s="1175">
        <f t="shared" si="82"/>
        <v>0</v>
      </c>
      <c r="I1222" s="655">
        <f t="shared" si="78"/>
        <v>0</v>
      </c>
      <c r="J1222" s="655"/>
      <c r="K1222" s="793"/>
      <c r="L1222" s="661"/>
      <c r="M1222" s="793"/>
      <c r="N1222" s="661"/>
      <c r="O1222" s="661"/>
      <c r="P1222" s="480"/>
    </row>
    <row r="1223" spans="1:16">
      <c r="A1223" s="285"/>
      <c r="B1223" s="285"/>
      <c r="C1223" s="651">
        <f>IF(D1165="","-",+C1222+1)</f>
        <v>2070</v>
      </c>
      <c r="D1223" s="602">
        <f t="shared" si="79"/>
        <v>0</v>
      </c>
      <c r="E1223" s="1173">
        <f t="shared" si="80"/>
        <v>0</v>
      </c>
      <c r="F1223" s="602">
        <f t="shared" si="77"/>
        <v>0</v>
      </c>
      <c r="G1223" s="1174">
        <f t="shared" si="81"/>
        <v>0</v>
      </c>
      <c r="H1223" s="1175">
        <f t="shared" si="82"/>
        <v>0</v>
      </c>
      <c r="I1223" s="655">
        <f t="shared" si="78"/>
        <v>0</v>
      </c>
      <c r="J1223" s="655"/>
      <c r="K1223" s="793"/>
      <c r="L1223" s="661"/>
      <c r="M1223" s="793"/>
      <c r="N1223" s="661"/>
      <c r="O1223" s="661"/>
      <c r="P1223" s="480"/>
    </row>
    <row r="1224" spans="1:16">
      <c r="A1224" s="285"/>
      <c r="B1224" s="285"/>
      <c r="C1224" s="651">
        <f>IF(D1165="","-",+C1223+1)</f>
        <v>2071</v>
      </c>
      <c r="D1224" s="602">
        <f t="shared" si="79"/>
        <v>0</v>
      </c>
      <c r="E1224" s="1173">
        <f t="shared" si="80"/>
        <v>0</v>
      </c>
      <c r="F1224" s="602">
        <f t="shared" si="77"/>
        <v>0</v>
      </c>
      <c r="G1224" s="1174">
        <f t="shared" si="81"/>
        <v>0</v>
      </c>
      <c r="H1224" s="1175">
        <f t="shared" si="82"/>
        <v>0</v>
      </c>
      <c r="I1224" s="655">
        <f t="shared" si="78"/>
        <v>0</v>
      </c>
      <c r="J1224" s="655"/>
      <c r="K1224" s="793"/>
      <c r="L1224" s="661"/>
      <c r="M1224" s="793"/>
      <c r="N1224" s="661"/>
      <c r="O1224" s="661"/>
      <c r="P1224" s="480"/>
    </row>
    <row r="1225" spans="1:16">
      <c r="A1225" s="285"/>
      <c r="B1225" s="285"/>
      <c r="C1225" s="651">
        <f>IF(D1165="","-",+C1224+1)</f>
        <v>2072</v>
      </c>
      <c r="D1225" s="602">
        <f t="shared" si="79"/>
        <v>0</v>
      </c>
      <c r="E1225" s="1173">
        <f t="shared" si="80"/>
        <v>0</v>
      </c>
      <c r="F1225" s="602">
        <f t="shared" si="77"/>
        <v>0</v>
      </c>
      <c r="G1225" s="1174">
        <f t="shared" si="81"/>
        <v>0</v>
      </c>
      <c r="H1225" s="1175">
        <f t="shared" si="82"/>
        <v>0</v>
      </c>
      <c r="I1225" s="655">
        <f t="shared" si="78"/>
        <v>0</v>
      </c>
      <c r="J1225" s="655"/>
      <c r="K1225" s="793"/>
      <c r="L1225" s="661"/>
      <c r="M1225" s="793"/>
      <c r="N1225" s="661"/>
      <c r="O1225" s="661"/>
      <c r="P1225" s="480"/>
    </row>
    <row r="1226" spans="1:16">
      <c r="A1226" s="285"/>
      <c r="B1226" s="285"/>
      <c r="C1226" s="651">
        <f>IF(D1165="","-",+C1225+1)</f>
        <v>2073</v>
      </c>
      <c r="D1226" s="602">
        <f t="shared" si="79"/>
        <v>0</v>
      </c>
      <c r="E1226" s="1173">
        <f t="shared" si="80"/>
        <v>0</v>
      </c>
      <c r="F1226" s="602">
        <f t="shared" si="77"/>
        <v>0</v>
      </c>
      <c r="G1226" s="1174">
        <f t="shared" si="81"/>
        <v>0</v>
      </c>
      <c r="H1226" s="1175">
        <f t="shared" si="82"/>
        <v>0</v>
      </c>
      <c r="I1226" s="655">
        <f t="shared" si="78"/>
        <v>0</v>
      </c>
      <c r="J1226" s="655"/>
      <c r="K1226" s="793"/>
      <c r="L1226" s="661"/>
      <c r="M1226" s="793"/>
      <c r="N1226" s="661"/>
      <c r="O1226" s="661"/>
      <c r="P1226" s="480"/>
    </row>
    <row r="1227" spans="1:16">
      <c r="A1227" s="285"/>
      <c r="B1227" s="285"/>
      <c r="C1227" s="651">
        <f>IF(D1165="","-",+C1226+1)</f>
        <v>2074</v>
      </c>
      <c r="D1227" s="602">
        <f t="shared" si="79"/>
        <v>0</v>
      </c>
      <c r="E1227" s="1173">
        <f t="shared" si="80"/>
        <v>0</v>
      </c>
      <c r="F1227" s="602">
        <f t="shared" si="77"/>
        <v>0</v>
      </c>
      <c r="G1227" s="1174">
        <f t="shared" si="81"/>
        <v>0</v>
      </c>
      <c r="H1227" s="1175">
        <f t="shared" si="82"/>
        <v>0</v>
      </c>
      <c r="I1227" s="655">
        <f t="shared" si="78"/>
        <v>0</v>
      </c>
      <c r="J1227" s="655"/>
      <c r="K1227" s="793"/>
      <c r="L1227" s="661"/>
      <c r="M1227" s="793"/>
      <c r="N1227" s="661"/>
      <c r="O1227" s="661"/>
      <c r="P1227" s="480"/>
    </row>
    <row r="1228" spans="1:16">
      <c r="A1228" s="285"/>
      <c r="B1228" s="285"/>
      <c r="C1228" s="651">
        <f>IF(D1165="","-",+C1227+1)</f>
        <v>2075</v>
      </c>
      <c r="D1228" s="602">
        <f t="shared" si="79"/>
        <v>0</v>
      </c>
      <c r="E1228" s="1173">
        <f t="shared" si="80"/>
        <v>0</v>
      </c>
      <c r="F1228" s="602">
        <f t="shared" si="77"/>
        <v>0</v>
      </c>
      <c r="G1228" s="1174">
        <f t="shared" si="81"/>
        <v>0</v>
      </c>
      <c r="H1228" s="1175">
        <f t="shared" si="82"/>
        <v>0</v>
      </c>
      <c r="I1228" s="655">
        <f t="shared" si="78"/>
        <v>0</v>
      </c>
      <c r="J1228" s="655"/>
      <c r="K1228" s="793"/>
      <c r="L1228" s="661"/>
      <c r="M1228" s="793"/>
      <c r="N1228" s="661"/>
      <c r="O1228" s="661"/>
      <c r="P1228" s="480"/>
    </row>
    <row r="1229" spans="1:16">
      <c r="A1229" s="285"/>
      <c r="B1229" s="285"/>
      <c r="C1229" s="651">
        <f>IF(D1165="","-",+C1228+1)</f>
        <v>2076</v>
      </c>
      <c r="D1229" s="602">
        <f t="shared" si="79"/>
        <v>0</v>
      </c>
      <c r="E1229" s="1173">
        <f t="shared" si="80"/>
        <v>0</v>
      </c>
      <c r="F1229" s="602">
        <f t="shared" si="77"/>
        <v>0</v>
      </c>
      <c r="G1229" s="1174">
        <f t="shared" si="81"/>
        <v>0</v>
      </c>
      <c r="H1229" s="1175">
        <f t="shared" si="82"/>
        <v>0</v>
      </c>
      <c r="I1229" s="655">
        <f t="shared" si="78"/>
        <v>0</v>
      </c>
      <c r="J1229" s="655"/>
      <c r="K1229" s="793"/>
      <c r="L1229" s="661"/>
      <c r="M1229" s="793"/>
      <c r="N1229" s="661"/>
      <c r="O1229" s="661"/>
      <c r="P1229" s="480"/>
    </row>
    <row r="1230" spans="1:16" ht="13.5" thickBot="1">
      <c r="A1230" s="285"/>
      <c r="B1230" s="285"/>
      <c r="C1230" s="663">
        <f>IF(D1165="","-",+C1229+1)</f>
        <v>2077</v>
      </c>
      <c r="D1230" s="664">
        <f t="shared" si="79"/>
        <v>0</v>
      </c>
      <c r="E1230" s="1196">
        <f t="shared" si="80"/>
        <v>0</v>
      </c>
      <c r="F1230" s="664">
        <f t="shared" si="77"/>
        <v>0</v>
      </c>
      <c r="G1230" s="1200">
        <f t="shared" si="81"/>
        <v>0</v>
      </c>
      <c r="H1230" s="1201">
        <f t="shared" si="82"/>
        <v>0</v>
      </c>
      <c r="I1230" s="667">
        <f t="shared" si="78"/>
        <v>0</v>
      </c>
      <c r="J1230" s="655"/>
      <c r="K1230" s="794"/>
      <c r="L1230" s="669"/>
      <c r="M1230" s="794"/>
      <c r="N1230" s="669"/>
      <c r="O1230" s="669"/>
      <c r="P1230" s="480"/>
    </row>
    <row r="1231" spans="1:16">
      <c r="A1231" s="285"/>
      <c r="B1231" s="285"/>
      <c r="C1231" s="602" t="s">
        <v>288</v>
      </c>
      <c r="D1231" s="1148"/>
      <c r="E1231" s="1148">
        <f>SUM(E1171:E1230)</f>
        <v>69840538.590000004</v>
      </c>
      <c r="F1231" s="1148"/>
      <c r="G1231" s="1148">
        <f>SUM(G1171:G1230)</f>
        <v>248897717.57408372</v>
      </c>
      <c r="H1231" s="1148">
        <f>SUM(H1171:H1230)</f>
        <v>248897717.57408372</v>
      </c>
      <c r="I1231" s="1148">
        <f>SUM(I1171:I1230)</f>
        <v>0</v>
      </c>
      <c r="J1231" s="1148"/>
      <c r="K1231" s="1148"/>
      <c r="L1231" s="1148"/>
      <c r="M1231" s="1148"/>
      <c r="N1231" s="1148"/>
      <c r="O1231" s="480"/>
      <c r="P1231" s="480"/>
    </row>
    <row r="1232" spans="1:16">
      <c r="A1232" s="285"/>
      <c r="B1232" s="285"/>
      <c r="C1232" s="285"/>
      <c r="D1232" s="496"/>
      <c r="E1232" s="480"/>
      <c r="F1232" s="480"/>
      <c r="G1232" s="480"/>
      <c r="H1232" s="1147"/>
      <c r="I1232" s="1147"/>
      <c r="J1232" s="1148"/>
      <c r="K1232" s="1147"/>
      <c r="L1232" s="1147"/>
      <c r="M1232" s="1147"/>
      <c r="N1232" s="1147"/>
      <c r="O1232" s="480"/>
      <c r="P1232" s="480"/>
    </row>
    <row r="1233" spans="1:16">
      <c r="A1233" s="285"/>
      <c r="B1233" s="285"/>
      <c r="C1233" s="480" t="s">
        <v>601</v>
      </c>
      <c r="D1233" s="496"/>
      <c r="E1233" s="480"/>
      <c r="F1233" s="480"/>
      <c r="G1233" s="480"/>
      <c r="H1233" s="1147"/>
      <c r="I1233" s="1147"/>
      <c r="J1233" s="1148"/>
      <c r="K1233" s="1147"/>
      <c r="L1233" s="1147"/>
      <c r="M1233" s="1147"/>
      <c r="N1233" s="1147"/>
      <c r="O1233" s="480"/>
      <c r="P1233" s="480"/>
    </row>
    <row r="1234" spans="1:16">
      <c r="A1234" s="285"/>
      <c r="B1234" s="285"/>
      <c r="C1234" s="285"/>
      <c r="D1234" s="496"/>
      <c r="E1234" s="480"/>
      <c r="F1234" s="480"/>
      <c r="G1234" s="480"/>
      <c r="H1234" s="1147"/>
      <c r="I1234" s="1147"/>
      <c r="J1234" s="1148"/>
      <c r="K1234" s="1147"/>
      <c r="L1234" s="1147"/>
      <c r="M1234" s="1147"/>
      <c r="N1234" s="1147"/>
      <c r="O1234" s="480"/>
      <c r="P1234" s="480"/>
    </row>
    <row r="1235" spans="1:16">
      <c r="A1235" s="285"/>
      <c r="B1235" s="285"/>
      <c r="C1235" s="508" t="s">
        <v>602</v>
      </c>
      <c r="D1235" s="602"/>
      <c r="E1235" s="602"/>
      <c r="F1235" s="602"/>
      <c r="G1235" s="1148"/>
      <c r="H1235" s="1148"/>
      <c r="I1235" s="603"/>
      <c r="J1235" s="603"/>
      <c r="K1235" s="603"/>
      <c r="L1235" s="603"/>
      <c r="M1235" s="603"/>
      <c r="N1235" s="603"/>
      <c r="O1235" s="480"/>
      <c r="P1235" s="480"/>
    </row>
    <row r="1236" spans="1:16">
      <c r="A1236" s="285"/>
      <c r="B1236" s="285"/>
      <c r="C1236" s="508" t="s">
        <v>476</v>
      </c>
      <c r="D1236" s="602"/>
      <c r="E1236" s="602"/>
      <c r="F1236" s="602"/>
      <c r="G1236" s="1148"/>
      <c r="H1236" s="1148"/>
      <c r="I1236" s="603"/>
      <c r="J1236" s="603"/>
      <c r="K1236" s="603"/>
      <c r="L1236" s="603"/>
      <c r="M1236" s="603"/>
      <c r="N1236" s="603"/>
      <c r="O1236" s="480"/>
      <c r="P1236" s="480"/>
    </row>
    <row r="1237" spans="1:16">
      <c r="A1237" s="285"/>
      <c r="B1237" s="285"/>
      <c r="C1237" s="508" t="s">
        <v>289</v>
      </c>
      <c r="D1237" s="602"/>
      <c r="E1237" s="602"/>
      <c r="F1237" s="602"/>
      <c r="G1237" s="1148"/>
      <c r="H1237" s="1148"/>
      <c r="I1237" s="603"/>
      <c r="J1237" s="603"/>
      <c r="K1237" s="603"/>
      <c r="L1237" s="603"/>
      <c r="M1237" s="603"/>
      <c r="N1237" s="603"/>
      <c r="O1237" s="480"/>
      <c r="P1237" s="480"/>
    </row>
    <row r="1238" spans="1:16">
      <c r="A1238" s="285"/>
      <c r="B1238" s="285"/>
      <c r="C1238" s="601"/>
      <c r="D1238" s="602"/>
      <c r="E1238" s="602"/>
      <c r="F1238" s="602"/>
      <c r="G1238" s="1148"/>
      <c r="H1238" s="1148"/>
      <c r="I1238" s="603"/>
      <c r="J1238" s="603"/>
      <c r="K1238" s="603"/>
      <c r="L1238" s="603"/>
      <c r="M1238" s="603"/>
      <c r="N1238" s="603"/>
      <c r="O1238" s="480"/>
      <c r="P1238" s="480"/>
    </row>
    <row r="1239" spans="1:16">
      <c r="A1239" s="285"/>
      <c r="B1239" s="285"/>
      <c r="C1239" s="1513" t="s">
        <v>460</v>
      </c>
      <c r="D1239" s="1513"/>
      <c r="E1239" s="1513"/>
      <c r="F1239" s="1513"/>
      <c r="G1239" s="1513"/>
      <c r="H1239" s="1513"/>
      <c r="I1239" s="1513"/>
      <c r="J1239" s="1513"/>
      <c r="K1239" s="1513"/>
      <c r="L1239" s="1513"/>
      <c r="M1239" s="1513"/>
      <c r="N1239" s="1513"/>
      <c r="O1239" s="1513"/>
      <c r="P1239" s="480"/>
    </row>
    <row r="1240" spans="1:16">
      <c r="A1240" s="285"/>
      <c r="B1240" s="285"/>
      <c r="C1240" s="1513"/>
      <c r="D1240" s="1513"/>
      <c r="E1240" s="1513"/>
      <c r="F1240" s="1513"/>
      <c r="G1240" s="1513"/>
      <c r="H1240" s="1513"/>
      <c r="I1240" s="1513"/>
      <c r="J1240" s="1513"/>
      <c r="K1240" s="1513"/>
      <c r="L1240" s="1513"/>
      <c r="M1240" s="1513"/>
      <c r="N1240" s="1513"/>
      <c r="O1240" s="1513"/>
      <c r="P1240" s="480"/>
    </row>
    <row r="1241" spans="1:16" ht="20.25">
      <c r="A1241" s="604" t="s">
        <v>947</v>
      </c>
      <c r="B1241" s="480"/>
      <c r="C1241" s="584"/>
      <c r="D1241" s="496"/>
      <c r="E1241" s="480"/>
      <c r="F1241" s="574"/>
      <c r="G1241" s="480"/>
      <c r="H1241" s="1147"/>
      <c r="I1241" s="285"/>
      <c r="J1241" s="271"/>
      <c r="K1241" s="605"/>
      <c r="L1241" s="605"/>
      <c r="M1241" s="605"/>
      <c r="N1241" s="520" t="str">
        <f>"Page "&amp;SUM(P$6:P1241)&amp;" of "</f>
        <v xml:space="preserve">Page 15 of </v>
      </c>
      <c r="O1241" s="521">
        <f>COUNT(P$6:P$59606)</f>
        <v>15</v>
      </c>
      <c r="P1241" s="480">
        <v>1</v>
      </c>
    </row>
    <row r="1242" spans="1:16">
      <c r="A1242" s="285"/>
      <c r="B1242" s="480"/>
      <c r="C1242" s="480"/>
      <c r="D1242" s="496"/>
      <c r="E1242" s="480"/>
      <c r="F1242" s="480"/>
      <c r="G1242" s="480"/>
      <c r="H1242" s="1147"/>
      <c r="I1242" s="480"/>
      <c r="J1242" s="517"/>
      <c r="K1242" s="480"/>
      <c r="L1242" s="480"/>
      <c r="M1242" s="480"/>
      <c r="N1242" s="480"/>
      <c r="O1242" s="480"/>
      <c r="P1242" s="480"/>
    </row>
    <row r="1243" spans="1:16" ht="18">
      <c r="A1243" s="285"/>
      <c r="B1243" s="524" t="s">
        <v>174</v>
      </c>
      <c r="C1243" s="606" t="s">
        <v>290</v>
      </c>
      <c r="D1243" s="496"/>
      <c r="E1243" s="480"/>
      <c r="F1243" s="480"/>
      <c r="G1243" s="480"/>
      <c r="H1243" s="1147"/>
      <c r="I1243" s="1147"/>
      <c r="J1243" s="1148"/>
      <c r="K1243" s="1147"/>
      <c r="L1243" s="1147"/>
      <c r="M1243" s="1147"/>
      <c r="N1243" s="1147"/>
      <c r="O1243" s="480"/>
      <c r="P1243" s="480"/>
    </row>
    <row r="1244" spans="1:16" ht="18.75">
      <c r="A1244" s="285"/>
      <c r="B1244" s="524"/>
      <c r="C1244" s="523"/>
      <c r="D1244" s="496"/>
      <c r="E1244" s="480"/>
      <c r="F1244" s="480"/>
      <c r="G1244" s="480"/>
      <c r="H1244" s="1147"/>
      <c r="I1244" s="1147"/>
      <c r="J1244" s="1148"/>
      <c r="K1244" s="1147"/>
      <c r="L1244" s="1147"/>
      <c r="M1244" s="1147"/>
      <c r="N1244" s="1147"/>
      <c r="O1244" s="480"/>
      <c r="P1244" s="480"/>
    </row>
    <row r="1245" spans="1:16" ht="18.75">
      <c r="A1245" s="285"/>
      <c r="B1245" s="524"/>
      <c r="C1245" s="523" t="s">
        <v>291</v>
      </c>
      <c r="D1245" s="496"/>
      <c r="E1245" s="480"/>
      <c r="F1245" s="480"/>
      <c r="G1245" s="480"/>
      <c r="H1245" s="1147"/>
      <c r="I1245" s="1147"/>
      <c r="J1245" s="1148"/>
      <c r="K1245" s="1147"/>
      <c r="L1245" s="1147"/>
      <c r="M1245" s="1147"/>
      <c r="N1245" s="1147"/>
      <c r="O1245" s="480"/>
      <c r="P1245" s="480"/>
    </row>
    <row r="1246" spans="1:16" ht="15.75" thickBot="1">
      <c r="A1246" s="285"/>
      <c r="B1246" s="285"/>
      <c r="C1246" s="347"/>
      <c r="D1246" s="496"/>
      <c r="E1246" s="480"/>
      <c r="F1246" s="480"/>
      <c r="G1246" s="480"/>
      <c r="H1246" s="1147"/>
      <c r="I1246" s="1147"/>
      <c r="J1246" s="1148"/>
      <c r="K1246" s="1147"/>
      <c r="L1246" s="1147"/>
      <c r="M1246" s="1147"/>
      <c r="N1246" s="1147"/>
      <c r="O1246" s="480"/>
      <c r="P1246" s="480"/>
    </row>
    <row r="1247" spans="1:16" ht="15.75">
      <c r="A1247" s="285"/>
      <c r="B1247" s="285"/>
      <c r="C1247" s="525" t="s">
        <v>292</v>
      </c>
      <c r="D1247" s="496"/>
      <c r="E1247" s="480"/>
      <c r="F1247" s="480"/>
      <c r="G1247" s="1149"/>
      <c r="H1247" s="480" t="s">
        <v>271</v>
      </c>
      <c r="I1247" s="480"/>
      <c r="J1247" s="517"/>
      <c r="K1247" s="607" t="s">
        <v>296</v>
      </c>
      <c r="L1247" s="608"/>
      <c r="M1247" s="609"/>
      <c r="N1247" s="1150">
        <f>VLOOKUP(I1253,C1260:O1319,5)</f>
        <v>80313.315254780784</v>
      </c>
      <c r="O1247" s="480"/>
      <c r="P1247" s="480"/>
    </row>
    <row r="1248" spans="1:16" ht="15.75">
      <c r="A1248" s="285"/>
      <c r="B1248" s="285"/>
      <c r="C1248" s="525"/>
      <c r="D1248" s="496"/>
      <c r="E1248" s="480"/>
      <c r="F1248" s="480"/>
      <c r="G1248" s="480"/>
      <c r="H1248" s="1151"/>
      <c r="I1248" s="1151"/>
      <c r="J1248" s="1152"/>
      <c r="K1248" s="612" t="s">
        <v>297</v>
      </c>
      <c r="L1248" s="1153"/>
      <c r="M1248" s="517"/>
      <c r="N1248" s="1154">
        <f>VLOOKUP(I1253,C1260:O1319,6)</f>
        <v>80313.315254780784</v>
      </c>
      <c r="O1248" s="480"/>
      <c r="P1248" s="480"/>
    </row>
    <row r="1249" spans="1:16" ht="13.5" thickBot="1">
      <c r="A1249" s="285"/>
      <c r="B1249" s="285"/>
      <c r="C1249" s="613" t="s">
        <v>293</v>
      </c>
      <c r="D1249" s="1514" t="s">
        <v>962</v>
      </c>
      <c r="E1249" s="1514"/>
      <c r="F1249" s="1514"/>
      <c r="G1249" s="1514"/>
      <c r="H1249" s="1514"/>
      <c r="I1249" s="1147"/>
      <c r="J1249" s="1148"/>
      <c r="K1249" s="1155" t="s">
        <v>450</v>
      </c>
      <c r="L1249" s="1156"/>
      <c r="M1249" s="1156"/>
      <c r="N1249" s="1157">
        <f>+N1248-N1247</f>
        <v>0</v>
      </c>
      <c r="O1249" s="480"/>
      <c r="P1249" s="480"/>
    </row>
    <row r="1250" spans="1:16">
      <c r="A1250" s="285"/>
      <c r="B1250" s="285"/>
      <c r="C1250" s="615"/>
      <c r="D1250" s="616"/>
      <c r="E1250" s="600"/>
      <c r="F1250" s="600"/>
      <c r="G1250" s="617"/>
      <c r="H1250" s="1147"/>
      <c r="I1250" s="1147"/>
      <c r="J1250" s="1148"/>
      <c r="K1250" s="1147"/>
      <c r="L1250" s="1147"/>
      <c r="M1250" s="1147"/>
      <c r="N1250" s="1147"/>
      <c r="O1250" s="480"/>
      <c r="P1250" s="480"/>
    </row>
    <row r="1251" spans="1:16" ht="13.5" thickBot="1">
      <c r="A1251" s="285"/>
      <c r="B1251" s="285"/>
      <c r="C1251" s="618"/>
      <c r="D1251" s="619"/>
      <c r="E1251" s="617"/>
      <c r="F1251" s="617"/>
      <c r="G1251" s="617"/>
      <c r="H1251" s="617"/>
      <c r="I1251" s="617"/>
      <c r="J1251" s="620"/>
      <c r="K1251" s="617"/>
      <c r="L1251" s="617"/>
      <c r="M1251" s="617"/>
      <c r="N1251" s="617"/>
      <c r="O1251" s="508"/>
      <c r="P1251" s="480"/>
    </row>
    <row r="1252" spans="1:16" ht="13.5" thickBot="1">
      <c r="A1252" s="285"/>
      <c r="B1252" s="285"/>
      <c r="C1252" s="622" t="s">
        <v>294</v>
      </c>
      <c r="D1252" s="623"/>
      <c r="E1252" s="623"/>
      <c r="F1252" s="623"/>
      <c r="G1252" s="623"/>
      <c r="H1252" s="623"/>
      <c r="I1252" s="624"/>
      <c r="J1252" s="625"/>
      <c r="K1252" s="480"/>
      <c r="L1252" s="480"/>
      <c r="M1252" s="480"/>
      <c r="N1252" s="480"/>
      <c r="O1252" s="626"/>
      <c r="P1252" s="480"/>
    </row>
    <row r="1253" spans="1:16" ht="15">
      <c r="A1253" s="285"/>
      <c r="B1253" s="362"/>
      <c r="C1253" s="628" t="s">
        <v>272</v>
      </c>
      <c r="D1253" s="1158">
        <v>705824.57000000007</v>
      </c>
      <c r="E1253" s="584" t="s">
        <v>273</v>
      </c>
      <c r="F1253" s="285"/>
      <c r="G1253" s="629"/>
      <c r="H1253" s="629"/>
      <c r="I1253" s="630">
        <f>$L$26</f>
        <v>2024</v>
      </c>
      <c r="J1253" s="515"/>
      <c r="K1253" s="1515" t="s">
        <v>459</v>
      </c>
      <c r="L1253" s="1515"/>
      <c r="M1253" s="1515"/>
      <c r="N1253" s="1515"/>
      <c r="O1253" s="1515"/>
      <c r="P1253" s="480"/>
    </row>
    <row r="1254" spans="1:16">
      <c r="A1254" s="285"/>
      <c r="B1254" s="362"/>
      <c r="C1254" s="628" t="s">
        <v>275</v>
      </c>
      <c r="D1254" s="1195">
        <v>2016</v>
      </c>
      <c r="E1254" s="628" t="s">
        <v>276</v>
      </c>
      <c r="F1254" s="629"/>
      <c r="G1254" s="285"/>
      <c r="H1254" s="285"/>
      <c r="I1254" s="791">
        <f>IF(G1247="",0,$F$15)</f>
        <v>0</v>
      </c>
      <c r="J1254" s="631"/>
      <c r="K1254" s="1148" t="s">
        <v>459</v>
      </c>
      <c r="L1254" s="285"/>
      <c r="M1254" s="285"/>
      <c r="N1254" s="285"/>
      <c r="O1254" s="285"/>
      <c r="P1254" s="480"/>
    </row>
    <row r="1255" spans="1:16">
      <c r="A1255" s="285"/>
      <c r="B1255" s="362"/>
      <c r="C1255" s="628" t="s">
        <v>277</v>
      </c>
      <c r="D1255" s="1158">
        <v>12</v>
      </c>
      <c r="E1255" s="628" t="s">
        <v>278</v>
      </c>
      <c r="F1255" s="629"/>
      <c r="G1255" s="285"/>
      <c r="H1255" s="285"/>
      <c r="I1255" s="632">
        <f>$G$70</f>
        <v>0.10987714662923057</v>
      </c>
      <c r="J1255" s="633"/>
      <c r="K1255" s="285" t="str">
        <f>"          INPUT PROJECTED ARR (WITH &amp; WITHOUT INCENTIVES) FROM EACH PRIOR YEAR"</f>
        <v xml:space="preserve">          INPUT PROJECTED ARR (WITH &amp; WITHOUT INCENTIVES) FROM EACH PRIOR YEAR</v>
      </c>
      <c r="L1255" s="285"/>
      <c r="M1255" s="285"/>
      <c r="N1255" s="285"/>
      <c r="O1255" s="285"/>
      <c r="P1255" s="480"/>
    </row>
    <row r="1256" spans="1:16">
      <c r="A1256" s="285"/>
      <c r="B1256" s="362"/>
      <c r="C1256" s="628" t="s">
        <v>279</v>
      </c>
      <c r="D1256" s="634">
        <f>G$79</f>
        <v>45</v>
      </c>
      <c r="E1256" s="628" t="s">
        <v>280</v>
      </c>
      <c r="F1256" s="629"/>
      <c r="G1256" s="285"/>
      <c r="H1256" s="285"/>
      <c r="I1256" s="632">
        <f>IF(G1247="",I1255,$G$67)</f>
        <v>0.10987714662923057</v>
      </c>
      <c r="J1256" s="635"/>
      <c r="K1256" s="285" t="s">
        <v>357</v>
      </c>
      <c r="L1256" s="285"/>
      <c r="M1256" s="285"/>
      <c r="N1256" s="285"/>
      <c r="O1256" s="285"/>
      <c r="P1256" s="480"/>
    </row>
    <row r="1257" spans="1:16" ht="13.5" thickBot="1">
      <c r="A1257" s="285"/>
      <c r="B1257" s="362"/>
      <c r="C1257" s="628" t="s">
        <v>281</v>
      </c>
      <c r="D1257" s="790" t="s">
        <v>949</v>
      </c>
      <c r="E1257" s="636" t="s">
        <v>282</v>
      </c>
      <c r="F1257" s="637"/>
      <c r="G1257" s="638"/>
      <c r="H1257" s="638"/>
      <c r="I1257" s="1157">
        <f>IF(D1253=0,0,D1253/D1256)</f>
        <v>15684.990444444446</v>
      </c>
      <c r="J1257" s="1148"/>
      <c r="K1257" s="1148" t="s">
        <v>363</v>
      </c>
      <c r="L1257" s="1148"/>
      <c r="M1257" s="1148"/>
      <c r="N1257" s="1148"/>
      <c r="O1257" s="517"/>
      <c r="P1257" s="480"/>
    </row>
    <row r="1258" spans="1:16" ht="51">
      <c r="A1258" s="470"/>
      <c r="B1258" s="470"/>
      <c r="C1258" s="639" t="s">
        <v>272</v>
      </c>
      <c r="D1258" s="1160" t="s">
        <v>283</v>
      </c>
      <c r="E1258" s="1161" t="s">
        <v>284</v>
      </c>
      <c r="F1258" s="1160" t="s">
        <v>285</v>
      </c>
      <c r="G1258" s="1161" t="s">
        <v>356</v>
      </c>
      <c r="H1258" s="1162" t="s">
        <v>356</v>
      </c>
      <c r="I1258" s="639" t="s">
        <v>295</v>
      </c>
      <c r="J1258" s="643"/>
      <c r="K1258" s="1161" t="s">
        <v>365</v>
      </c>
      <c r="L1258" s="1163"/>
      <c r="M1258" s="1161" t="s">
        <v>365</v>
      </c>
      <c r="N1258" s="1163"/>
      <c r="O1258" s="1163"/>
      <c r="P1258" s="480"/>
    </row>
    <row r="1259" spans="1:16" ht="13.5" thickBot="1">
      <c r="A1259" s="285"/>
      <c r="B1259" s="285"/>
      <c r="C1259" s="645" t="s">
        <v>177</v>
      </c>
      <c r="D1259" s="646" t="s">
        <v>178</v>
      </c>
      <c r="E1259" s="645" t="s">
        <v>37</v>
      </c>
      <c r="F1259" s="646" t="s">
        <v>178</v>
      </c>
      <c r="G1259" s="1164" t="s">
        <v>298</v>
      </c>
      <c r="H1259" s="1165" t="s">
        <v>300</v>
      </c>
      <c r="I1259" s="649" t="s">
        <v>389</v>
      </c>
      <c r="J1259" s="650"/>
      <c r="K1259" s="1164" t="s">
        <v>287</v>
      </c>
      <c r="L1259" s="1166"/>
      <c r="M1259" s="1164" t="s">
        <v>300</v>
      </c>
      <c r="N1259" s="1166"/>
      <c r="O1259" s="1166"/>
      <c r="P1259" s="480"/>
    </row>
    <row r="1260" spans="1:16">
      <c r="A1260" s="285"/>
      <c r="B1260" s="285"/>
      <c r="C1260" s="1194">
        <f>IF(D1254= "","-",D1254)</f>
        <v>2016</v>
      </c>
      <c r="D1260" s="602">
        <f>+D1253</f>
        <v>705824.57000000007</v>
      </c>
      <c r="E1260" s="1167">
        <f>+I1257/12*(12-D1255)</f>
        <v>0</v>
      </c>
      <c r="F1260" s="602">
        <f>+D1260-E1260</f>
        <v>705824.57000000007</v>
      </c>
      <c r="G1260" s="1168">
        <f>+$I$1255*((D1260+F1260)/2)+E1260</f>
        <v>77553.989772403627</v>
      </c>
      <c r="H1260" s="1169">
        <f>+$I$1256*((D1260+F1260)/2)+E1260</f>
        <v>77553.989772403627</v>
      </c>
      <c r="I1260" s="655">
        <f t="shared" ref="I1260:I1319" si="83">+H1260-G1260</f>
        <v>0</v>
      </c>
      <c r="J1260" s="655"/>
      <c r="K1260" s="792">
        <v>0</v>
      </c>
      <c r="L1260" s="657"/>
      <c r="M1260" s="792">
        <v>0</v>
      </c>
      <c r="N1260" s="657"/>
      <c r="O1260" s="657"/>
      <c r="P1260" s="480"/>
    </row>
    <row r="1261" spans="1:16">
      <c r="A1261" s="285"/>
      <c r="B1261" s="285"/>
      <c r="C1261" s="1194">
        <f>IF(D1254="","-",+C1260+1)</f>
        <v>2017</v>
      </c>
      <c r="D1261" s="1172">
        <f>F1260</f>
        <v>705824.57000000007</v>
      </c>
      <c r="E1261" s="1173">
        <f>IF(D1261&gt;$I$1257,$I$1257,D1261)</f>
        <v>15684.990444444446</v>
      </c>
      <c r="F1261" s="1172">
        <f>+D1261-E1261</f>
        <v>690139.5795555556</v>
      </c>
      <c r="G1261" s="1174">
        <f>+$I$1255*((D1261+F1261)/2)+E1261</f>
        <v>92377.269219376903</v>
      </c>
      <c r="H1261" s="1175">
        <f>+$I$1256*((D1261+F1261)/2)+E1261</f>
        <v>92377.269219376903</v>
      </c>
      <c r="I1261" s="1181">
        <f t="shared" si="83"/>
        <v>0</v>
      </c>
      <c r="J1261" s="655"/>
      <c r="K1261" s="793"/>
      <c r="L1261" s="661"/>
      <c r="M1261" s="793"/>
      <c r="N1261" s="661"/>
      <c r="O1261" s="661"/>
      <c r="P1261" s="480"/>
    </row>
    <row r="1262" spans="1:16">
      <c r="A1262" s="285"/>
      <c r="B1262" s="285"/>
      <c r="C1262" s="651">
        <f>IF(D1254="","-",+C1261+1)</f>
        <v>2018</v>
      </c>
      <c r="D1262" s="1172">
        <f t="shared" ref="D1262:D1319" si="84">F1261</f>
        <v>690139.5795555556</v>
      </c>
      <c r="E1262" s="1173">
        <f t="shared" ref="E1262:E1319" si="85">IF(D1262&gt;$I$1257,$I$1257,D1262)</f>
        <v>15684.990444444446</v>
      </c>
      <c r="F1262" s="1172">
        <f t="shared" ref="F1262:F1319" si="86">+D1262-E1262</f>
        <v>674454.58911111113</v>
      </c>
      <c r="G1262" s="1174">
        <f t="shared" ref="G1262:G1319" si="87">+$I$1255*((D1262+F1262)/2)+E1262</f>
        <v>90653.847224434605</v>
      </c>
      <c r="H1262" s="1175">
        <f t="shared" ref="H1262:H1319" si="88">+$I$1256*((D1262+F1262)/2)+E1262</f>
        <v>90653.847224434605</v>
      </c>
      <c r="I1262" s="655">
        <f t="shared" si="83"/>
        <v>0</v>
      </c>
      <c r="J1262" s="655"/>
      <c r="K1262" s="1192"/>
      <c r="L1262" s="1180"/>
      <c r="M1262" s="1192"/>
      <c r="N1262" s="661"/>
      <c r="O1262" s="661"/>
      <c r="P1262" s="480"/>
    </row>
    <row r="1263" spans="1:16">
      <c r="A1263" s="285"/>
      <c r="B1263" s="285"/>
      <c r="C1263" s="1229">
        <f>IF(D1254="","-",+C1262+1)</f>
        <v>2019</v>
      </c>
      <c r="D1263" s="1172">
        <f t="shared" si="84"/>
        <v>674454.58911111113</v>
      </c>
      <c r="E1263" s="1173">
        <f t="shared" si="85"/>
        <v>15684.990444444446</v>
      </c>
      <c r="F1263" s="1172">
        <f t="shared" si="86"/>
        <v>658769.59866666666</v>
      </c>
      <c r="G1263" s="1174">
        <f t="shared" si="87"/>
        <v>88930.425229492292</v>
      </c>
      <c r="H1263" s="1175">
        <f t="shared" si="88"/>
        <v>88930.425229492292</v>
      </c>
      <c r="I1263" s="655">
        <f t="shared" si="83"/>
        <v>0</v>
      </c>
      <c r="J1263" s="655"/>
      <c r="K1263" s="793"/>
      <c r="L1263" s="661"/>
      <c r="M1263" s="793"/>
      <c r="N1263" s="661"/>
      <c r="O1263" s="661"/>
      <c r="P1263" s="480"/>
    </row>
    <row r="1264" spans="1:16">
      <c r="A1264" s="285"/>
      <c r="B1264" s="285"/>
      <c r="C1264" s="1229">
        <f>IF(D1254="","-",+C1263+1)</f>
        <v>2020</v>
      </c>
      <c r="D1264" s="1172">
        <f t="shared" si="84"/>
        <v>658769.59866666666</v>
      </c>
      <c r="E1264" s="1173">
        <f t="shared" si="85"/>
        <v>15684.990444444446</v>
      </c>
      <c r="F1264" s="1172">
        <f t="shared" si="86"/>
        <v>643084.60822222219</v>
      </c>
      <c r="G1264" s="1174">
        <f t="shared" si="87"/>
        <v>87207.003234549993</v>
      </c>
      <c r="H1264" s="1175">
        <f t="shared" si="88"/>
        <v>87207.003234549993</v>
      </c>
      <c r="I1264" s="655">
        <f t="shared" si="83"/>
        <v>0</v>
      </c>
      <c r="J1264" s="655"/>
      <c r="K1264" s="793">
        <v>82029.058144338895</v>
      </c>
      <c r="L1264" s="661"/>
      <c r="M1264" s="1230">
        <v>82029.058144338895</v>
      </c>
      <c r="N1264" s="661"/>
      <c r="O1264" s="661"/>
      <c r="P1264" s="480"/>
    </row>
    <row r="1265" spans="1:16">
      <c r="A1265" s="285"/>
      <c r="B1265" s="285"/>
      <c r="C1265" s="1229">
        <f>IF(D1254="","-",+C1264+1)</f>
        <v>2021</v>
      </c>
      <c r="D1265" s="1172">
        <f t="shared" si="84"/>
        <v>643084.60822222219</v>
      </c>
      <c r="E1265" s="1173">
        <f t="shared" si="85"/>
        <v>15684.990444444446</v>
      </c>
      <c r="F1265" s="1172">
        <f t="shared" si="86"/>
        <v>627399.61777777772</v>
      </c>
      <c r="G1265" s="1174">
        <f t="shared" si="87"/>
        <v>85483.58123960768</v>
      </c>
      <c r="H1265" s="1175">
        <f t="shared" si="88"/>
        <v>85483.58123960768</v>
      </c>
      <c r="I1265" s="655">
        <f t="shared" si="83"/>
        <v>0</v>
      </c>
      <c r="J1265" s="655"/>
      <c r="K1265" s="793">
        <v>81169.694737356709</v>
      </c>
      <c r="L1265" s="661"/>
      <c r="M1265" s="1230">
        <v>81169.694737356709</v>
      </c>
      <c r="N1265" s="661"/>
      <c r="O1265" s="661"/>
      <c r="P1265" s="480"/>
    </row>
    <row r="1266" spans="1:16">
      <c r="A1266" s="285"/>
      <c r="B1266" s="285"/>
      <c r="C1266" s="1229">
        <f>IF(D1257="","-",+C1265+1)</f>
        <v>2022</v>
      </c>
      <c r="D1266" s="1172">
        <f t="shared" si="84"/>
        <v>627399.61777777772</v>
      </c>
      <c r="E1266" s="1173">
        <f t="shared" si="85"/>
        <v>15684.990444444446</v>
      </c>
      <c r="F1266" s="1172">
        <f t="shared" si="86"/>
        <v>611714.62733333325</v>
      </c>
      <c r="G1266" s="1174">
        <f t="shared" si="87"/>
        <v>83760.159244665381</v>
      </c>
      <c r="H1266" s="1175">
        <f t="shared" si="88"/>
        <v>83760.159244665381</v>
      </c>
      <c r="I1266" s="655">
        <f t="shared" si="83"/>
        <v>0</v>
      </c>
      <c r="J1266" s="655"/>
      <c r="K1266" s="793">
        <v>80241.319447809365</v>
      </c>
      <c r="L1266" s="661"/>
      <c r="M1266" s="1230">
        <v>80241.319447809365</v>
      </c>
      <c r="N1266" s="661"/>
      <c r="O1266" s="661"/>
      <c r="P1266" s="480"/>
    </row>
    <row r="1267" spans="1:16">
      <c r="A1267" s="285"/>
      <c r="B1267" s="285"/>
      <c r="C1267" s="1229">
        <f>IF(D1257="","-",+C1266+1)</f>
        <v>2023</v>
      </c>
      <c r="D1267" s="1172">
        <f t="shared" si="84"/>
        <v>611714.62733333325</v>
      </c>
      <c r="E1267" s="1173">
        <f t="shared" si="85"/>
        <v>15684.990444444446</v>
      </c>
      <c r="F1267" s="1172">
        <f t="shared" si="86"/>
        <v>596029.63688888878</v>
      </c>
      <c r="G1267" s="1174">
        <f t="shared" si="87"/>
        <v>82036.737249723068</v>
      </c>
      <c r="H1267" s="1175">
        <f t="shared" si="88"/>
        <v>82036.737249723068</v>
      </c>
      <c r="I1267" s="1181">
        <f t="shared" si="83"/>
        <v>0</v>
      </c>
      <c r="J1267" s="655"/>
      <c r="K1267" s="793">
        <v>83069.401191601428</v>
      </c>
      <c r="L1267" s="661"/>
      <c r="M1267" s="1230">
        <v>83069.401191601428</v>
      </c>
      <c r="N1267" s="661"/>
      <c r="O1267" s="661"/>
      <c r="P1267" s="480"/>
    </row>
    <row r="1268" spans="1:16">
      <c r="A1268" s="285"/>
      <c r="B1268" s="285"/>
      <c r="C1268" s="1171">
        <f>IF(D1254="","-",+C1267+1)</f>
        <v>2024</v>
      </c>
      <c r="D1268" s="1172">
        <f t="shared" si="84"/>
        <v>596029.63688888878</v>
      </c>
      <c r="E1268" s="1173">
        <f t="shared" si="85"/>
        <v>15684.990444444446</v>
      </c>
      <c r="F1268" s="1172">
        <f t="shared" si="86"/>
        <v>580344.64644444431</v>
      </c>
      <c r="G1268" s="1174">
        <f t="shared" si="87"/>
        <v>80313.315254780784</v>
      </c>
      <c r="H1268" s="1175">
        <f t="shared" si="88"/>
        <v>80313.315254780784</v>
      </c>
      <c r="I1268" s="655">
        <f t="shared" si="83"/>
        <v>0</v>
      </c>
      <c r="J1268" s="655"/>
      <c r="K1268" s="793"/>
      <c r="L1268" s="661"/>
      <c r="M1268" s="793"/>
      <c r="N1268" s="661"/>
      <c r="O1268" s="661"/>
      <c r="P1268" s="480"/>
    </row>
    <row r="1269" spans="1:16">
      <c r="A1269" s="285"/>
      <c r="B1269" s="285"/>
      <c r="C1269" s="651">
        <f>IF(D1254="","-",+C1268+1)</f>
        <v>2025</v>
      </c>
      <c r="D1269" s="1172">
        <f t="shared" si="84"/>
        <v>580344.64644444431</v>
      </c>
      <c r="E1269" s="1173">
        <f t="shared" si="85"/>
        <v>15684.990444444446</v>
      </c>
      <c r="F1269" s="1172">
        <f t="shared" si="86"/>
        <v>564659.65599999984</v>
      </c>
      <c r="G1269" s="1174">
        <f t="shared" si="87"/>
        <v>78589.893259838456</v>
      </c>
      <c r="H1269" s="1175">
        <f t="shared" si="88"/>
        <v>78589.893259838456</v>
      </c>
      <c r="I1269" s="655">
        <f t="shared" si="83"/>
        <v>0</v>
      </c>
      <c r="J1269" s="655"/>
      <c r="K1269" s="793"/>
      <c r="L1269" s="661"/>
      <c r="M1269" s="793"/>
      <c r="N1269" s="661"/>
      <c r="O1269" s="661"/>
      <c r="P1269" s="480"/>
    </row>
    <row r="1270" spans="1:16">
      <c r="A1270" s="285"/>
      <c r="B1270" s="285"/>
      <c r="C1270" s="651">
        <f>IF(D1254="","-",+C1269+1)</f>
        <v>2026</v>
      </c>
      <c r="D1270" s="1172">
        <f t="shared" si="84"/>
        <v>564659.65599999984</v>
      </c>
      <c r="E1270" s="1173">
        <f t="shared" si="85"/>
        <v>15684.990444444446</v>
      </c>
      <c r="F1270" s="1172">
        <f t="shared" si="86"/>
        <v>548974.66555555537</v>
      </c>
      <c r="G1270" s="1174">
        <f t="shared" si="87"/>
        <v>76866.471264896172</v>
      </c>
      <c r="H1270" s="1175">
        <f t="shared" si="88"/>
        <v>76866.471264896172</v>
      </c>
      <c r="I1270" s="655">
        <f t="shared" si="83"/>
        <v>0</v>
      </c>
      <c r="J1270" s="655"/>
      <c r="K1270" s="793"/>
      <c r="L1270" s="661"/>
      <c r="M1270" s="793"/>
      <c r="N1270" s="661"/>
      <c r="O1270" s="661"/>
      <c r="P1270" s="480"/>
    </row>
    <row r="1271" spans="1:16">
      <c r="A1271" s="285"/>
      <c r="B1271" s="285"/>
      <c r="C1271" s="651">
        <f>IF(D1254="","-",+C1270+1)</f>
        <v>2027</v>
      </c>
      <c r="D1271" s="1172">
        <f t="shared" si="84"/>
        <v>548974.66555555537</v>
      </c>
      <c r="E1271" s="1173">
        <f t="shared" si="85"/>
        <v>15684.990444444446</v>
      </c>
      <c r="F1271" s="1172">
        <f t="shared" si="86"/>
        <v>533289.6751111109</v>
      </c>
      <c r="G1271" s="1174">
        <f t="shared" si="87"/>
        <v>75143.049269953859</v>
      </c>
      <c r="H1271" s="1175">
        <f t="shared" si="88"/>
        <v>75143.049269953859</v>
      </c>
      <c r="I1271" s="655">
        <f t="shared" si="83"/>
        <v>0</v>
      </c>
      <c r="J1271" s="655"/>
      <c r="K1271" s="793"/>
      <c r="L1271" s="661"/>
      <c r="M1271" s="793"/>
      <c r="N1271" s="661"/>
      <c r="O1271" s="661"/>
      <c r="P1271" s="480"/>
    </row>
    <row r="1272" spans="1:16">
      <c r="A1272" s="285"/>
      <c r="B1272" s="285"/>
      <c r="C1272" s="651">
        <f>IF(D1254="","-",+C1271+1)</f>
        <v>2028</v>
      </c>
      <c r="D1272" s="1172">
        <f t="shared" si="84"/>
        <v>533289.6751111109</v>
      </c>
      <c r="E1272" s="1173">
        <f t="shared" si="85"/>
        <v>15684.990444444446</v>
      </c>
      <c r="F1272" s="1172">
        <f t="shared" si="86"/>
        <v>517604.68466666644</v>
      </c>
      <c r="G1272" s="1174">
        <f t="shared" si="87"/>
        <v>73419.62727501156</v>
      </c>
      <c r="H1272" s="1175">
        <f t="shared" si="88"/>
        <v>73419.62727501156</v>
      </c>
      <c r="I1272" s="655">
        <f t="shared" si="83"/>
        <v>0</v>
      </c>
      <c r="J1272" s="655"/>
      <c r="K1272" s="793"/>
      <c r="L1272" s="661"/>
      <c r="M1272" s="793"/>
      <c r="N1272" s="662"/>
      <c r="O1272" s="661"/>
      <c r="P1272" s="480"/>
    </row>
    <row r="1273" spans="1:16">
      <c r="A1273" s="285"/>
      <c r="B1273" s="285"/>
      <c r="C1273" s="651">
        <f>IF(D1254="","-",+C1272+1)</f>
        <v>2029</v>
      </c>
      <c r="D1273" s="1172">
        <f t="shared" si="84"/>
        <v>517604.68466666644</v>
      </c>
      <c r="E1273" s="1173">
        <f t="shared" si="85"/>
        <v>15684.990444444446</v>
      </c>
      <c r="F1273" s="1172">
        <f t="shared" si="86"/>
        <v>501919.69422222197</v>
      </c>
      <c r="G1273" s="1174">
        <f t="shared" si="87"/>
        <v>71696.205280069247</v>
      </c>
      <c r="H1273" s="1175">
        <f t="shared" si="88"/>
        <v>71696.205280069247</v>
      </c>
      <c r="I1273" s="655">
        <f t="shared" si="83"/>
        <v>0</v>
      </c>
      <c r="J1273" s="655"/>
      <c r="K1273" s="793"/>
      <c r="L1273" s="661"/>
      <c r="M1273" s="793"/>
      <c r="N1273" s="661"/>
      <c r="O1273" s="661"/>
      <c r="P1273" s="480"/>
    </row>
    <row r="1274" spans="1:16">
      <c r="A1274" s="285"/>
      <c r="B1274" s="285"/>
      <c r="C1274" s="651">
        <f>IF(D1254="","-",+C1273+1)</f>
        <v>2030</v>
      </c>
      <c r="D1274" s="1172">
        <f t="shared" si="84"/>
        <v>501919.69422222197</v>
      </c>
      <c r="E1274" s="1173">
        <f t="shared" si="85"/>
        <v>15684.990444444446</v>
      </c>
      <c r="F1274" s="1172">
        <f t="shared" si="86"/>
        <v>486234.7037777775</v>
      </c>
      <c r="G1274" s="1174">
        <f t="shared" si="87"/>
        <v>69972.783285126949</v>
      </c>
      <c r="H1274" s="1175">
        <f t="shared" si="88"/>
        <v>69972.783285126949</v>
      </c>
      <c r="I1274" s="655">
        <f t="shared" si="83"/>
        <v>0</v>
      </c>
      <c r="J1274" s="655"/>
      <c r="K1274" s="793"/>
      <c r="L1274" s="661"/>
      <c r="M1274" s="793"/>
      <c r="N1274" s="661"/>
      <c r="O1274" s="661"/>
      <c r="P1274" s="480"/>
    </row>
    <row r="1275" spans="1:16">
      <c r="A1275" s="285"/>
      <c r="B1275" s="285"/>
      <c r="C1275" s="651">
        <f>IF(D1254="","-",+C1274+1)</f>
        <v>2031</v>
      </c>
      <c r="D1275" s="1172">
        <f t="shared" si="84"/>
        <v>486234.7037777775</v>
      </c>
      <c r="E1275" s="1173">
        <f t="shared" si="85"/>
        <v>15684.990444444446</v>
      </c>
      <c r="F1275" s="1172">
        <f t="shared" si="86"/>
        <v>470549.71333333303</v>
      </c>
      <c r="G1275" s="1174">
        <f t="shared" si="87"/>
        <v>68249.361290184635</v>
      </c>
      <c r="H1275" s="1175">
        <f t="shared" si="88"/>
        <v>68249.361290184635</v>
      </c>
      <c r="I1275" s="655">
        <f t="shared" si="83"/>
        <v>0</v>
      </c>
      <c r="J1275" s="655"/>
      <c r="K1275" s="793"/>
      <c r="L1275" s="661"/>
      <c r="M1275" s="793"/>
      <c r="N1275" s="661"/>
      <c r="O1275" s="661"/>
      <c r="P1275" s="480"/>
    </row>
    <row r="1276" spans="1:16">
      <c r="A1276" s="285"/>
      <c r="B1276" s="285"/>
      <c r="C1276" s="651">
        <f>IF(D1254="","-",+C1275+1)</f>
        <v>2032</v>
      </c>
      <c r="D1276" s="1172">
        <f t="shared" si="84"/>
        <v>470549.71333333303</v>
      </c>
      <c r="E1276" s="1173">
        <f t="shared" si="85"/>
        <v>15684.990444444446</v>
      </c>
      <c r="F1276" s="1172">
        <f t="shared" si="86"/>
        <v>454864.72288888856</v>
      </c>
      <c r="G1276" s="1174">
        <f t="shared" si="87"/>
        <v>66525.939295242337</v>
      </c>
      <c r="H1276" s="1175">
        <f t="shared" si="88"/>
        <v>66525.939295242337</v>
      </c>
      <c r="I1276" s="655">
        <f t="shared" si="83"/>
        <v>0</v>
      </c>
      <c r="J1276" s="655"/>
      <c r="K1276" s="793"/>
      <c r="L1276" s="661"/>
      <c r="M1276" s="793"/>
      <c r="N1276" s="661"/>
      <c r="O1276" s="661"/>
      <c r="P1276" s="480"/>
    </row>
    <row r="1277" spans="1:16">
      <c r="A1277" s="285"/>
      <c r="B1277" s="285"/>
      <c r="C1277" s="651">
        <f>IF(D1254="","-",+C1276+1)</f>
        <v>2033</v>
      </c>
      <c r="D1277" s="1172">
        <f t="shared" si="84"/>
        <v>454864.72288888856</v>
      </c>
      <c r="E1277" s="1173">
        <f t="shared" si="85"/>
        <v>15684.990444444446</v>
      </c>
      <c r="F1277" s="1172">
        <f t="shared" si="86"/>
        <v>439179.73244444409</v>
      </c>
      <c r="G1277" s="1174">
        <f t="shared" si="87"/>
        <v>64802.517300300031</v>
      </c>
      <c r="H1277" s="1175">
        <f t="shared" si="88"/>
        <v>64802.517300300031</v>
      </c>
      <c r="I1277" s="655">
        <f t="shared" si="83"/>
        <v>0</v>
      </c>
      <c r="J1277" s="655"/>
      <c r="K1277" s="793"/>
      <c r="L1277" s="661"/>
      <c r="M1277" s="793"/>
      <c r="N1277" s="661"/>
      <c r="O1277" s="661"/>
      <c r="P1277" s="480"/>
    </row>
    <row r="1278" spans="1:16">
      <c r="A1278" s="285"/>
      <c r="B1278" s="285"/>
      <c r="C1278" s="651">
        <f>IF(D1254="","-",+C1277+1)</f>
        <v>2034</v>
      </c>
      <c r="D1278" s="1172">
        <f t="shared" si="84"/>
        <v>439179.73244444409</v>
      </c>
      <c r="E1278" s="1173">
        <f t="shared" si="85"/>
        <v>15684.990444444446</v>
      </c>
      <c r="F1278" s="1172">
        <f t="shared" si="86"/>
        <v>423494.74199999962</v>
      </c>
      <c r="G1278" s="1174">
        <f t="shared" si="87"/>
        <v>63079.095305357725</v>
      </c>
      <c r="H1278" s="1175">
        <f t="shared" si="88"/>
        <v>63079.095305357725</v>
      </c>
      <c r="I1278" s="655">
        <f t="shared" si="83"/>
        <v>0</v>
      </c>
      <c r="J1278" s="655"/>
      <c r="K1278" s="793"/>
      <c r="L1278" s="661"/>
      <c r="M1278" s="793"/>
      <c r="N1278" s="661"/>
      <c r="O1278" s="661"/>
      <c r="P1278" s="480"/>
    </row>
    <row r="1279" spans="1:16">
      <c r="A1279" s="285"/>
      <c r="B1279" s="285"/>
      <c r="C1279" s="651">
        <f>IF(D1254="","-",+C1278+1)</f>
        <v>2035</v>
      </c>
      <c r="D1279" s="1172">
        <f t="shared" si="84"/>
        <v>423494.74199999962</v>
      </c>
      <c r="E1279" s="1173">
        <f t="shared" si="85"/>
        <v>15684.990444444446</v>
      </c>
      <c r="F1279" s="1172">
        <f t="shared" si="86"/>
        <v>407809.75155555515</v>
      </c>
      <c r="G1279" s="1174">
        <f t="shared" si="87"/>
        <v>61355.673310415419</v>
      </c>
      <c r="H1279" s="1175">
        <f t="shared" si="88"/>
        <v>61355.673310415419</v>
      </c>
      <c r="I1279" s="655">
        <f t="shared" si="83"/>
        <v>0</v>
      </c>
      <c r="J1279" s="655"/>
      <c r="K1279" s="793"/>
      <c r="L1279" s="661"/>
      <c r="M1279" s="793"/>
      <c r="N1279" s="661"/>
      <c r="O1279" s="661"/>
      <c r="P1279" s="480"/>
    </row>
    <row r="1280" spans="1:16">
      <c r="A1280" s="285"/>
      <c r="B1280" s="285"/>
      <c r="C1280" s="651">
        <f>IF(D1254="","-",+C1279+1)</f>
        <v>2036</v>
      </c>
      <c r="D1280" s="1172">
        <f t="shared" si="84"/>
        <v>407809.75155555515</v>
      </c>
      <c r="E1280" s="1173">
        <f t="shared" si="85"/>
        <v>15684.990444444446</v>
      </c>
      <c r="F1280" s="1172">
        <f t="shared" si="86"/>
        <v>392124.76111111068</v>
      </c>
      <c r="G1280" s="1174">
        <f t="shared" si="87"/>
        <v>59632.251315473113</v>
      </c>
      <c r="H1280" s="1175">
        <f t="shared" si="88"/>
        <v>59632.251315473113</v>
      </c>
      <c r="I1280" s="655">
        <f t="shared" si="83"/>
        <v>0</v>
      </c>
      <c r="J1280" s="655"/>
      <c r="K1280" s="793"/>
      <c r="L1280" s="661"/>
      <c r="M1280" s="793"/>
      <c r="N1280" s="661"/>
      <c r="O1280" s="661"/>
      <c r="P1280" s="480"/>
    </row>
    <row r="1281" spans="1:16">
      <c r="A1281" s="285"/>
      <c r="B1281" s="285"/>
      <c r="C1281" s="651">
        <f>IF(D1254="","-",+C1280+1)</f>
        <v>2037</v>
      </c>
      <c r="D1281" s="1172">
        <f t="shared" si="84"/>
        <v>392124.76111111068</v>
      </c>
      <c r="E1281" s="1173">
        <f t="shared" si="85"/>
        <v>15684.990444444446</v>
      </c>
      <c r="F1281" s="1172">
        <f t="shared" si="86"/>
        <v>376439.77066666621</v>
      </c>
      <c r="G1281" s="1174">
        <f t="shared" si="87"/>
        <v>57908.829320530807</v>
      </c>
      <c r="H1281" s="1175">
        <f t="shared" si="88"/>
        <v>57908.829320530807</v>
      </c>
      <c r="I1281" s="655">
        <f t="shared" si="83"/>
        <v>0</v>
      </c>
      <c r="J1281" s="655"/>
      <c r="K1281" s="793"/>
      <c r="L1281" s="661"/>
      <c r="M1281" s="793"/>
      <c r="N1281" s="661"/>
      <c r="O1281" s="661"/>
      <c r="P1281" s="480"/>
    </row>
    <row r="1282" spans="1:16">
      <c r="A1282" s="285"/>
      <c r="B1282" s="285"/>
      <c r="C1282" s="651">
        <f>IF(D1254="","-",+C1281+1)</f>
        <v>2038</v>
      </c>
      <c r="D1282" s="1172">
        <f t="shared" si="84"/>
        <v>376439.77066666621</v>
      </c>
      <c r="E1282" s="1173">
        <f t="shared" si="85"/>
        <v>15684.990444444446</v>
      </c>
      <c r="F1282" s="1172">
        <f t="shared" si="86"/>
        <v>360754.78022222174</v>
      </c>
      <c r="G1282" s="1174">
        <f t="shared" si="87"/>
        <v>56185.407325588509</v>
      </c>
      <c r="H1282" s="1175">
        <f t="shared" si="88"/>
        <v>56185.407325588509</v>
      </c>
      <c r="I1282" s="655">
        <f t="shared" si="83"/>
        <v>0</v>
      </c>
      <c r="J1282" s="655"/>
      <c r="K1282" s="793"/>
      <c r="L1282" s="661"/>
      <c r="M1282" s="793"/>
      <c r="N1282" s="661"/>
      <c r="O1282" s="661"/>
      <c r="P1282" s="480"/>
    </row>
    <row r="1283" spans="1:16">
      <c r="A1283" s="285"/>
      <c r="B1283" s="285"/>
      <c r="C1283" s="651">
        <f>IF(D1254="","-",+C1282+1)</f>
        <v>2039</v>
      </c>
      <c r="D1283" s="1172">
        <f t="shared" si="84"/>
        <v>360754.78022222174</v>
      </c>
      <c r="E1283" s="1173">
        <f t="shared" si="85"/>
        <v>15684.990444444446</v>
      </c>
      <c r="F1283" s="1172">
        <f t="shared" si="86"/>
        <v>345069.78977777727</v>
      </c>
      <c r="G1283" s="1174">
        <f t="shared" si="87"/>
        <v>54461.985330646203</v>
      </c>
      <c r="H1283" s="1175">
        <f t="shared" si="88"/>
        <v>54461.985330646203</v>
      </c>
      <c r="I1283" s="655">
        <f t="shared" si="83"/>
        <v>0</v>
      </c>
      <c r="J1283" s="655"/>
      <c r="K1283" s="793"/>
      <c r="L1283" s="661"/>
      <c r="M1283" s="793"/>
      <c r="N1283" s="661"/>
      <c r="O1283" s="661"/>
      <c r="P1283" s="480"/>
    </row>
    <row r="1284" spans="1:16">
      <c r="A1284" s="285"/>
      <c r="B1284" s="285"/>
      <c r="C1284" s="651">
        <f>IF(D1254="","-",+C1283+1)</f>
        <v>2040</v>
      </c>
      <c r="D1284" s="1172">
        <f t="shared" si="84"/>
        <v>345069.78977777727</v>
      </c>
      <c r="E1284" s="1173">
        <f t="shared" si="85"/>
        <v>15684.990444444446</v>
      </c>
      <c r="F1284" s="1172">
        <f t="shared" si="86"/>
        <v>329384.7993333328</v>
      </c>
      <c r="G1284" s="1174">
        <f t="shared" si="87"/>
        <v>52738.563335703897</v>
      </c>
      <c r="H1284" s="1175">
        <f t="shared" si="88"/>
        <v>52738.563335703897</v>
      </c>
      <c r="I1284" s="655">
        <f t="shared" si="83"/>
        <v>0</v>
      </c>
      <c r="J1284" s="655"/>
      <c r="K1284" s="793"/>
      <c r="L1284" s="661"/>
      <c r="M1284" s="793"/>
      <c r="N1284" s="661"/>
      <c r="O1284" s="661"/>
      <c r="P1284" s="480"/>
    </row>
    <row r="1285" spans="1:16">
      <c r="A1285" s="285"/>
      <c r="B1285" s="285"/>
      <c r="C1285" s="651">
        <f>IF(D1254="","-",+C1284+1)</f>
        <v>2041</v>
      </c>
      <c r="D1285" s="1172">
        <f t="shared" si="84"/>
        <v>329384.7993333328</v>
      </c>
      <c r="E1285" s="1173">
        <f t="shared" si="85"/>
        <v>15684.990444444446</v>
      </c>
      <c r="F1285" s="1172">
        <f t="shared" si="86"/>
        <v>313699.80888888834</v>
      </c>
      <c r="G1285" s="1174">
        <f t="shared" si="87"/>
        <v>51015.141340761591</v>
      </c>
      <c r="H1285" s="1175">
        <f t="shared" si="88"/>
        <v>51015.141340761591</v>
      </c>
      <c r="I1285" s="655">
        <f t="shared" si="83"/>
        <v>0</v>
      </c>
      <c r="J1285" s="655"/>
      <c r="K1285" s="793"/>
      <c r="L1285" s="661"/>
      <c r="M1285" s="793"/>
      <c r="N1285" s="661"/>
      <c r="O1285" s="661"/>
      <c r="P1285" s="480"/>
    </row>
    <row r="1286" spans="1:16">
      <c r="A1286" s="285"/>
      <c r="B1286" s="285"/>
      <c r="C1286" s="651">
        <f>IF(D1254="","-",+C1285+1)</f>
        <v>2042</v>
      </c>
      <c r="D1286" s="1172">
        <f t="shared" si="84"/>
        <v>313699.80888888834</v>
      </c>
      <c r="E1286" s="1173">
        <f t="shared" si="85"/>
        <v>15684.990444444446</v>
      </c>
      <c r="F1286" s="1172">
        <f t="shared" si="86"/>
        <v>298014.81844444387</v>
      </c>
      <c r="G1286" s="1174">
        <f t="shared" si="87"/>
        <v>49291.719345819285</v>
      </c>
      <c r="H1286" s="1175">
        <f t="shared" si="88"/>
        <v>49291.719345819285</v>
      </c>
      <c r="I1286" s="655">
        <f t="shared" si="83"/>
        <v>0</v>
      </c>
      <c r="J1286" s="655"/>
      <c r="K1286" s="793"/>
      <c r="L1286" s="661"/>
      <c r="M1286" s="793"/>
      <c r="N1286" s="661"/>
      <c r="O1286" s="661"/>
      <c r="P1286" s="480"/>
    </row>
    <row r="1287" spans="1:16">
      <c r="A1287" s="285"/>
      <c r="B1287" s="285"/>
      <c r="C1287" s="651">
        <f>IF(D1254="","-",+C1286+1)</f>
        <v>2043</v>
      </c>
      <c r="D1287" s="1172">
        <f t="shared" si="84"/>
        <v>298014.81844444387</v>
      </c>
      <c r="E1287" s="1173">
        <f t="shared" si="85"/>
        <v>15684.990444444446</v>
      </c>
      <c r="F1287" s="1172">
        <f t="shared" si="86"/>
        <v>282329.8279999994</v>
      </c>
      <c r="G1287" s="1174">
        <f t="shared" si="87"/>
        <v>47568.297350876979</v>
      </c>
      <c r="H1287" s="1175">
        <f t="shared" si="88"/>
        <v>47568.297350876979</v>
      </c>
      <c r="I1287" s="655">
        <f t="shared" si="83"/>
        <v>0</v>
      </c>
      <c r="J1287" s="655"/>
      <c r="K1287" s="793"/>
      <c r="L1287" s="661"/>
      <c r="M1287" s="793"/>
      <c r="N1287" s="661"/>
      <c r="O1287" s="661"/>
      <c r="P1287" s="480"/>
    </row>
    <row r="1288" spans="1:16">
      <c r="A1288" s="285"/>
      <c r="B1288" s="285"/>
      <c r="C1288" s="651">
        <f>IF(D1254="","-",+C1287+1)</f>
        <v>2044</v>
      </c>
      <c r="D1288" s="1172">
        <f t="shared" si="84"/>
        <v>282329.8279999994</v>
      </c>
      <c r="E1288" s="1173">
        <f t="shared" si="85"/>
        <v>15684.990444444446</v>
      </c>
      <c r="F1288" s="1172">
        <f t="shared" si="86"/>
        <v>266644.83755555493</v>
      </c>
      <c r="G1288" s="1174">
        <f t="shared" si="87"/>
        <v>45844.875355934673</v>
      </c>
      <c r="H1288" s="1175">
        <f t="shared" si="88"/>
        <v>45844.875355934673</v>
      </c>
      <c r="I1288" s="655">
        <f t="shared" si="83"/>
        <v>0</v>
      </c>
      <c r="J1288" s="655"/>
      <c r="K1288" s="793"/>
      <c r="L1288" s="661"/>
      <c r="M1288" s="793"/>
      <c r="N1288" s="661"/>
      <c r="O1288" s="661"/>
      <c r="P1288" s="480"/>
    </row>
    <row r="1289" spans="1:16">
      <c r="A1289" s="285"/>
      <c r="B1289" s="285"/>
      <c r="C1289" s="651">
        <f>IF(D1254="","-",+C1288+1)</f>
        <v>2045</v>
      </c>
      <c r="D1289" s="1172">
        <f t="shared" si="84"/>
        <v>266644.83755555493</v>
      </c>
      <c r="E1289" s="1173">
        <f t="shared" si="85"/>
        <v>15684.990444444446</v>
      </c>
      <c r="F1289" s="1172">
        <f t="shared" si="86"/>
        <v>250959.84711111049</v>
      </c>
      <c r="G1289" s="1174">
        <f t="shared" si="87"/>
        <v>44121.453360992367</v>
      </c>
      <c r="H1289" s="1175">
        <f t="shared" si="88"/>
        <v>44121.453360992367</v>
      </c>
      <c r="I1289" s="655">
        <f t="shared" si="83"/>
        <v>0</v>
      </c>
      <c r="J1289" s="655"/>
      <c r="K1289" s="793"/>
      <c r="L1289" s="661"/>
      <c r="M1289" s="793"/>
      <c r="N1289" s="661"/>
      <c r="O1289" s="661"/>
      <c r="P1289" s="480"/>
    </row>
    <row r="1290" spans="1:16">
      <c r="A1290" s="285"/>
      <c r="B1290" s="285"/>
      <c r="C1290" s="651">
        <f>IF(D1254="","-",+C1289+1)</f>
        <v>2046</v>
      </c>
      <c r="D1290" s="1172">
        <f t="shared" si="84"/>
        <v>250959.84711111049</v>
      </c>
      <c r="E1290" s="1173">
        <f t="shared" si="85"/>
        <v>15684.990444444446</v>
      </c>
      <c r="F1290" s="1172">
        <f t="shared" si="86"/>
        <v>235274.85666666605</v>
      </c>
      <c r="G1290" s="1174">
        <f t="shared" si="87"/>
        <v>42398.031366050069</v>
      </c>
      <c r="H1290" s="1175">
        <f t="shared" si="88"/>
        <v>42398.031366050069</v>
      </c>
      <c r="I1290" s="655">
        <f t="shared" si="83"/>
        <v>0</v>
      </c>
      <c r="J1290" s="655"/>
      <c r="K1290" s="793"/>
      <c r="L1290" s="661"/>
      <c r="M1290" s="793"/>
      <c r="N1290" s="661"/>
      <c r="O1290" s="661"/>
      <c r="P1290" s="480"/>
    </row>
    <row r="1291" spans="1:16">
      <c r="A1291" s="285"/>
      <c r="B1291" s="285"/>
      <c r="C1291" s="651">
        <f>IF(D1254="","-",+C1290+1)</f>
        <v>2047</v>
      </c>
      <c r="D1291" s="1172">
        <f t="shared" si="84"/>
        <v>235274.85666666605</v>
      </c>
      <c r="E1291" s="1173">
        <f t="shared" si="85"/>
        <v>15684.990444444446</v>
      </c>
      <c r="F1291" s="1172">
        <f t="shared" si="86"/>
        <v>219589.86622222161</v>
      </c>
      <c r="G1291" s="1174">
        <f t="shared" si="87"/>
        <v>40674.609371107763</v>
      </c>
      <c r="H1291" s="1175">
        <f t="shared" si="88"/>
        <v>40674.609371107763</v>
      </c>
      <c r="I1291" s="655">
        <f t="shared" si="83"/>
        <v>0</v>
      </c>
      <c r="J1291" s="655"/>
      <c r="K1291" s="793"/>
      <c r="L1291" s="661"/>
      <c r="M1291" s="793"/>
      <c r="N1291" s="661"/>
      <c r="O1291" s="661"/>
      <c r="P1291" s="480"/>
    </row>
    <row r="1292" spans="1:16">
      <c r="A1292" s="285"/>
      <c r="B1292" s="285"/>
      <c r="C1292" s="651">
        <f>IF(D1254="","-",+C1291+1)</f>
        <v>2048</v>
      </c>
      <c r="D1292" s="1172">
        <f t="shared" si="84"/>
        <v>219589.86622222161</v>
      </c>
      <c r="E1292" s="1173">
        <f t="shared" si="85"/>
        <v>15684.990444444446</v>
      </c>
      <c r="F1292" s="1172">
        <f t="shared" si="86"/>
        <v>203904.87577777717</v>
      </c>
      <c r="G1292" s="1174">
        <f t="shared" si="87"/>
        <v>38951.187376165464</v>
      </c>
      <c r="H1292" s="1175">
        <f t="shared" si="88"/>
        <v>38951.187376165464</v>
      </c>
      <c r="I1292" s="655">
        <f t="shared" si="83"/>
        <v>0</v>
      </c>
      <c r="J1292" s="655"/>
      <c r="K1292" s="793"/>
      <c r="L1292" s="661"/>
      <c r="M1292" s="793"/>
      <c r="N1292" s="661"/>
      <c r="O1292" s="661"/>
      <c r="P1292" s="480"/>
    </row>
    <row r="1293" spans="1:16">
      <c r="A1293" s="285"/>
      <c r="B1293" s="285"/>
      <c r="C1293" s="651">
        <f>IF(D1254="","-",+C1292+1)</f>
        <v>2049</v>
      </c>
      <c r="D1293" s="1172">
        <f t="shared" si="84"/>
        <v>203904.87577777717</v>
      </c>
      <c r="E1293" s="1173">
        <f t="shared" si="85"/>
        <v>15684.990444444446</v>
      </c>
      <c r="F1293" s="1172">
        <f t="shared" si="86"/>
        <v>188219.88533333273</v>
      </c>
      <c r="G1293" s="1174">
        <f t="shared" si="87"/>
        <v>37227.765381223158</v>
      </c>
      <c r="H1293" s="1175">
        <f t="shared" si="88"/>
        <v>37227.765381223158</v>
      </c>
      <c r="I1293" s="655">
        <f t="shared" si="83"/>
        <v>0</v>
      </c>
      <c r="J1293" s="655"/>
      <c r="K1293" s="793"/>
      <c r="L1293" s="661"/>
      <c r="M1293" s="793"/>
      <c r="N1293" s="661"/>
      <c r="O1293" s="661"/>
      <c r="P1293" s="480"/>
    </row>
    <row r="1294" spans="1:16">
      <c r="A1294" s="285"/>
      <c r="B1294" s="285"/>
      <c r="C1294" s="651">
        <f>IF(D1254="","-",+C1293+1)</f>
        <v>2050</v>
      </c>
      <c r="D1294" s="1172">
        <f t="shared" si="84"/>
        <v>188219.88533333273</v>
      </c>
      <c r="E1294" s="1173">
        <f t="shared" si="85"/>
        <v>15684.990444444446</v>
      </c>
      <c r="F1294" s="1172">
        <f t="shared" si="86"/>
        <v>172534.89488888829</v>
      </c>
      <c r="G1294" s="1174">
        <f t="shared" si="87"/>
        <v>35504.34338628086</v>
      </c>
      <c r="H1294" s="1175">
        <f t="shared" si="88"/>
        <v>35504.34338628086</v>
      </c>
      <c r="I1294" s="655">
        <f t="shared" si="83"/>
        <v>0</v>
      </c>
      <c r="J1294" s="655"/>
      <c r="K1294" s="793"/>
      <c r="L1294" s="661"/>
      <c r="M1294" s="793"/>
      <c r="N1294" s="661"/>
      <c r="O1294" s="661"/>
      <c r="P1294" s="480"/>
    </row>
    <row r="1295" spans="1:16">
      <c r="A1295" s="285"/>
      <c r="B1295" s="285"/>
      <c r="C1295" s="651">
        <f>IF(D1254="","-",+C1294+1)</f>
        <v>2051</v>
      </c>
      <c r="D1295" s="1172">
        <f t="shared" si="84"/>
        <v>172534.89488888829</v>
      </c>
      <c r="E1295" s="1173">
        <f t="shared" si="85"/>
        <v>15684.990444444446</v>
      </c>
      <c r="F1295" s="1172">
        <f t="shared" si="86"/>
        <v>156849.90444444385</v>
      </c>
      <c r="G1295" s="1174">
        <f t="shared" si="87"/>
        <v>33780.921391338554</v>
      </c>
      <c r="H1295" s="1175">
        <f t="shared" si="88"/>
        <v>33780.921391338554</v>
      </c>
      <c r="I1295" s="655">
        <f t="shared" si="83"/>
        <v>0</v>
      </c>
      <c r="J1295" s="655"/>
      <c r="K1295" s="793"/>
      <c r="L1295" s="661"/>
      <c r="M1295" s="793"/>
      <c r="N1295" s="661"/>
      <c r="O1295" s="661"/>
      <c r="P1295" s="480"/>
    </row>
    <row r="1296" spans="1:16">
      <c r="A1296" s="285"/>
      <c r="B1296" s="285"/>
      <c r="C1296" s="651">
        <f>IF(D1254="","-",+C1295+1)</f>
        <v>2052</v>
      </c>
      <c r="D1296" s="1172">
        <f t="shared" si="84"/>
        <v>156849.90444444385</v>
      </c>
      <c r="E1296" s="1173">
        <f t="shared" si="85"/>
        <v>15684.990444444446</v>
      </c>
      <c r="F1296" s="1172">
        <f t="shared" si="86"/>
        <v>141164.91399999941</v>
      </c>
      <c r="G1296" s="1174">
        <f t="shared" si="87"/>
        <v>32057.499396396255</v>
      </c>
      <c r="H1296" s="1175">
        <f t="shared" si="88"/>
        <v>32057.499396396255</v>
      </c>
      <c r="I1296" s="655">
        <f t="shared" si="83"/>
        <v>0</v>
      </c>
      <c r="J1296" s="655"/>
      <c r="K1296" s="793"/>
      <c r="L1296" s="661"/>
      <c r="M1296" s="793"/>
      <c r="N1296" s="661"/>
      <c r="O1296" s="661"/>
      <c r="P1296" s="480"/>
    </row>
    <row r="1297" spans="1:16">
      <c r="A1297" s="285"/>
      <c r="B1297" s="285"/>
      <c r="C1297" s="651">
        <f>IF(D1254="","-",+C1296+1)</f>
        <v>2053</v>
      </c>
      <c r="D1297" s="1172">
        <f t="shared" si="84"/>
        <v>141164.91399999941</v>
      </c>
      <c r="E1297" s="1173">
        <f t="shared" si="85"/>
        <v>15684.990444444446</v>
      </c>
      <c r="F1297" s="1172">
        <f t="shared" si="86"/>
        <v>125479.92355555497</v>
      </c>
      <c r="G1297" s="1174">
        <f t="shared" si="87"/>
        <v>30334.077401453949</v>
      </c>
      <c r="H1297" s="1175">
        <f t="shared" si="88"/>
        <v>30334.077401453949</v>
      </c>
      <c r="I1297" s="655">
        <f t="shared" si="83"/>
        <v>0</v>
      </c>
      <c r="J1297" s="655"/>
      <c r="K1297" s="793"/>
      <c r="L1297" s="661"/>
      <c r="M1297" s="793"/>
      <c r="N1297" s="661"/>
      <c r="O1297" s="661"/>
      <c r="P1297" s="480"/>
    </row>
    <row r="1298" spans="1:16">
      <c r="A1298" s="285"/>
      <c r="B1298" s="285"/>
      <c r="C1298" s="651">
        <f>IF(D1254="","-",+C1297+1)</f>
        <v>2054</v>
      </c>
      <c r="D1298" s="1172">
        <f t="shared" si="84"/>
        <v>125479.92355555497</v>
      </c>
      <c r="E1298" s="1173">
        <f t="shared" si="85"/>
        <v>15684.990444444446</v>
      </c>
      <c r="F1298" s="1172">
        <f t="shared" si="86"/>
        <v>109794.93311111053</v>
      </c>
      <c r="G1298" s="1174">
        <f t="shared" si="87"/>
        <v>28610.655406511651</v>
      </c>
      <c r="H1298" s="1175">
        <f t="shared" si="88"/>
        <v>28610.655406511651</v>
      </c>
      <c r="I1298" s="655">
        <f t="shared" si="83"/>
        <v>0</v>
      </c>
      <c r="J1298" s="655"/>
      <c r="K1298" s="793"/>
      <c r="L1298" s="661"/>
      <c r="M1298" s="793"/>
      <c r="N1298" s="661"/>
      <c r="O1298" s="661"/>
      <c r="P1298" s="480"/>
    </row>
    <row r="1299" spans="1:16">
      <c r="A1299" s="285"/>
      <c r="B1299" s="285"/>
      <c r="C1299" s="651">
        <f>IF(D1254="","-",+C1298+1)</f>
        <v>2055</v>
      </c>
      <c r="D1299" s="1172">
        <f t="shared" si="84"/>
        <v>109794.93311111053</v>
      </c>
      <c r="E1299" s="1173">
        <f t="shared" si="85"/>
        <v>15684.990444444446</v>
      </c>
      <c r="F1299" s="1172">
        <f t="shared" si="86"/>
        <v>94109.942666666087</v>
      </c>
      <c r="G1299" s="1174">
        <f t="shared" si="87"/>
        <v>26887.233411569348</v>
      </c>
      <c r="H1299" s="1175">
        <f t="shared" si="88"/>
        <v>26887.233411569348</v>
      </c>
      <c r="I1299" s="655">
        <f t="shared" si="83"/>
        <v>0</v>
      </c>
      <c r="J1299" s="655"/>
      <c r="K1299" s="793"/>
      <c r="L1299" s="661"/>
      <c r="M1299" s="793"/>
      <c r="N1299" s="661"/>
      <c r="O1299" s="661"/>
      <c r="P1299" s="480"/>
    </row>
    <row r="1300" spans="1:16">
      <c r="A1300" s="285"/>
      <c r="B1300" s="285"/>
      <c r="C1300" s="651">
        <f>IF(D1254="","-",+C1299+1)</f>
        <v>2056</v>
      </c>
      <c r="D1300" s="1172">
        <f t="shared" si="84"/>
        <v>94109.942666666087</v>
      </c>
      <c r="E1300" s="1173">
        <f t="shared" si="85"/>
        <v>15684.990444444446</v>
      </c>
      <c r="F1300" s="1172">
        <f t="shared" si="86"/>
        <v>78424.952222221647</v>
      </c>
      <c r="G1300" s="1174">
        <f t="shared" si="87"/>
        <v>25163.811416627046</v>
      </c>
      <c r="H1300" s="1175">
        <f t="shared" si="88"/>
        <v>25163.811416627046</v>
      </c>
      <c r="I1300" s="655">
        <f t="shared" si="83"/>
        <v>0</v>
      </c>
      <c r="J1300" s="655"/>
      <c r="K1300" s="793"/>
      <c r="L1300" s="661"/>
      <c r="M1300" s="793"/>
      <c r="N1300" s="661"/>
      <c r="O1300" s="661"/>
      <c r="P1300" s="480"/>
    </row>
    <row r="1301" spans="1:16">
      <c r="A1301" s="285"/>
      <c r="B1301" s="285"/>
      <c r="C1301" s="651">
        <f>IF(D1254="","-",+C1300+1)</f>
        <v>2057</v>
      </c>
      <c r="D1301" s="1172">
        <f t="shared" si="84"/>
        <v>78424.952222221647</v>
      </c>
      <c r="E1301" s="1173">
        <f t="shared" si="85"/>
        <v>15684.990444444446</v>
      </c>
      <c r="F1301" s="1172">
        <f t="shared" si="86"/>
        <v>62739.9617777772</v>
      </c>
      <c r="G1301" s="1174">
        <f t="shared" si="87"/>
        <v>23440.389421684744</v>
      </c>
      <c r="H1301" s="1175">
        <f t="shared" si="88"/>
        <v>23440.389421684744</v>
      </c>
      <c r="I1301" s="655">
        <f t="shared" si="83"/>
        <v>0</v>
      </c>
      <c r="J1301" s="655"/>
      <c r="K1301" s="793"/>
      <c r="L1301" s="661"/>
      <c r="M1301" s="793"/>
      <c r="N1301" s="661"/>
      <c r="O1301" s="661"/>
      <c r="P1301" s="480"/>
    </row>
    <row r="1302" spans="1:16">
      <c r="A1302" s="285"/>
      <c r="B1302" s="285"/>
      <c r="C1302" s="651">
        <f>IF(D1254="","-",+C1301+1)</f>
        <v>2058</v>
      </c>
      <c r="D1302" s="1172">
        <f t="shared" si="84"/>
        <v>62739.9617777772</v>
      </c>
      <c r="E1302" s="1173">
        <f t="shared" si="85"/>
        <v>15684.990444444446</v>
      </c>
      <c r="F1302" s="1172">
        <f t="shared" si="86"/>
        <v>47054.971333332753</v>
      </c>
      <c r="G1302" s="1174">
        <f t="shared" si="87"/>
        <v>21716.967426742442</v>
      </c>
      <c r="H1302" s="1175">
        <f t="shared" si="88"/>
        <v>21716.967426742442</v>
      </c>
      <c r="I1302" s="655">
        <f t="shared" si="83"/>
        <v>0</v>
      </c>
      <c r="J1302" s="655"/>
      <c r="K1302" s="793"/>
      <c r="L1302" s="661"/>
      <c r="M1302" s="793"/>
      <c r="N1302" s="661"/>
      <c r="O1302" s="661"/>
      <c r="P1302" s="480"/>
    </row>
    <row r="1303" spans="1:16">
      <c r="A1303" s="285"/>
      <c r="B1303" s="285"/>
      <c r="C1303" s="651">
        <f>IF(D1254="","-",+C1302+1)</f>
        <v>2059</v>
      </c>
      <c r="D1303" s="1172">
        <f t="shared" si="84"/>
        <v>47054.971333332753</v>
      </c>
      <c r="E1303" s="1173">
        <f t="shared" si="85"/>
        <v>15684.990444444446</v>
      </c>
      <c r="F1303" s="1172">
        <f t="shared" si="86"/>
        <v>31369.980888888305</v>
      </c>
      <c r="G1303" s="1174">
        <f t="shared" si="87"/>
        <v>19993.545431800139</v>
      </c>
      <c r="H1303" s="1175">
        <f t="shared" si="88"/>
        <v>19993.545431800139</v>
      </c>
      <c r="I1303" s="655">
        <f t="shared" si="83"/>
        <v>0</v>
      </c>
      <c r="J1303" s="655"/>
      <c r="K1303" s="793"/>
      <c r="L1303" s="661"/>
      <c r="M1303" s="793"/>
      <c r="N1303" s="661"/>
      <c r="O1303" s="661"/>
      <c r="P1303" s="480"/>
    </row>
    <row r="1304" spans="1:16">
      <c r="A1304" s="285"/>
      <c r="B1304" s="285"/>
      <c r="C1304" s="651">
        <f>IF(D1254="","-",+C1303+1)</f>
        <v>2060</v>
      </c>
      <c r="D1304" s="1172">
        <f t="shared" si="84"/>
        <v>31369.980888888305</v>
      </c>
      <c r="E1304" s="1173">
        <f t="shared" si="85"/>
        <v>15684.990444444446</v>
      </c>
      <c r="F1304" s="1172">
        <f t="shared" si="86"/>
        <v>15684.99044444386</v>
      </c>
      <c r="G1304" s="1174">
        <f t="shared" si="87"/>
        <v>18270.123436857833</v>
      </c>
      <c r="H1304" s="1175">
        <f t="shared" si="88"/>
        <v>18270.123436857833</v>
      </c>
      <c r="I1304" s="655">
        <f t="shared" si="83"/>
        <v>0</v>
      </c>
      <c r="J1304" s="655"/>
      <c r="K1304" s="793"/>
      <c r="L1304" s="661"/>
      <c r="M1304" s="793"/>
      <c r="N1304" s="661"/>
      <c r="O1304" s="661"/>
      <c r="P1304" s="480"/>
    </row>
    <row r="1305" spans="1:16">
      <c r="A1305" s="285"/>
      <c r="B1305" s="285"/>
      <c r="C1305" s="651">
        <f>IF(D1254="","-",+C1304+1)</f>
        <v>2061</v>
      </c>
      <c r="D1305" s="1172">
        <f t="shared" si="84"/>
        <v>15684.99044444386</v>
      </c>
      <c r="E1305" s="1173">
        <f t="shared" si="85"/>
        <v>15684.99044444386</v>
      </c>
      <c r="F1305" s="1172">
        <f t="shared" si="86"/>
        <v>0</v>
      </c>
      <c r="G1305" s="1174">
        <f t="shared" si="87"/>
        <v>16546.701441914978</v>
      </c>
      <c r="H1305" s="1175">
        <f t="shared" si="88"/>
        <v>16546.701441914978</v>
      </c>
      <c r="I1305" s="655">
        <f t="shared" si="83"/>
        <v>0</v>
      </c>
      <c r="J1305" s="655"/>
      <c r="K1305" s="793"/>
      <c r="L1305" s="661"/>
      <c r="M1305" s="793"/>
      <c r="N1305" s="661"/>
      <c r="O1305" s="661"/>
      <c r="P1305" s="480"/>
    </row>
    <row r="1306" spans="1:16">
      <c r="A1306" s="285"/>
      <c r="B1306" s="285"/>
      <c r="C1306" s="651">
        <f>IF(D1254="","-",+C1305+1)</f>
        <v>2062</v>
      </c>
      <c r="D1306" s="1172">
        <f t="shared" si="84"/>
        <v>0</v>
      </c>
      <c r="E1306" s="1173">
        <f t="shared" si="85"/>
        <v>0</v>
      </c>
      <c r="F1306" s="1172">
        <f t="shared" si="86"/>
        <v>0</v>
      </c>
      <c r="G1306" s="1174">
        <f t="shared" si="87"/>
        <v>0</v>
      </c>
      <c r="H1306" s="1175">
        <f t="shared" si="88"/>
        <v>0</v>
      </c>
      <c r="I1306" s="655">
        <f t="shared" si="83"/>
        <v>0</v>
      </c>
      <c r="J1306" s="655"/>
      <c r="K1306" s="793"/>
      <c r="L1306" s="661"/>
      <c r="M1306" s="793"/>
      <c r="N1306" s="661"/>
      <c r="O1306" s="661"/>
      <c r="P1306" s="480"/>
    </row>
    <row r="1307" spans="1:16">
      <c r="A1307" s="285"/>
      <c r="B1307" s="285"/>
      <c r="C1307" s="651">
        <f>IF(D1254="","-",+C1306+1)</f>
        <v>2063</v>
      </c>
      <c r="D1307" s="1172">
        <f t="shared" si="84"/>
        <v>0</v>
      </c>
      <c r="E1307" s="1173">
        <f t="shared" si="85"/>
        <v>0</v>
      </c>
      <c r="F1307" s="1172">
        <f t="shared" si="86"/>
        <v>0</v>
      </c>
      <c r="G1307" s="1174">
        <f t="shared" si="87"/>
        <v>0</v>
      </c>
      <c r="H1307" s="1175">
        <f t="shared" si="88"/>
        <v>0</v>
      </c>
      <c r="I1307" s="655">
        <f t="shared" si="83"/>
        <v>0</v>
      </c>
      <c r="J1307" s="655"/>
      <c r="K1307" s="793"/>
      <c r="L1307" s="661"/>
      <c r="M1307" s="793"/>
      <c r="N1307" s="661"/>
      <c r="O1307" s="661"/>
      <c r="P1307" s="480"/>
    </row>
    <row r="1308" spans="1:16">
      <c r="A1308" s="285"/>
      <c r="B1308" s="285"/>
      <c r="C1308" s="651">
        <f>IF(D1254="","-",+C1307+1)</f>
        <v>2064</v>
      </c>
      <c r="D1308" s="1172">
        <f t="shared" si="84"/>
        <v>0</v>
      </c>
      <c r="E1308" s="1173">
        <f t="shared" si="85"/>
        <v>0</v>
      </c>
      <c r="F1308" s="1172">
        <f t="shared" si="86"/>
        <v>0</v>
      </c>
      <c r="G1308" s="1174">
        <f t="shared" si="87"/>
        <v>0</v>
      </c>
      <c r="H1308" s="1175">
        <f t="shared" si="88"/>
        <v>0</v>
      </c>
      <c r="I1308" s="655">
        <f t="shared" si="83"/>
        <v>0</v>
      </c>
      <c r="J1308" s="655"/>
      <c r="K1308" s="793"/>
      <c r="L1308" s="661"/>
      <c r="M1308" s="793"/>
      <c r="N1308" s="661"/>
      <c r="O1308" s="661"/>
      <c r="P1308" s="480"/>
    </row>
    <row r="1309" spans="1:16">
      <c r="A1309" s="285"/>
      <c r="B1309" s="285"/>
      <c r="C1309" s="651">
        <f>IF(D1254="","-",+C1308+1)</f>
        <v>2065</v>
      </c>
      <c r="D1309" s="1172">
        <f t="shared" si="84"/>
        <v>0</v>
      </c>
      <c r="E1309" s="1173">
        <f t="shared" si="85"/>
        <v>0</v>
      </c>
      <c r="F1309" s="1172">
        <f t="shared" si="86"/>
        <v>0</v>
      </c>
      <c r="G1309" s="1174">
        <f t="shared" si="87"/>
        <v>0</v>
      </c>
      <c r="H1309" s="1175">
        <f t="shared" si="88"/>
        <v>0</v>
      </c>
      <c r="I1309" s="655">
        <f t="shared" si="83"/>
        <v>0</v>
      </c>
      <c r="J1309" s="655"/>
      <c r="K1309" s="793"/>
      <c r="L1309" s="661"/>
      <c r="M1309" s="793"/>
      <c r="N1309" s="661"/>
      <c r="O1309" s="661"/>
      <c r="P1309" s="480"/>
    </row>
    <row r="1310" spans="1:16">
      <c r="A1310" s="285"/>
      <c r="B1310" s="285"/>
      <c r="C1310" s="651">
        <f>IF(D1254="","-",+C1309+1)</f>
        <v>2066</v>
      </c>
      <c r="D1310" s="1172">
        <f t="shared" si="84"/>
        <v>0</v>
      </c>
      <c r="E1310" s="1173">
        <f t="shared" si="85"/>
        <v>0</v>
      </c>
      <c r="F1310" s="1172">
        <f t="shared" si="86"/>
        <v>0</v>
      </c>
      <c r="G1310" s="1174">
        <f t="shared" si="87"/>
        <v>0</v>
      </c>
      <c r="H1310" s="1175">
        <f t="shared" si="88"/>
        <v>0</v>
      </c>
      <c r="I1310" s="655">
        <f t="shared" si="83"/>
        <v>0</v>
      </c>
      <c r="J1310" s="655"/>
      <c r="K1310" s="793"/>
      <c r="L1310" s="661"/>
      <c r="M1310" s="793"/>
      <c r="N1310" s="661"/>
      <c r="O1310" s="661"/>
      <c r="P1310" s="480"/>
    </row>
    <row r="1311" spans="1:16">
      <c r="A1311" s="285"/>
      <c r="B1311" s="285"/>
      <c r="C1311" s="651">
        <f>IF(D1254="","-",+C1310+1)</f>
        <v>2067</v>
      </c>
      <c r="D1311" s="1172">
        <f t="shared" si="84"/>
        <v>0</v>
      </c>
      <c r="E1311" s="1173">
        <f t="shared" si="85"/>
        <v>0</v>
      </c>
      <c r="F1311" s="1172">
        <f t="shared" si="86"/>
        <v>0</v>
      </c>
      <c r="G1311" s="1174">
        <f t="shared" si="87"/>
        <v>0</v>
      </c>
      <c r="H1311" s="1175">
        <f t="shared" si="88"/>
        <v>0</v>
      </c>
      <c r="I1311" s="655">
        <f t="shared" si="83"/>
        <v>0</v>
      </c>
      <c r="J1311" s="655"/>
      <c r="K1311" s="793"/>
      <c r="L1311" s="661"/>
      <c r="M1311" s="793"/>
      <c r="N1311" s="661"/>
      <c r="O1311" s="661"/>
      <c r="P1311" s="480"/>
    </row>
    <row r="1312" spans="1:16">
      <c r="A1312" s="285"/>
      <c r="B1312" s="285"/>
      <c r="C1312" s="651">
        <f>IF(D1254="","-",+C1311+1)</f>
        <v>2068</v>
      </c>
      <c r="D1312" s="1172">
        <f t="shared" si="84"/>
        <v>0</v>
      </c>
      <c r="E1312" s="1173">
        <f t="shared" si="85"/>
        <v>0</v>
      </c>
      <c r="F1312" s="1172">
        <f t="shared" si="86"/>
        <v>0</v>
      </c>
      <c r="G1312" s="1174">
        <f t="shared" si="87"/>
        <v>0</v>
      </c>
      <c r="H1312" s="1175">
        <f t="shared" si="88"/>
        <v>0</v>
      </c>
      <c r="I1312" s="655">
        <f t="shared" si="83"/>
        <v>0</v>
      </c>
      <c r="J1312" s="655"/>
      <c r="K1312" s="793"/>
      <c r="L1312" s="661"/>
      <c r="M1312" s="793"/>
      <c r="N1312" s="661"/>
      <c r="O1312" s="661"/>
      <c r="P1312" s="480"/>
    </row>
    <row r="1313" spans="1:16">
      <c r="A1313" s="285"/>
      <c r="B1313" s="285"/>
      <c r="C1313" s="651">
        <f>IF(D1254="","-",+C1312+1)</f>
        <v>2069</v>
      </c>
      <c r="D1313" s="1172">
        <f t="shared" si="84"/>
        <v>0</v>
      </c>
      <c r="E1313" s="1173">
        <f t="shared" si="85"/>
        <v>0</v>
      </c>
      <c r="F1313" s="1172">
        <f t="shared" si="86"/>
        <v>0</v>
      </c>
      <c r="G1313" s="1174">
        <f t="shared" si="87"/>
        <v>0</v>
      </c>
      <c r="H1313" s="1175">
        <f t="shared" si="88"/>
        <v>0</v>
      </c>
      <c r="I1313" s="655">
        <f t="shared" si="83"/>
        <v>0</v>
      </c>
      <c r="J1313" s="655"/>
      <c r="K1313" s="793"/>
      <c r="L1313" s="661"/>
      <c r="M1313" s="793"/>
      <c r="N1313" s="661"/>
      <c r="O1313" s="661"/>
      <c r="P1313" s="480"/>
    </row>
    <row r="1314" spans="1:16">
      <c r="A1314" s="285"/>
      <c r="B1314" s="285"/>
      <c r="C1314" s="651">
        <f>IF(D1254="","-",+C1313+1)</f>
        <v>2070</v>
      </c>
      <c r="D1314" s="1172">
        <f t="shared" si="84"/>
        <v>0</v>
      </c>
      <c r="E1314" s="1173">
        <f t="shared" si="85"/>
        <v>0</v>
      </c>
      <c r="F1314" s="1172">
        <f t="shared" si="86"/>
        <v>0</v>
      </c>
      <c r="G1314" s="1174">
        <f t="shared" si="87"/>
        <v>0</v>
      </c>
      <c r="H1314" s="1175">
        <f t="shared" si="88"/>
        <v>0</v>
      </c>
      <c r="I1314" s="655">
        <f t="shared" si="83"/>
        <v>0</v>
      </c>
      <c r="J1314" s="655"/>
      <c r="K1314" s="793"/>
      <c r="L1314" s="661"/>
      <c r="M1314" s="793"/>
      <c r="N1314" s="661"/>
      <c r="O1314" s="661"/>
      <c r="P1314" s="480"/>
    </row>
    <row r="1315" spans="1:16">
      <c r="A1315" s="285"/>
      <c r="B1315" s="285"/>
      <c r="C1315" s="651">
        <f>IF(D1254="","-",+C1314+1)</f>
        <v>2071</v>
      </c>
      <c r="D1315" s="1172">
        <f t="shared" si="84"/>
        <v>0</v>
      </c>
      <c r="E1315" s="1173">
        <f t="shared" si="85"/>
        <v>0</v>
      </c>
      <c r="F1315" s="1172">
        <f t="shared" si="86"/>
        <v>0</v>
      </c>
      <c r="G1315" s="1174">
        <f t="shared" si="87"/>
        <v>0</v>
      </c>
      <c r="H1315" s="1175">
        <f t="shared" si="88"/>
        <v>0</v>
      </c>
      <c r="I1315" s="655">
        <f t="shared" si="83"/>
        <v>0</v>
      </c>
      <c r="J1315" s="655"/>
      <c r="K1315" s="793"/>
      <c r="L1315" s="661"/>
      <c r="M1315" s="793"/>
      <c r="N1315" s="661"/>
      <c r="O1315" s="661"/>
      <c r="P1315" s="480"/>
    </row>
    <row r="1316" spans="1:16">
      <c r="A1316" s="285"/>
      <c r="B1316" s="285"/>
      <c r="C1316" s="651">
        <f>IF(D1254="","-",+C1315+1)</f>
        <v>2072</v>
      </c>
      <c r="D1316" s="1172">
        <f t="shared" si="84"/>
        <v>0</v>
      </c>
      <c r="E1316" s="1173">
        <f t="shared" si="85"/>
        <v>0</v>
      </c>
      <c r="F1316" s="1172">
        <f t="shared" si="86"/>
        <v>0</v>
      </c>
      <c r="G1316" s="1174">
        <f t="shared" si="87"/>
        <v>0</v>
      </c>
      <c r="H1316" s="1175">
        <f t="shared" si="88"/>
        <v>0</v>
      </c>
      <c r="I1316" s="655">
        <f t="shared" si="83"/>
        <v>0</v>
      </c>
      <c r="J1316" s="655"/>
      <c r="K1316" s="793"/>
      <c r="L1316" s="661"/>
      <c r="M1316" s="793"/>
      <c r="N1316" s="661"/>
      <c r="O1316" s="661"/>
      <c r="P1316" s="480"/>
    </row>
    <row r="1317" spans="1:16">
      <c r="A1317" s="285"/>
      <c r="B1317" s="285"/>
      <c r="C1317" s="651">
        <f>IF(D1254="","-",+C1316+1)</f>
        <v>2073</v>
      </c>
      <c r="D1317" s="1172">
        <f t="shared" si="84"/>
        <v>0</v>
      </c>
      <c r="E1317" s="1173">
        <f t="shared" si="85"/>
        <v>0</v>
      </c>
      <c r="F1317" s="1172">
        <f t="shared" si="86"/>
        <v>0</v>
      </c>
      <c r="G1317" s="1174">
        <f t="shared" si="87"/>
        <v>0</v>
      </c>
      <c r="H1317" s="1175">
        <f t="shared" si="88"/>
        <v>0</v>
      </c>
      <c r="I1317" s="655">
        <f t="shared" si="83"/>
        <v>0</v>
      </c>
      <c r="J1317" s="655"/>
      <c r="K1317" s="793"/>
      <c r="L1317" s="661"/>
      <c r="M1317" s="793"/>
      <c r="N1317" s="661"/>
      <c r="O1317" s="661"/>
      <c r="P1317" s="480"/>
    </row>
    <row r="1318" spans="1:16">
      <c r="A1318" s="285"/>
      <c r="B1318" s="285"/>
      <c r="C1318" s="651">
        <f>IF(D1254="","-",+C1317+1)</f>
        <v>2074</v>
      </c>
      <c r="D1318" s="1172">
        <f t="shared" si="84"/>
        <v>0</v>
      </c>
      <c r="E1318" s="1173">
        <f t="shared" si="85"/>
        <v>0</v>
      </c>
      <c r="F1318" s="1172">
        <f t="shared" si="86"/>
        <v>0</v>
      </c>
      <c r="G1318" s="1174">
        <f t="shared" si="87"/>
        <v>0</v>
      </c>
      <c r="H1318" s="1175">
        <f t="shared" si="88"/>
        <v>0</v>
      </c>
      <c r="I1318" s="655">
        <f t="shared" si="83"/>
        <v>0</v>
      </c>
      <c r="J1318" s="655"/>
      <c r="K1318" s="793"/>
      <c r="L1318" s="661"/>
      <c r="M1318" s="793"/>
      <c r="N1318" s="661"/>
      <c r="O1318" s="661"/>
      <c r="P1318" s="480"/>
    </row>
    <row r="1319" spans="1:16" ht="13.5" thickBot="1">
      <c r="A1319" s="285"/>
      <c r="B1319" s="285"/>
      <c r="C1319" s="663">
        <f>IF(D1254="","-",+C1318+1)</f>
        <v>2075</v>
      </c>
      <c r="D1319" s="1203">
        <f t="shared" si="84"/>
        <v>0</v>
      </c>
      <c r="E1319" s="1196">
        <f t="shared" si="85"/>
        <v>0</v>
      </c>
      <c r="F1319" s="1204">
        <f t="shared" si="86"/>
        <v>0</v>
      </c>
      <c r="G1319" s="1200">
        <f t="shared" si="87"/>
        <v>0</v>
      </c>
      <c r="H1319" s="1201">
        <f t="shared" si="88"/>
        <v>0</v>
      </c>
      <c r="I1319" s="667">
        <f t="shared" si="83"/>
        <v>0</v>
      </c>
      <c r="J1319" s="655"/>
      <c r="K1319" s="794"/>
      <c r="L1319" s="669"/>
      <c r="M1319" s="794"/>
      <c r="N1319" s="669"/>
      <c r="O1319" s="669"/>
      <c r="P1319" s="480"/>
    </row>
    <row r="1320" spans="1:16">
      <c r="A1320" s="285"/>
      <c r="B1320" s="285"/>
      <c r="C1320" s="602" t="s">
        <v>288</v>
      </c>
      <c r="D1320" s="1148"/>
      <c r="E1320" s="1148">
        <f>SUM(E1260:E1319)</f>
        <v>705824.57000000007</v>
      </c>
      <c r="F1320" s="1148"/>
      <c r="G1320" s="1148">
        <f>SUM(G1260:G1319)</f>
        <v>2528343.3296514819</v>
      </c>
      <c r="H1320" s="1148">
        <f>SUM(H1260:H1319)</f>
        <v>2528343.3296514819</v>
      </c>
      <c r="I1320" s="1148">
        <f>SUM(I1260:I1319)</f>
        <v>0</v>
      </c>
      <c r="J1320" s="1148"/>
      <c r="K1320" s="1148"/>
      <c r="L1320" s="1148"/>
      <c r="M1320" s="1148"/>
      <c r="N1320" s="1148"/>
      <c r="O1320" s="480"/>
      <c r="P1320" s="480"/>
    </row>
    <row r="1321" spans="1:16">
      <c r="A1321" s="285"/>
      <c r="B1321" s="285"/>
      <c r="C1321" s="285"/>
      <c r="D1321" s="496"/>
      <c r="E1321" s="480"/>
      <c r="F1321" s="480"/>
      <c r="G1321" s="480"/>
      <c r="H1321" s="1147"/>
      <c r="I1321" s="1147"/>
      <c r="J1321" s="1148"/>
      <c r="K1321" s="1147"/>
      <c r="L1321" s="1147"/>
      <c r="M1321" s="1147"/>
      <c r="N1321" s="1147"/>
      <c r="O1321" s="480"/>
      <c r="P1321" s="480"/>
    </row>
    <row r="1322" spans="1:16">
      <c r="A1322" s="285"/>
      <c r="B1322" s="285"/>
      <c r="C1322" s="480" t="s">
        <v>601</v>
      </c>
      <c r="D1322" s="496"/>
      <c r="E1322" s="480"/>
      <c r="F1322" s="480"/>
      <c r="G1322" s="480"/>
      <c r="H1322" s="1147"/>
      <c r="I1322" s="1147"/>
      <c r="J1322" s="1148"/>
      <c r="K1322" s="1147"/>
      <c r="L1322" s="1147"/>
      <c r="M1322" s="1147"/>
      <c r="N1322" s="1147"/>
      <c r="O1322" s="480"/>
      <c r="P1322" s="480"/>
    </row>
    <row r="1323" spans="1:16">
      <c r="A1323" s="285"/>
      <c r="B1323" s="285"/>
      <c r="C1323" s="285"/>
      <c r="D1323" s="496"/>
      <c r="E1323" s="480"/>
      <c r="F1323" s="480"/>
      <c r="G1323" s="480"/>
      <c r="H1323" s="1147"/>
      <c r="I1323" s="1147"/>
      <c r="J1323" s="1148"/>
      <c r="K1323" s="1147"/>
      <c r="L1323" s="1147"/>
      <c r="M1323" s="1147"/>
      <c r="N1323" s="1147"/>
      <c r="O1323" s="480"/>
      <c r="P1323" s="480"/>
    </row>
    <row r="1324" spans="1:16">
      <c r="A1324" s="285"/>
      <c r="B1324" s="285"/>
      <c r="C1324" s="508" t="s">
        <v>602</v>
      </c>
      <c r="D1324" s="602"/>
      <c r="E1324" s="602"/>
      <c r="F1324" s="602"/>
      <c r="G1324" s="1148"/>
      <c r="H1324" s="1148"/>
      <c r="I1324" s="603"/>
      <c r="J1324" s="603"/>
      <c r="K1324" s="603"/>
      <c r="L1324" s="603"/>
      <c r="M1324" s="603"/>
      <c r="N1324" s="603"/>
      <c r="O1324" s="480"/>
      <c r="P1324" s="480"/>
    </row>
    <row r="1325" spans="1:16">
      <c r="A1325" s="285"/>
      <c r="B1325" s="285"/>
      <c r="C1325" s="508" t="s">
        <v>476</v>
      </c>
      <c r="D1325" s="602"/>
      <c r="E1325" s="602"/>
      <c r="F1325" s="602"/>
      <c r="G1325" s="1148"/>
      <c r="H1325" s="1148"/>
      <c r="I1325" s="603"/>
      <c r="J1325" s="603"/>
      <c r="K1325" s="603"/>
      <c r="L1325" s="603"/>
      <c r="M1325" s="603"/>
      <c r="N1325" s="603"/>
      <c r="O1325" s="480"/>
      <c r="P1325" s="480"/>
    </row>
    <row r="1326" spans="1:16">
      <c r="A1326" s="285"/>
      <c r="B1326" s="285"/>
      <c r="C1326" s="508" t="s">
        <v>289</v>
      </c>
      <c r="D1326" s="602"/>
      <c r="E1326" s="602"/>
      <c r="F1326" s="602"/>
      <c r="G1326" s="1148"/>
      <c r="H1326" s="1148"/>
      <c r="I1326" s="603"/>
      <c r="J1326" s="603"/>
      <c r="K1326" s="603"/>
      <c r="L1326" s="603"/>
      <c r="M1326" s="603"/>
      <c r="N1326" s="603"/>
      <c r="O1326" s="480"/>
      <c r="P1326" s="480"/>
    </row>
    <row r="1327" spans="1:16">
      <c r="A1327" s="285"/>
      <c r="B1327" s="285"/>
      <c r="C1327" s="601"/>
      <c r="D1327" s="602"/>
      <c r="E1327" s="602"/>
      <c r="F1327" s="602"/>
      <c r="G1327" s="1148"/>
      <c r="H1327" s="1148"/>
      <c r="I1327" s="603"/>
      <c r="J1327" s="603"/>
      <c r="K1327" s="603"/>
      <c r="L1327" s="603"/>
      <c r="M1327" s="603"/>
      <c r="N1327" s="603"/>
      <c r="O1327" s="480"/>
      <c r="P1327" s="480"/>
    </row>
    <row r="1328" spans="1:16">
      <c r="A1328" s="285"/>
      <c r="B1328" s="285"/>
      <c r="C1328" s="1513" t="s">
        <v>460</v>
      </c>
      <c r="D1328" s="1513"/>
      <c r="E1328" s="1513"/>
      <c r="F1328" s="1513"/>
      <c r="G1328" s="1513"/>
      <c r="H1328" s="1513"/>
      <c r="I1328" s="1513"/>
      <c r="J1328" s="1513"/>
      <c r="K1328" s="1513"/>
      <c r="L1328" s="1513"/>
      <c r="M1328" s="1513"/>
      <c r="N1328" s="1513"/>
      <c r="O1328" s="1513"/>
      <c r="P1328" s="480"/>
    </row>
    <row r="1329" spans="1:16">
      <c r="A1329" s="285"/>
      <c r="B1329" s="285"/>
      <c r="C1329" s="1513"/>
      <c r="D1329" s="1513"/>
      <c r="E1329" s="1513"/>
      <c r="F1329" s="1513"/>
      <c r="G1329" s="1513"/>
      <c r="H1329" s="1513"/>
      <c r="I1329" s="1513"/>
      <c r="J1329" s="1513"/>
      <c r="K1329" s="1513"/>
      <c r="L1329" s="1513"/>
      <c r="M1329" s="1513"/>
      <c r="N1329" s="1513"/>
      <c r="O1329" s="1513"/>
      <c r="P1329" s="480"/>
    </row>
    <row r="1330" spans="1:16" ht="20.25">
      <c r="A1330" s="604" t="s">
        <v>947</v>
      </c>
      <c r="B1330" s="480"/>
      <c r="C1330" s="584"/>
      <c r="D1330" s="496"/>
      <c r="E1330" s="480"/>
      <c r="F1330" s="574"/>
      <c r="G1330" s="480"/>
      <c r="H1330" s="1147"/>
      <c r="I1330" s="285"/>
      <c r="J1330" s="271"/>
      <c r="K1330" s="605"/>
      <c r="L1330" s="605"/>
      <c r="M1330" s="605"/>
      <c r="N1330" s="520" t="str">
        <f>"Page "&amp;SUM(P$6:P1330)&amp;" of "</f>
        <v xml:space="preserve">Page 15 of </v>
      </c>
      <c r="O1330" s="521">
        <f>COUNT(P$6:P$59606)</f>
        <v>15</v>
      </c>
    </row>
    <row r="1331" spans="1:16" ht="12.75" customHeight="1">
      <c r="A1331" s="285"/>
      <c r="B1331" s="480"/>
      <c r="C1331" s="480"/>
      <c r="D1331" s="496"/>
      <c r="E1331" s="480"/>
      <c r="F1331" s="480"/>
      <c r="G1331" s="480"/>
      <c r="H1331" s="1147"/>
      <c r="I1331" s="480"/>
      <c r="J1331" s="517"/>
      <c r="K1331" s="480"/>
      <c r="L1331" s="480"/>
      <c r="M1331" s="480"/>
      <c r="N1331" s="480"/>
      <c r="O1331" s="480"/>
    </row>
    <row r="1332" spans="1:16" ht="12.75" customHeight="1">
      <c r="A1332" s="285"/>
      <c r="B1332" s="524" t="s">
        <v>174</v>
      </c>
      <c r="C1332" s="606" t="s">
        <v>290</v>
      </c>
      <c r="D1332" s="496"/>
      <c r="E1332" s="480"/>
      <c r="F1332" s="480"/>
      <c r="G1332" s="480"/>
      <c r="H1332" s="1147"/>
      <c r="I1332" s="1147"/>
      <c r="J1332" s="1148"/>
      <c r="K1332" s="1147"/>
      <c r="L1332" s="1147"/>
      <c r="M1332" s="1147"/>
      <c r="N1332" s="1147"/>
      <c r="O1332" s="480"/>
    </row>
    <row r="1333" spans="1:16" ht="12.75" customHeight="1">
      <c r="A1333" s="285"/>
      <c r="B1333" s="524"/>
      <c r="C1333" s="523"/>
      <c r="D1333" s="496"/>
      <c r="E1333" s="480"/>
      <c r="F1333" s="480"/>
      <c r="G1333" s="480"/>
      <c r="H1333" s="1147"/>
      <c r="I1333" s="1147"/>
      <c r="J1333" s="1148"/>
      <c r="K1333" s="1147"/>
      <c r="L1333" s="1147"/>
      <c r="M1333" s="1147"/>
      <c r="N1333" s="1147"/>
      <c r="O1333" s="480"/>
    </row>
    <row r="1334" spans="1:16" ht="18.75">
      <c r="A1334" s="285"/>
      <c r="B1334" s="524"/>
      <c r="C1334" s="523" t="s">
        <v>291</v>
      </c>
      <c r="D1334" s="496"/>
      <c r="E1334" s="480"/>
      <c r="F1334" s="480"/>
      <c r="G1334" s="480"/>
      <c r="H1334" s="1147"/>
      <c r="I1334" s="1147"/>
      <c r="J1334" s="1148"/>
      <c r="K1334" s="1147"/>
      <c r="L1334" s="1147"/>
      <c r="M1334" s="1147"/>
      <c r="N1334" s="1147"/>
      <c r="O1334" s="480"/>
    </row>
    <row r="1335" spans="1:16" ht="12.75" customHeight="1" thickBot="1">
      <c r="A1335" s="285"/>
      <c r="B1335" s="285"/>
      <c r="C1335" s="347"/>
      <c r="D1335" s="496"/>
      <c r="E1335" s="480"/>
      <c r="F1335" s="480"/>
      <c r="G1335" s="480"/>
      <c r="H1335" s="1147"/>
      <c r="I1335" s="1147"/>
      <c r="J1335" s="1148"/>
      <c r="K1335" s="1147"/>
      <c r="L1335" s="1147"/>
      <c r="M1335" s="1147"/>
      <c r="N1335" s="1147"/>
      <c r="O1335" s="480"/>
    </row>
    <row r="1336" spans="1:16" ht="12.75" customHeight="1">
      <c r="A1336" s="285"/>
      <c r="B1336" s="285"/>
      <c r="C1336" s="525" t="s">
        <v>292</v>
      </c>
      <c r="D1336" s="496"/>
      <c r="E1336" s="480"/>
      <c r="F1336" s="480"/>
      <c r="G1336" s="1149"/>
      <c r="H1336" s="480" t="s">
        <v>271</v>
      </c>
      <c r="I1336" s="480"/>
      <c r="J1336" s="517"/>
      <c r="K1336" s="607" t="s">
        <v>296</v>
      </c>
      <c r="L1336" s="608"/>
      <c r="M1336" s="609"/>
      <c r="N1336" s="1150">
        <f>VLOOKUP(I1342,C1349:O1408,5)</f>
        <v>11101.674408760362</v>
      </c>
      <c r="O1336" s="480"/>
    </row>
    <row r="1337" spans="1:16" ht="12.75" customHeight="1">
      <c r="A1337" s="285"/>
      <c r="B1337" s="285"/>
      <c r="C1337" s="525"/>
      <c r="D1337" s="496"/>
      <c r="E1337" s="480"/>
      <c r="F1337" s="480"/>
      <c r="G1337" s="480"/>
      <c r="H1337" s="1151"/>
      <c r="I1337" s="1151"/>
      <c r="J1337" s="1152"/>
      <c r="K1337" s="612" t="s">
        <v>297</v>
      </c>
      <c r="L1337" s="1153"/>
      <c r="M1337" s="517"/>
      <c r="N1337" s="1154">
        <f>VLOOKUP(I1342,C1349:O1408,6)</f>
        <v>11101.674408760362</v>
      </c>
      <c r="O1337" s="480"/>
    </row>
    <row r="1338" spans="1:16" ht="12.75" customHeight="1" thickBot="1">
      <c r="A1338" s="285"/>
      <c r="B1338" s="285"/>
      <c r="C1338" s="613" t="s">
        <v>293</v>
      </c>
      <c r="D1338" s="1514" t="s">
        <v>1074</v>
      </c>
      <c r="E1338" s="1514"/>
      <c r="F1338" s="1514"/>
      <c r="G1338" s="1514"/>
      <c r="H1338" s="1514"/>
      <c r="I1338" s="1147"/>
      <c r="J1338" s="1148"/>
      <c r="K1338" s="1155" t="s">
        <v>450</v>
      </c>
      <c r="L1338" s="1156"/>
      <c r="M1338" s="1156"/>
      <c r="N1338" s="1157">
        <f>+N1337-N1336</f>
        <v>0</v>
      </c>
      <c r="O1338" s="480"/>
    </row>
    <row r="1339" spans="1:16" ht="12.75" customHeight="1">
      <c r="A1339" s="285"/>
      <c r="B1339" s="285"/>
      <c r="C1339" s="615"/>
      <c r="D1339" s="616"/>
      <c r="E1339" s="600"/>
      <c r="F1339" s="600"/>
      <c r="G1339" s="617"/>
      <c r="H1339" s="1147"/>
      <c r="I1339" s="1147"/>
      <c r="J1339" s="1148"/>
      <c r="K1339" s="1147"/>
      <c r="L1339" s="1147"/>
      <c r="M1339" s="1147"/>
      <c r="N1339" s="1147"/>
      <c r="O1339" s="480"/>
    </row>
    <row r="1340" spans="1:16" ht="12.75" customHeight="1" thickBot="1">
      <c r="A1340" s="285"/>
      <c r="B1340" s="285"/>
      <c r="C1340" s="618"/>
      <c r="D1340" s="619"/>
      <c r="E1340" s="617"/>
      <c r="F1340" s="617"/>
      <c r="G1340" s="617"/>
      <c r="H1340" s="617"/>
      <c r="I1340" s="617"/>
      <c r="J1340" s="620"/>
      <c r="K1340" s="617"/>
      <c r="L1340" s="617"/>
      <c r="M1340" s="617"/>
      <c r="N1340" s="617"/>
      <c r="O1340" s="508"/>
    </row>
    <row r="1341" spans="1:16" ht="12.75" customHeight="1" thickBot="1">
      <c r="A1341" s="285"/>
      <c r="B1341" s="285"/>
      <c r="C1341" s="622" t="s">
        <v>294</v>
      </c>
      <c r="D1341" s="623"/>
      <c r="E1341" s="623"/>
      <c r="F1341" s="623"/>
      <c r="G1341" s="623"/>
      <c r="H1341" s="623"/>
      <c r="I1341" s="624"/>
      <c r="J1341" s="625"/>
      <c r="K1341" s="480"/>
      <c r="L1341" s="480"/>
      <c r="M1341" s="480"/>
      <c r="N1341" s="480"/>
      <c r="O1341" s="626"/>
    </row>
    <row r="1342" spans="1:16" ht="12.75" customHeight="1">
      <c r="A1342" s="285"/>
      <c r="B1342" s="362"/>
      <c r="C1342" s="628" t="s">
        <v>272</v>
      </c>
      <c r="D1342" s="1158">
        <v>93231.14</v>
      </c>
      <c r="E1342" s="584" t="s">
        <v>273</v>
      </c>
      <c r="F1342" s="285"/>
      <c r="G1342" s="629"/>
      <c r="H1342" s="629"/>
      <c r="I1342" s="630">
        <f>$L$26</f>
        <v>2024</v>
      </c>
      <c r="J1342" s="515"/>
      <c r="K1342" s="1515" t="s">
        <v>459</v>
      </c>
      <c r="L1342" s="1515"/>
      <c r="M1342" s="1515"/>
      <c r="N1342" s="1515"/>
      <c r="O1342" s="1515"/>
    </row>
    <row r="1343" spans="1:16" ht="12.75" customHeight="1">
      <c r="A1343" s="285"/>
      <c r="B1343" s="362"/>
      <c r="C1343" s="628" t="s">
        <v>275</v>
      </c>
      <c r="D1343" s="1195">
        <v>2019</v>
      </c>
      <c r="E1343" s="628" t="s">
        <v>276</v>
      </c>
      <c r="F1343" s="629"/>
      <c r="G1343" s="285"/>
      <c r="H1343" s="285"/>
      <c r="I1343" s="791">
        <f>IF(G1336="",0,$F$15)</f>
        <v>0</v>
      </c>
      <c r="J1343" s="631"/>
      <c r="K1343" s="1148" t="s">
        <v>459</v>
      </c>
      <c r="L1343" s="285"/>
      <c r="M1343" s="285"/>
      <c r="N1343" s="285"/>
      <c r="O1343" s="285"/>
    </row>
    <row r="1344" spans="1:16" ht="12.75" customHeight="1">
      <c r="A1344" s="285"/>
      <c r="B1344" s="362"/>
      <c r="C1344" s="628" t="s">
        <v>277</v>
      </c>
      <c r="D1344" s="1158">
        <v>2</v>
      </c>
      <c r="E1344" s="628" t="s">
        <v>278</v>
      </c>
      <c r="F1344" s="629"/>
      <c r="G1344" s="285"/>
      <c r="H1344" s="285"/>
      <c r="I1344" s="632">
        <f>$G$70</f>
        <v>0.10987714662923057</v>
      </c>
      <c r="J1344" s="633"/>
      <c r="K1344" s="285" t="str">
        <f>"          INPUT PROJECTED ARR (WITH &amp; WITHOUT INCENTIVES) FROM EACH PRIOR YEAR"</f>
        <v xml:space="preserve">          INPUT PROJECTED ARR (WITH &amp; WITHOUT INCENTIVES) FROM EACH PRIOR YEAR</v>
      </c>
      <c r="L1344" s="285"/>
      <c r="M1344" s="285"/>
      <c r="N1344" s="285"/>
      <c r="O1344" s="285"/>
    </row>
    <row r="1345" spans="1:15" ht="12.75" customHeight="1">
      <c r="A1345" s="285"/>
      <c r="B1345" s="362"/>
      <c r="C1345" s="628" t="s">
        <v>279</v>
      </c>
      <c r="D1345" s="634">
        <f>G$79</f>
        <v>45</v>
      </c>
      <c r="E1345" s="628" t="s">
        <v>280</v>
      </c>
      <c r="F1345" s="629"/>
      <c r="G1345" s="285"/>
      <c r="H1345" s="285"/>
      <c r="I1345" s="632">
        <f>IF(G1336="",I1344,$G$67)</f>
        <v>0.10987714662923057</v>
      </c>
      <c r="J1345" s="635"/>
      <c r="K1345" s="285" t="s">
        <v>357</v>
      </c>
      <c r="L1345" s="285"/>
      <c r="M1345" s="285"/>
      <c r="N1345" s="285"/>
      <c r="O1345" s="285"/>
    </row>
    <row r="1346" spans="1:15" ht="12.75" customHeight="1" thickBot="1">
      <c r="A1346" s="285"/>
      <c r="B1346" s="362"/>
      <c r="C1346" s="628" t="s">
        <v>281</v>
      </c>
      <c r="D1346" s="790" t="s">
        <v>949</v>
      </c>
      <c r="E1346" s="636" t="s">
        <v>282</v>
      </c>
      <c r="F1346" s="637"/>
      <c r="G1346" s="638"/>
      <c r="H1346" s="638"/>
      <c r="I1346" s="1157">
        <f>IF(D1342=0,0,D1342/D1345)</f>
        <v>2071.8031111111113</v>
      </c>
      <c r="J1346" s="1148"/>
      <c r="K1346" s="1148" t="s">
        <v>363</v>
      </c>
      <c r="L1346" s="1148"/>
      <c r="M1346" s="1148"/>
      <c r="N1346" s="1148"/>
      <c r="O1346" s="517"/>
    </row>
    <row r="1347" spans="1:15" ht="12.75" customHeight="1">
      <c r="A1347" s="470"/>
      <c r="B1347" s="470"/>
      <c r="C1347" s="639" t="s">
        <v>272</v>
      </c>
      <c r="D1347" s="1160" t="s">
        <v>283</v>
      </c>
      <c r="E1347" s="1161" t="s">
        <v>284</v>
      </c>
      <c r="F1347" s="1160" t="s">
        <v>285</v>
      </c>
      <c r="G1347" s="1161" t="s">
        <v>356</v>
      </c>
      <c r="H1347" s="1162" t="s">
        <v>356</v>
      </c>
      <c r="I1347" s="639" t="s">
        <v>295</v>
      </c>
      <c r="J1347" s="643"/>
      <c r="K1347" s="1161" t="s">
        <v>365</v>
      </c>
      <c r="L1347" s="1163"/>
      <c r="M1347" s="1161" t="s">
        <v>365</v>
      </c>
      <c r="N1347" s="1163"/>
      <c r="O1347" s="1163"/>
    </row>
    <row r="1348" spans="1:15" ht="12.75" customHeight="1" thickBot="1">
      <c r="A1348" s="285"/>
      <c r="B1348" s="285"/>
      <c r="C1348" s="645" t="s">
        <v>177</v>
      </c>
      <c r="D1348" s="646" t="s">
        <v>178</v>
      </c>
      <c r="E1348" s="645" t="s">
        <v>37</v>
      </c>
      <c r="F1348" s="646" t="s">
        <v>178</v>
      </c>
      <c r="G1348" s="1164" t="s">
        <v>298</v>
      </c>
      <c r="H1348" s="1165" t="s">
        <v>300</v>
      </c>
      <c r="I1348" s="649" t="s">
        <v>389</v>
      </c>
      <c r="J1348" s="650"/>
      <c r="K1348" s="1164" t="s">
        <v>287</v>
      </c>
      <c r="L1348" s="1166"/>
      <c r="M1348" s="1164" t="s">
        <v>300</v>
      </c>
      <c r="N1348" s="1166"/>
      <c r="O1348" s="1166"/>
    </row>
    <row r="1349" spans="1:15" ht="12.75" customHeight="1">
      <c r="A1349" s="285"/>
      <c r="B1349" s="285"/>
      <c r="C1349" s="1194">
        <f>IF(D1343= "","-",D1343)</f>
        <v>2019</v>
      </c>
      <c r="D1349" s="602">
        <f>+D1342</f>
        <v>93231.14</v>
      </c>
      <c r="E1349" s="1167">
        <f>+I1346/12*(12-D1344)</f>
        <v>1726.5025925925929</v>
      </c>
      <c r="F1349" s="602">
        <f>+D1349-E1349</f>
        <v>91504.637407407412</v>
      </c>
      <c r="G1349" s="1174">
        <f>+$I$1344*((D1349+F1349)/2)+E1349</f>
        <v>11875.622643521894</v>
      </c>
      <c r="H1349" s="1231">
        <f>+$I$1345*((D1349+F1349)/2)+E1349</f>
        <v>11875.622643521894</v>
      </c>
      <c r="I1349" s="655">
        <f t="shared" ref="I1349:I1408" si="89">+H1349-G1349</f>
        <v>0</v>
      </c>
      <c r="J1349" s="655"/>
      <c r="K1349" s="1230">
        <v>0</v>
      </c>
      <c r="L1349" s="657"/>
      <c r="M1349" s="1230">
        <v>0</v>
      </c>
      <c r="N1349" s="657"/>
      <c r="O1349" s="657"/>
    </row>
    <row r="1350" spans="1:15" ht="12.75" customHeight="1">
      <c r="A1350" s="285"/>
      <c r="B1350" s="285"/>
      <c r="C1350" s="1229">
        <f>IF(D1343="","-",+C1349+1)</f>
        <v>2020</v>
      </c>
      <c r="D1350" s="1172">
        <f>F1349</f>
        <v>91504.637407407412</v>
      </c>
      <c r="E1350" s="1173">
        <f>IF(D1350&gt;$I$1346,$I$1346,D1350)</f>
        <v>2071.8031111111113</v>
      </c>
      <c r="F1350" s="1172">
        <f>+D1350-E1350</f>
        <v>89432.834296296307</v>
      </c>
      <c r="G1350" s="1174">
        <f t="shared" ref="G1350:G1408" si="90">+$I$1344*((D1350+F1350)/2)+E1350</f>
        <v>12012.249665666168</v>
      </c>
      <c r="H1350" s="1231">
        <f t="shared" ref="H1350:H1408" si="91">+$I$1345*((D1350+F1350)/2)+E1350</f>
        <v>12012.249665666168</v>
      </c>
      <c r="I1350" s="1181">
        <f t="shared" si="89"/>
        <v>0</v>
      </c>
      <c r="J1350" s="655"/>
      <c r="K1350" s="1230"/>
      <c r="L1350" s="661"/>
      <c r="M1350" s="1230"/>
      <c r="N1350" s="661"/>
      <c r="O1350" s="661"/>
    </row>
    <row r="1351" spans="1:15" ht="12.75" customHeight="1">
      <c r="A1351" s="285"/>
      <c r="B1351" s="285"/>
      <c r="C1351" s="1229">
        <f>IF(D1343="","-",+C1350+1)</f>
        <v>2021</v>
      </c>
      <c r="D1351" s="1172">
        <f t="shared" ref="D1351:D1408" si="92">F1350</f>
        <v>89432.834296296307</v>
      </c>
      <c r="E1351" s="1173">
        <f t="shared" ref="E1351:E1408" si="93">IF(D1351&gt;$I$1346,$I$1346,D1351)</f>
        <v>2071.8031111111113</v>
      </c>
      <c r="F1351" s="1172">
        <f t="shared" ref="F1351:F1408" si="94">+D1351-E1351</f>
        <v>87361.031185185202</v>
      </c>
      <c r="G1351" s="1174">
        <f t="shared" si="90"/>
        <v>11784.605851439715</v>
      </c>
      <c r="H1351" s="1231">
        <f t="shared" si="91"/>
        <v>11784.605851439715</v>
      </c>
      <c r="I1351" s="655">
        <f t="shared" si="89"/>
        <v>0</v>
      </c>
      <c r="J1351" s="655"/>
      <c r="K1351" s="1230">
        <v>16151.478034032174</v>
      </c>
      <c r="L1351" s="1180"/>
      <c r="M1351" s="1230">
        <v>16151.478034032174</v>
      </c>
      <c r="N1351" s="661"/>
      <c r="O1351" s="661"/>
    </row>
    <row r="1352" spans="1:15" ht="12.75" customHeight="1">
      <c r="A1352" s="285"/>
      <c r="B1352" s="285"/>
      <c r="C1352" s="1229">
        <f>IF(D1343="","-",+C1351+1)</f>
        <v>2022</v>
      </c>
      <c r="D1352" s="1172">
        <f t="shared" si="92"/>
        <v>87361.031185185202</v>
      </c>
      <c r="E1352" s="1173">
        <f t="shared" si="93"/>
        <v>2071.8031111111113</v>
      </c>
      <c r="F1352" s="1172">
        <f t="shared" si="94"/>
        <v>85289.228074074097</v>
      </c>
      <c r="G1352" s="1174">
        <f t="shared" si="90"/>
        <v>11556.962037213263</v>
      </c>
      <c r="H1352" s="1231">
        <f t="shared" si="91"/>
        <v>11556.962037213263</v>
      </c>
      <c r="I1352" s="655">
        <f t="shared" si="89"/>
        <v>0</v>
      </c>
      <c r="J1352" s="655"/>
      <c r="K1352" s="1230">
        <v>16018.191356166253</v>
      </c>
      <c r="L1352" s="661"/>
      <c r="M1352" s="1230">
        <v>16018.191356166253</v>
      </c>
      <c r="N1352" s="661"/>
      <c r="O1352" s="661"/>
    </row>
    <row r="1353" spans="1:15" ht="12.75" customHeight="1">
      <c r="A1353" s="285"/>
      <c r="B1353" s="285"/>
      <c r="C1353" s="1229">
        <f>IF(D1343="","-",+C1352+1)</f>
        <v>2023</v>
      </c>
      <c r="D1353" s="1172">
        <f t="shared" si="92"/>
        <v>85289.228074074097</v>
      </c>
      <c r="E1353" s="1173">
        <f t="shared" si="93"/>
        <v>2071.8031111111113</v>
      </c>
      <c r="F1353" s="1172">
        <f t="shared" si="94"/>
        <v>83217.424962962992</v>
      </c>
      <c r="G1353" s="1174">
        <f t="shared" si="90"/>
        <v>11329.318222986814</v>
      </c>
      <c r="H1353" s="1231">
        <f t="shared" si="91"/>
        <v>11329.318222986814</v>
      </c>
      <c r="I1353" s="655">
        <f t="shared" si="89"/>
        <v>0</v>
      </c>
      <c r="J1353" s="655"/>
      <c r="K1353" s="1230">
        <v>16693.955095338679</v>
      </c>
      <c r="L1353" s="661"/>
      <c r="M1353" s="1230">
        <v>16693.955095338679</v>
      </c>
      <c r="N1353" s="661"/>
      <c r="O1353" s="661"/>
    </row>
    <row r="1354" spans="1:15" ht="12.75" customHeight="1">
      <c r="A1354" s="285"/>
      <c r="B1354" s="285"/>
      <c r="C1354" s="1171">
        <f>IF(D1343="","-",+C1353+1)</f>
        <v>2024</v>
      </c>
      <c r="D1354" s="1172">
        <f t="shared" si="92"/>
        <v>83217.424962962992</v>
      </c>
      <c r="E1354" s="1173">
        <f t="shared" si="93"/>
        <v>2071.8031111111113</v>
      </c>
      <c r="F1354" s="1172">
        <f t="shared" si="94"/>
        <v>81145.621851851887</v>
      </c>
      <c r="G1354" s="1174">
        <f t="shared" si="90"/>
        <v>11101.674408760362</v>
      </c>
      <c r="H1354" s="1231">
        <f t="shared" si="91"/>
        <v>11101.674408760362</v>
      </c>
      <c r="I1354" s="655">
        <f t="shared" si="89"/>
        <v>0</v>
      </c>
      <c r="J1354" s="655"/>
      <c r="K1354" s="1230"/>
      <c r="L1354" s="661"/>
      <c r="M1354" s="1230"/>
      <c r="N1354" s="661"/>
      <c r="O1354" s="661"/>
    </row>
    <row r="1355" spans="1:15" ht="12.75" customHeight="1">
      <c r="A1355" s="285"/>
      <c r="B1355" s="285"/>
      <c r="C1355" s="651">
        <f>IF(D1343="","-",+C1354+1)</f>
        <v>2025</v>
      </c>
      <c r="D1355" s="1172">
        <f t="shared" si="92"/>
        <v>81145.621851851887</v>
      </c>
      <c r="E1355" s="1173">
        <f t="shared" si="93"/>
        <v>2071.8031111111113</v>
      </c>
      <c r="F1355" s="1172">
        <f t="shared" si="94"/>
        <v>79073.818740740782</v>
      </c>
      <c r="G1355" s="1174">
        <f t="shared" si="90"/>
        <v>10874.030594533913</v>
      </c>
      <c r="H1355" s="1231">
        <f t="shared" si="91"/>
        <v>10874.030594533913</v>
      </c>
      <c r="I1355" s="655">
        <f t="shared" si="89"/>
        <v>0</v>
      </c>
      <c r="J1355" s="655"/>
      <c r="K1355" s="1230"/>
      <c r="L1355" s="661"/>
      <c r="M1355" s="1230"/>
      <c r="N1355" s="661"/>
      <c r="O1355" s="661"/>
    </row>
    <row r="1356" spans="1:15" ht="12.75" customHeight="1">
      <c r="A1356" s="285"/>
      <c r="B1356" s="285"/>
      <c r="C1356" s="1194">
        <f>IF(D1343="","-",+C1355+1)</f>
        <v>2026</v>
      </c>
      <c r="D1356" s="1172">
        <f t="shared" si="92"/>
        <v>79073.818740740782</v>
      </c>
      <c r="E1356" s="1173">
        <f t="shared" si="93"/>
        <v>2071.8031111111113</v>
      </c>
      <c r="F1356" s="1172">
        <f t="shared" si="94"/>
        <v>77002.015629629677</v>
      </c>
      <c r="G1356" s="1174">
        <f t="shared" si="90"/>
        <v>10646.386780307461</v>
      </c>
      <c r="H1356" s="1231">
        <f t="shared" si="91"/>
        <v>10646.386780307461</v>
      </c>
      <c r="I1356" s="1181">
        <f t="shared" si="89"/>
        <v>0</v>
      </c>
      <c r="J1356" s="655"/>
      <c r="K1356" s="1230"/>
      <c r="L1356" s="661"/>
      <c r="M1356" s="1230"/>
      <c r="N1356" s="661"/>
      <c r="O1356" s="661"/>
    </row>
    <row r="1357" spans="1:15" ht="12.75" customHeight="1">
      <c r="A1357" s="285"/>
      <c r="B1357" s="285"/>
      <c r="C1357" s="651">
        <f>IF(D1343="","-",+C1356+1)</f>
        <v>2027</v>
      </c>
      <c r="D1357" s="1172">
        <f t="shared" si="92"/>
        <v>77002.015629629677</v>
      </c>
      <c r="E1357" s="1173">
        <f t="shared" si="93"/>
        <v>2071.8031111111113</v>
      </c>
      <c r="F1357" s="1172">
        <f t="shared" si="94"/>
        <v>74930.212518518572</v>
      </c>
      <c r="G1357" s="1174">
        <f t="shared" si="90"/>
        <v>10418.742966081008</v>
      </c>
      <c r="H1357" s="1231">
        <f t="shared" si="91"/>
        <v>10418.742966081008</v>
      </c>
      <c r="I1357" s="655">
        <f t="shared" si="89"/>
        <v>0</v>
      </c>
      <c r="J1357" s="655"/>
      <c r="K1357" s="1230"/>
      <c r="L1357" s="661"/>
      <c r="M1357" s="1230"/>
      <c r="N1357" s="661"/>
      <c r="O1357" s="661"/>
    </row>
    <row r="1358" spans="1:15" ht="12.75" customHeight="1">
      <c r="A1358" s="285"/>
      <c r="B1358" s="285"/>
      <c r="C1358" s="651">
        <f>IF(D1343="","-",+C1357+1)</f>
        <v>2028</v>
      </c>
      <c r="D1358" s="1172">
        <f t="shared" si="92"/>
        <v>74930.212518518572</v>
      </c>
      <c r="E1358" s="1173">
        <f t="shared" si="93"/>
        <v>2071.8031111111113</v>
      </c>
      <c r="F1358" s="1172">
        <f t="shared" si="94"/>
        <v>72858.409407407467</v>
      </c>
      <c r="G1358" s="1174">
        <f t="shared" si="90"/>
        <v>10191.09915185456</v>
      </c>
      <c r="H1358" s="1231">
        <f t="shared" si="91"/>
        <v>10191.09915185456</v>
      </c>
      <c r="I1358" s="655">
        <f t="shared" si="89"/>
        <v>0</v>
      </c>
      <c r="J1358" s="655"/>
      <c r="K1358" s="1230"/>
      <c r="L1358" s="661"/>
      <c r="M1358" s="1230"/>
      <c r="N1358" s="661"/>
      <c r="O1358" s="661"/>
    </row>
    <row r="1359" spans="1:15" ht="12.75" customHeight="1">
      <c r="A1359" s="285"/>
      <c r="B1359" s="285"/>
      <c r="C1359" s="651">
        <f>IF(D1343="","-",+C1358+1)</f>
        <v>2029</v>
      </c>
      <c r="D1359" s="1172">
        <f t="shared" si="92"/>
        <v>72858.409407407467</v>
      </c>
      <c r="E1359" s="1173">
        <f t="shared" si="93"/>
        <v>2071.8031111111113</v>
      </c>
      <c r="F1359" s="1172">
        <f t="shared" si="94"/>
        <v>70786.606296296362</v>
      </c>
      <c r="G1359" s="1174">
        <f t="shared" si="90"/>
        <v>9963.4553376281074</v>
      </c>
      <c r="H1359" s="1231">
        <f t="shared" si="91"/>
        <v>9963.4553376281074</v>
      </c>
      <c r="I1359" s="655">
        <f t="shared" si="89"/>
        <v>0</v>
      </c>
      <c r="J1359" s="655"/>
      <c r="K1359" s="1230"/>
      <c r="L1359" s="661"/>
      <c r="M1359" s="1230"/>
      <c r="N1359" s="661"/>
      <c r="O1359" s="661"/>
    </row>
    <row r="1360" spans="1:15" ht="12.75" customHeight="1">
      <c r="A1360" s="285"/>
      <c r="B1360" s="285"/>
      <c r="C1360" s="651">
        <f>IF(D1343="","-",+C1359+1)</f>
        <v>2030</v>
      </c>
      <c r="D1360" s="1172">
        <f t="shared" si="92"/>
        <v>70786.606296296362</v>
      </c>
      <c r="E1360" s="1173">
        <f t="shared" si="93"/>
        <v>2071.8031111111113</v>
      </c>
      <c r="F1360" s="1172">
        <f t="shared" si="94"/>
        <v>68714.803185185257</v>
      </c>
      <c r="G1360" s="1174">
        <f t="shared" si="90"/>
        <v>9735.8115234016568</v>
      </c>
      <c r="H1360" s="1231">
        <f t="shared" si="91"/>
        <v>9735.8115234016568</v>
      </c>
      <c r="I1360" s="655">
        <f t="shared" si="89"/>
        <v>0</v>
      </c>
      <c r="J1360" s="655"/>
      <c r="K1360" s="1230"/>
      <c r="L1360" s="661"/>
      <c r="M1360" s="1230"/>
      <c r="N1360" s="661"/>
      <c r="O1360" s="661"/>
    </row>
    <row r="1361" spans="1:15" ht="12.75" customHeight="1">
      <c r="A1361" s="285"/>
      <c r="B1361" s="285"/>
      <c r="C1361" s="651">
        <f>IF(D1343="","-",+C1360+1)</f>
        <v>2031</v>
      </c>
      <c r="D1361" s="1172">
        <f t="shared" si="92"/>
        <v>68714.803185185257</v>
      </c>
      <c r="E1361" s="1173">
        <f t="shared" si="93"/>
        <v>2071.8031111111113</v>
      </c>
      <c r="F1361" s="1172">
        <f t="shared" si="94"/>
        <v>66643.000074074153</v>
      </c>
      <c r="G1361" s="1174">
        <f t="shared" si="90"/>
        <v>9508.1677091752063</v>
      </c>
      <c r="H1361" s="1231">
        <f t="shared" si="91"/>
        <v>9508.1677091752063</v>
      </c>
      <c r="I1361" s="655">
        <f t="shared" si="89"/>
        <v>0</v>
      </c>
      <c r="J1361" s="655"/>
      <c r="K1361" s="1230"/>
      <c r="L1361" s="661"/>
      <c r="M1361" s="1230"/>
      <c r="N1361" s="662"/>
      <c r="O1361" s="661"/>
    </row>
    <row r="1362" spans="1:15" ht="12.75" customHeight="1">
      <c r="A1362" s="285"/>
      <c r="B1362" s="285"/>
      <c r="C1362" s="651">
        <f>IF(D1343="","-",+C1361+1)</f>
        <v>2032</v>
      </c>
      <c r="D1362" s="1172">
        <f t="shared" si="92"/>
        <v>66643.000074074153</v>
      </c>
      <c r="E1362" s="1173">
        <f t="shared" si="93"/>
        <v>2071.8031111111113</v>
      </c>
      <c r="F1362" s="1172">
        <f t="shared" si="94"/>
        <v>64571.19696296304</v>
      </c>
      <c r="G1362" s="1174">
        <f t="shared" si="90"/>
        <v>9280.5238949487539</v>
      </c>
      <c r="H1362" s="1231">
        <f t="shared" si="91"/>
        <v>9280.5238949487539</v>
      </c>
      <c r="I1362" s="655">
        <f t="shared" si="89"/>
        <v>0</v>
      </c>
      <c r="J1362" s="655"/>
      <c r="K1362" s="1230"/>
      <c r="L1362" s="661"/>
      <c r="M1362" s="1230"/>
      <c r="N1362" s="661"/>
      <c r="O1362" s="661"/>
    </row>
    <row r="1363" spans="1:15" ht="12.75" customHeight="1">
      <c r="A1363" s="285"/>
      <c r="B1363" s="285"/>
      <c r="C1363" s="651">
        <f>IF(D1343="","-",+C1362+1)</f>
        <v>2033</v>
      </c>
      <c r="D1363" s="1172">
        <f t="shared" si="92"/>
        <v>64571.19696296304</v>
      </c>
      <c r="E1363" s="1173">
        <f t="shared" si="93"/>
        <v>2071.8031111111113</v>
      </c>
      <c r="F1363" s="1172">
        <f t="shared" si="94"/>
        <v>62499.393851851928</v>
      </c>
      <c r="G1363" s="1174">
        <f t="shared" si="90"/>
        <v>9052.8800807223015</v>
      </c>
      <c r="H1363" s="1231">
        <f t="shared" si="91"/>
        <v>9052.8800807223015</v>
      </c>
      <c r="I1363" s="655">
        <f t="shared" si="89"/>
        <v>0</v>
      </c>
      <c r="J1363" s="655"/>
      <c r="K1363" s="1230"/>
      <c r="L1363" s="661"/>
      <c r="M1363" s="1230"/>
      <c r="N1363" s="661"/>
      <c r="O1363" s="661"/>
    </row>
    <row r="1364" spans="1:15" ht="12.75" customHeight="1">
      <c r="A1364" s="285"/>
      <c r="B1364" s="285"/>
      <c r="C1364" s="651">
        <f>IF(D1343="","-",+C1363+1)</f>
        <v>2034</v>
      </c>
      <c r="D1364" s="1172">
        <f t="shared" si="92"/>
        <v>62499.393851851928</v>
      </c>
      <c r="E1364" s="1173">
        <f t="shared" si="93"/>
        <v>2071.8031111111113</v>
      </c>
      <c r="F1364" s="1172">
        <f t="shared" si="94"/>
        <v>60427.590740740816</v>
      </c>
      <c r="G1364" s="1174">
        <f t="shared" si="90"/>
        <v>8825.2362664958528</v>
      </c>
      <c r="H1364" s="1231">
        <f t="shared" si="91"/>
        <v>8825.2362664958528</v>
      </c>
      <c r="I1364" s="655">
        <f t="shared" si="89"/>
        <v>0</v>
      </c>
      <c r="J1364" s="655"/>
      <c r="K1364" s="1230"/>
      <c r="L1364" s="661"/>
      <c r="M1364" s="1230"/>
      <c r="N1364" s="661"/>
      <c r="O1364" s="661"/>
    </row>
    <row r="1365" spans="1:15" ht="12.75" customHeight="1">
      <c r="A1365" s="285"/>
      <c r="B1365" s="285"/>
      <c r="C1365" s="651">
        <f>IF(D1343="","-",+C1364+1)</f>
        <v>2035</v>
      </c>
      <c r="D1365" s="1172">
        <f t="shared" si="92"/>
        <v>60427.590740740816</v>
      </c>
      <c r="E1365" s="1173">
        <f t="shared" si="93"/>
        <v>2071.8031111111113</v>
      </c>
      <c r="F1365" s="1172">
        <f t="shared" si="94"/>
        <v>58355.787629629704</v>
      </c>
      <c r="G1365" s="1174">
        <f t="shared" si="90"/>
        <v>8597.5924522693986</v>
      </c>
      <c r="H1365" s="1231">
        <f t="shared" si="91"/>
        <v>8597.5924522693986</v>
      </c>
      <c r="I1365" s="655">
        <f t="shared" si="89"/>
        <v>0</v>
      </c>
      <c r="J1365" s="655"/>
      <c r="K1365" s="1230"/>
      <c r="L1365" s="661"/>
      <c r="M1365" s="1230"/>
      <c r="N1365" s="661"/>
      <c r="O1365" s="661"/>
    </row>
    <row r="1366" spans="1:15" ht="12.75" customHeight="1">
      <c r="A1366" s="285"/>
      <c r="B1366" s="285"/>
      <c r="C1366" s="651">
        <f>IF(D1343="","-",+C1365+1)</f>
        <v>2036</v>
      </c>
      <c r="D1366" s="1172">
        <f t="shared" si="92"/>
        <v>58355.787629629704</v>
      </c>
      <c r="E1366" s="1173">
        <f t="shared" si="93"/>
        <v>2071.8031111111113</v>
      </c>
      <c r="F1366" s="1172">
        <f t="shared" si="94"/>
        <v>56283.984518518591</v>
      </c>
      <c r="G1366" s="1174">
        <f t="shared" si="90"/>
        <v>8369.948638042948</v>
      </c>
      <c r="H1366" s="1231">
        <f t="shared" si="91"/>
        <v>8369.948638042948</v>
      </c>
      <c r="I1366" s="655">
        <f t="shared" si="89"/>
        <v>0</v>
      </c>
      <c r="J1366" s="655"/>
      <c r="K1366" s="1230"/>
      <c r="L1366" s="661"/>
      <c r="M1366" s="1230"/>
      <c r="N1366" s="661"/>
      <c r="O1366" s="661"/>
    </row>
    <row r="1367" spans="1:15" ht="12.75" customHeight="1">
      <c r="A1367" s="285"/>
      <c r="B1367" s="285"/>
      <c r="C1367" s="651">
        <f>IF(D1343="","-",+C1366+1)</f>
        <v>2037</v>
      </c>
      <c r="D1367" s="1172">
        <f t="shared" si="92"/>
        <v>56283.984518518591</v>
      </c>
      <c r="E1367" s="1173">
        <f t="shared" si="93"/>
        <v>2071.8031111111113</v>
      </c>
      <c r="F1367" s="1172">
        <f t="shared" si="94"/>
        <v>54212.181407407479</v>
      </c>
      <c r="G1367" s="1174">
        <f t="shared" si="90"/>
        <v>8142.3048238164956</v>
      </c>
      <c r="H1367" s="1231">
        <f t="shared" si="91"/>
        <v>8142.3048238164956</v>
      </c>
      <c r="I1367" s="655">
        <f t="shared" si="89"/>
        <v>0</v>
      </c>
      <c r="J1367" s="655"/>
      <c r="K1367" s="1230"/>
      <c r="L1367" s="661"/>
      <c r="M1367" s="1230"/>
      <c r="N1367" s="661"/>
      <c r="O1367" s="661"/>
    </row>
    <row r="1368" spans="1:15" ht="12.75" customHeight="1">
      <c r="A1368" s="285"/>
      <c r="B1368" s="285"/>
      <c r="C1368" s="651">
        <f>IF(D1343="","-",+C1367+1)</f>
        <v>2038</v>
      </c>
      <c r="D1368" s="1172">
        <f t="shared" si="92"/>
        <v>54212.181407407479</v>
      </c>
      <c r="E1368" s="1173">
        <f t="shared" si="93"/>
        <v>2071.8031111111113</v>
      </c>
      <c r="F1368" s="1172">
        <f t="shared" si="94"/>
        <v>52140.378296296367</v>
      </c>
      <c r="G1368" s="1174">
        <f t="shared" si="90"/>
        <v>7914.6610095900442</v>
      </c>
      <c r="H1368" s="1231">
        <f t="shared" si="91"/>
        <v>7914.6610095900442</v>
      </c>
      <c r="I1368" s="655">
        <f t="shared" si="89"/>
        <v>0</v>
      </c>
      <c r="J1368" s="655"/>
      <c r="K1368" s="1230"/>
      <c r="L1368" s="661"/>
      <c r="M1368" s="1230"/>
      <c r="N1368" s="661"/>
      <c r="O1368" s="661"/>
    </row>
    <row r="1369" spans="1:15" ht="12.75" customHeight="1">
      <c r="A1369" s="285"/>
      <c r="B1369" s="285"/>
      <c r="C1369" s="651">
        <f>IF(D1343="","-",+C1368+1)</f>
        <v>2039</v>
      </c>
      <c r="D1369" s="1172">
        <f t="shared" si="92"/>
        <v>52140.378296296367</v>
      </c>
      <c r="E1369" s="1173">
        <f t="shared" si="93"/>
        <v>2071.8031111111113</v>
      </c>
      <c r="F1369" s="1172">
        <f t="shared" si="94"/>
        <v>50068.575185185255</v>
      </c>
      <c r="G1369" s="1174">
        <f t="shared" si="90"/>
        <v>7687.0171953635918</v>
      </c>
      <c r="H1369" s="1231">
        <f t="shared" si="91"/>
        <v>7687.0171953635918</v>
      </c>
      <c r="I1369" s="655">
        <f t="shared" si="89"/>
        <v>0</v>
      </c>
      <c r="J1369" s="655"/>
      <c r="K1369" s="1230"/>
      <c r="L1369" s="661"/>
      <c r="M1369" s="1230"/>
      <c r="N1369" s="661"/>
      <c r="O1369" s="661"/>
    </row>
    <row r="1370" spans="1:15" ht="12.75" customHeight="1">
      <c r="A1370" s="285"/>
      <c r="B1370" s="285"/>
      <c r="C1370" s="651">
        <f>IF(D1343="","-",+C1369+1)</f>
        <v>2040</v>
      </c>
      <c r="D1370" s="1172">
        <f t="shared" si="92"/>
        <v>50068.575185185255</v>
      </c>
      <c r="E1370" s="1173">
        <f t="shared" si="93"/>
        <v>2071.8031111111113</v>
      </c>
      <c r="F1370" s="1172">
        <f t="shared" si="94"/>
        <v>47996.772074074142</v>
      </c>
      <c r="G1370" s="1174">
        <f t="shared" si="90"/>
        <v>7459.3733811371412</v>
      </c>
      <c r="H1370" s="1231">
        <f t="shared" si="91"/>
        <v>7459.3733811371412</v>
      </c>
      <c r="I1370" s="655">
        <f t="shared" si="89"/>
        <v>0</v>
      </c>
      <c r="J1370" s="655"/>
      <c r="K1370" s="1230"/>
      <c r="L1370" s="661"/>
      <c r="M1370" s="1230"/>
      <c r="N1370" s="661"/>
      <c r="O1370" s="661"/>
    </row>
    <row r="1371" spans="1:15" ht="12.75" customHeight="1">
      <c r="A1371" s="285"/>
      <c r="B1371" s="285"/>
      <c r="C1371" s="651">
        <f>IF(D1343="","-",+C1370+1)</f>
        <v>2041</v>
      </c>
      <c r="D1371" s="1172">
        <f t="shared" si="92"/>
        <v>47996.772074074142</v>
      </c>
      <c r="E1371" s="1173">
        <f t="shared" si="93"/>
        <v>2071.8031111111113</v>
      </c>
      <c r="F1371" s="1172">
        <f t="shared" si="94"/>
        <v>45924.96896296303</v>
      </c>
      <c r="G1371" s="1174">
        <f t="shared" si="90"/>
        <v>7231.7295669106888</v>
      </c>
      <c r="H1371" s="1231">
        <f t="shared" si="91"/>
        <v>7231.7295669106888</v>
      </c>
      <c r="I1371" s="655">
        <f t="shared" si="89"/>
        <v>0</v>
      </c>
      <c r="J1371" s="655"/>
      <c r="K1371" s="1230"/>
      <c r="L1371" s="661"/>
      <c r="M1371" s="1230"/>
      <c r="N1371" s="661"/>
      <c r="O1371" s="661"/>
    </row>
    <row r="1372" spans="1:15" ht="12.75" customHeight="1">
      <c r="A1372" s="285"/>
      <c r="B1372" s="285"/>
      <c r="C1372" s="651">
        <f>IF(D1343="","-",+C1371+1)</f>
        <v>2042</v>
      </c>
      <c r="D1372" s="1172">
        <f t="shared" si="92"/>
        <v>45924.96896296303</v>
      </c>
      <c r="E1372" s="1173">
        <f t="shared" si="93"/>
        <v>2071.8031111111113</v>
      </c>
      <c r="F1372" s="1172">
        <f t="shared" si="94"/>
        <v>43853.165851851918</v>
      </c>
      <c r="G1372" s="1174">
        <f t="shared" si="90"/>
        <v>7004.0857526842374</v>
      </c>
      <c r="H1372" s="1231">
        <f t="shared" si="91"/>
        <v>7004.0857526842374</v>
      </c>
      <c r="I1372" s="655">
        <f t="shared" si="89"/>
        <v>0</v>
      </c>
      <c r="J1372" s="655"/>
      <c r="K1372" s="1230"/>
      <c r="L1372" s="661"/>
      <c r="M1372" s="1230"/>
      <c r="N1372" s="661"/>
      <c r="O1372" s="661"/>
    </row>
    <row r="1373" spans="1:15" ht="12.75" customHeight="1">
      <c r="A1373" s="285"/>
      <c r="B1373" s="285"/>
      <c r="C1373" s="651">
        <f>IF(D1343="","-",+C1372+1)</f>
        <v>2043</v>
      </c>
      <c r="D1373" s="1172">
        <f t="shared" si="92"/>
        <v>43853.165851851918</v>
      </c>
      <c r="E1373" s="1173">
        <f t="shared" si="93"/>
        <v>2071.8031111111113</v>
      </c>
      <c r="F1373" s="1172">
        <f t="shared" si="94"/>
        <v>41781.362740740806</v>
      </c>
      <c r="G1373" s="1174">
        <f t="shared" si="90"/>
        <v>6776.441938457785</v>
      </c>
      <c r="H1373" s="1231">
        <f t="shared" si="91"/>
        <v>6776.441938457785</v>
      </c>
      <c r="I1373" s="655">
        <f t="shared" si="89"/>
        <v>0</v>
      </c>
      <c r="J1373" s="655"/>
      <c r="K1373" s="1230"/>
      <c r="L1373" s="661"/>
      <c r="M1373" s="1230"/>
      <c r="N1373" s="661"/>
      <c r="O1373" s="661"/>
    </row>
    <row r="1374" spans="1:15" ht="12.75" customHeight="1">
      <c r="A1374" s="285"/>
      <c r="B1374" s="285"/>
      <c r="C1374" s="651">
        <f>IF(D1343="","-",+C1373+1)</f>
        <v>2044</v>
      </c>
      <c r="D1374" s="1172">
        <f t="shared" si="92"/>
        <v>41781.362740740806</v>
      </c>
      <c r="E1374" s="1173">
        <f t="shared" si="93"/>
        <v>2071.8031111111113</v>
      </c>
      <c r="F1374" s="1172">
        <f t="shared" si="94"/>
        <v>39709.559629629694</v>
      </c>
      <c r="G1374" s="1174">
        <f t="shared" si="90"/>
        <v>6548.7981242313344</v>
      </c>
      <c r="H1374" s="1231">
        <f t="shared" si="91"/>
        <v>6548.7981242313344</v>
      </c>
      <c r="I1374" s="655">
        <f t="shared" si="89"/>
        <v>0</v>
      </c>
      <c r="J1374" s="655"/>
      <c r="K1374" s="1230"/>
      <c r="L1374" s="661"/>
      <c r="M1374" s="1230"/>
      <c r="N1374" s="661"/>
      <c r="O1374" s="661"/>
    </row>
    <row r="1375" spans="1:15" ht="12.75" customHeight="1">
      <c r="A1375" s="285"/>
      <c r="B1375" s="285"/>
      <c r="C1375" s="651">
        <f>IF(D1343="","-",+C1374+1)</f>
        <v>2045</v>
      </c>
      <c r="D1375" s="1172">
        <f t="shared" si="92"/>
        <v>39709.559629629694</v>
      </c>
      <c r="E1375" s="1173">
        <f t="shared" si="93"/>
        <v>2071.8031111111113</v>
      </c>
      <c r="F1375" s="1172">
        <f t="shared" si="94"/>
        <v>37637.756518518581</v>
      </c>
      <c r="G1375" s="1174">
        <f t="shared" si="90"/>
        <v>6321.1543100048812</v>
      </c>
      <c r="H1375" s="1231">
        <f t="shared" si="91"/>
        <v>6321.1543100048812</v>
      </c>
      <c r="I1375" s="655">
        <f t="shared" si="89"/>
        <v>0</v>
      </c>
      <c r="J1375" s="655"/>
      <c r="K1375" s="1230"/>
      <c r="L1375" s="661"/>
      <c r="M1375" s="1230"/>
      <c r="N1375" s="661"/>
      <c r="O1375" s="661"/>
    </row>
    <row r="1376" spans="1:15" ht="12.75" customHeight="1">
      <c r="A1376" s="285"/>
      <c r="B1376" s="285"/>
      <c r="C1376" s="651">
        <f>IF(D1343="","-",+C1375+1)</f>
        <v>2046</v>
      </c>
      <c r="D1376" s="1172">
        <f t="shared" si="92"/>
        <v>37637.756518518581</v>
      </c>
      <c r="E1376" s="1173">
        <f t="shared" si="93"/>
        <v>2071.8031111111113</v>
      </c>
      <c r="F1376" s="1172">
        <f t="shared" si="94"/>
        <v>35565.953407407469</v>
      </c>
      <c r="G1376" s="1174">
        <f t="shared" si="90"/>
        <v>6093.5104957784306</v>
      </c>
      <c r="H1376" s="1231">
        <f t="shared" si="91"/>
        <v>6093.5104957784306</v>
      </c>
      <c r="I1376" s="655">
        <f t="shared" si="89"/>
        <v>0</v>
      </c>
      <c r="J1376" s="655"/>
      <c r="K1376" s="1230"/>
      <c r="L1376" s="661"/>
      <c r="M1376" s="1230"/>
      <c r="N1376" s="661"/>
      <c r="O1376" s="661"/>
    </row>
    <row r="1377" spans="1:15" ht="12.75" customHeight="1">
      <c r="A1377" s="285"/>
      <c r="B1377" s="285"/>
      <c r="C1377" s="651">
        <f>IF(D1343="","-",+C1376+1)</f>
        <v>2047</v>
      </c>
      <c r="D1377" s="1172">
        <f t="shared" si="92"/>
        <v>35565.953407407469</v>
      </c>
      <c r="E1377" s="1173">
        <f t="shared" si="93"/>
        <v>2071.8031111111113</v>
      </c>
      <c r="F1377" s="1172">
        <f t="shared" si="94"/>
        <v>33494.150296296357</v>
      </c>
      <c r="G1377" s="1174">
        <f t="shared" si="90"/>
        <v>5865.8666815519773</v>
      </c>
      <c r="H1377" s="1231">
        <f t="shared" si="91"/>
        <v>5865.8666815519773</v>
      </c>
      <c r="I1377" s="655">
        <f t="shared" si="89"/>
        <v>0</v>
      </c>
      <c r="J1377" s="655"/>
      <c r="K1377" s="1230"/>
      <c r="L1377" s="661"/>
      <c r="M1377" s="1230"/>
      <c r="N1377" s="661"/>
      <c r="O1377" s="661"/>
    </row>
    <row r="1378" spans="1:15" ht="12.75" customHeight="1">
      <c r="A1378" s="285"/>
      <c r="B1378" s="285"/>
      <c r="C1378" s="651">
        <f>IF(D1343="","-",+C1377+1)</f>
        <v>2048</v>
      </c>
      <c r="D1378" s="1172">
        <f t="shared" si="92"/>
        <v>33494.150296296357</v>
      </c>
      <c r="E1378" s="1173">
        <f t="shared" si="93"/>
        <v>2071.8031111111113</v>
      </c>
      <c r="F1378" s="1172">
        <f t="shared" si="94"/>
        <v>31422.347185185245</v>
      </c>
      <c r="G1378" s="1174">
        <f t="shared" si="90"/>
        <v>5638.2228673255267</v>
      </c>
      <c r="H1378" s="1231">
        <f t="shared" si="91"/>
        <v>5638.2228673255267</v>
      </c>
      <c r="I1378" s="655">
        <f t="shared" si="89"/>
        <v>0</v>
      </c>
      <c r="J1378" s="655"/>
      <c r="K1378" s="1230"/>
      <c r="L1378" s="661"/>
      <c r="M1378" s="1230"/>
      <c r="N1378" s="661"/>
      <c r="O1378" s="661"/>
    </row>
    <row r="1379" spans="1:15" ht="12.75" customHeight="1">
      <c r="A1379" s="285"/>
      <c r="B1379" s="285"/>
      <c r="C1379" s="651">
        <f>IF(D1343="","-",+C1378+1)</f>
        <v>2049</v>
      </c>
      <c r="D1379" s="1172">
        <f t="shared" si="92"/>
        <v>31422.347185185245</v>
      </c>
      <c r="E1379" s="1173">
        <f t="shared" si="93"/>
        <v>2071.8031111111113</v>
      </c>
      <c r="F1379" s="1172">
        <f t="shared" si="94"/>
        <v>29350.544074074132</v>
      </c>
      <c r="G1379" s="1174">
        <f t="shared" si="90"/>
        <v>5410.5790530990744</v>
      </c>
      <c r="H1379" s="1231">
        <f t="shared" si="91"/>
        <v>5410.5790530990744</v>
      </c>
      <c r="I1379" s="655">
        <f t="shared" si="89"/>
        <v>0</v>
      </c>
      <c r="J1379" s="655"/>
      <c r="K1379" s="1230"/>
      <c r="L1379" s="661"/>
      <c r="M1379" s="1230"/>
      <c r="N1379" s="661"/>
      <c r="O1379" s="661"/>
    </row>
    <row r="1380" spans="1:15" ht="12.75" customHeight="1">
      <c r="A1380" s="285"/>
      <c r="B1380" s="285"/>
      <c r="C1380" s="651">
        <f>IF(D1343="","-",+C1379+1)</f>
        <v>2050</v>
      </c>
      <c r="D1380" s="1172">
        <f t="shared" si="92"/>
        <v>29350.544074074132</v>
      </c>
      <c r="E1380" s="1173">
        <f t="shared" si="93"/>
        <v>2071.8031111111113</v>
      </c>
      <c r="F1380" s="1172">
        <f t="shared" si="94"/>
        <v>27278.74096296302</v>
      </c>
      <c r="G1380" s="1174">
        <f t="shared" si="90"/>
        <v>5182.9352388726238</v>
      </c>
      <c r="H1380" s="1231">
        <f t="shared" si="91"/>
        <v>5182.9352388726238</v>
      </c>
      <c r="I1380" s="655">
        <f t="shared" si="89"/>
        <v>0</v>
      </c>
      <c r="J1380" s="655"/>
      <c r="K1380" s="1230"/>
      <c r="L1380" s="661"/>
      <c r="M1380" s="1230"/>
      <c r="N1380" s="661"/>
      <c r="O1380" s="661"/>
    </row>
    <row r="1381" spans="1:15" ht="12.75" customHeight="1">
      <c r="A1381" s="285"/>
      <c r="B1381" s="285"/>
      <c r="C1381" s="651">
        <f>IF(D1343="","-",+C1380+1)</f>
        <v>2051</v>
      </c>
      <c r="D1381" s="1172">
        <f t="shared" si="92"/>
        <v>27278.74096296302</v>
      </c>
      <c r="E1381" s="1173">
        <f t="shared" si="93"/>
        <v>2071.8031111111113</v>
      </c>
      <c r="F1381" s="1172">
        <f t="shared" si="94"/>
        <v>25206.937851851908</v>
      </c>
      <c r="G1381" s="1174">
        <f t="shared" si="90"/>
        <v>4955.2914246461714</v>
      </c>
      <c r="H1381" s="1231">
        <f t="shared" si="91"/>
        <v>4955.2914246461714</v>
      </c>
      <c r="I1381" s="655">
        <f t="shared" si="89"/>
        <v>0</v>
      </c>
      <c r="J1381" s="655"/>
      <c r="K1381" s="1230"/>
      <c r="L1381" s="661"/>
      <c r="M1381" s="1230"/>
      <c r="N1381" s="661"/>
      <c r="O1381" s="661"/>
    </row>
    <row r="1382" spans="1:15" ht="12.75" customHeight="1">
      <c r="A1382" s="285"/>
      <c r="B1382" s="285"/>
      <c r="C1382" s="651">
        <f>IF(D1343="","-",+C1381+1)</f>
        <v>2052</v>
      </c>
      <c r="D1382" s="1172">
        <f t="shared" si="92"/>
        <v>25206.937851851908</v>
      </c>
      <c r="E1382" s="1173">
        <f t="shared" si="93"/>
        <v>2071.8031111111113</v>
      </c>
      <c r="F1382" s="1172">
        <f t="shared" si="94"/>
        <v>23135.134740740796</v>
      </c>
      <c r="G1382" s="1174">
        <f t="shared" si="90"/>
        <v>4727.6476104197191</v>
      </c>
      <c r="H1382" s="1231">
        <f t="shared" si="91"/>
        <v>4727.6476104197191</v>
      </c>
      <c r="I1382" s="655">
        <f t="shared" si="89"/>
        <v>0</v>
      </c>
      <c r="J1382" s="655"/>
      <c r="K1382" s="1230"/>
      <c r="L1382" s="661"/>
      <c r="M1382" s="1230"/>
      <c r="N1382" s="661"/>
      <c r="O1382" s="661"/>
    </row>
    <row r="1383" spans="1:15" ht="12.75" customHeight="1">
      <c r="A1383" s="285"/>
      <c r="B1383" s="285"/>
      <c r="C1383" s="651">
        <f>IF(D1343="","-",+C1382+1)</f>
        <v>2053</v>
      </c>
      <c r="D1383" s="1172">
        <f t="shared" si="92"/>
        <v>23135.134740740796</v>
      </c>
      <c r="E1383" s="1173">
        <f t="shared" si="93"/>
        <v>2071.8031111111113</v>
      </c>
      <c r="F1383" s="1172">
        <f t="shared" si="94"/>
        <v>21063.331629629683</v>
      </c>
      <c r="G1383" s="1174">
        <f t="shared" si="90"/>
        <v>4500.0037961932685</v>
      </c>
      <c r="H1383" s="1231">
        <f t="shared" si="91"/>
        <v>4500.0037961932685</v>
      </c>
      <c r="I1383" s="655">
        <f t="shared" si="89"/>
        <v>0</v>
      </c>
      <c r="J1383" s="655"/>
      <c r="K1383" s="1230"/>
      <c r="L1383" s="661"/>
      <c r="M1383" s="1230"/>
      <c r="N1383" s="661"/>
      <c r="O1383" s="661"/>
    </row>
    <row r="1384" spans="1:15" ht="12.75" customHeight="1">
      <c r="A1384" s="285"/>
      <c r="B1384" s="285"/>
      <c r="C1384" s="651">
        <f>IF(D1343="","-",+C1383+1)</f>
        <v>2054</v>
      </c>
      <c r="D1384" s="1172">
        <f t="shared" si="92"/>
        <v>21063.331629629683</v>
      </c>
      <c r="E1384" s="1173">
        <f t="shared" si="93"/>
        <v>2071.8031111111113</v>
      </c>
      <c r="F1384" s="1172">
        <f t="shared" si="94"/>
        <v>18991.528518518571</v>
      </c>
      <c r="G1384" s="1174">
        <f t="shared" si="90"/>
        <v>4272.3599819668161</v>
      </c>
      <c r="H1384" s="1231">
        <f t="shared" si="91"/>
        <v>4272.3599819668161</v>
      </c>
      <c r="I1384" s="655">
        <f t="shared" si="89"/>
        <v>0</v>
      </c>
      <c r="J1384" s="655"/>
      <c r="K1384" s="1230"/>
      <c r="L1384" s="661"/>
      <c r="M1384" s="1230"/>
      <c r="N1384" s="661"/>
      <c r="O1384" s="661"/>
    </row>
    <row r="1385" spans="1:15" ht="12.75" customHeight="1">
      <c r="A1385" s="285"/>
      <c r="B1385" s="285"/>
      <c r="C1385" s="651">
        <f>IF(D1343="","-",+C1384+1)</f>
        <v>2055</v>
      </c>
      <c r="D1385" s="1172">
        <f t="shared" si="92"/>
        <v>18991.528518518571</v>
      </c>
      <c r="E1385" s="1173">
        <f t="shared" si="93"/>
        <v>2071.8031111111113</v>
      </c>
      <c r="F1385" s="1172">
        <f t="shared" si="94"/>
        <v>16919.725407407459</v>
      </c>
      <c r="G1385" s="1174">
        <f t="shared" si="90"/>
        <v>4044.7161677403647</v>
      </c>
      <c r="H1385" s="1231">
        <f t="shared" si="91"/>
        <v>4044.7161677403647</v>
      </c>
      <c r="I1385" s="655">
        <f t="shared" si="89"/>
        <v>0</v>
      </c>
      <c r="J1385" s="655"/>
      <c r="K1385" s="1230"/>
      <c r="L1385" s="661"/>
      <c r="M1385" s="1230"/>
      <c r="N1385" s="661"/>
      <c r="O1385" s="661"/>
    </row>
    <row r="1386" spans="1:15" ht="12.75" customHeight="1">
      <c r="A1386" s="285"/>
      <c r="B1386" s="285"/>
      <c r="C1386" s="651">
        <f>IF(D1343="","-",+C1385+1)</f>
        <v>2056</v>
      </c>
      <c r="D1386" s="1172">
        <f t="shared" si="92"/>
        <v>16919.725407407459</v>
      </c>
      <c r="E1386" s="1173">
        <f t="shared" si="93"/>
        <v>2071.8031111111113</v>
      </c>
      <c r="F1386" s="1172">
        <f t="shared" si="94"/>
        <v>14847.922296296347</v>
      </c>
      <c r="G1386" s="1174">
        <f t="shared" si="90"/>
        <v>3817.0723535139127</v>
      </c>
      <c r="H1386" s="1231">
        <f t="shared" si="91"/>
        <v>3817.0723535139127</v>
      </c>
      <c r="I1386" s="655">
        <f t="shared" si="89"/>
        <v>0</v>
      </c>
      <c r="J1386" s="655"/>
      <c r="K1386" s="1230"/>
      <c r="L1386" s="661"/>
      <c r="M1386" s="1230"/>
      <c r="N1386" s="661"/>
      <c r="O1386" s="661"/>
    </row>
    <row r="1387" spans="1:15" ht="12.75" customHeight="1">
      <c r="A1387" s="285"/>
      <c r="B1387" s="285"/>
      <c r="C1387" s="651">
        <f>IF(D1343="","-",+C1386+1)</f>
        <v>2057</v>
      </c>
      <c r="D1387" s="1172">
        <f t="shared" si="92"/>
        <v>14847.922296296347</v>
      </c>
      <c r="E1387" s="1173">
        <f t="shared" si="93"/>
        <v>2071.8031111111113</v>
      </c>
      <c r="F1387" s="1172">
        <f t="shared" si="94"/>
        <v>12776.119185185235</v>
      </c>
      <c r="G1387" s="1174">
        <f t="shared" si="90"/>
        <v>3589.4285392874608</v>
      </c>
      <c r="H1387" s="1231">
        <f t="shared" si="91"/>
        <v>3589.4285392874608</v>
      </c>
      <c r="I1387" s="655">
        <f t="shared" si="89"/>
        <v>0</v>
      </c>
      <c r="J1387" s="655"/>
      <c r="K1387" s="1230"/>
      <c r="L1387" s="661"/>
      <c r="M1387" s="1230"/>
      <c r="N1387" s="661"/>
      <c r="O1387" s="661"/>
    </row>
    <row r="1388" spans="1:15" ht="12.75" customHeight="1">
      <c r="A1388" s="285"/>
      <c r="B1388" s="285"/>
      <c r="C1388" s="651">
        <f>IF(D1343="","-",+C1387+1)</f>
        <v>2058</v>
      </c>
      <c r="D1388" s="1172">
        <f t="shared" si="92"/>
        <v>12776.119185185235</v>
      </c>
      <c r="E1388" s="1173">
        <f t="shared" si="93"/>
        <v>2071.8031111111113</v>
      </c>
      <c r="F1388" s="1172">
        <f t="shared" si="94"/>
        <v>10704.316074074122</v>
      </c>
      <c r="G1388" s="1174">
        <f t="shared" si="90"/>
        <v>3361.7847250610093</v>
      </c>
      <c r="H1388" s="1231">
        <f t="shared" si="91"/>
        <v>3361.7847250610093</v>
      </c>
      <c r="I1388" s="655">
        <f t="shared" si="89"/>
        <v>0</v>
      </c>
      <c r="J1388" s="655"/>
      <c r="K1388" s="1230"/>
      <c r="L1388" s="661"/>
      <c r="M1388" s="1230"/>
      <c r="N1388" s="661"/>
      <c r="O1388" s="661"/>
    </row>
    <row r="1389" spans="1:15" ht="12.75" customHeight="1">
      <c r="A1389" s="285"/>
      <c r="B1389" s="285"/>
      <c r="C1389" s="651">
        <f>IF(D1343="","-",+C1388+1)</f>
        <v>2059</v>
      </c>
      <c r="D1389" s="1172">
        <f t="shared" si="92"/>
        <v>10704.316074074122</v>
      </c>
      <c r="E1389" s="1173">
        <f t="shared" si="93"/>
        <v>2071.8031111111113</v>
      </c>
      <c r="F1389" s="1172">
        <f t="shared" si="94"/>
        <v>8632.5129629630101</v>
      </c>
      <c r="G1389" s="1174">
        <f t="shared" si="90"/>
        <v>3134.1409108345574</v>
      </c>
      <c r="H1389" s="1231">
        <f t="shared" si="91"/>
        <v>3134.1409108345574</v>
      </c>
      <c r="I1389" s="655">
        <f t="shared" si="89"/>
        <v>0</v>
      </c>
      <c r="J1389" s="655"/>
      <c r="K1389" s="1230"/>
      <c r="L1389" s="661"/>
      <c r="M1389" s="1230"/>
      <c r="N1389" s="661"/>
      <c r="O1389" s="661"/>
    </row>
    <row r="1390" spans="1:15" ht="12.75" customHeight="1">
      <c r="A1390" s="285"/>
      <c r="B1390" s="285"/>
      <c r="C1390" s="651">
        <f>IF(D1343="","-",+C1389+1)</f>
        <v>2060</v>
      </c>
      <c r="D1390" s="1172">
        <f t="shared" si="92"/>
        <v>8632.5129629630101</v>
      </c>
      <c r="E1390" s="1173">
        <f t="shared" si="93"/>
        <v>2071.8031111111113</v>
      </c>
      <c r="F1390" s="1172">
        <f t="shared" si="94"/>
        <v>6560.7098518518987</v>
      </c>
      <c r="G1390" s="1174">
        <f t="shared" si="90"/>
        <v>2906.4970966081055</v>
      </c>
      <c r="H1390" s="1231">
        <f t="shared" si="91"/>
        <v>2906.4970966081055</v>
      </c>
      <c r="I1390" s="655">
        <f t="shared" si="89"/>
        <v>0</v>
      </c>
      <c r="J1390" s="655"/>
      <c r="K1390" s="1230"/>
      <c r="L1390" s="661"/>
      <c r="M1390" s="1230"/>
      <c r="N1390" s="661"/>
      <c r="O1390" s="661"/>
    </row>
    <row r="1391" spans="1:15" ht="12.75" customHeight="1">
      <c r="A1391" s="285"/>
      <c r="B1391" s="285"/>
      <c r="C1391" s="651">
        <f>IF(D1343="","-",+C1390+1)</f>
        <v>2061</v>
      </c>
      <c r="D1391" s="1172">
        <f t="shared" si="92"/>
        <v>6560.7098518518987</v>
      </c>
      <c r="E1391" s="1173">
        <f t="shared" si="93"/>
        <v>2071.8031111111113</v>
      </c>
      <c r="F1391" s="1172">
        <f t="shared" si="94"/>
        <v>4488.9067407407874</v>
      </c>
      <c r="G1391" s="1174">
        <f t="shared" si="90"/>
        <v>2678.853282381654</v>
      </c>
      <c r="H1391" s="1231">
        <f t="shared" si="91"/>
        <v>2678.853282381654</v>
      </c>
      <c r="I1391" s="655">
        <f t="shared" si="89"/>
        <v>0</v>
      </c>
      <c r="J1391" s="655"/>
      <c r="K1391" s="1230"/>
      <c r="L1391" s="661"/>
      <c r="M1391" s="1230"/>
      <c r="N1391" s="661"/>
      <c r="O1391" s="661"/>
    </row>
    <row r="1392" spans="1:15" ht="12.75" customHeight="1">
      <c r="A1392" s="285"/>
      <c r="B1392" s="285"/>
      <c r="C1392" s="651">
        <f>IF(D1343="","-",+C1391+1)</f>
        <v>2062</v>
      </c>
      <c r="D1392" s="1172">
        <f t="shared" si="92"/>
        <v>4488.9067407407874</v>
      </c>
      <c r="E1392" s="1173">
        <f t="shared" si="93"/>
        <v>2071.8031111111113</v>
      </c>
      <c r="F1392" s="1172">
        <f t="shared" si="94"/>
        <v>2417.1036296296761</v>
      </c>
      <c r="G1392" s="1174">
        <f t="shared" si="90"/>
        <v>2451.2094681552026</v>
      </c>
      <c r="H1392" s="1231">
        <f t="shared" si="91"/>
        <v>2451.2094681552026</v>
      </c>
      <c r="I1392" s="655">
        <f t="shared" si="89"/>
        <v>0</v>
      </c>
      <c r="J1392" s="655"/>
      <c r="K1392" s="1230"/>
      <c r="L1392" s="661"/>
      <c r="M1392" s="1230"/>
      <c r="N1392" s="661"/>
      <c r="O1392" s="661"/>
    </row>
    <row r="1393" spans="1:15" ht="12.75" customHeight="1">
      <c r="A1393" s="285"/>
      <c r="B1393" s="285"/>
      <c r="C1393" s="651">
        <f>IF(D1343="","-",+C1392+1)</f>
        <v>2063</v>
      </c>
      <c r="D1393" s="1172">
        <f t="shared" si="92"/>
        <v>2417.1036296296761</v>
      </c>
      <c r="E1393" s="1173">
        <f t="shared" si="93"/>
        <v>2071.8031111111113</v>
      </c>
      <c r="F1393" s="1172">
        <f t="shared" si="94"/>
        <v>345.30051851856479</v>
      </c>
      <c r="G1393" s="1174">
        <f t="shared" si="90"/>
        <v>2223.5656539287506</v>
      </c>
      <c r="H1393" s="1231">
        <f t="shared" si="91"/>
        <v>2223.5656539287506</v>
      </c>
      <c r="I1393" s="655">
        <f t="shared" si="89"/>
        <v>0</v>
      </c>
      <c r="J1393" s="655"/>
      <c r="K1393" s="1230"/>
      <c r="L1393" s="661"/>
      <c r="M1393" s="1230"/>
      <c r="N1393" s="661"/>
      <c r="O1393" s="661"/>
    </row>
    <row r="1394" spans="1:15" ht="12.75" customHeight="1">
      <c r="A1394" s="285"/>
      <c r="B1394" s="285"/>
      <c r="C1394" s="651">
        <f>IF(D1343="","-",+C1393+1)</f>
        <v>2064</v>
      </c>
      <c r="D1394" s="1172">
        <f t="shared" si="92"/>
        <v>345.30051851856479</v>
      </c>
      <c r="E1394" s="1173">
        <f t="shared" si="93"/>
        <v>345.30051851856479</v>
      </c>
      <c r="F1394" s="1172">
        <f t="shared" si="94"/>
        <v>0</v>
      </c>
      <c r="G1394" s="1174">
        <f t="shared" si="90"/>
        <v>364.27083637077163</v>
      </c>
      <c r="H1394" s="1231">
        <f t="shared" si="91"/>
        <v>364.27083637077163</v>
      </c>
      <c r="I1394" s="655">
        <f t="shared" si="89"/>
        <v>0</v>
      </c>
      <c r="J1394" s="655"/>
      <c r="K1394" s="1230"/>
      <c r="L1394" s="661"/>
      <c r="M1394" s="1230"/>
      <c r="N1394" s="661"/>
      <c r="O1394" s="661"/>
    </row>
    <row r="1395" spans="1:15" ht="12.75" customHeight="1">
      <c r="A1395" s="285"/>
      <c r="B1395" s="285"/>
      <c r="C1395" s="651">
        <f>IF(D1343="","-",+C1394+1)</f>
        <v>2065</v>
      </c>
      <c r="D1395" s="1172">
        <f t="shared" si="92"/>
        <v>0</v>
      </c>
      <c r="E1395" s="1173">
        <f t="shared" si="93"/>
        <v>0</v>
      </c>
      <c r="F1395" s="1172">
        <f t="shared" si="94"/>
        <v>0</v>
      </c>
      <c r="G1395" s="1174">
        <f t="shared" si="90"/>
        <v>0</v>
      </c>
      <c r="H1395" s="1231">
        <f t="shared" si="91"/>
        <v>0</v>
      </c>
      <c r="I1395" s="655">
        <f t="shared" si="89"/>
        <v>0</v>
      </c>
      <c r="J1395" s="655"/>
      <c r="K1395" s="1230"/>
      <c r="L1395" s="661"/>
      <c r="M1395" s="1230"/>
      <c r="N1395" s="661"/>
      <c r="O1395" s="661"/>
    </row>
    <row r="1396" spans="1:15" ht="12.75" customHeight="1">
      <c r="A1396" s="285"/>
      <c r="B1396" s="285"/>
      <c r="C1396" s="651">
        <f>IF(D1343="","-",+C1395+1)</f>
        <v>2066</v>
      </c>
      <c r="D1396" s="1172">
        <f t="shared" si="92"/>
        <v>0</v>
      </c>
      <c r="E1396" s="1173">
        <f t="shared" si="93"/>
        <v>0</v>
      </c>
      <c r="F1396" s="1172">
        <f t="shared" si="94"/>
        <v>0</v>
      </c>
      <c r="G1396" s="1174">
        <f t="shared" si="90"/>
        <v>0</v>
      </c>
      <c r="H1396" s="1231">
        <f t="shared" si="91"/>
        <v>0</v>
      </c>
      <c r="I1396" s="655">
        <f t="shared" si="89"/>
        <v>0</v>
      </c>
      <c r="J1396" s="655"/>
      <c r="K1396" s="1230"/>
      <c r="L1396" s="661"/>
      <c r="M1396" s="1230"/>
      <c r="N1396" s="661"/>
      <c r="O1396" s="661"/>
    </row>
    <row r="1397" spans="1:15" ht="12.75" customHeight="1">
      <c r="A1397" s="285"/>
      <c r="B1397" s="285"/>
      <c r="C1397" s="651">
        <f>IF(D1343="","-",+C1396+1)</f>
        <v>2067</v>
      </c>
      <c r="D1397" s="1172">
        <f t="shared" si="92"/>
        <v>0</v>
      </c>
      <c r="E1397" s="1173">
        <f t="shared" si="93"/>
        <v>0</v>
      </c>
      <c r="F1397" s="1172">
        <f t="shared" si="94"/>
        <v>0</v>
      </c>
      <c r="G1397" s="1174">
        <f t="shared" si="90"/>
        <v>0</v>
      </c>
      <c r="H1397" s="1231">
        <f t="shared" si="91"/>
        <v>0</v>
      </c>
      <c r="I1397" s="655">
        <f t="shared" si="89"/>
        <v>0</v>
      </c>
      <c r="J1397" s="655"/>
      <c r="K1397" s="1230"/>
      <c r="L1397" s="661"/>
      <c r="M1397" s="1230"/>
      <c r="N1397" s="661"/>
      <c r="O1397" s="661"/>
    </row>
    <row r="1398" spans="1:15" ht="12.75" customHeight="1">
      <c r="A1398" s="285"/>
      <c r="B1398" s="285"/>
      <c r="C1398" s="651">
        <f>IF(D1343="","-",+C1397+1)</f>
        <v>2068</v>
      </c>
      <c r="D1398" s="1172">
        <f t="shared" si="92"/>
        <v>0</v>
      </c>
      <c r="E1398" s="1173">
        <f t="shared" si="93"/>
        <v>0</v>
      </c>
      <c r="F1398" s="1172">
        <f t="shared" si="94"/>
        <v>0</v>
      </c>
      <c r="G1398" s="1174">
        <f t="shared" si="90"/>
        <v>0</v>
      </c>
      <c r="H1398" s="1231">
        <f t="shared" si="91"/>
        <v>0</v>
      </c>
      <c r="I1398" s="655">
        <f t="shared" si="89"/>
        <v>0</v>
      </c>
      <c r="J1398" s="655"/>
      <c r="K1398" s="1230"/>
      <c r="L1398" s="661"/>
      <c r="M1398" s="1230"/>
      <c r="N1398" s="661"/>
      <c r="O1398" s="661"/>
    </row>
    <row r="1399" spans="1:15" ht="12.75" customHeight="1">
      <c r="A1399" s="285"/>
      <c r="B1399" s="285"/>
      <c r="C1399" s="651">
        <f>IF(D1343="","-",+C1398+1)</f>
        <v>2069</v>
      </c>
      <c r="D1399" s="1172">
        <f t="shared" si="92"/>
        <v>0</v>
      </c>
      <c r="E1399" s="1173">
        <f t="shared" si="93"/>
        <v>0</v>
      </c>
      <c r="F1399" s="1172">
        <f t="shared" si="94"/>
        <v>0</v>
      </c>
      <c r="G1399" s="1174">
        <f t="shared" si="90"/>
        <v>0</v>
      </c>
      <c r="H1399" s="1231">
        <f t="shared" si="91"/>
        <v>0</v>
      </c>
      <c r="I1399" s="655">
        <f t="shared" si="89"/>
        <v>0</v>
      </c>
      <c r="J1399" s="655"/>
      <c r="K1399" s="1230"/>
      <c r="L1399" s="661"/>
      <c r="M1399" s="1230"/>
      <c r="N1399" s="661"/>
      <c r="O1399" s="661"/>
    </row>
    <row r="1400" spans="1:15" ht="12.75" customHeight="1">
      <c r="A1400" s="285"/>
      <c r="B1400" s="285"/>
      <c r="C1400" s="651">
        <f>IF(D1343="","-",+C1399+1)</f>
        <v>2070</v>
      </c>
      <c r="D1400" s="1172">
        <f t="shared" si="92"/>
        <v>0</v>
      </c>
      <c r="E1400" s="1173">
        <f t="shared" si="93"/>
        <v>0</v>
      </c>
      <c r="F1400" s="1172">
        <f t="shared" si="94"/>
        <v>0</v>
      </c>
      <c r="G1400" s="1174">
        <f t="shared" si="90"/>
        <v>0</v>
      </c>
      <c r="H1400" s="1231">
        <f t="shared" si="91"/>
        <v>0</v>
      </c>
      <c r="I1400" s="655">
        <f t="shared" si="89"/>
        <v>0</v>
      </c>
      <c r="J1400" s="655"/>
      <c r="K1400" s="1230"/>
      <c r="L1400" s="661"/>
      <c r="M1400" s="1230"/>
      <c r="N1400" s="661"/>
      <c r="O1400" s="661"/>
    </row>
    <row r="1401" spans="1:15" ht="12.75" customHeight="1">
      <c r="A1401" s="285"/>
      <c r="B1401" s="285"/>
      <c r="C1401" s="651">
        <f>IF(D1343="","-",+C1400+1)</f>
        <v>2071</v>
      </c>
      <c r="D1401" s="1172">
        <f t="shared" si="92"/>
        <v>0</v>
      </c>
      <c r="E1401" s="1173">
        <f t="shared" si="93"/>
        <v>0</v>
      </c>
      <c r="F1401" s="1172">
        <f t="shared" si="94"/>
        <v>0</v>
      </c>
      <c r="G1401" s="1174">
        <f t="shared" si="90"/>
        <v>0</v>
      </c>
      <c r="H1401" s="1231">
        <f t="shared" si="91"/>
        <v>0</v>
      </c>
      <c r="I1401" s="655">
        <f t="shared" si="89"/>
        <v>0</v>
      </c>
      <c r="J1401" s="655"/>
      <c r="K1401" s="1230"/>
      <c r="L1401" s="661"/>
      <c r="M1401" s="1230"/>
      <c r="N1401" s="661"/>
      <c r="O1401" s="661"/>
    </row>
    <row r="1402" spans="1:15" ht="12.75" customHeight="1">
      <c r="A1402" s="285"/>
      <c r="B1402" s="285"/>
      <c r="C1402" s="651">
        <f>IF(D1343="","-",+C1401+1)</f>
        <v>2072</v>
      </c>
      <c r="D1402" s="1172">
        <f t="shared" si="92"/>
        <v>0</v>
      </c>
      <c r="E1402" s="1173">
        <f t="shared" si="93"/>
        <v>0</v>
      </c>
      <c r="F1402" s="1172">
        <f t="shared" si="94"/>
        <v>0</v>
      </c>
      <c r="G1402" s="1174">
        <f t="shared" si="90"/>
        <v>0</v>
      </c>
      <c r="H1402" s="1231">
        <f t="shared" si="91"/>
        <v>0</v>
      </c>
      <c r="I1402" s="655">
        <f t="shared" si="89"/>
        <v>0</v>
      </c>
      <c r="J1402" s="655"/>
      <c r="K1402" s="1230"/>
      <c r="L1402" s="661"/>
      <c r="M1402" s="1230"/>
      <c r="N1402" s="661"/>
      <c r="O1402" s="661"/>
    </row>
    <row r="1403" spans="1:15" ht="12.75" customHeight="1">
      <c r="A1403" s="285"/>
      <c r="B1403" s="285"/>
      <c r="C1403" s="651">
        <f>IF(D1343="","-",+C1402+1)</f>
        <v>2073</v>
      </c>
      <c r="D1403" s="1172">
        <f t="shared" si="92"/>
        <v>0</v>
      </c>
      <c r="E1403" s="1173">
        <f t="shared" si="93"/>
        <v>0</v>
      </c>
      <c r="F1403" s="1172">
        <f t="shared" si="94"/>
        <v>0</v>
      </c>
      <c r="G1403" s="1174">
        <f t="shared" si="90"/>
        <v>0</v>
      </c>
      <c r="H1403" s="1231">
        <f t="shared" si="91"/>
        <v>0</v>
      </c>
      <c r="I1403" s="655">
        <f t="shared" si="89"/>
        <v>0</v>
      </c>
      <c r="J1403" s="655"/>
      <c r="K1403" s="1230"/>
      <c r="L1403" s="661"/>
      <c r="M1403" s="1230"/>
      <c r="N1403" s="661"/>
      <c r="O1403" s="661"/>
    </row>
    <row r="1404" spans="1:15" ht="12.75" customHeight="1">
      <c r="A1404" s="285"/>
      <c r="B1404" s="285"/>
      <c r="C1404" s="651">
        <f>IF(D1343="","-",+C1403+1)</f>
        <v>2074</v>
      </c>
      <c r="D1404" s="1172">
        <f t="shared" si="92"/>
        <v>0</v>
      </c>
      <c r="E1404" s="1173">
        <f t="shared" si="93"/>
        <v>0</v>
      </c>
      <c r="F1404" s="1172">
        <f t="shared" si="94"/>
        <v>0</v>
      </c>
      <c r="G1404" s="1174">
        <f t="shared" si="90"/>
        <v>0</v>
      </c>
      <c r="H1404" s="1231">
        <f t="shared" si="91"/>
        <v>0</v>
      </c>
      <c r="I1404" s="655">
        <f t="shared" si="89"/>
        <v>0</v>
      </c>
      <c r="J1404" s="655"/>
      <c r="K1404" s="1230"/>
      <c r="L1404" s="661"/>
      <c r="M1404" s="1230"/>
      <c r="N1404" s="661"/>
      <c r="O1404" s="661"/>
    </row>
    <row r="1405" spans="1:15" ht="12.75" customHeight="1">
      <c r="A1405" s="285"/>
      <c r="B1405" s="285"/>
      <c r="C1405" s="651">
        <f>IF(D1343="","-",+C1404+1)</f>
        <v>2075</v>
      </c>
      <c r="D1405" s="1172">
        <f t="shared" si="92"/>
        <v>0</v>
      </c>
      <c r="E1405" s="1173">
        <f t="shared" si="93"/>
        <v>0</v>
      </c>
      <c r="F1405" s="1172">
        <f t="shared" si="94"/>
        <v>0</v>
      </c>
      <c r="G1405" s="1174">
        <f t="shared" si="90"/>
        <v>0</v>
      </c>
      <c r="H1405" s="1231">
        <f t="shared" si="91"/>
        <v>0</v>
      </c>
      <c r="I1405" s="655">
        <f t="shared" si="89"/>
        <v>0</v>
      </c>
      <c r="J1405" s="655"/>
      <c r="K1405" s="1230"/>
      <c r="L1405" s="661"/>
      <c r="M1405" s="1230"/>
      <c r="N1405" s="661"/>
      <c r="O1405" s="661"/>
    </row>
    <row r="1406" spans="1:15" ht="12.75" customHeight="1">
      <c r="A1406" s="285"/>
      <c r="B1406" s="285"/>
      <c r="C1406" s="651">
        <f>IF(D1343="","-",+C1405+1)</f>
        <v>2076</v>
      </c>
      <c r="D1406" s="1172">
        <f t="shared" si="92"/>
        <v>0</v>
      </c>
      <c r="E1406" s="1173">
        <f t="shared" si="93"/>
        <v>0</v>
      </c>
      <c r="F1406" s="1172">
        <f t="shared" si="94"/>
        <v>0</v>
      </c>
      <c r="G1406" s="1174">
        <f t="shared" si="90"/>
        <v>0</v>
      </c>
      <c r="H1406" s="1231">
        <f t="shared" si="91"/>
        <v>0</v>
      </c>
      <c r="I1406" s="655">
        <f t="shared" si="89"/>
        <v>0</v>
      </c>
      <c r="J1406" s="655"/>
      <c r="K1406" s="1230"/>
      <c r="L1406" s="661"/>
      <c r="M1406" s="1230"/>
      <c r="N1406" s="661"/>
      <c r="O1406" s="661"/>
    </row>
    <row r="1407" spans="1:15" ht="12.75" customHeight="1">
      <c r="A1407" s="285"/>
      <c r="B1407" s="285"/>
      <c r="C1407" s="651">
        <f>IF(D1343="","-",+C1406+1)</f>
        <v>2077</v>
      </c>
      <c r="D1407" s="1172">
        <f t="shared" si="92"/>
        <v>0</v>
      </c>
      <c r="E1407" s="1173">
        <f t="shared" si="93"/>
        <v>0</v>
      </c>
      <c r="F1407" s="1172">
        <f t="shared" si="94"/>
        <v>0</v>
      </c>
      <c r="G1407" s="1174">
        <f t="shared" si="90"/>
        <v>0</v>
      </c>
      <c r="H1407" s="1231">
        <f t="shared" si="91"/>
        <v>0</v>
      </c>
      <c r="I1407" s="655">
        <f t="shared" si="89"/>
        <v>0</v>
      </c>
      <c r="J1407" s="655"/>
      <c r="K1407" s="1230"/>
      <c r="L1407" s="661"/>
      <c r="M1407" s="1230"/>
      <c r="N1407" s="661"/>
      <c r="O1407" s="661"/>
    </row>
    <row r="1408" spans="1:15" ht="12.75" customHeight="1" thickBot="1">
      <c r="A1408" s="285"/>
      <c r="B1408" s="285"/>
      <c r="C1408" s="663">
        <f>IF(D1343="","-",+C1407+1)</f>
        <v>2078</v>
      </c>
      <c r="D1408" s="1203">
        <f t="shared" si="92"/>
        <v>0</v>
      </c>
      <c r="E1408" s="1196">
        <f t="shared" si="93"/>
        <v>0</v>
      </c>
      <c r="F1408" s="1204">
        <f t="shared" si="94"/>
        <v>0</v>
      </c>
      <c r="G1408" s="1200">
        <f t="shared" si="90"/>
        <v>0</v>
      </c>
      <c r="H1408" s="1201">
        <f t="shared" si="91"/>
        <v>0</v>
      </c>
      <c r="I1408" s="667">
        <f t="shared" si="89"/>
        <v>0</v>
      </c>
      <c r="J1408" s="655"/>
      <c r="K1408" s="794"/>
      <c r="L1408" s="669"/>
      <c r="M1408" s="794"/>
      <c r="N1408" s="669"/>
      <c r="O1408" s="669"/>
    </row>
    <row r="1409" spans="1:15" ht="12.75" customHeight="1">
      <c r="A1409" s="285"/>
      <c r="B1409" s="285"/>
      <c r="C1409" s="602" t="s">
        <v>288</v>
      </c>
      <c r="D1409" s="1148"/>
      <c r="E1409" s="1148">
        <f>SUM(E1349:E1408)</f>
        <v>93231.139999999985</v>
      </c>
      <c r="F1409" s="1148"/>
      <c r="G1409" s="1148">
        <f>SUM(G1349:G1408)</f>
        <v>325427.83051098097</v>
      </c>
      <c r="H1409" s="1148">
        <f>SUM(H1349:H1408)</f>
        <v>325427.83051098097</v>
      </c>
      <c r="I1409" s="1148">
        <f>SUM(I1349:I1408)</f>
        <v>0</v>
      </c>
      <c r="J1409" s="1148"/>
      <c r="K1409" s="1148"/>
      <c r="L1409" s="1148"/>
      <c r="M1409" s="1148"/>
      <c r="N1409" s="1148"/>
      <c r="O1409" s="480"/>
    </row>
    <row r="1410" spans="1:15" ht="12.75" customHeight="1">
      <c r="A1410" s="285"/>
      <c r="B1410" s="285"/>
      <c r="C1410" s="285"/>
      <c r="D1410" s="496"/>
      <c r="E1410" s="480"/>
      <c r="F1410" s="480"/>
      <c r="G1410" s="480"/>
      <c r="H1410" s="1147"/>
      <c r="I1410" s="1147"/>
      <c r="J1410" s="1148"/>
      <c r="K1410" s="1147"/>
      <c r="L1410" s="1147"/>
      <c r="M1410" s="1147"/>
      <c r="N1410" s="1147"/>
      <c r="O1410" s="480"/>
    </row>
    <row r="1411" spans="1:15" ht="12.75" customHeight="1">
      <c r="A1411" s="285"/>
      <c r="B1411" s="285"/>
      <c r="C1411" s="480" t="s">
        <v>601</v>
      </c>
      <c r="D1411" s="496"/>
      <c r="E1411" s="480"/>
      <c r="F1411" s="480"/>
      <c r="G1411" s="480"/>
      <c r="H1411" s="1147"/>
      <c r="I1411" s="1147"/>
      <c r="J1411" s="1148"/>
      <c r="K1411" s="1147"/>
      <c r="L1411" s="1147"/>
      <c r="M1411" s="1147"/>
      <c r="N1411" s="1147"/>
      <c r="O1411" s="480"/>
    </row>
    <row r="1412" spans="1:15" ht="12.75" customHeight="1">
      <c r="A1412" s="285"/>
      <c r="B1412" s="285"/>
      <c r="C1412" s="285"/>
      <c r="D1412" s="496"/>
      <c r="E1412" s="480"/>
      <c r="F1412" s="480"/>
      <c r="G1412" s="480"/>
      <c r="H1412" s="1147"/>
      <c r="I1412" s="1147"/>
      <c r="J1412" s="1148"/>
      <c r="K1412" s="1147"/>
      <c r="L1412" s="1147"/>
      <c r="M1412" s="1147"/>
      <c r="N1412" s="1147"/>
      <c r="O1412" s="480"/>
    </row>
    <row r="1413" spans="1:15" ht="12.75" customHeight="1">
      <c r="A1413" s="285"/>
      <c r="B1413" s="285"/>
      <c r="C1413" s="508" t="s">
        <v>602</v>
      </c>
      <c r="D1413" s="602"/>
      <c r="E1413" s="602"/>
      <c r="F1413" s="602"/>
      <c r="G1413" s="1148"/>
      <c r="H1413" s="1148"/>
      <c r="I1413" s="603"/>
      <c r="J1413" s="603"/>
      <c r="K1413" s="603"/>
      <c r="L1413" s="603"/>
      <c r="M1413" s="603"/>
      <c r="N1413" s="603"/>
      <c r="O1413" s="480"/>
    </row>
    <row r="1414" spans="1:15" ht="12.75" customHeight="1">
      <c r="A1414" s="285"/>
      <c r="B1414" s="285"/>
      <c r="C1414" s="508" t="s">
        <v>476</v>
      </c>
      <c r="D1414" s="602"/>
      <c r="E1414" s="602"/>
      <c r="F1414" s="602"/>
      <c r="G1414" s="1148"/>
      <c r="H1414" s="1148"/>
      <c r="I1414" s="603"/>
      <c r="J1414" s="603"/>
      <c r="K1414" s="603"/>
      <c r="L1414" s="603"/>
      <c r="M1414" s="603"/>
      <c r="N1414" s="603"/>
      <c r="O1414" s="480"/>
    </row>
    <row r="1415" spans="1:15" ht="12.75" customHeight="1">
      <c r="A1415" s="285"/>
      <c r="B1415" s="285"/>
      <c r="C1415" s="508" t="s">
        <v>289</v>
      </c>
      <c r="D1415" s="602"/>
      <c r="E1415" s="602"/>
      <c r="F1415" s="602"/>
      <c r="G1415" s="1148"/>
      <c r="H1415" s="1148"/>
      <c r="I1415" s="603"/>
      <c r="J1415" s="603"/>
      <c r="K1415" s="603"/>
      <c r="L1415" s="603"/>
      <c r="M1415" s="603"/>
      <c r="N1415" s="603"/>
      <c r="O1415" s="480"/>
    </row>
    <row r="1416" spans="1:15" ht="12.75" customHeight="1">
      <c r="A1416" s="285"/>
      <c r="B1416" s="285"/>
      <c r="C1416" s="601"/>
      <c r="D1416" s="602"/>
      <c r="E1416" s="602"/>
      <c r="F1416" s="602"/>
      <c r="G1416" s="1148"/>
      <c r="H1416" s="1148"/>
      <c r="I1416" s="603"/>
      <c r="J1416" s="603"/>
      <c r="K1416" s="603"/>
      <c r="L1416" s="603"/>
      <c r="M1416" s="603"/>
      <c r="N1416" s="603"/>
      <c r="O1416" s="480"/>
    </row>
    <row r="1417" spans="1:15" ht="12.75" customHeight="1">
      <c r="A1417" s="285"/>
      <c r="B1417" s="285"/>
      <c r="C1417" s="1513" t="s">
        <v>460</v>
      </c>
      <c r="D1417" s="1513"/>
      <c r="E1417" s="1513"/>
      <c r="F1417" s="1513"/>
      <c r="G1417" s="1513"/>
      <c r="H1417" s="1513"/>
      <c r="I1417" s="1513"/>
      <c r="J1417" s="1513"/>
      <c r="K1417" s="1513"/>
      <c r="L1417" s="1513"/>
      <c r="M1417" s="1513"/>
      <c r="N1417" s="1513"/>
      <c r="O1417" s="1513"/>
    </row>
    <row r="1418" spans="1:15" ht="12.75" customHeight="1">
      <c r="A1418" s="285"/>
      <c r="B1418" s="285"/>
      <c r="C1418" s="1513"/>
      <c r="D1418" s="1513"/>
      <c r="E1418" s="1513"/>
      <c r="F1418" s="1513"/>
      <c r="G1418" s="1513"/>
      <c r="H1418" s="1513"/>
      <c r="I1418" s="1513"/>
      <c r="J1418" s="1513"/>
      <c r="K1418" s="1513"/>
      <c r="L1418" s="1513"/>
      <c r="M1418" s="1513"/>
      <c r="N1418" s="1513"/>
      <c r="O1418" s="1513"/>
    </row>
  </sheetData>
  <mergeCells count="51">
    <mergeCell ref="D1338:H1338"/>
    <mergeCell ref="K1342:O1342"/>
    <mergeCell ref="C1417:O1418"/>
    <mergeCell ref="C972:O973"/>
    <mergeCell ref="D1160:H1160"/>
    <mergeCell ref="K1164:O1164"/>
    <mergeCell ref="C1239:O1240"/>
    <mergeCell ref="D982:H982"/>
    <mergeCell ref="K986:O986"/>
    <mergeCell ref="C1061:O1062"/>
    <mergeCell ref="D1071:H1071"/>
    <mergeCell ref="K1075:O1075"/>
    <mergeCell ref="C1150:O1151"/>
    <mergeCell ref="K897:O897"/>
    <mergeCell ref="C616:O617"/>
    <mergeCell ref="D626:H626"/>
    <mergeCell ref="K630:O630"/>
    <mergeCell ref="C705:O706"/>
    <mergeCell ref="D715:H715"/>
    <mergeCell ref="K719:O719"/>
    <mergeCell ref="C794:O795"/>
    <mergeCell ref="D804:H804"/>
    <mergeCell ref="K808:O808"/>
    <mergeCell ref="C883:O884"/>
    <mergeCell ref="D893:H893"/>
    <mergeCell ref="D448:H448"/>
    <mergeCell ref="K452:O452"/>
    <mergeCell ref="C527:O528"/>
    <mergeCell ref="D537:H537"/>
    <mergeCell ref="K541:O541"/>
    <mergeCell ref="C260:O261"/>
    <mergeCell ref="D1249:H1249"/>
    <mergeCell ref="K1253:O1253"/>
    <mergeCell ref="C1328:O1329"/>
    <mergeCell ref="K22:O23"/>
    <mergeCell ref="D270:G270"/>
    <mergeCell ref="D91:G91"/>
    <mergeCell ref="K95:O95"/>
    <mergeCell ref="C170:O171"/>
    <mergeCell ref="D181:G181"/>
    <mergeCell ref="K185:O185"/>
    <mergeCell ref="K274:O274"/>
    <mergeCell ref="C349:O350"/>
    <mergeCell ref="D359:G359"/>
    <mergeCell ref="K363:O363"/>
    <mergeCell ref="C438:O439"/>
    <mergeCell ref="A3:O3"/>
    <mergeCell ref="C11:H12"/>
    <mergeCell ref="A4:O4"/>
    <mergeCell ref="A5:O5"/>
    <mergeCell ref="A6:O6"/>
  </mergeCells>
  <phoneticPr fontId="0" type="noConversion"/>
  <conditionalFormatting sqref="C102:C112 C115 C118:C161">
    <cfRule type="cellIs" dxfId="153" priority="176" stopIfTrue="1" operator="equal">
      <formula>$I$93</formula>
    </cfRule>
  </conditionalFormatting>
  <conditionalFormatting sqref="C192:C199 C206:C251">
    <cfRule type="cellIs" dxfId="152" priority="175" stopIfTrue="1" operator="equal">
      <formula>$I$93</formula>
    </cfRule>
  </conditionalFormatting>
  <conditionalFormatting sqref="C281:C285 C293:C340">
    <cfRule type="cellIs" dxfId="151" priority="174" stopIfTrue="1" operator="equal">
      <formula>$I$93</formula>
    </cfRule>
  </conditionalFormatting>
  <conditionalFormatting sqref="C370:C374 C382:C429">
    <cfRule type="cellIs" dxfId="150" priority="173" stopIfTrue="1" operator="equal">
      <formula>$I$93</formula>
    </cfRule>
  </conditionalFormatting>
  <conditionalFormatting sqref="C459:C462 C470:C518">
    <cfRule type="cellIs" dxfId="149" priority="172" stopIfTrue="1" operator="equal">
      <formula>$I$93</formula>
    </cfRule>
  </conditionalFormatting>
  <conditionalFormatting sqref="C548:C550 C558:C607">
    <cfRule type="cellIs" dxfId="148" priority="171" stopIfTrue="1" operator="equal">
      <formula>$I$93</formula>
    </cfRule>
  </conditionalFormatting>
  <conditionalFormatting sqref="C637:C639 C647:C696">
    <cfRule type="cellIs" dxfId="147" priority="170" stopIfTrue="1" operator="equal">
      <formula>$I$93</formula>
    </cfRule>
  </conditionalFormatting>
  <conditionalFormatting sqref="C726:C729 C737:C785">
    <cfRule type="cellIs" dxfId="146" priority="169" stopIfTrue="1" operator="equal">
      <formula>$I$93</formula>
    </cfRule>
  </conditionalFormatting>
  <conditionalFormatting sqref="C815:C819 C827:C874">
    <cfRule type="cellIs" dxfId="145" priority="168" stopIfTrue="1" operator="equal">
      <formula>$I$93</formula>
    </cfRule>
  </conditionalFormatting>
  <conditionalFormatting sqref="C904:C906 C914:C963">
    <cfRule type="cellIs" dxfId="144" priority="167" stopIfTrue="1" operator="equal">
      <formula>$I$93</formula>
    </cfRule>
  </conditionalFormatting>
  <conditionalFormatting sqref="C993:C997 C1005:C1052">
    <cfRule type="cellIs" dxfId="143" priority="166" stopIfTrue="1" operator="equal">
      <formula>$I$93</formula>
    </cfRule>
  </conditionalFormatting>
  <conditionalFormatting sqref="C1082:C1083 C1091:C1141">
    <cfRule type="cellIs" dxfId="142" priority="165" stopIfTrue="1" operator="equal">
      <formula>$I$93</formula>
    </cfRule>
  </conditionalFormatting>
  <conditionalFormatting sqref="C1179:C1230">
    <cfRule type="cellIs" dxfId="141" priority="164" stopIfTrue="1" operator="equal">
      <formula>$I$93</formula>
    </cfRule>
  </conditionalFormatting>
  <conditionalFormatting sqref="C1171">
    <cfRule type="cellIs" dxfId="140" priority="163" stopIfTrue="1" operator="equal">
      <formula>$I$93</formula>
    </cfRule>
  </conditionalFormatting>
  <conditionalFormatting sqref="C1172">
    <cfRule type="cellIs" dxfId="139" priority="162" stopIfTrue="1" operator="equal">
      <formula>$I$93</formula>
    </cfRule>
  </conditionalFormatting>
  <conditionalFormatting sqref="C1262:C1263 C1270:C1319">
    <cfRule type="cellIs" dxfId="138" priority="161" stopIfTrue="1" operator="equal">
      <formula>$I$93</formula>
    </cfRule>
  </conditionalFormatting>
  <conditionalFormatting sqref="C1260">
    <cfRule type="cellIs" dxfId="137" priority="160" stopIfTrue="1" operator="equal">
      <formula>$I$93</formula>
    </cfRule>
  </conditionalFormatting>
  <conditionalFormatting sqref="C1261">
    <cfRule type="cellIs" dxfId="136" priority="159" stopIfTrue="1" operator="equal">
      <formula>$I$93</formula>
    </cfRule>
  </conditionalFormatting>
  <conditionalFormatting sqref="C1084">
    <cfRule type="cellIs" dxfId="135" priority="158" stopIfTrue="1" operator="equal">
      <formula>$I$93</formula>
    </cfRule>
  </conditionalFormatting>
  <conditionalFormatting sqref="C998">
    <cfRule type="cellIs" dxfId="134" priority="157" stopIfTrue="1" operator="equal">
      <formula>$I$93</formula>
    </cfRule>
  </conditionalFormatting>
  <conditionalFormatting sqref="C907">
    <cfRule type="cellIs" dxfId="133" priority="156" stopIfTrue="1" operator="equal">
      <formula>$I$93</formula>
    </cfRule>
  </conditionalFormatting>
  <conditionalFormatting sqref="C820">
    <cfRule type="cellIs" dxfId="132" priority="155" stopIfTrue="1" operator="equal">
      <formula>$I$93</formula>
    </cfRule>
  </conditionalFormatting>
  <conditionalFormatting sqref="C730">
    <cfRule type="cellIs" dxfId="131" priority="154" stopIfTrue="1" operator="equal">
      <formula>$I$93</formula>
    </cfRule>
  </conditionalFormatting>
  <conditionalFormatting sqref="C640">
    <cfRule type="cellIs" dxfId="130" priority="153" stopIfTrue="1" operator="equal">
      <formula>$I$93</formula>
    </cfRule>
  </conditionalFormatting>
  <conditionalFormatting sqref="C551">
    <cfRule type="cellIs" dxfId="129" priority="152" stopIfTrue="1" operator="equal">
      <formula>$I$93</formula>
    </cfRule>
  </conditionalFormatting>
  <conditionalFormatting sqref="C463">
    <cfRule type="cellIs" dxfId="128" priority="151" stopIfTrue="1" operator="equal">
      <formula>$I$93</formula>
    </cfRule>
  </conditionalFormatting>
  <conditionalFormatting sqref="C375">
    <cfRule type="cellIs" dxfId="127" priority="150" stopIfTrue="1" operator="equal">
      <formula>$I$93</formula>
    </cfRule>
  </conditionalFormatting>
  <conditionalFormatting sqref="C286">
    <cfRule type="cellIs" dxfId="126" priority="149" stopIfTrue="1" operator="equal">
      <formula>$I$93</formula>
    </cfRule>
  </conditionalFormatting>
  <conditionalFormatting sqref="C200">
    <cfRule type="cellIs" dxfId="125" priority="148" stopIfTrue="1" operator="equal">
      <formula>$I$93</formula>
    </cfRule>
  </conditionalFormatting>
  <conditionalFormatting sqref="C113:C114">
    <cfRule type="cellIs" dxfId="124" priority="147" stopIfTrue="1" operator="equal">
      <formula>$I$93</formula>
    </cfRule>
  </conditionalFormatting>
  <conditionalFormatting sqref="C201">
    <cfRule type="cellIs" dxfId="123" priority="145" stopIfTrue="1" operator="equal">
      <formula>$I$93</formula>
    </cfRule>
  </conditionalFormatting>
  <conditionalFormatting sqref="C287">
    <cfRule type="cellIs" dxfId="122" priority="143" stopIfTrue="1" operator="equal">
      <formula>$I$93</formula>
    </cfRule>
  </conditionalFormatting>
  <conditionalFormatting sqref="C376">
    <cfRule type="cellIs" dxfId="121" priority="141" stopIfTrue="1" operator="equal">
      <formula>$I$93</formula>
    </cfRule>
  </conditionalFormatting>
  <conditionalFormatting sqref="C464">
    <cfRule type="cellIs" dxfId="120" priority="139" stopIfTrue="1" operator="equal">
      <formula>$I$93</formula>
    </cfRule>
  </conditionalFormatting>
  <conditionalFormatting sqref="C552">
    <cfRule type="cellIs" dxfId="119" priority="137" stopIfTrue="1" operator="equal">
      <formula>$I$93</formula>
    </cfRule>
  </conditionalFormatting>
  <conditionalFormatting sqref="C641">
    <cfRule type="cellIs" dxfId="118" priority="135" stopIfTrue="1" operator="equal">
      <formula>$I$93</formula>
    </cfRule>
  </conditionalFormatting>
  <conditionalFormatting sqref="C731">
    <cfRule type="cellIs" dxfId="117" priority="133" stopIfTrue="1" operator="equal">
      <formula>$I$93</formula>
    </cfRule>
  </conditionalFormatting>
  <conditionalFormatting sqref="C821">
    <cfRule type="cellIs" dxfId="116" priority="131" stopIfTrue="1" operator="equal">
      <formula>$I$93</formula>
    </cfRule>
  </conditionalFormatting>
  <conditionalFormatting sqref="C908">
    <cfRule type="cellIs" dxfId="115" priority="129" stopIfTrue="1" operator="equal">
      <formula>$I$93</formula>
    </cfRule>
  </conditionalFormatting>
  <conditionalFormatting sqref="C999">
    <cfRule type="cellIs" dxfId="114" priority="127" stopIfTrue="1" operator="equal">
      <formula>$I$93</formula>
    </cfRule>
  </conditionalFormatting>
  <conditionalFormatting sqref="C1085">
    <cfRule type="cellIs" dxfId="113" priority="125" stopIfTrue="1" operator="equal">
      <formula>$I$93</formula>
    </cfRule>
  </conditionalFormatting>
  <conditionalFormatting sqref="C1173">
    <cfRule type="cellIs" dxfId="112" priority="123" stopIfTrue="1" operator="equal">
      <formula>$I$93</formula>
    </cfRule>
  </conditionalFormatting>
  <conditionalFormatting sqref="C1264">
    <cfRule type="cellIs" dxfId="111" priority="121" stopIfTrue="1" operator="equal">
      <formula>$I$93</formula>
    </cfRule>
  </conditionalFormatting>
  <conditionalFormatting sqref="C1356:C1408">
    <cfRule type="cellIs" dxfId="110" priority="120" stopIfTrue="1" operator="equal">
      <formula>$I$93</formula>
    </cfRule>
  </conditionalFormatting>
  <conditionalFormatting sqref="C1349">
    <cfRule type="cellIs" dxfId="109" priority="119" stopIfTrue="1" operator="equal">
      <formula>$I$93</formula>
    </cfRule>
  </conditionalFormatting>
  <conditionalFormatting sqref="C1350">
    <cfRule type="cellIs" dxfId="108" priority="118" stopIfTrue="1" operator="equal">
      <formula>$I$93</formula>
    </cfRule>
  </conditionalFormatting>
  <conditionalFormatting sqref="C202">
    <cfRule type="cellIs" dxfId="107" priority="115" stopIfTrue="1" operator="equal">
      <formula>$I$93</formula>
    </cfRule>
  </conditionalFormatting>
  <conditionalFormatting sqref="C288">
    <cfRule type="cellIs" dxfId="106" priority="114" stopIfTrue="1" operator="equal">
      <formula>$I$93</formula>
    </cfRule>
  </conditionalFormatting>
  <conditionalFormatting sqref="C377">
    <cfRule type="cellIs" dxfId="105" priority="113" stopIfTrue="1" operator="equal">
      <formula>$I$93</formula>
    </cfRule>
  </conditionalFormatting>
  <conditionalFormatting sqref="C465">
    <cfRule type="cellIs" dxfId="104" priority="112" stopIfTrue="1" operator="equal">
      <formula>$I$93</formula>
    </cfRule>
  </conditionalFormatting>
  <conditionalFormatting sqref="C553">
    <cfRule type="cellIs" dxfId="103" priority="111" stopIfTrue="1" operator="equal">
      <formula>$I$93</formula>
    </cfRule>
  </conditionalFormatting>
  <conditionalFormatting sqref="C642">
    <cfRule type="cellIs" dxfId="102" priority="110" stopIfTrue="1" operator="equal">
      <formula>$I$93</formula>
    </cfRule>
  </conditionalFormatting>
  <conditionalFormatting sqref="C732">
    <cfRule type="cellIs" dxfId="101" priority="109" stopIfTrue="1" operator="equal">
      <formula>$I$93</formula>
    </cfRule>
  </conditionalFormatting>
  <conditionalFormatting sqref="C822">
    <cfRule type="cellIs" dxfId="100" priority="108" stopIfTrue="1" operator="equal">
      <formula>$I$93</formula>
    </cfRule>
  </conditionalFormatting>
  <conditionalFormatting sqref="C909">
    <cfRule type="cellIs" dxfId="99" priority="107" stopIfTrue="1" operator="equal">
      <formula>$I$93</formula>
    </cfRule>
  </conditionalFormatting>
  <conditionalFormatting sqref="C1000">
    <cfRule type="cellIs" dxfId="98" priority="106" stopIfTrue="1" operator="equal">
      <formula>$I$93</formula>
    </cfRule>
  </conditionalFormatting>
  <conditionalFormatting sqref="C1086">
    <cfRule type="cellIs" dxfId="97" priority="105" stopIfTrue="1" operator="equal">
      <formula>$I$93</formula>
    </cfRule>
  </conditionalFormatting>
  <conditionalFormatting sqref="C1174">
    <cfRule type="cellIs" dxfId="96" priority="104" stopIfTrue="1" operator="equal">
      <formula>$I$93</formula>
    </cfRule>
  </conditionalFormatting>
  <conditionalFormatting sqref="C1265">
    <cfRule type="cellIs" dxfId="95" priority="103" stopIfTrue="1" operator="equal">
      <formula>$I$93</formula>
    </cfRule>
  </conditionalFormatting>
  <conditionalFormatting sqref="C1351:C1352">
    <cfRule type="cellIs" dxfId="94" priority="102" stopIfTrue="1" operator="equal">
      <formula>$I$93</formula>
    </cfRule>
  </conditionalFormatting>
  <conditionalFormatting sqref="C1266">
    <cfRule type="cellIs" dxfId="93" priority="98" stopIfTrue="1" operator="equal">
      <formula>$I$93</formula>
    </cfRule>
  </conditionalFormatting>
  <conditionalFormatting sqref="C1175">
    <cfRule type="cellIs" dxfId="92" priority="95" stopIfTrue="1" operator="equal">
      <formula>$I$93</formula>
    </cfRule>
  </conditionalFormatting>
  <conditionalFormatting sqref="C1087">
    <cfRule type="cellIs" dxfId="91" priority="92" stopIfTrue="1" operator="equal">
      <formula>$I$93</formula>
    </cfRule>
  </conditionalFormatting>
  <conditionalFormatting sqref="C1001">
    <cfRule type="cellIs" dxfId="90" priority="89" stopIfTrue="1" operator="equal">
      <formula>$I$93</formula>
    </cfRule>
  </conditionalFormatting>
  <conditionalFormatting sqref="C910">
    <cfRule type="cellIs" dxfId="89" priority="86" stopIfTrue="1" operator="equal">
      <formula>$I$93</formula>
    </cfRule>
  </conditionalFormatting>
  <conditionalFormatting sqref="C823">
    <cfRule type="cellIs" dxfId="88" priority="83" stopIfTrue="1" operator="equal">
      <formula>$I$93</formula>
    </cfRule>
  </conditionalFormatting>
  <conditionalFormatting sqref="C733">
    <cfRule type="cellIs" dxfId="87" priority="80" stopIfTrue="1" operator="equal">
      <formula>$I$93</formula>
    </cfRule>
  </conditionalFormatting>
  <conditionalFormatting sqref="C643">
    <cfRule type="cellIs" dxfId="86" priority="77" stopIfTrue="1" operator="equal">
      <formula>$I$93</formula>
    </cfRule>
  </conditionalFormatting>
  <conditionalFormatting sqref="C554">
    <cfRule type="cellIs" dxfId="85" priority="74" stopIfTrue="1" operator="equal">
      <formula>$I$93</formula>
    </cfRule>
  </conditionalFormatting>
  <conditionalFormatting sqref="C466">
    <cfRule type="cellIs" dxfId="84" priority="71" stopIfTrue="1" operator="equal">
      <formula>$I$93</formula>
    </cfRule>
  </conditionalFormatting>
  <conditionalFormatting sqref="C378">
    <cfRule type="cellIs" dxfId="83" priority="68" stopIfTrue="1" operator="equal">
      <formula>$I$93</formula>
    </cfRule>
  </conditionalFormatting>
  <conditionalFormatting sqref="C289">
    <cfRule type="cellIs" dxfId="82" priority="65" stopIfTrue="1" operator="equal">
      <formula>$I$93</formula>
    </cfRule>
  </conditionalFormatting>
  <conditionalFormatting sqref="C117">
    <cfRule type="cellIs" dxfId="81" priority="60" stopIfTrue="1" operator="equal">
      <formula>$I$93</formula>
    </cfRule>
  </conditionalFormatting>
  <conditionalFormatting sqref="C116">
    <cfRule type="cellIs" dxfId="80" priority="59" stopIfTrue="1" operator="equal">
      <formula>$I$93</formula>
    </cfRule>
  </conditionalFormatting>
  <conditionalFormatting sqref="C117">
    <cfRule type="cellIs" dxfId="79" priority="58" stopIfTrue="1" operator="equal">
      <formula>$I$93</formula>
    </cfRule>
  </conditionalFormatting>
  <conditionalFormatting sqref="C204:C206">
    <cfRule type="cellIs" dxfId="78" priority="57" stopIfTrue="1" operator="equal">
      <formula>$I$93</formula>
    </cfRule>
  </conditionalFormatting>
  <conditionalFormatting sqref="C203">
    <cfRule type="cellIs" dxfId="77" priority="56" stopIfTrue="1" operator="equal">
      <formula>$I$93</formula>
    </cfRule>
  </conditionalFormatting>
  <conditionalFormatting sqref="C203">
    <cfRule type="cellIs" dxfId="76" priority="55" stopIfTrue="1" operator="equal">
      <formula>$I$93</formula>
    </cfRule>
  </conditionalFormatting>
  <conditionalFormatting sqref="C204">
    <cfRule type="cellIs" dxfId="75" priority="54" stopIfTrue="1" operator="equal">
      <formula>$I$93</formula>
    </cfRule>
  </conditionalFormatting>
  <conditionalFormatting sqref="C204">
    <cfRule type="cellIs" dxfId="74" priority="53" stopIfTrue="1" operator="equal">
      <formula>$I$93</formula>
    </cfRule>
  </conditionalFormatting>
  <conditionalFormatting sqref="C292">
    <cfRule type="cellIs" dxfId="73" priority="52" stopIfTrue="1" operator="equal">
      <formula>$I$93</formula>
    </cfRule>
  </conditionalFormatting>
  <conditionalFormatting sqref="C290:C292">
    <cfRule type="cellIs" dxfId="72" priority="51" stopIfTrue="1" operator="equal">
      <formula>$I$93</formula>
    </cfRule>
  </conditionalFormatting>
  <conditionalFormatting sqref="C290">
    <cfRule type="cellIs" dxfId="71" priority="50" stopIfTrue="1" operator="equal">
      <formula>$I$93</formula>
    </cfRule>
  </conditionalFormatting>
  <conditionalFormatting sqref="C290">
    <cfRule type="cellIs" dxfId="70" priority="49" stopIfTrue="1" operator="equal">
      <formula>$I$93</formula>
    </cfRule>
  </conditionalFormatting>
  <conditionalFormatting sqref="C381">
    <cfRule type="cellIs" dxfId="69" priority="48" stopIfTrue="1" operator="equal">
      <formula>$I$93</formula>
    </cfRule>
  </conditionalFormatting>
  <conditionalFormatting sqref="C379:C381">
    <cfRule type="cellIs" dxfId="68" priority="47" stopIfTrue="1" operator="equal">
      <formula>$I$93</formula>
    </cfRule>
  </conditionalFormatting>
  <conditionalFormatting sqref="C379">
    <cfRule type="cellIs" dxfId="67" priority="46" stopIfTrue="1" operator="equal">
      <formula>$I$93</formula>
    </cfRule>
  </conditionalFormatting>
  <conditionalFormatting sqref="C379">
    <cfRule type="cellIs" dxfId="66" priority="45" stopIfTrue="1" operator="equal">
      <formula>$I$93</formula>
    </cfRule>
  </conditionalFormatting>
  <conditionalFormatting sqref="C469">
    <cfRule type="cellIs" dxfId="65" priority="44" stopIfTrue="1" operator="equal">
      <formula>$I$93</formula>
    </cfRule>
  </conditionalFormatting>
  <conditionalFormatting sqref="C467:C469">
    <cfRule type="cellIs" dxfId="64" priority="43" stopIfTrue="1" operator="equal">
      <formula>$I$93</formula>
    </cfRule>
  </conditionalFormatting>
  <conditionalFormatting sqref="C467">
    <cfRule type="cellIs" dxfId="63" priority="42" stopIfTrue="1" operator="equal">
      <formula>$I$93</formula>
    </cfRule>
  </conditionalFormatting>
  <conditionalFormatting sqref="C467">
    <cfRule type="cellIs" dxfId="62" priority="41" stopIfTrue="1" operator="equal">
      <formula>$I$93</formula>
    </cfRule>
  </conditionalFormatting>
  <conditionalFormatting sqref="C557">
    <cfRule type="cellIs" dxfId="61" priority="40" stopIfTrue="1" operator="equal">
      <formula>$I$93</formula>
    </cfRule>
  </conditionalFormatting>
  <conditionalFormatting sqref="C555:C557">
    <cfRule type="cellIs" dxfId="60" priority="39" stopIfTrue="1" operator="equal">
      <formula>$I$93</formula>
    </cfRule>
  </conditionalFormatting>
  <conditionalFormatting sqref="C555">
    <cfRule type="cellIs" dxfId="59" priority="38" stopIfTrue="1" operator="equal">
      <formula>$I$93</formula>
    </cfRule>
  </conditionalFormatting>
  <conditionalFormatting sqref="C555">
    <cfRule type="cellIs" dxfId="58" priority="37" stopIfTrue="1" operator="equal">
      <formula>$I$93</formula>
    </cfRule>
  </conditionalFormatting>
  <conditionalFormatting sqref="C646">
    <cfRule type="cellIs" dxfId="57" priority="36" stopIfTrue="1" operator="equal">
      <formula>$I$93</formula>
    </cfRule>
  </conditionalFormatting>
  <conditionalFormatting sqref="C644:C646">
    <cfRule type="cellIs" dxfId="56" priority="35" stopIfTrue="1" operator="equal">
      <formula>$I$93</formula>
    </cfRule>
  </conditionalFormatting>
  <conditionalFormatting sqref="C644">
    <cfRule type="cellIs" dxfId="55" priority="34" stopIfTrue="1" operator="equal">
      <formula>$I$93</formula>
    </cfRule>
  </conditionalFormatting>
  <conditionalFormatting sqref="C644">
    <cfRule type="cellIs" dxfId="54" priority="33" stopIfTrue="1" operator="equal">
      <formula>$I$93</formula>
    </cfRule>
  </conditionalFormatting>
  <conditionalFormatting sqref="C736">
    <cfRule type="cellIs" dxfId="53" priority="32" stopIfTrue="1" operator="equal">
      <formula>$I$93</formula>
    </cfRule>
  </conditionalFormatting>
  <conditionalFormatting sqref="C734:C736">
    <cfRule type="cellIs" dxfId="52" priority="31" stopIfTrue="1" operator="equal">
      <formula>$I$93</formula>
    </cfRule>
  </conditionalFormatting>
  <conditionalFormatting sqref="C734">
    <cfRule type="cellIs" dxfId="51" priority="30" stopIfTrue="1" operator="equal">
      <formula>$I$93</formula>
    </cfRule>
  </conditionalFormatting>
  <conditionalFormatting sqref="C734">
    <cfRule type="cellIs" dxfId="50" priority="29" stopIfTrue="1" operator="equal">
      <formula>$I$93</formula>
    </cfRule>
  </conditionalFormatting>
  <conditionalFormatting sqref="C826">
    <cfRule type="cellIs" dxfId="49" priority="28" stopIfTrue="1" operator="equal">
      <formula>$I$93</formula>
    </cfRule>
  </conditionalFormatting>
  <conditionalFormatting sqref="C824:C826">
    <cfRule type="cellIs" dxfId="48" priority="27" stopIfTrue="1" operator="equal">
      <formula>$I$93</formula>
    </cfRule>
  </conditionalFormatting>
  <conditionalFormatting sqref="C824">
    <cfRule type="cellIs" dxfId="47" priority="26" stopIfTrue="1" operator="equal">
      <formula>$I$93</formula>
    </cfRule>
  </conditionalFormatting>
  <conditionalFormatting sqref="C824">
    <cfRule type="cellIs" dxfId="46" priority="25" stopIfTrue="1" operator="equal">
      <formula>$I$93</formula>
    </cfRule>
  </conditionalFormatting>
  <conditionalFormatting sqref="C913">
    <cfRule type="cellIs" dxfId="45" priority="24" stopIfTrue="1" operator="equal">
      <formula>$I$93</formula>
    </cfRule>
  </conditionalFormatting>
  <conditionalFormatting sqref="C911:C913">
    <cfRule type="cellIs" dxfId="44" priority="23" stopIfTrue="1" operator="equal">
      <formula>$I$93</formula>
    </cfRule>
  </conditionalFormatting>
  <conditionalFormatting sqref="C911">
    <cfRule type="cellIs" dxfId="43" priority="22" stopIfTrue="1" operator="equal">
      <formula>$I$93</formula>
    </cfRule>
  </conditionalFormatting>
  <conditionalFormatting sqref="C911">
    <cfRule type="cellIs" dxfId="42" priority="21" stopIfTrue="1" operator="equal">
      <formula>$I$93</formula>
    </cfRule>
  </conditionalFormatting>
  <conditionalFormatting sqref="C1004">
    <cfRule type="cellIs" dxfId="41" priority="20" stopIfTrue="1" operator="equal">
      <formula>$I$93</formula>
    </cfRule>
  </conditionalFormatting>
  <conditionalFormatting sqref="C1002:C1004">
    <cfRule type="cellIs" dxfId="40" priority="19" stopIfTrue="1" operator="equal">
      <formula>$I$93</formula>
    </cfRule>
  </conditionalFormatting>
  <conditionalFormatting sqref="C1002">
    <cfRule type="cellIs" dxfId="39" priority="18" stopIfTrue="1" operator="equal">
      <formula>$I$93</formula>
    </cfRule>
  </conditionalFormatting>
  <conditionalFormatting sqref="C1002">
    <cfRule type="cellIs" dxfId="38" priority="17" stopIfTrue="1" operator="equal">
      <formula>$I$93</formula>
    </cfRule>
  </conditionalFormatting>
  <conditionalFormatting sqref="C1090">
    <cfRule type="cellIs" dxfId="37" priority="16" stopIfTrue="1" operator="equal">
      <formula>$I$93</formula>
    </cfRule>
  </conditionalFormatting>
  <conditionalFormatting sqref="C1088:C1090">
    <cfRule type="cellIs" dxfId="36" priority="15" stopIfTrue="1" operator="equal">
      <formula>$I$93</formula>
    </cfRule>
  </conditionalFormatting>
  <conditionalFormatting sqref="C1088">
    <cfRule type="cellIs" dxfId="35" priority="14" stopIfTrue="1" operator="equal">
      <formula>$I$93</formula>
    </cfRule>
  </conditionalFormatting>
  <conditionalFormatting sqref="C1088">
    <cfRule type="cellIs" dxfId="34" priority="13" stopIfTrue="1" operator="equal">
      <formula>$I$93</formula>
    </cfRule>
  </conditionalFormatting>
  <conditionalFormatting sqref="C1178">
    <cfRule type="cellIs" dxfId="33" priority="12" stopIfTrue="1" operator="equal">
      <formula>$I$93</formula>
    </cfRule>
  </conditionalFormatting>
  <conditionalFormatting sqref="C1176:C1178">
    <cfRule type="cellIs" dxfId="32" priority="11" stopIfTrue="1" operator="equal">
      <formula>$I$93</formula>
    </cfRule>
  </conditionalFormatting>
  <conditionalFormatting sqref="C1176">
    <cfRule type="cellIs" dxfId="31" priority="10" stopIfTrue="1" operator="equal">
      <formula>$I$93</formula>
    </cfRule>
  </conditionalFormatting>
  <conditionalFormatting sqref="C1176">
    <cfRule type="cellIs" dxfId="30" priority="9" stopIfTrue="1" operator="equal">
      <formula>$I$93</formula>
    </cfRule>
  </conditionalFormatting>
  <conditionalFormatting sqref="C1269">
    <cfRule type="cellIs" dxfId="29" priority="8" stopIfTrue="1" operator="equal">
      <formula>$I$93</formula>
    </cfRule>
  </conditionalFormatting>
  <conditionalFormatting sqref="C1267:C1269">
    <cfRule type="cellIs" dxfId="28" priority="7" stopIfTrue="1" operator="equal">
      <formula>$I$93</formula>
    </cfRule>
  </conditionalFormatting>
  <conditionalFormatting sqref="C1267">
    <cfRule type="cellIs" dxfId="27" priority="6" stopIfTrue="1" operator="equal">
      <formula>$I$93</formula>
    </cfRule>
  </conditionalFormatting>
  <conditionalFormatting sqref="C1267">
    <cfRule type="cellIs" dxfId="26" priority="5" stopIfTrue="1" operator="equal">
      <formula>$I$93</formula>
    </cfRule>
  </conditionalFormatting>
  <conditionalFormatting sqref="C1355">
    <cfRule type="cellIs" dxfId="25" priority="4" stopIfTrue="1" operator="equal">
      <formula>$I$93</formula>
    </cfRule>
  </conditionalFormatting>
  <conditionalFormatting sqref="C1353:C1355">
    <cfRule type="cellIs" dxfId="24" priority="3" stopIfTrue="1" operator="equal">
      <formula>$I$93</formula>
    </cfRule>
  </conditionalFormatting>
  <conditionalFormatting sqref="C1353">
    <cfRule type="cellIs" dxfId="23" priority="2" stopIfTrue="1" operator="equal">
      <formula>$I$93</formula>
    </cfRule>
  </conditionalFormatting>
  <conditionalFormatting sqref="C1353">
    <cfRule type="cellIs" dxfId="22" priority="1" stopIfTrue="1" operator="equal">
      <formula>$I$93</formula>
    </cfRule>
  </conditionalFormatting>
  <pageMargins left="0.26" right="1.28" top="1" bottom="0.5" header="0.75" footer="0.5"/>
  <pageSetup scale="38" fitToHeight="2" orientation="landscape" r:id="rId1"/>
  <headerFooter alignWithMargins="0">
    <oddHeader>&amp;R&amp;"Arial,Bold"Formula Rate 
&amp;A
Page &amp;P of &amp;N</oddHeader>
  </headerFooter>
  <rowBreaks count="15" manualBreakCount="15">
    <brk id="82" max="16383" man="1"/>
    <brk id="172" max="16383" man="1"/>
    <brk id="261" max="16383" man="1"/>
    <brk id="350" max="16383" man="1"/>
    <brk id="439" max="16383" man="1"/>
    <brk id="528" max="16383" man="1"/>
    <brk id="617" max="16383" man="1"/>
    <brk id="706" max="16383" man="1"/>
    <brk id="795" max="16383" man="1"/>
    <brk id="884" max="16383" man="1"/>
    <brk id="973" max="16383" man="1"/>
    <brk id="1062" max="16383" man="1"/>
    <brk id="1151" max="16383" man="1"/>
    <brk id="1240" max="16383" man="1"/>
    <brk id="132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8"/>
  <sheetViews>
    <sheetView view="pageBreakPreview" zoomScale="85" zoomScaleNormal="100" zoomScaleSheetLayoutView="85" workbookViewId="0"/>
  </sheetViews>
  <sheetFormatPr defaultColWidth="8.85546875" defaultRowHeight="12.75" customHeight="1"/>
  <cols>
    <col min="1" max="1" width="4.7109375" customWidth="1"/>
    <col min="2" max="2" width="6.7109375" customWidth="1"/>
    <col min="3" max="3" width="32.28515625" customWidth="1"/>
    <col min="4" max="9" width="17.7109375" customWidth="1"/>
    <col min="10" max="10" width="17.7109375" bestFit="1" customWidth="1"/>
    <col min="11" max="11" width="2.140625" customWidth="1"/>
    <col min="12" max="12" width="17.7109375" customWidth="1"/>
    <col min="13" max="13" width="31.85546875" customWidth="1"/>
    <col min="14" max="15" width="17.7109375" customWidth="1"/>
    <col min="16" max="16" width="16.7109375" customWidth="1"/>
    <col min="17" max="17" width="2.140625" customWidth="1"/>
  </cols>
  <sheetData>
    <row r="1" spans="1:17" ht="15.75">
      <c r="A1" s="808" t="s">
        <v>630</v>
      </c>
      <c r="B1" s="362"/>
      <c r="C1" s="285"/>
      <c r="D1" s="372"/>
      <c r="E1" s="285"/>
      <c r="F1" s="285"/>
      <c r="G1" s="285"/>
      <c r="H1" s="285"/>
      <c r="I1" s="518"/>
      <c r="J1" s="285"/>
      <c r="K1" s="271"/>
      <c r="L1" s="480"/>
      <c r="M1" s="480"/>
      <c r="N1" s="480"/>
      <c r="O1" s="480"/>
      <c r="P1" s="480"/>
      <c r="Q1" s="480"/>
    </row>
    <row r="2" spans="1:17" ht="15.75">
      <c r="A2" s="808" t="s">
        <v>631</v>
      </c>
      <c r="B2" s="362"/>
      <c r="C2" s="285"/>
      <c r="D2" s="372"/>
      <c r="E2" s="285"/>
      <c r="F2" s="285"/>
      <c r="G2" s="285"/>
      <c r="H2" s="285"/>
      <c r="I2" s="518"/>
      <c r="J2" s="285"/>
      <c r="K2" s="271"/>
      <c r="L2" s="480"/>
      <c r="M2" s="480"/>
      <c r="N2" s="480"/>
      <c r="O2" s="480"/>
      <c r="P2" s="480"/>
      <c r="Q2" s="480"/>
    </row>
    <row r="3" spans="1:17" ht="15">
      <c r="A3" s="1497" t="s">
        <v>387</v>
      </c>
      <c r="B3" s="1497"/>
      <c r="C3" s="1497"/>
      <c r="D3" s="1497"/>
      <c r="E3" s="1497"/>
      <c r="F3" s="1497"/>
      <c r="G3" s="1497"/>
      <c r="H3" s="1497"/>
      <c r="I3" s="1497"/>
      <c r="J3" s="1497"/>
      <c r="K3" s="1497"/>
      <c r="L3" s="1497"/>
      <c r="M3" s="1497"/>
      <c r="N3" s="1497"/>
      <c r="O3" s="1497"/>
      <c r="P3" s="1497"/>
      <c r="Q3" s="517"/>
    </row>
    <row r="4" spans="1:17" ht="15">
      <c r="A4" s="1498" t="str">
        <f>"Cost of Service Formula Rate Using "&amp;TCOS!L4&amp;" FF1 Balances"</f>
        <v>Cost of Service Formula Rate Using 2024 FF1 Balances</v>
      </c>
      <c r="B4" s="1498"/>
      <c r="C4" s="1498"/>
      <c r="D4" s="1498"/>
      <c r="E4" s="1498"/>
      <c r="F4" s="1498"/>
      <c r="G4" s="1498"/>
      <c r="H4" s="1498"/>
      <c r="I4" s="1498"/>
      <c r="J4" s="1498"/>
      <c r="K4" s="1498"/>
      <c r="L4" s="1498"/>
      <c r="M4" s="1498"/>
      <c r="N4" s="1498"/>
      <c r="O4" s="1498"/>
      <c r="P4" s="1498"/>
      <c r="Q4" s="517"/>
    </row>
    <row r="5" spans="1:17" ht="15">
      <c r="A5" s="1498" t="s">
        <v>469</v>
      </c>
      <c r="B5" s="1498"/>
      <c r="C5" s="1498"/>
      <c r="D5" s="1498"/>
      <c r="E5" s="1498"/>
      <c r="F5" s="1498"/>
      <c r="G5" s="1498"/>
      <c r="H5" s="1498"/>
      <c r="I5" s="1498"/>
      <c r="J5" s="1498"/>
      <c r="K5" s="1498"/>
      <c r="L5" s="1498"/>
      <c r="M5" s="1498"/>
      <c r="N5" s="1498"/>
      <c r="O5" s="1498"/>
      <c r="P5" s="1498"/>
      <c r="Q5" s="517"/>
    </row>
    <row r="6" spans="1:17" ht="15">
      <c r="A6" s="1499" t="str">
        <f>TCOS!F9</f>
        <v>Appalachian Power Company</v>
      </c>
      <c r="B6" s="1499"/>
      <c r="C6" s="1499"/>
      <c r="D6" s="1499"/>
      <c r="E6" s="1499"/>
      <c r="F6" s="1499"/>
      <c r="G6" s="1499"/>
      <c r="H6" s="1499"/>
      <c r="I6" s="1499"/>
      <c r="J6" s="1499"/>
      <c r="K6" s="1499"/>
      <c r="L6" s="1499"/>
      <c r="M6" s="1499"/>
      <c r="N6" s="1499"/>
      <c r="O6" s="1499"/>
      <c r="P6" s="1499"/>
      <c r="Q6" s="517"/>
    </row>
    <row r="7" spans="1:17">
      <c r="A7" s="285"/>
      <c r="B7" s="362"/>
      <c r="C7" s="285"/>
      <c r="D7" s="372"/>
      <c r="E7" s="285"/>
      <c r="F7" s="285"/>
      <c r="G7" s="285"/>
      <c r="H7" s="285"/>
      <c r="I7" s="518"/>
      <c r="J7" s="285"/>
      <c r="K7" s="271"/>
      <c r="L7" s="480"/>
      <c r="M7" s="480"/>
      <c r="N7" s="480"/>
      <c r="O7" s="480"/>
      <c r="P7" s="480"/>
      <c r="Q7" s="517"/>
    </row>
    <row r="8" spans="1:17" ht="20.25">
      <c r="A8" s="519"/>
      <c r="B8" s="362"/>
      <c r="C8" s="362"/>
      <c r="D8" s="372"/>
      <c r="E8" s="285"/>
      <c r="F8" s="285"/>
      <c r="G8" s="285"/>
      <c r="H8" s="285"/>
      <c r="I8" s="518"/>
      <c r="J8" s="285"/>
      <c r="K8" s="271"/>
      <c r="L8" s="480"/>
      <c r="M8" s="480"/>
      <c r="N8" s="480"/>
      <c r="O8" s="520" t="str">
        <f>"Page "&amp;Q8&amp;" of "</f>
        <v xml:space="preserve">Page 1 of </v>
      </c>
      <c r="P8" s="521">
        <f>COUNT(Q$8:Q$58122)</f>
        <v>2</v>
      </c>
      <c r="Q8" s="522">
        <v>1</v>
      </c>
    </row>
    <row r="9" spans="1:17" ht="18">
      <c r="A9" s="285"/>
      <c r="B9" s="362"/>
      <c r="C9" s="523"/>
      <c r="D9" s="372"/>
      <c r="E9" s="285"/>
      <c r="F9" s="285"/>
      <c r="G9" s="285"/>
      <c r="H9" s="285"/>
      <c r="I9" s="518"/>
      <c r="J9" s="285"/>
      <c r="K9" s="271"/>
      <c r="L9" s="480"/>
      <c r="M9" s="480"/>
      <c r="N9" s="480"/>
      <c r="O9" s="480"/>
      <c r="P9" s="480"/>
      <c r="Q9" s="517"/>
    </row>
    <row r="10" spans="1:17">
      <c r="A10" s="285"/>
      <c r="B10" s="362"/>
      <c r="C10" s="285"/>
      <c r="D10" s="372"/>
      <c r="E10" s="285"/>
      <c r="F10" s="285"/>
      <c r="G10" s="285"/>
      <c r="H10" s="285"/>
      <c r="I10" s="518"/>
      <c r="J10" s="285"/>
      <c r="K10" s="271"/>
      <c r="L10" s="480"/>
      <c r="M10" s="480"/>
      <c r="N10" s="480"/>
      <c r="O10" s="480"/>
      <c r="P10" s="480"/>
      <c r="Q10" s="517"/>
    </row>
    <row r="11" spans="1:17" ht="18">
      <c r="A11" s="285"/>
      <c r="B11" s="524" t="s">
        <v>171</v>
      </c>
      <c r="C11" s="1511" t="str">
        <f>"Calculate Return and Income Taxes with "&amp;F17&amp;" basis point ROE increase for Projects Qualified for Regional Billing."</f>
        <v>Calculate Return and Income Taxes with 0 basis point ROE increase for Projects Qualified for Regional Billing.</v>
      </c>
      <c r="D11" s="1512"/>
      <c r="E11" s="1512"/>
      <c r="F11" s="1512"/>
      <c r="G11" s="1512"/>
      <c r="H11" s="1512"/>
      <c r="I11" s="1512"/>
      <c r="J11" s="285"/>
      <c r="K11" s="271"/>
      <c r="L11" s="480"/>
      <c r="M11" s="480"/>
      <c r="N11" s="480"/>
      <c r="O11" s="480"/>
      <c r="P11" s="480"/>
      <c r="Q11" s="517"/>
    </row>
    <row r="12" spans="1:17" ht="18.75" customHeight="1">
      <c r="A12" s="285"/>
      <c r="B12" s="362"/>
      <c r="C12" s="1512"/>
      <c r="D12" s="1512"/>
      <c r="E12" s="1512"/>
      <c r="F12" s="1512"/>
      <c r="G12" s="1512"/>
      <c r="H12" s="1512"/>
      <c r="I12" s="1512"/>
      <c r="J12" s="285"/>
      <c r="K12" s="271"/>
      <c r="L12" s="480"/>
      <c r="M12" s="480"/>
      <c r="N12" s="480"/>
      <c r="O12" s="480"/>
      <c r="P12" s="480"/>
      <c r="Q12" s="517"/>
    </row>
    <row r="13" spans="1:17" ht="15.75" customHeight="1">
      <c r="A13" s="285"/>
      <c r="B13" s="362"/>
      <c r="C13" s="470"/>
      <c r="D13" s="470"/>
      <c r="E13" s="470"/>
      <c r="F13" s="470"/>
      <c r="G13" s="470"/>
      <c r="H13" s="470"/>
      <c r="I13" s="470"/>
      <c r="J13" s="285"/>
      <c r="K13" s="271"/>
      <c r="L13" s="480"/>
      <c r="M13" s="480"/>
      <c r="N13" s="480"/>
      <c r="O13" s="480"/>
      <c r="P13" s="480"/>
      <c r="Q13" s="517"/>
    </row>
    <row r="14" spans="1:17" ht="15.75">
      <c r="A14" s="285"/>
      <c r="B14" s="362"/>
      <c r="C14" s="525" t="str">
        <f>"A.   Determine 'R' with hypothetical "&amp;F17&amp;" basis point increase in ROE for Identified Projects"</f>
        <v>A.   Determine 'R' with hypothetical 0 basis point increase in ROE for Identified Projects</v>
      </c>
      <c r="D14" s="330"/>
      <c r="E14" s="285"/>
      <c r="F14" s="285"/>
      <c r="G14" s="285"/>
      <c r="H14" s="285"/>
      <c r="I14" s="518"/>
      <c r="J14" s="285"/>
      <c r="K14" s="271"/>
      <c r="L14" s="480"/>
      <c r="M14" s="480"/>
      <c r="N14" s="480"/>
      <c r="O14" s="480"/>
      <c r="P14" s="480"/>
      <c r="Q14" s="517"/>
    </row>
    <row r="15" spans="1:17">
      <c r="A15" s="285"/>
      <c r="B15" s="362"/>
      <c r="C15" s="323"/>
      <c r="D15" s="330"/>
      <c r="E15" s="285"/>
      <c r="F15" s="285"/>
      <c r="G15" s="285"/>
      <c r="H15" s="285"/>
      <c r="I15" s="518"/>
      <c r="J15" s="285"/>
      <c r="K15" s="271"/>
      <c r="L15" s="480"/>
      <c r="M15" s="480"/>
      <c r="N15" s="480"/>
      <c r="O15" s="480"/>
      <c r="P15" s="480"/>
      <c r="Q15" s="517"/>
    </row>
    <row r="16" spans="1:17">
      <c r="A16" s="285"/>
      <c r="B16" s="362"/>
      <c r="C16" s="526" t="str">
        <f>"   ROE w/o incentives  (TCOS, ln "&amp;TCOS!B257&amp;")"</f>
        <v xml:space="preserve">   ROE w/o incentives  (TCOS, ln 156)</v>
      </c>
      <c r="D16" s="330"/>
      <c r="E16" s="527"/>
      <c r="F16" s="671">
        <f>TCOS!J257</f>
        <v>0.10349999999999999</v>
      </c>
      <c r="G16" s="671"/>
      <c r="H16" s="527"/>
      <c r="I16" s="529"/>
      <c r="J16" s="529"/>
      <c r="K16" s="530"/>
      <c r="L16" s="529"/>
      <c r="M16" s="529"/>
      <c r="N16" s="529"/>
      <c r="O16" s="529"/>
      <c r="P16" s="529"/>
      <c r="Q16" s="530"/>
    </row>
    <row r="17" spans="1:17" ht="13.5" thickBot="1">
      <c r="A17" s="285"/>
      <c r="B17" s="362"/>
      <c r="C17" s="548" t="s">
        <v>252</v>
      </c>
      <c r="D17" s="330"/>
      <c r="E17" s="527"/>
      <c r="F17" s="784">
        <v>0</v>
      </c>
      <c r="G17" s="527"/>
      <c r="H17" s="527"/>
      <c r="I17" s="529"/>
      <c r="J17" s="529"/>
      <c r="K17" s="530"/>
      <c r="L17" s="529"/>
      <c r="M17" s="529"/>
      <c r="N17" s="529"/>
      <c r="O17" s="529"/>
      <c r="P17" s="529"/>
      <c r="Q17" s="530"/>
    </row>
    <row r="18" spans="1:17">
      <c r="A18" s="285"/>
      <c r="B18" s="362"/>
      <c r="C18" s="548" t="str">
        <f>"   ROE with additional "&amp;F17&amp;" basis point incentive"</f>
        <v xml:space="preserve">   ROE with additional 0 basis point incentive</v>
      </c>
      <c r="D18" s="527"/>
      <c r="E18" s="527"/>
      <c r="F18" s="532">
        <f>IF((F16+(F17/10000)&gt;0.125),"ERROR",F16+(F17/10000))</f>
        <v>0.10349999999999999</v>
      </c>
      <c r="G18" s="533"/>
      <c r="H18" s="527"/>
      <c r="I18" s="529"/>
      <c r="J18" s="529"/>
      <c r="K18" s="530"/>
      <c r="L18" s="672" t="s">
        <v>454</v>
      </c>
      <c r="M18" s="673"/>
      <c r="N18" s="673"/>
      <c r="O18" s="673"/>
      <c r="P18" s="674"/>
      <c r="Q18" s="530"/>
    </row>
    <row r="19" spans="1:17">
      <c r="A19" s="285"/>
      <c r="B19" s="362"/>
      <c r="C19" s="526"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30"/>
      <c r="E19" s="527"/>
      <c r="F19" s="534"/>
      <c r="G19" s="534"/>
      <c r="H19" s="527"/>
      <c r="I19" s="529"/>
      <c r="J19" s="529"/>
      <c r="K19" s="530"/>
      <c r="L19" s="675"/>
      <c r="M19" s="530"/>
      <c r="N19" s="530" t="s">
        <v>254</v>
      </c>
      <c r="O19" s="530" t="s">
        <v>255</v>
      </c>
      <c r="P19" s="676" t="s">
        <v>256</v>
      </c>
      <c r="Q19" s="530"/>
    </row>
    <row r="20" spans="1:17">
      <c r="A20" s="285"/>
      <c r="B20" s="362"/>
      <c r="C20" s="530"/>
      <c r="D20" s="535" t="s">
        <v>146</v>
      </c>
      <c r="E20" s="535" t="s">
        <v>145</v>
      </c>
      <c r="F20" s="536" t="s">
        <v>253</v>
      </c>
      <c r="G20" s="536"/>
      <c r="H20" s="527"/>
      <c r="I20" s="529"/>
      <c r="J20" s="529"/>
      <c r="K20" s="530"/>
      <c r="L20" s="675" t="s">
        <v>452</v>
      </c>
      <c r="M20" s="677">
        <f>+TCOS!L4</f>
        <v>2024</v>
      </c>
      <c r="N20" s="517"/>
      <c r="O20" s="517"/>
      <c r="P20" s="678"/>
      <c r="Q20" s="530"/>
    </row>
    <row r="21" spans="1:17">
      <c r="A21" s="285"/>
      <c r="B21" s="362"/>
      <c r="C21" s="537" t="s">
        <v>257</v>
      </c>
      <c r="D21" s="679">
        <f>TCOS!H255</f>
        <v>0.50479618935035808</v>
      </c>
      <c r="E21" s="539">
        <f>TCOS!J255</f>
        <v>4.7457294635118052E-2</v>
      </c>
      <c r="F21" s="540">
        <f>E21*D21</f>
        <v>2.3956261488684787E-2</v>
      </c>
      <c r="G21" s="540"/>
      <c r="H21" s="527"/>
      <c r="I21" s="529"/>
      <c r="J21" s="541"/>
      <c r="K21" s="542"/>
      <c r="L21" s="680"/>
      <c r="M21" s="681" t="s">
        <v>453</v>
      </c>
      <c r="N21" s="795" t="e">
        <f>M90+#REF!+#REF!+#REF!+#REF!+#REF!+#REF!+#REF!+#REF!</f>
        <v>#N/A</v>
      </c>
      <c r="O21" s="795" t="e">
        <f>N90+#REF!+#REF!+#REF!+#REF!+#REF!+#REF!+#REF!+#REF!</f>
        <v>#N/A</v>
      </c>
      <c r="P21" s="682" t="e">
        <f>+O21-N21</f>
        <v>#N/A</v>
      </c>
      <c r="Q21" s="542"/>
    </row>
    <row r="22" spans="1:17" ht="13.5" thickBot="1">
      <c r="A22" s="285"/>
      <c r="B22" s="362"/>
      <c r="C22" s="537" t="s">
        <v>258</v>
      </c>
      <c r="D22" s="679">
        <f>TCOS!H256</f>
        <v>0</v>
      </c>
      <c r="E22" s="539">
        <f>TCOS!J256</f>
        <v>0</v>
      </c>
      <c r="F22" s="540">
        <f>E22*D22</f>
        <v>0</v>
      </c>
      <c r="G22" s="540"/>
      <c r="H22" s="543"/>
      <c r="I22" s="543"/>
      <c r="J22" s="544"/>
      <c r="K22" s="545"/>
      <c r="L22" s="680"/>
      <c r="M22" s="681" t="s">
        <v>259</v>
      </c>
      <c r="N22" s="796" t="e">
        <f>M91+#REF!+#REF!+#REF!+#REF!+#REF!+#REF!+#REF!+#REF!</f>
        <v>#N/A</v>
      </c>
      <c r="O22" s="796" t="e">
        <f>N91+#REF!+#REF!+#REF!+#REF!+#REF!+#REF!+#REF!+#REF!</f>
        <v>#N/A</v>
      </c>
      <c r="P22" s="683" t="e">
        <f>+O22-N22</f>
        <v>#N/A</v>
      </c>
      <c r="Q22" s="545"/>
    </row>
    <row r="23" spans="1:17">
      <c r="A23" s="285"/>
      <c r="B23" s="362"/>
      <c r="C23" s="546" t="s">
        <v>244</v>
      </c>
      <c r="D23" s="679">
        <f>TCOS!H257</f>
        <v>0.49520381064964186</v>
      </c>
      <c r="E23" s="539">
        <f>+F18</f>
        <v>0.10349999999999999</v>
      </c>
      <c r="F23" s="547">
        <f>E23*D23</f>
        <v>5.125359440223793E-2</v>
      </c>
      <c r="G23" s="547"/>
      <c r="H23" s="543"/>
      <c r="I23" s="543"/>
      <c r="J23" s="544"/>
      <c r="K23" s="545"/>
      <c r="L23" s="680"/>
      <c r="M23" s="681" t="str">
        <f>"True-up of ARR For "&amp;TCOS!L4&amp;""</f>
        <v>True-up of ARR For 2024</v>
      </c>
      <c r="N23" s="602" t="e">
        <f>+N22-N21</f>
        <v>#N/A</v>
      </c>
      <c r="O23" s="602" t="e">
        <f>+O22-O21</f>
        <v>#N/A</v>
      </c>
      <c r="P23" s="684" t="e">
        <f>+P22-P21</f>
        <v>#N/A</v>
      </c>
      <c r="Q23" s="545"/>
    </row>
    <row r="24" spans="1:17">
      <c r="A24" s="285"/>
      <c r="B24" s="362"/>
      <c r="C24" s="548"/>
      <c r="D24" s="285"/>
      <c r="E24" s="549" t="s">
        <v>260</v>
      </c>
      <c r="F24" s="540">
        <f>SUM(F21:F23)</f>
        <v>7.5209855890922717E-2</v>
      </c>
      <c r="G24" s="540"/>
      <c r="H24" s="543"/>
      <c r="I24" s="543"/>
      <c r="J24" s="544"/>
      <c r="K24" s="545"/>
      <c r="L24" s="680"/>
      <c r="M24" s="517"/>
      <c r="N24" s="517"/>
      <c r="O24" s="517"/>
      <c r="P24" s="678"/>
      <c r="Q24" s="545"/>
    </row>
    <row r="25" spans="1:17" ht="13.5" thickBot="1">
      <c r="A25" s="285"/>
      <c r="B25" s="362"/>
      <c r="C25" s="323"/>
      <c r="D25" s="554"/>
      <c r="E25" s="554"/>
      <c r="F25" s="543"/>
      <c r="G25" s="543"/>
      <c r="H25" s="543"/>
      <c r="I25" s="543"/>
      <c r="J25" s="543"/>
      <c r="K25" s="555"/>
      <c r="L25" s="685"/>
      <c r="M25" s="686"/>
      <c r="N25" s="687"/>
      <c r="O25" s="687"/>
      <c r="P25" s="683"/>
      <c r="Q25" s="555"/>
    </row>
    <row r="26" spans="1:17" ht="15.75">
      <c r="A26" s="285"/>
      <c r="B26" s="362"/>
      <c r="C26" s="525" t="str">
        <f>"B.   Determine Return using 'R' with hypothetical "&amp;F17&amp;" basis point ROE increase for Identified Projects."</f>
        <v>B.   Determine Return using 'R' with hypothetical 0 basis point ROE increase for Identified Projects.</v>
      </c>
      <c r="D26" s="554"/>
      <c r="E26" s="554"/>
      <c r="F26" s="559"/>
      <c r="G26" s="559"/>
      <c r="H26" s="543"/>
      <c r="I26" s="527"/>
      <c r="J26" s="543"/>
      <c r="K26" s="555"/>
      <c r="L26" s="543"/>
      <c r="M26" s="543"/>
      <c r="N26" s="543"/>
      <c r="O26" s="543"/>
      <c r="P26" s="543"/>
      <c r="Q26" s="555"/>
    </row>
    <row r="27" spans="1:17">
      <c r="A27" s="285"/>
      <c r="B27" s="362"/>
      <c r="C27" s="530"/>
      <c r="D27" s="554"/>
      <c r="E27" s="554"/>
      <c r="F27" s="555"/>
      <c r="G27" s="555"/>
      <c r="H27" s="555"/>
      <c r="I27" s="555"/>
      <c r="J27" s="555"/>
      <c r="K27" s="555"/>
      <c r="L27" s="555"/>
      <c r="M27" s="555"/>
      <c r="N27" s="555"/>
      <c r="O27" s="555"/>
      <c r="P27" s="555"/>
      <c r="Q27" s="555"/>
    </row>
    <row r="28" spans="1:17">
      <c r="A28" s="285"/>
      <c r="B28" s="362"/>
      <c r="C28" s="564" t="str">
        <f>"   Rate Base  (TCOS, ln "&amp;TCOS!B125&amp;")"</f>
        <v xml:space="preserve">   Rate Base  (TCOS, ln 68)</v>
      </c>
      <c r="D28" s="527"/>
      <c r="E28" s="565">
        <f>TCOS!L125</f>
        <v>3317650361.9046092</v>
      </c>
      <c r="F28" s="688"/>
      <c r="G28" s="688"/>
      <c r="H28" s="555"/>
      <c r="I28" s="555"/>
      <c r="J28" s="555"/>
      <c r="K28" s="555"/>
      <c r="L28" s="555"/>
      <c r="M28" s="555"/>
      <c r="N28" s="555"/>
      <c r="O28" s="555"/>
      <c r="P28" s="688"/>
      <c r="Q28" s="555"/>
    </row>
    <row r="29" spans="1:17">
      <c r="A29" s="285"/>
      <c r="B29" s="362"/>
      <c r="C29" s="530" t="s">
        <v>474</v>
      </c>
      <c r="D29" s="567"/>
      <c r="E29" s="540">
        <f>F24</f>
        <v>7.5209855890922717E-2</v>
      </c>
      <c r="F29" s="555"/>
      <c r="G29" s="555"/>
      <c r="H29" s="555"/>
      <c r="I29" s="555"/>
      <c r="J29" s="555"/>
      <c r="K29" s="555"/>
      <c r="L29" s="555"/>
      <c r="M29" s="555"/>
      <c r="N29" s="555"/>
      <c r="O29" s="555"/>
      <c r="P29" s="555"/>
      <c r="Q29" s="555"/>
    </row>
    <row r="30" spans="1:17">
      <c r="A30" s="285"/>
      <c r="B30" s="362"/>
      <c r="C30" s="568" t="s">
        <v>262</v>
      </c>
      <c r="D30" s="568"/>
      <c r="E30" s="544">
        <f>E28*E29</f>
        <v>249520005.61531326</v>
      </c>
      <c r="F30" s="555"/>
      <c r="G30" s="555"/>
      <c r="H30" s="555"/>
      <c r="I30" s="555"/>
      <c r="J30" s="545"/>
      <c r="K30" s="545"/>
      <c r="L30" s="545"/>
      <c r="M30" s="545"/>
      <c r="N30" s="545"/>
      <c r="O30" s="545"/>
      <c r="P30" s="555"/>
      <c r="Q30" s="545"/>
    </row>
    <row r="31" spans="1:17">
      <c r="A31" s="285"/>
      <c r="B31" s="362"/>
      <c r="C31" s="569"/>
      <c r="D31" s="529"/>
      <c r="E31" s="529"/>
      <c r="F31" s="555"/>
      <c r="G31" s="555"/>
      <c r="H31" s="555"/>
      <c r="I31" s="555"/>
      <c r="J31" s="545"/>
      <c r="K31" s="545"/>
      <c r="L31" s="545"/>
      <c r="M31" s="545"/>
      <c r="N31" s="545"/>
      <c r="O31" s="545"/>
      <c r="P31" s="555"/>
      <c r="Q31" s="545"/>
    </row>
    <row r="32" spans="1:17" ht="15.75">
      <c r="A32" s="285"/>
      <c r="B32" s="362"/>
      <c r="C32" s="525" t="str">
        <f>"C.   Determine Income Taxes using Return with hypothetical "&amp;F17&amp;" basis point ROE increase for Identified Projects."</f>
        <v>C.   Determine Income Taxes using Return with hypothetical 0 basis point ROE increase for Identified Projects.</v>
      </c>
      <c r="D32" s="570"/>
      <c r="E32" s="570"/>
      <c r="F32" s="571"/>
      <c r="G32" s="571"/>
      <c r="H32" s="571"/>
      <c r="I32" s="571"/>
      <c r="J32" s="572"/>
      <c r="K32" s="572"/>
      <c r="L32" s="572"/>
      <c r="M32" s="572"/>
      <c r="N32" s="572"/>
      <c r="O32" s="572"/>
      <c r="P32" s="571"/>
      <c r="Q32" s="572"/>
    </row>
    <row r="33" spans="1:17">
      <c r="A33" s="285"/>
      <c r="B33" s="362"/>
      <c r="C33" s="548"/>
      <c r="D33" s="529"/>
      <c r="E33" s="529"/>
      <c r="F33" s="555"/>
      <c r="G33" s="555"/>
      <c r="H33" s="555"/>
      <c r="I33" s="555"/>
      <c r="J33" s="545"/>
      <c r="K33" s="545"/>
      <c r="L33" s="545"/>
      <c r="M33" s="545"/>
      <c r="N33" s="545"/>
      <c r="O33" s="545"/>
      <c r="P33" s="555"/>
      <c r="Q33" s="545"/>
    </row>
    <row r="34" spans="1:17">
      <c r="A34" s="285"/>
      <c r="B34" s="362"/>
      <c r="C34" s="530" t="s">
        <v>263</v>
      </c>
      <c r="D34" s="549"/>
      <c r="E34" s="573">
        <f>E30</f>
        <v>249520005.61531326</v>
      </c>
      <c r="F34" s="555"/>
      <c r="G34" s="555"/>
      <c r="H34" s="555"/>
      <c r="I34" s="555"/>
      <c r="J34" s="555"/>
      <c r="K34" s="555"/>
      <c r="L34" s="555"/>
      <c r="M34" s="555"/>
      <c r="N34" s="555"/>
      <c r="O34" s="555"/>
      <c r="P34" s="555"/>
      <c r="Q34" s="555"/>
    </row>
    <row r="35" spans="1:17">
      <c r="A35" s="285"/>
      <c r="B35" s="362"/>
      <c r="C35" s="564" t="str">
        <f>"   Effective Tax Rate  (TCOS, ln "&amp;TCOS!B190&amp;")"</f>
        <v xml:space="preserve">   Effective Tax Rate  (TCOS, ln 114)</v>
      </c>
      <c r="D35" s="496"/>
      <c r="E35" s="574">
        <f>TCOS!G190</f>
        <v>0.20939189618168003</v>
      </c>
      <c r="F35" s="480"/>
      <c r="G35" s="480"/>
      <c r="H35" s="480"/>
      <c r="I35" s="575"/>
      <c r="J35" s="480"/>
      <c r="K35" s="517"/>
      <c r="L35" s="480"/>
      <c r="M35" s="480"/>
      <c r="N35" s="480"/>
      <c r="O35" s="480"/>
      <c r="P35" s="480"/>
      <c r="Q35" s="517"/>
    </row>
    <row r="36" spans="1:17">
      <c r="A36" s="285"/>
      <c r="B36" s="362"/>
      <c r="C36" s="569" t="s">
        <v>264</v>
      </c>
      <c r="D36" s="496"/>
      <c r="E36" s="576">
        <f>E34*E35</f>
        <v>52247467.111053891</v>
      </c>
      <c r="F36" s="480"/>
      <c r="G36" s="480"/>
      <c r="H36" s="480"/>
      <c r="I36" s="575"/>
      <c r="J36" s="480"/>
      <c r="K36" s="517"/>
      <c r="L36" s="480"/>
      <c r="M36" s="480"/>
      <c r="N36" s="480"/>
      <c r="O36" s="480"/>
      <c r="P36" s="480"/>
      <c r="Q36" s="517"/>
    </row>
    <row r="37" spans="1:17" ht="15">
      <c r="A37" s="285"/>
      <c r="B37" s="362"/>
      <c r="C37" s="548" t="s">
        <v>302</v>
      </c>
      <c r="D37" s="419"/>
      <c r="E37" s="577">
        <f>TCOS!L199</f>
        <v>4075.3455768882181</v>
      </c>
      <c r="F37" s="419"/>
      <c r="G37" s="419"/>
      <c r="H37" s="419"/>
      <c r="I37" s="419"/>
      <c r="J37" s="419"/>
      <c r="K37" s="419"/>
      <c r="L37" s="419"/>
      <c r="M37" s="419"/>
      <c r="N37" s="419"/>
      <c r="O37" s="419"/>
      <c r="P37" s="339"/>
      <c r="Q37" s="419"/>
    </row>
    <row r="38" spans="1:17" ht="15">
      <c r="A38" s="285"/>
      <c r="B38" s="362"/>
      <c r="C38" s="548" t="s">
        <v>532</v>
      </c>
      <c r="D38" s="419"/>
      <c r="E38" s="577">
        <f>TCOS!L200</f>
        <v>-6261575.1392636169</v>
      </c>
      <c r="F38" s="419"/>
      <c r="G38" s="419"/>
      <c r="H38" s="419"/>
      <c r="I38" s="419"/>
      <c r="J38" s="419"/>
      <c r="K38" s="419"/>
      <c r="L38" s="419"/>
      <c r="M38" s="419"/>
      <c r="N38" s="419"/>
      <c r="O38" s="419"/>
      <c r="P38" s="339"/>
      <c r="Q38" s="419"/>
    </row>
    <row r="39" spans="1:17" ht="15">
      <c r="A39" s="285"/>
      <c r="B39" s="362"/>
      <c r="C39" s="548" t="s">
        <v>533</v>
      </c>
      <c r="D39" s="419"/>
      <c r="E39" s="578">
        <f>TCOS!L201</f>
        <v>2918234.870718223</v>
      </c>
      <c r="F39" s="419"/>
      <c r="G39" s="419"/>
      <c r="H39" s="419"/>
      <c r="I39" s="419"/>
      <c r="J39" s="419"/>
      <c r="K39" s="419"/>
      <c r="L39" s="419"/>
      <c r="M39" s="419"/>
      <c r="N39" s="419"/>
      <c r="O39" s="419"/>
      <c r="P39" s="339"/>
      <c r="Q39" s="419"/>
    </row>
    <row r="40" spans="1:17" ht="15">
      <c r="A40" s="285"/>
      <c r="B40" s="362"/>
      <c r="C40" s="569" t="s">
        <v>265</v>
      </c>
      <c r="D40" s="419"/>
      <c r="E40" s="577">
        <f>E36+E37+E38+E39</f>
        <v>48908202.188085392</v>
      </c>
      <c r="F40" s="419"/>
      <c r="G40" s="419"/>
      <c r="H40" s="419"/>
      <c r="I40" s="419"/>
      <c r="J40" s="419"/>
      <c r="K40" s="419"/>
      <c r="L40" s="419"/>
      <c r="M40" s="419"/>
      <c r="N40" s="419"/>
      <c r="O40" s="419"/>
      <c r="P40" s="301"/>
      <c r="Q40" s="419"/>
    </row>
    <row r="41" spans="1:17" ht="12.75" customHeight="1">
      <c r="A41" s="285"/>
      <c r="B41" s="362"/>
      <c r="C41" s="347"/>
      <c r="D41" s="419"/>
      <c r="E41" s="419"/>
      <c r="F41" s="419"/>
      <c r="G41" s="419"/>
      <c r="H41" s="419"/>
      <c r="I41" s="419"/>
      <c r="J41" s="419"/>
      <c r="K41" s="419"/>
      <c r="L41" s="419"/>
      <c r="M41" s="419"/>
      <c r="N41" s="419"/>
      <c r="O41" s="419"/>
      <c r="P41" s="301"/>
      <c r="Q41" s="419"/>
    </row>
    <row r="42" spans="1:17" ht="18.75">
      <c r="A42" s="285"/>
      <c r="B42" s="524" t="s">
        <v>172</v>
      </c>
      <c r="C42" s="523" t="str">
        <f>"Calculate Net Plant Carrying Charge Rate (Fixed Charge Rate or FCR) with hypothetical "&amp;F17&amp;""</f>
        <v>Calculate Net Plant Carrying Charge Rate (Fixed Charge Rate or FCR) with hypothetical 0</v>
      </c>
      <c r="D42" s="419"/>
      <c r="E42" s="419"/>
      <c r="F42" s="419"/>
      <c r="G42" s="419"/>
      <c r="H42" s="419"/>
      <c r="I42" s="419"/>
      <c r="J42" s="419"/>
      <c r="K42" s="419"/>
      <c r="L42" s="419"/>
      <c r="M42" s="419"/>
      <c r="N42" s="419"/>
      <c r="O42" s="419"/>
      <c r="P42" s="301"/>
      <c r="Q42" s="419"/>
    </row>
    <row r="43" spans="1:17" ht="18.75" customHeight="1">
      <c r="A43" s="285"/>
      <c r="B43" s="362"/>
      <c r="C43" s="523" t="str">
        <f>"basis point ROE increase."</f>
        <v>basis point ROE increase.</v>
      </c>
      <c r="D43" s="419"/>
      <c r="E43" s="419"/>
      <c r="F43" s="419"/>
      <c r="G43" s="419"/>
      <c r="H43" s="419"/>
      <c r="I43" s="419"/>
      <c r="J43" s="419"/>
      <c r="K43" s="419"/>
      <c r="L43" s="419"/>
      <c r="M43" s="419"/>
      <c r="N43" s="419"/>
      <c r="O43" s="419"/>
      <c r="P43" s="301"/>
      <c r="Q43" s="419"/>
    </row>
    <row r="44" spans="1:17" ht="12.75" customHeight="1">
      <c r="A44" s="285"/>
      <c r="B44" s="362"/>
      <c r="C44" s="523"/>
      <c r="D44" s="419"/>
      <c r="E44" s="419"/>
      <c r="F44" s="419"/>
      <c r="G44" s="419"/>
      <c r="H44" s="419"/>
      <c r="I44" s="419"/>
      <c r="J44" s="419"/>
      <c r="K44" s="419"/>
      <c r="L44" s="419"/>
      <c r="M44" s="419"/>
      <c r="N44" s="419"/>
      <c r="O44" s="419"/>
      <c r="P44" s="301"/>
      <c r="Q44" s="419"/>
    </row>
    <row r="45" spans="1:17" ht="15.75">
      <c r="A45" s="285"/>
      <c r="B45" s="362"/>
      <c r="C45" s="525" t="s">
        <v>465</v>
      </c>
      <c r="D45" s="419"/>
      <c r="E45" s="419"/>
      <c r="F45" s="418"/>
      <c r="G45" s="418"/>
      <c r="H45" s="419"/>
      <c r="I45" s="419"/>
      <c r="J45" s="419"/>
      <c r="K45" s="419"/>
      <c r="L45" s="419"/>
      <c r="M45" s="419"/>
      <c r="N45" s="419"/>
      <c r="O45" s="419"/>
      <c r="P45" s="301"/>
      <c r="Q45" s="419"/>
    </row>
    <row r="46" spans="1:17">
      <c r="A46" s="285"/>
      <c r="B46" s="508"/>
      <c r="C46" s="526"/>
      <c r="D46" s="579"/>
      <c r="E46" s="579"/>
      <c r="F46" s="579"/>
      <c r="G46" s="579"/>
      <c r="H46" s="579"/>
      <c r="I46" s="579"/>
      <c r="J46" s="579"/>
      <c r="K46" s="579"/>
      <c r="L46" s="579"/>
      <c r="M46" s="579"/>
      <c r="N46" s="579"/>
      <c r="O46" s="579"/>
      <c r="P46" s="577"/>
      <c r="Q46" s="579"/>
    </row>
    <row r="47" spans="1:17" ht="12.75" customHeight="1">
      <c r="A47" s="285"/>
      <c r="B47" s="508"/>
      <c r="C47" s="564" t="str">
        <f>"   Annual Revenue Requirement  (TCOS, ln "&amp;TCOS!B13&amp;")"</f>
        <v xml:space="preserve">   Annual Revenue Requirement  (TCOS, ln 1)</v>
      </c>
      <c r="D47" s="579"/>
      <c r="E47" s="579"/>
      <c r="F47" s="577">
        <f>TCOS!L13</f>
        <v>528866071.91909486</v>
      </c>
      <c r="G47" s="577"/>
      <c r="H47" s="689" t="s">
        <v>114</v>
      </c>
      <c r="I47" s="579"/>
      <c r="J47" s="579"/>
      <c r="K47" s="579"/>
      <c r="L47" s="579"/>
      <c r="M47" s="579"/>
      <c r="N47" s="579"/>
      <c r="O47" s="579"/>
      <c r="P47" s="577"/>
      <c r="Q47" s="579"/>
    </row>
    <row r="48" spans="1:17" ht="12.75" customHeight="1">
      <c r="A48" s="285"/>
      <c r="B48" s="508"/>
      <c r="C48" s="564" t="str">
        <f>"   Lease Payments (TCOS, Ln "&amp;TCOS!B168&amp;")"</f>
        <v xml:space="preserve">   Lease Payments (TCOS, Ln 95)</v>
      </c>
      <c r="D48" s="579"/>
      <c r="E48" s="579"/>
      <c r="F48" s="577">
        <f>TCOS!L168</f>
        <v>0</v>
      </c>
      <c r="G48" s="577"/>
      <c r="H48" s="689"/>
      <c r="I48" s="579"/>
      <c r="J48" s="579"/>
      <c r="K48" s="579"/>
      <c r="L48" s="579"/>
      <c r="M48" s="579"/>
      <c r="N48" s="579"/>
      <c r="O48" s="579"/>
      <c r="P48" s="577"/>
      <c r="Q48" s="579"/>
    </row>
    <row r="49" spans="1:17">
      <c r="A49" s="285"/>
      <c r="B49" s="508"/>
      <c r="C49" s="564" t="str">
        <f>"   Return  (TCOS, ln "&amp;TCOS!B205&amp;")"</f>
        <v xml:space="preserve">   Return  (TCOS, ln 126)</v>
      </c>
      <c r="D49" s="579"/>
      <c r="E49" s="579"/>
      <c r="F49" s="580">
        <f>TCOS!L205</f>
        <v>249520005.61531326</v>
      </c>
      <c r="G49" s="580"/>
      <c r="H49" s="581"/>
      <c r="I49" s="581"/>
      <c r="J49" s="581"/>
      <c r="K49" s="581"/>
      <c r="L49" s="581"/>
      <c r="M49" s="581"/>
      <c r="N49" s="581"/>
      <c r="O49" s="581"/>
      <c r="P49" s="577"/>
      <c r="Q49" s="581"/>
    </row>
    <row r="50" spans="1:17">
      <c r="A50" s="285"/>
      <c r="B50" s="508"/>
      <c r="C50" s="564" t="str">
        <f>"   Income Taxes  (TCOS, ln "&amp;TCOS!B203&amp;")"</f>
        <v xml:space="preserve">   Income Taxes  (TCOS, ln 125)</v>
      </c>
      <c r="D50" s="579"/>
      <c r="E50" s="579"/>
      <c r="F50" s="582">
        <f>TCOS!L203</f>
        <v>48908202.188085392</v>
      </c>
      <c r="G50" s="582"/>
      <c r="H50" s="579"/>
      <c r="I50" s="579"/>
      <c r="J50" s="583"/>
      <c r="K50" s="583"/>
      <c r="L50" s="583"/>
      <c r="M50" s="583"/>
      <c r="N50" s="583"/>
      <c r="O50" s="583"/>
      <c r="P50" s="579"/>
      <c r="Q50" s="583"/>
    </row>
    <row r="51" spans="1:17">
      <c r="A51" s="285"/>
      <c r="B51" s="508"/>
      <c r="C51" s="1522" t="s">
        <v>590</v>
      </c>
      <c r="D51" s="1512"/>
      <c r="E51" s="579"/>
      <c r="F51" s="580">
        <f>F47-F49-F50-F48</f>
        <v>230437864.11569625</v>
      </c>
      <c r="G51" s="580"/>
      <c r="H51" s="585"/>
      <c r="I51" s="579"/>
      <c r="J51" s="585"/>
      <c r="K51" s="585"/>
      <c r="L51" s="585"/>
      <c r="M51" s="585"/>
      <c r="N51" s="585"/>
      <c r="O51" s="585"/>
      <c r="P51" s="585"/>
      <c r="Q51" s="585"/>
    </row>
    <row r="52" spans="1:17">
      <c r="A52" s="285"/>
      <c r="B52" s="508"/>
      <c r="C52" s="1512"/>
      <c r="D52" s="1512"/>
      <c r="E52" s="579"/>
      <c r="F52" s="577"/>
      <c r="G52" s="577"/>
      <c r="H52" s="586"/>
      <c r="I52" s="587"/>
      <c r="J52" s="587"/>
      <c r="K52" s="587"/>
      <c r="L52" s="587"/>
      <c r="M52" s="587"/>
      <c r="N52" s="587"/>
      <c r="O52" s="587"/>
      <c r="P52" s="587"/>
      <c r="Q52" s="587"/>
    </row>
    <row r="53" spans="1:17" ht="15.75">
      <c r="A53" s="285"/>
      <c r="B53" s="508"/>
      <c r="C53" s="525" t="str">
        <f>"B.   Determine Annual Revenue Requirement with hypothetical "&amp;F17&amp;" basis point increase in ROE."</f>
        <v>B.   Determine Annual Revenue Requirement with hypothetical 0 basis point increase in ROE.</v>
      </c>
      <c r="D53" s="588"/>
      <c r="E53" s="588"/>
      <c r="F53" s="577"/>
      <c r="G53" s="577"/>
      <c r="H53" s="586"/>
      <c r="I53" s="587"/>
      <c r="J53" s="587"/>
      <c r="K53" s="587"/>
      <c r="L53" s="587"/>
      <c r="M53" s="587"/>
      <c r="N53" s="587"/>
      <c r="O53" s="587"/>
      <c r="P53" s="587"/>
      <c r="Q53" s="587"/>
    </row>
    <row r="54" spans="1:17">
      <c r="A54" s="285"/>
      <c r="B54" s="508"/>
      <c r="C54" s="526"/>
      <c r="D54" s="588"/>
      <c r="E54" s="588"/>
      <c r="F54" s="577"/>
      <c r="G54" s="577"/>
      <c r="H54" s="586"/>
      <c r="I54" s="587"/>
      <c r="J54" s="587"/>
      <c r="K54" s="587"/>
      <c r="L54" s="587"/>
      <c r="M54" s="587"/>
      <c r="N54" s="587"/>
      <c r="O54" s="587"/>
      <c r="P54" s="587"/>
      <c r="Q54" s="587"/>
    </row>
    <row r="55" spans="1:17">
      <c r="A55" s="285"/>
      <c r="B55" s="508"/>
      <c r="C55" s="526" t="str">
        <f>C51</f>
        <v xml:space="preserve">   Annual Revenue Requirement, Less Lease Payments, Return and Taxes</v>
      </c>
      <c r="D55" s="588"/>
      <c r="E55" s="588"/>
      <c r="F55" s="577">
        <f>F51</f>
        <v>230437864.11569625</v>
      </c>
      <c r="G55" s="577"/>
      <c r="H55" s="579"/>
      <c r="I55" s="579"/>
      <c r="J55" s="579"/>
      <c r="K55" s="579"/>
      <c r="L55" s="579"/>
      <c r="M55" s="579"/>
      <c r="N55" s="579"/>
      <c r="O55" s="579"/>
      <c r="P55" s="589"/>
      <c r="Q55" s="579"/>
    </row>
    <row r="56" spans="1:17">
      <c r="A56" s="285"/>
      <c r="B56" s="508"/>
      <c r="C56" s="530" t="s">
        <v>299</v>
      </c>
      <c r="D56" s="590"/>
      <c r="E56" s="584"/>
      <c r="F56" s="591">
        <f>E30</f>
        <v>249520005.61531326</v>
      </c>
      <c r="G56" s="591"/>
      <c r="H56" s="584"/>
      <c r="I56" s="592"/>
      <c r="J56" s="584"/>
      <c r="K56" s="584"/>
      <c r="L56" s="584"/>
      <c r="M56" s="584"/>
      <c r="N56" s="584"/>
      <c r="O56" s="584"/>
      <c r="P56" s="584"/>
      <c r="Q56" s="584"/>
    </row>
    <row r="57" spans="1:17" ht="12.75" customHeight="1">
      <c r="A57" s="285"/>
      <c r="B57" s="508"/>
      <c r="C57" s="548" t="s">
        <v>266</v>
      </c>
      <c r="D57" s="579"/>
      <c r="E57" s="579"/>
      <c r="F57" s="582">
        <f>E40</f>
        <v>48908202.188085392</v>
      </c>
      <c r="G57" s="582"/>
      <c r="H57" s="480"/>
      <c r="I57" s="575"/>
      <c r="J57" s="480"/>
      <c r="K57" s="517"/>
      <c r="L57" s="480"/>
      <c r="M57" s="480"/>
      <c r="N57" s="480"/>
      <c r="O57" s="480"/>
      <c r="P57" s="480"/>
      <c r="Q57" s="517"/>
    </row>
    <row r="58" spans="1:17">
      <c r="A58" s="285"/>
      <c r="B58" s="508"/>
      <c r="C58" s="584" t="str">
        <f>"   Annual Revenue Requirement, with "&amp;F17&amp;" Basis Point ROE increase"</f>
        <v xml:space="preserve">   Annual Revenue Requirement, with 0 Basis Point ROE increase</v>
      </c>
      <c r="D58" s="496"/>
      <c r="E58" s="480"/>
      <c r="F58" s="576">
        <f>SUM(F55:F57)</f>
        <v>528866071.91909486</v>
      </c>
      <c r="G58" s="576"/>
      <c r="H58" s="480"/>
      <c r="I58" s="575"/>
      <c r="J58" s="480"/>
      <c r="K58" s="517"/>
      <c r="L58" s="480"/>
      <c r="M58" s="480"/>
      <c r="N58" s="480"/>
      <c r="O58" s="480"/>
      <c r="P58" s="480"/>
      <c r="Q58" s="517"/>
    </row>
    <row r="59" spans="1:17">
      <c r="A59" s="285"/>
      <c r="B59" s="508"/>
      <c r="C59" s="564" t="str">
        <f>"   Depreciation  (TCOS, ln "&amp;TCOS!B174&amp;")"</f>
        <v xml:space="preserve">   Depreciation  (TCOS, ln 100)</v>
      </c>
      <c r="D59" s="496"/>
      <c r="E59" s="480"/>
      <c r="F59" s="593">
        <f>TCOS!L174</f>
        <v>106904221.26688588</v>
      </c>
      <c r="G59" s="593"/>
      <c r="H59" s="576"/>
      <c r="I59" s="575"/>
      <c r="J59" s="480"/>
      <c r="K59" s="517"/>
      <c r="L59" s="480"/>
      <c r="M59" s="480"/>
      <c r="N59" s="480"/>
      <c r="O59" s="480"/>
      <c r="P59" s="480"/>
      <c r="Q59" s="517"/>
    </row>
    <row r="60" spans="1:17">
      <c r="A60" s="285"/>
      <c r="B60" s="508"/>
      <c r="C60" s="1522" t="str">
        <f>"   Annual Rev. Req, w/ "&amp;F17&amp;" Basis Point ROE increase, less Depreciation"</f>
        <v xml:space="preserve">   Annual Rev. Req, w/ 0 Basis Point ROE increase, less Depreciation</v>
      </c>
      <c r="D60" s="1512"/>
      <c r="E60" s="480"/>
      <c r="F60" s="576">
        <f>F58-F59</f>
        <v>421961850.65220898</v>
      </c>
      <c r="G60" s="576"/>
      <c r="H60" s="480"/>
      <c r="I60" s="575"/>
      <c r="J60" s="480"/>
      <c r="K60" s="517"/>
      <c r="L60" s="480"/>
      <c r="M60" s="480"/>
      <c r="N60" s="480"/>
      <c r="O60" s="480"/>
      <c r="P60" s="480"/>
      <c r="Q60" s="517"/>
    </row>
    <row r="61" spans="1:17">
      <c r="A61" s="285"/>
      <c r="B61" s="508"/>
      <c r="C61" s="1512"/>
      <c r="D61" s="1512"/>
      <c r="E61" s="480"/>
      <c r="F61" s="480"/>
      <c r="G61" s="480"/>
      <c r="H61" s="480"/>
      <c r="I61" s="575"/>
      <c r="J61" s="480"/>
      <c r="K61" s="517"/>
      <c r="L61" s="480"/>
      <c r="M61" s="480"/>
      <c r="N61" s="480"/>
      <c r="O61" s="480"/>
      <c r="P61" s="480"/>
      <c r="Q61" s="517"/>
    </row>
    <row r="62" spans="1:17" ht="15.75">
      <c r="A62" s="285"/>
      <c r="B62" s="508"/>
      <c r="C62" s="525" t="str">
        <f>"C.   Determine FCR with hypothetical "&amp;F17&amp;" basis point ROE increase."</f>
        <v>C.   Determine FCR with hypothetical 0 basis point ROE increase.</v>
      </c>
      <c r="D62" s="496"/>
      <c r="E62" s="480"/>
      <c r="F62" s="480"/>
      <c r="G62" s="480"/>
      <c r="H62" s="480"/>
      <c r="I62" s="575"/>
      <c r="J62" s="480"/>
      <c r="K62" s="517"/>
      <c r="L62" s="480"/>
      <c r="M62" s="480"/>
      <c r="N62" s="480"/>
      <c r="O62" s="480"/>
      <c r="P62" s="480"/>
      <c r="Q62" s="517"/>
    </row>
    <row r="63" spans="1:17">
      <c r="A63" s="285"/>
      <c r="B63" s="508"/>
      <c r="C63" s="480"/>
      <c r="D63" s="496"/>
      <c r="E63" s="480"/>
      <c r="F63" s="480"/>
      <c r="G63" s="480"/>
      <c r="H63" s="480"/>
      <c r="I63" s="575"/>
      <c r="J63" s="480"/>
      <c r="K63" s="517"/>
      <c r="L63" s="480"/>
      <c r="M63" s="480"/>
      <c r="N63" s="480"/>
      <c r="O63" s="480"/>
      <c r="P63" s="480"/>
      <c r="Q63" s="517"/>
    </row>
    <row r="64" spans="1:17">
      <c r="A64" s="285"/>
      <c r="B64" s="508"/>
      <c r="C64" s="564" t="str">
        <f>"   Net Transmission Plant  (TCOS, ln "&amp;TCOS!B91&amp;")"</f>
        <v xml:space="preserve">   Net Transmission Plant  (TCOS, ln 42)</v>
      </c>
      <c r="D64" s="496"/>
      <c r="E64" s="480"/>
      <c r="F64" s="576">
        <f>TCOS!L91</f>
        <v>3840305865.204864</v>
      </c>
      <c r="G64" s="576"/>
      <c r="H64" s="576"/>
      <c r="I64" s="594"/>
      <c r="J64" s="480"/>
      <c r="K64" s="517"/>
      <c r="L64" s="480"/>
      <c r="M64" s="480"/>
      <c r="N64" s="480"/>
      <c r="O64" s="480"/>
      <c r="P64" s="480"/>
      <c r="Q64" s="517"/>
    </row>
    <row r="65" spans="1:17">
      <c r="A65" s="285"/>
      <c r="B65" s="508"/>
      <c r="C65" s="584" t="str">
        <f>"   Annual Revenue Requirement, with "&amp;F17&amp;" Basis Point ROE increase"</f>
        <v xml:space="preserve">   Annual Revenue Requirement, with 0 Basis Point ROE increase</v>
      </c>
      <c r="D65" s="496"/>
      <c r="E65" s="480"/>
      <c r="F65" s="576">
        <f>F58</f>
        <v>528866071.91909486</v>
      </c>
      <c r="G65" s="576"/>
      <c r="H65" s="480"/>
      <c r="I65" s="575"/>
      <c r="J65" s="480"/>
      <c r="K65" s="517"/>
      <c r="L65" s="480"/>
      <c r="M65" s="480"/>
      <c r="N65" s="480"/>
      <c r="O65" s="480"/>
      <c r="P65" s="480"/>
      <c r="Q65" s="517"/>
    </row>
    <row r="66" spans="1:17">
      <c r="A66" s="285"/>
      <c r="B66" s="508"/>
      <c r="C66" s="584" t="str">
        <f>"   FCR with "&amp;F17&amp;" Basis Point increase in ROE"</f>
        <v xml:space="preserve">   FCR with 0 Basis Point increase in ROE</v>
      </c>
      <c r="D66" s="496"/>
      <c r="E66" s="480"/>
      <c r="F66" s="574">
        <f>F65/F64</f>
        <v>0.13771457026662695</v>
      </c>
      <c r="G66" s="574"/>
      <c r="H66" s="574"/>
      <c r="I66" s="575"/>
      <c r="J66" s="480"/>
      <c r="K66" s="517"/>
      <c r="L66" s="480"/>
      <c r="M66" s="480"/>
      <c r="N66" s="480"/>
      <c r="O66" s="480"/>
      <c r="P66" s="480"/>
      <c r="Q66" s="517"/>
    </row>
    <row r="67" spans="1:17">
      <c r="A67" s="285"/>
      <c r="B67" s="508"/>
      <c r="C67" s="323"/>
      <c r="D67" s="496"/>
      <c r="E67" s="480"/>
      <c r="F67" s="508"/>
      <c r="G67" s="508"/>
      <c r="H67" s="480"/>
      <c r="I67" s="575"/>
      <c r="J67" s="480"/>
      <c r="K67" s="517"/>
      <c r="L67" s="480"/>
      <c r="M67" s="480"/>
      <c r="N67" s="480"/>
      <c r="O67" s="480"/>
      <c r="P67" s="480"/>
      <c r="Q67" s="517"/>
    </row>
    <row r="68" spans="1:17">
      <c r="A68" s="285"/>
      <c r="B68" s="508"/>
      <c r="C68" s="584" t="str">
        <f>"   Annual Rev. Req, w / "&amp;F17&amp;" Basis Point ROE increase, less Dep."</f>
        <v xml:space="preserve">   Annual Rev. Req, w / 0 Basis Point ROE increase, less Dep.</v>
      </c>
      <c r="D68" s="496"/>
      <c r="E68" s="480"/>
      <c r="F68" s="576">
        <f>F60</f>
        <v>421961850.65220898</v>
      </c>
      <c r="G68" s="576"/>
      <c r="H68" s="480"/>
      <c r="I68" s="575"/>
      <c r="J68" s="480"/>
      <c r="K68" s="517"/>
      <c r="L68" s="480"/>
      <c r="M68" s="480"/>
      <c r="N68" s="480"/>
      <c r="O68" s="480"/>
      <c r="P68" s="480"/>
      <c r="Q68" s="517"/>
    </row>
    <row r="69" spans="1:17">
      <c r="A69" s="285"/>
      <c r="B69" s="508"/>
      <c r="C69" s="584" t="str">
        <f>"   FCR with "&amp;F17&amp;" Basis Point ROE increase, less Depreciation"</f>
        <v xml:space="preserve">   FCR with 0 Basis Point ROE increase, less Depreciation</v>
      </c>
      <c r="D69" s="496"/>
      <c r="E69" s="480"/>
      <c r="F69" s="574">
        <f>F68/F64</f>
        <v>0.10987714662923057</v>
      </c>
      <c r="G69" s="574"/>
      <c r="H69" s="480"/>
      <c r="I69" s="575"/>
      <c r="J69" s="480"/>
      <c r="K69" s="517"/>
      <c r="L69" s="480"/>
      <c r="M69" s="480"/>
      <c r="N69" s="480"/>
      <c r="O69" s="480"/>
      <c r="P69" s="480"/>
      <c r="Q69" s="517"/>
    </row>
    <row r="70" spans="1:17">
      <c r="A70" s="285"/>
      <c r="B70" s="508"/>
      <c r="C70" s="564" t="str">
        <f>"   FCR less Depreciation  (TCOS, ln "&amp;TCOS!B34&amp;")"</f>
        <v xml:space="preserve">   FCR less Depreciation  (TCOS, ln 10)</v>
      </c>
      <c r="D70" s="496"/>
      <c r="E70" s="480"/>
      <c r="F70" s="595">
        <f>TCOS!L34</f>
        <v>0.10987714662923057</v>
      </c>
      <c r="G70" s="595"/>
      <c r="H70" s="480"/>
      <c r="I70" s="575"/>
      <c r="J70" s="480"/>
      <c r="K70" s="517"/>
      <c r="L70" s="480"/>
      <c r="M70" s="480"/>
      <c r="N70" s="480"/>
      <c r="O70" s="480"/>
      <c r="P70" s="480"/>
      <c r="Q70" s="517"/>
    </row>
    <row r="71" spans="1:17">
      <c r="A71" s="285"/>
      <c r="B71" s="508"/>
      <c r="C71" s="1522" t="str">
        <f>"   Incremental FCR with "&amp;F17&amp;" Basis Point ROE increase, less Depreciation"</f>
        <v xml:space="preserve">   Incremental FCR with 0 Basis Point ROE increase, less Depreciation</v>
      </c>
      <c r="D71" s="1512"/>
      <c r="E71" s="480"/>
      <c r="F71" s="574">
        <f>F69-F70</f>
        <v>0</v>
      </c>
      <c r="G71" s="574"/>
      <c r="H71" s="480"/>
      <c r="I71" s="575"/>
      <c r="J71" s="480"/>
      <c r="K71" s="517"/>
      <c r="L71" s="480"/>
      <c r="M71" s="480"/>
      <c r="N71" s="480"/>
      <c r="O71" s="480"/>
      <c r="P71" s="480"/>
      <c r="Q71" s="517"/>
    </row>
    <row r="72" spans="1:17">
      <c r="A72" s="285"/>
      <c r="B72" s="508"/>
      <c r="C72" s="1512"/>
      <c r="D72" s="1512"/>
      <c r="E72" s="480"/>
      <c r="F72" s="574"/>
      <c r="G72" s="574"/>
      <c r="H72" s="480"/>
      <c r="I72" s="575"/>
      <c r="J72" s="480"/>
      <c r="K72" s="517"/>
      <c r="L72" s="480"/>
      <c r="M72" s="480"/>
      <c r="N72" s="480"/>
      <c r="O72" s="480"/>
      <c r="P72" s="480"/>
      <c r="Q72" s="517"/>
    </row>
    <row r="73" spans="1:17" ht="18.75">
      <c r="A73" s="285"/>
      <c r="B73" s="524" t="s">
        <v>173</v>
      </c>
      <c r="C73" s="523" t="s">
        <v>267</v>
      </c>
      <c r="D73" s="496"/>
      <c r="E73" s="480"/>
      <c r="F73" s="574"/>
      <c r="G73" s="574"/>
      <c r="H73" s="480"/>
      <c r="I73" s="575"/>
      <c r="J73" s="480"/>
      <c r="K73" s="517"/>
      <c r="L73" s="480"/>
      <c r="M73" s="480"/>
      <c r="N73" s="480"/>
      <c r="O73" s="480"/>
      <c r="P73" s="480"/>
      <c r="Q73" s="517"/>
    </row>
    <row r="74" spans="1:17">
      <c r="A74" s="285"/>
      <c r="B74" s="508"/>
      <c r="C74" s="584"/>
      <c r="D74" s="496"/>
      <c r="E74" s="480"/>
      <c r="F74" s="574"/>
      <c r="G74" s="574"/>
      <c r="H74" s="480"/>
      <c r="I74" s="575"/>
      <c r="J74" s="480"/>
      <c r="K74" s="517"/>
      <c r="L74" s="480"/>
      <c r="M74" s="480"/>
      <c r="N74" s="480"/>
      <c r="O74" s="480"/>
      <c r="P74" s="480"/>
      <c r="Q74" s="517"/>
    </row>
    <row r="75" spans="1:17">
      <c r="A75" s="285"/>
      <c r="B75" s="508"/>
      <c r="C75" s="584" t="str">
        <f>+"Average Transmission Plant Balance for "&amp;TCOS!L4&amp;" (TCOS, ln "&amp;TCOS!B68&amp;")"</f>
        <v>Average Transmission Plant Balance for 2024 (TCOS, ln 21)</v>
      </c>
      <c r="D75" s="496"/>
      <c r="E75" s="285"/>
      <c r="F75" s="285"/>
      <c r="G75" s="285"/>
      <c r="H75" s="575">
        <f>TCOS!L68</f>
        <v>4766251821.4599352</v>
      </c>
      <c r="I75" s="518"/>
      <c r="J75" s="480"/>
      <c r="K75" s="517"/>
      <c r="L75" s="480"/>
      <c r="M75" s="480"/>
      <c r="N75" s="480"/>
      <c r="O75" s="480"/>
      <c r="P75" s="480"/>
      <c r="Q75" s="517"/>
    </row>
    <row r="76" spans="1:17">
      <c r="A76" s="285"/>
      <c r="B76" s="508"/>
      <c r="C76" s="596" t="str">
        <f>"Annual Depreciation and Amortization Expense (TCOS, ln "&amp;TCOS!B174&amp;")"</f>
        <v>Annual Depreciation and Amortization Expense (TCOS, ln 100)</v>
      </c>
      <c r="D76" s="496"/>
      <c r="E76" s="480"/>
      <c r="F76" s="285"/>
      <c r="G76" s="285"/>
      <c r="H76" s="597">
        <f>TCOS!L174</f>
        <v>106904221.26688588</v>
      </c>
      <c r="I76" s="575"/>
      <c r="J76" s="480"/>
      <c r="K76" s="517"/>
      <c r="L76" s="480"/>
      <c r="M76" s="480"/>
      <c r="N76" s="480"/>
      <c r="O76" s="480"/>
      <c r="P76" s="480"/>
      <c r="Q76" s="517"/>
    </row>
    <row r="77" spans="1:17">
      <c r="A77" s="285"/>
      <c r="B77" s="508"/>
      <c r="C77" s="584" t="s">
        <v>268</v>
      </c>
      <c r="D77" s="496"/>
      <c r="E77" s="480"/>
      <c r="F77" s="285"/>
      <c r="G77" s="285"/>
      <c r="H77" s="574">
        <f>+H76/H75</f>
        <v>2.2429411049066306E-2</v>
      </c>
      <c r="I77" s="599"/>
      <c r="J77" s="480"/>
      <c r="K77" s="517"/>
      <c r="L77" s="480"/>
      <c r="M77" s="480"/>
      <c r="N77" s="480"/>
      <c r="O77" s="480"/>
      <c r="P77" s="480"/>
      <c r="Q77" s="517"/>
    </row>
    <row r="78" spans="1:17">
      <c r="A78" s="285"/>
      <c r="B78" s="508"/>
      <c r="C78" s="584" t="s">
        <v>269</v>
      </c>
      <c r="D78" s="496"/>
      <c r="E78" s="480"/>
      <c r="F78" s="285"/>
      <c r="G78" s="285"/>
      <c r="H78" s="599">
        <f>1/H77</f>
        <v>44.58431823343075</v>
      </c>
      <c r="I78" s="575"/>
      <c r="J78" s="480"/>
      <c r="K78" s="517"/>
      <c r="L78" s="480"/>
      <c r="M78" s="480"/>
      <c r="N78" s="480"/>
      <c r="O78" s="480"/>
      <c r="P78" s="480"/>
      <c r="Q78" s="517"/>
    </row>
    <row r="79" spans="1:17">
      <c r="A79" s="285"/>
      <c r="B79" s="508"/>
      <c r="C79" s="584" t="s">
        <v>270</v>
      </c>
      <c r="D79" s="496"/>
      <c r="E79" s="480"/>
      <c r="F79" s="285"/>
      <c r="G79" s="285"/>
      <c r="H79" s="600">
        <f>ROUND(H78,0)</f>
        <v>45</v>
      </c>
      <c r="I79" s="575"/>
      <c r="J79" s="480"/>
      <c r="K79" s="517"/>
      <c r="L79" s="480"/>
      <c r="M79" s="480"/>
      <c r="N79" s="480"/>
      <c r="O79" s="480"/>
      <c r="P79" s="480"/>
      <c r="Q79" s="517"/>
    </row>
    <row r="80" spans="1:17">
      <c r="A80" s="285"/>
      <c r="B80" s="508"/>
      <c r="C80" s="584"/>
      <c r="D80" s="496"/>
      <c r="E80" s="480"/>
      <c r="F80" s="285"/>
      <c r="G80" s="285"/>
      <c r="H80" s="600"/>
      <c r="I80" s="575"/>
      <c r="J80" s="480"/>
      <c r="K80" s="517"/>
      <c r="L80" s="480"/>
      <c r="M80" s="480"/>
      <c r="N80" s="480"/>
      <c r="O80" s="480"/>
      <c r="P80" s="480"/>
      <c r="Q80" s="517"/>
    </row>
    <row r="81" spans="1:17">
      <c r="A81" s="285"/>
      <c r="B81" s="362"/>
      <c r="C81" s="601"/>
      <c r="D81" s="602"/>
      <c r="E81" s="602"/>
      <c r="F81" s="602"/>
      <c r="G81" s="602"/>
      <c r="H81" s="598"/>
      <c r="I81" s="598"/>
      <c r="J81" s="603"/>
      <c r="K81" s="603"/>
      <c r="L81" s="603"/>
      <c r="M81" s="603"/>
      <c r="N81" s="603"/>
      <c r="O81" s="603"/>
      <c r="P81" s="480"/>
      <c r="Q81" s="603"/>
    </row>
    <row r="82" spans="1:17">
      <c r="A82" s="285"/>
      <c r="B82" s="285"/>
      <c r="C82" s="601"/>
      <c r="D82" s="602"/>
      <c r="E82" s="602"/>
      <c r="F82" s="602"/>
      <c r="G82" s="602"/>
      <c r="H82" s="598"/>
      <c r="I82" s="598"/>
      <c r="J82" s="603"/>
      <c r="K82" s="603"/>
      <c r="L82" s="603"/>
      <c r="M82" s="603"/>
      <c r="N82" s="603"/>
      <c r="O82" s="603"/>
      <c r="P82" s="480"/>
      <c r="Q82" s="603"/>
    </row>
    <row r="83" spans="1:17" ht="20.25">
      <c r="A83" s="604" t="s">
        <v>772</v>
      </c>
      <c r="B83" s="480"/>
      <c r="C83" s="584"/>
      <c r="D83" s="496"/>
      <c r="E83" s="480"/>
      <c r="F83" s="574"/>
      <c r="G83" s="574"/>
      <c r="H83" s="480"/>
      <c r="I83" s="575"/>
      <c r="J83" s="285"/>
      <c r="K83" s="271"/>
      <c r="L83" s="605"/>
      <c r="M83" s="605"/>
      <c r="N83" s="605"/>
      <c r="O83" s="520" t="str">
        <f>"Page "&amp;SUM(Q$3:Q83)&amp;" of "</f>
        <v xml:space="preserve">Page 2 of </v>
      </c>
      <c r="P83" s="521">
        <f>COUNT(Q$8:Q$58122)</f>
        <v>2</v>
      </c>
      <c r="Q83" s="690">
        <v>1</v>
      </c>
    </row>
    <row r="84" spans="1:17">
      <c r="A84" s="285"/>
      <c r="B84" s="480"/>
      <c r="C84" s="480"/>
      <c r="D84" s="496"/>
      <c r="E84" s="480"/>
      <c r="F84" s="480"/>
      <c r="G84" s="480"/>
      <c r="H84" s="480"/>
      <c r="I84" s="575"/>
      <c r="J84" s="480"/>
      <c r="K84" s="517"/>
      <c r="L84" s="480"/>
      <c r="M84" s="480"/>
      <c r="N84" s="480"/>
      <c r="O84" s="480"/>
      <c r="P84" s="480"/>
      <c r="Q84" s="517"/>
    </row>
    <row r="85" spans="1:17" ht="18">
      <c r="A85" s="285"/>
      <c r="B85" s="524" t="s">
        <v>174</v>
      </c>
      <c r="C85" s="606" t="s">
        <v>290</v>
      </c>
      <c r="D85" s="496"/>
      <c r="E85" s="480"/>
      <c r="F85" s="480"/>
      <c r="G85" s="480"/>
      <c r="H85" s="480"/>
      <c r="I85" s="575"/>
      <c r="J85" s="575"/>
      <c r="K85" s="598"/>
      <c r="L85" s="575"/>
      <c r="M85" s="575"/>
      <c r="N85" s="575"/>
      <c r="O85" s="575"/>
      <c r="P85" s="480"/>
      <c r="Q85" s="598"/>
    </row>
    <row r="86" spans="1:17" ht="18.75">
      <c r="A86" s="285"/>
      <c r="B86" s="524"/>
      <c r="C86" s="523"/>
      <c r="D86" s="496"/>
      <c r="E86" s="480"/>
      <c r="F86" s="480"/>
      <c r="G86" s="480"/>
      <c r="H86" s="480"/>
      <c r="I86" s="575"/>
      <c r="J86" s="575"/>
      <c r="K86" s="598"/>
      <c r="L86" s="575"/>
      <c r="M86" s="575"/>
      <c r="N86" s="575"/>
      <c r="O86" s="575"/>
      <c r="P86" s="480"/>
      <c r="Q86" s="598"/>
    </row>
    <row r="87" spans="1:17" ht="18.75">
      <c r="A87" s="285"/>
      <c r="B87" s="524"/>
      <c r="C87" s="523" t="s">
        <v>291</v>
      </c>
      <c r="D87" s="496"/>
      <c r="E87" s="480"/>
      <c r="F87" s="480"/>
      <c r="G87" s="480"/>
      <c r="H87" s="480"/>
      <c r="I87" s="575"/>
      <c r="J87" s="575"/>
      <c r="K87" s="598"/>
      <c r="L87" s="575"/>
      <c r="M87" s="575"/>
      <c r="N87" s="575"/>
      <c r="O87" s="575"/>
      <c r="P87" s="480"/>
      <c r="Q87" s="598"/>
    </row>
    <row r="88" spans="1:17" ht="15.75" thickBot="1">
      <c r="A88" s="285"/>
      <c r="B88" s="285"/>
      <c r="C88" s="347"/>
      <c r="D88" s="496"/>
      <c r="E88" s="480"/>
      <c r="F88" s="480"/>
      <c r="G88" s="480"/>
      <c r="H88" s="480"/>
      <c r="I88" s="575"/>
      <c r="J88" s="575"/>
      <c r="K88" s="598"/>
      <c r="L88" s="575"/>
      <c r="M88" s="575"/>
      <c r="N88" s="575"/>
      <c r="O88" s="575"/>
      <c r="P88" s="480"/>
      <c r="Q88" s="598"/>
    </row>
    <row r="89" spans="1:17" ht="15.75">
      <c r="A89" s="285"/>
      <c r="B89" s="285"/>
      <c r="C89" s="525" t="s">
        <v>292</v>
      </c>
      <c r="D89" s="496"/>
      <c r="E89" s="480"/>
      <c r="F89" s="480"/>
      <c r="G89" s="480"/>
      <c r="H89" s="786"/>
      <c r="I89" s="480" t="s">
        <v>271</v>
      </c>
      <c r="J89" s="480"/>
      <c r="K89" s="517"/>
      <c r="L89" s="691">
        <f>+J95</f>
        <v>2016</v>
      </c>
      <c r="M89" s="673" t="s">
        <v>254</v>
      </c>
      <c r="N89" s="673" t="s">
        <v>255</v>
      </c>
      <c r="O89" s="674" t="s">
        <v>256</v>
      </c>
      <c r="P89" s="480"/>
      <c r="Q89" s="517"/>
    </row>
    <row r="90" spans="1:17" ht="15.75">
      <c r="A90" s="285"/>
      <c r="B90" s="285"/>
      <c r="C90" s="525"/>
      <c r="D90" s="496"/>
      <c r="E90" s="480"/>
      <c r="F90" s="480"/>
      <c r="G90" s="285"/>
      <c r="H90" s="480"/>
      <c r="I90" s="610"/>
      <c r="J90" s="610"/>
      <c r="K90" s="611"/>
      <c r="L90" s="692" t="s">
        <v>455</v>
      </c>
      <c r="M90" s="693" t="e">
        <f>VLOOKUP(J95,C102:P161,10)</f>
        <v>#N/A</v>
      </c>
      <c r="N90" s="693" t="e">
        <f>VLOOKUP(J95,C102:P161,12)</f>
        <v>#N/A</v>
      </c>
      <c r="O90" s="694" t="e">
        <f>+N90-M90</f>
        <v>#N/A</v>
      </c>
      <c r="P90" s="480"/>
      <c r="Q90" s="611"/>
    </row>
    <row r="91" spans="1:17">
      <c r="A91" s="285"/>
      <c r="B91" s="285"/>
      <c r="C91" s="613" t="s">
        <v>293</v>
      </c>
      <c r="D91" s="797"/>
      <c r="E91" s="797"/>
      <c r="F91" s="797"/>
      <c r="G91" s="797"/>
      <c r="H91" s="797"/>
      <c r="I91" s="575"/>
      <c r="J91" s="575"/>
      <c r="K91" s="598"/>
      <c r="L91" s="692" t="s">
        <v>456</v>
      </c>
      <c r="M91" s="695" t="e">
        <f>VLOOKUP(J95,C102:P161,6)</f>
        <v>#N/A</v>
      </c>
      <c r="N91" s="695" t="e">
        <f>VLOOKUP(J95,C102:P161,7)</f>
        <v>#N/A</v>
      </c>
      <c r="O91" s="696" t="e">
        <f>+N91-M91</f>
        <v>#N/A</v>
      </c>
      <c r="P91" s="480"/>
      <c r="Q91" s="598"/>
    </row>
    <row r="92" spans="1:17" ht="13.5" thickBot="1">
      <c r="A92" s="285"/>
      <c r="B92" s="285"/>
      <c r="C92" s="615"/>
      <c r="D92" s="616"/>
      <c r="E92" s="600"/>
      <c r="F92" s="600"/>
      <c r="G92" s="600"/>
      <c r="H92" s="617"/>
      <c r="I92" s="575"/>
      <c r="J92" s="575"/>
      <c r="K92" s="598"/>
      <c r="L92" s="636" t="s">
        <v>457</v>
      </c>
      <c r="M92" s="697" t="e">
        <f>+M91-M90</f>
        <v>#N/A</v>
      </c>
      <c r="N92" s="697" t="e">
        <f>+N91-N90</f>
        <v>#N/A</v>
      </c>
      <c r="O92" s="698" t="e">
        <f>+O91-O90</f>
        <v>#N/A</v>
      </c>
      <c r="P92" s="480"/>
      <c r="Q92" s="598"/>
    </row>
    <row r="93" spans="1:17" ht="13.5" thickBot="1">
      <c r="A93" s="285"/>
      <c r="B93" s="285"/>
      <c r="C93" s="618"/>
      <c r="D93" s="619"/>
      <c r="E93" s="617"/>
      <c r="F93" s="617"/>
      <c r="G93" s="617"/>
      <c r="H93" s="617"/>
      <c r="I93" s="617"/>
      <c r="J93" s="617"/>
      <c r="K93" s="620"/>
      <c r="L93" s="617"/>
      <c r="M93" s="617"/>
      <c r="N93" s="617"/>
      <c r="O93" s="617"/>
      <c r="P93" s="508"/>
      <c r="Q93" s="620"/>
    </row>
    <row r="94" spans="1:17" ht="13.5" thickBot="1">
      <c r="A94" s="285"/>
      <c r="B94" s="285"/>
      <c r="C94" s="622" t="s">
        <v>294</v>
      </c>
      <c r="D94" s="623"/>
      <c r="E94" s="623"/>
      <c r="F94" s="623"/>
      <c r="G94" s="623"/>
      <c r="H94" s="623"/>
      <c r="I94" s="623"/>
      <c r="J94" s="623"/>
      <c r="K94" s="625"/>
      <c r="L94" s="480"/>
      <c r="M94" s="480"/>
      <c r="N94" s="480"/>
      <c r="O94" s="480"/>
      <c r="P94" s="626"/>
      <c r="Q94" s="625"/>
    </row>
    <row r="95" spans="1:17" ht="15">
      <c r="A95" s="670"/>
      <c r="B95" s="285"/>
      <c r="C95" s="628" t="s">
        <v>272</v>
      </c>
      <c r="D95" s="787"/>
      <c r="E95" s="584" t="s">
        <v>273</v>
      </c>
      <c r="F95" s="285"/>
      <c r="G95" s="285"/>
      <c r="H95" s="629"/>
      <c r="I95" s="629"/>
      <c r="J95" s="630">
        <v>2016</v>
      </c>
      <c r="K95" s="515"/>
      <c r="L95" s="1523" t="s">
        <v>274</v>
      </c>
      <c r="M95" s="1523"/>
      <c r="N95" s="1523"/>
      <c r="O95" s="1523"/>
      <c r="P95" s="517"/>
      <c r="Q95" s="515"/>
    </row>
    <row r="96" spans="1:17">
      <c r="A96" s="670"/>
      <c r="B96" s="285"/>
      <c r="C96" s="628" t="s">
        <v>275</v>
      </c>
      <c r="D96" s="798"/>
      <c r="E96" s="628" t="s">
        <v>276</v>
      </c>
      <c r="F96" s="629"/>
      <c r="G96" s="629"/>
      <c r="H96" s="285"/>
      <c r="I96" s="285"/>
      <c r="J96" s="791">
        <v>0</v>
      </c>
      <c r="K96" s="631"/>
      <c r="L96" s="598" t="s">
        <v>475</v>
      </c>
      <c r="M96" s="480"/>
      <c r="N96" s="480"/>
      <c r="O96" s="480"/>
      <c r="P96" s="517"/>
      <c r="Q96" s="631"/>
    </row>
    <row r="97" spans="1:17">
      <c r="A97" s="670"/>
      <c r="B97" s="285"/>
      <c r="C97" s="628" t="s">
        <v>277</v>
      </c>
      <c r="D97" s="789"/>
      <c r="E97" s="628" t="s">
        <v>278</v>
      </c>
      <c r="F97" s="629"/>
      <c r="G97" s="629"/>
      <c r="H97" s="285"/>
      <c r="I97" s="285"/>
      <c r="J97" s="632">
        <f>$F$70</f>
        <v>0.10987714662923057</v>
      </c>
      <c r="K97" s="633"/>
      <c r="L97" s="480" t="str">
        <f>"          INPUT TRUE-UP ARR (WITH &amp; WITHOUT INCENTIVES) FROM EACH PRIOR YEAR"</f>
        <v xml:space="preserve">          INPUT TRUE-UP ARR (WITH &amp; WITHOUT INCENTIVES) FROM EACH PRIOR YEAR</v>
      </c>
      <c r="M97" s="480"/>
      <c r="N97" s="480"/>
      <c r="O97" s="480"/>
      <c r="P97" s="517"/>
      <c r="Q97" s="633"/>
    </row>
    <row r="98" spans="1:17">
      <c r="A98" s="670"/>
      <c r="B98" s="285"/>
      <c r="C98" s="628" t="s">
        <v>279</v>
      </c>
      <c r="D98" s="634">
        <f>H79</f>
        <v>45</v>
      </c>
      <c r="E98" s="628" t="s">
        <v>280</v>
      </c>
      <c r="F98" s="629"/>
      <c r="G98" s="629"/>
      <c r="H98" s="285"/>
      <c r="I98" s="285"/>
      <c r="J98" s="632">
        <f>IF(H89="",J97,$F$69)</f>
        <v>0.10987714662923057</v>
      </c>
      <c r="K98" s="635"/>
      <c r="L98" s="480" t="s">
        <v>362</v>
      </c>
      <c r="M98" s="635"/>
      <c r="N98" s="635"/>
      <c r="O98" s="635"/>
      <c r="P98" s="517"/>
      <c r="Q98" s="635"/>
    </row>
    <row r="99" spans="1:17" ht="13.5" thickBot="1">
      <c r="A99" s="670"/>
      <c r="B99" s="285"/>
      <c r="C99" s="628" t="s">
        <v>281</v>
      </c>
      <c r="D99" s="790"/>
      <c r="E99" s="636" t="s">
        <v>282</v>
      </c>
      <c r="F99" s="637"/>
      <c r="G99" s="637"/>
      <c r="H99" s="638"/>
      <c r="I99" s="638"/>
      <c r="J99" s="614">
        <f>IF(D95=0,0,D95/D98)</f>
        <v>0</v>
      </c>
      <c r="K99" s="598"/>
      <c r="L99" s="598" t="s">
        <v>363</v>
      </c>
      <c r="M99" s="598"/>
      <c r="N99" s="598"/>
      <c r="O99" s="598"/>
      <c r="P99" s="517"/>
      <c r="Q99" s="598"/>
    </row>
    <row r="100" spans="1:17" ht="38.25">
      <c r="A100" s="470"/>
      <c r="B100" s="470"/>
      <c r="C100" s="639" t="s">
        <v>272</v>
      </c>
      <c r="D100" s="640" t="s">
        <v>283</v>
      </c>
      <c r="E100" s="641" t="s">
        <v>284</v>
      </c>
      <c r="F100" s="640" t="s">
        <v>285</v>
      </c>
      <c r="G100" s="640" t="s">
        <v>458</v>
      </c>
      <c r="H100" s="641" t="s">
        <v>356</v>
      </c>
      <c r="I100" s="642" t="s">
        <v>356</v>
      </c>
      <c r="J100" s="639" t="s">
        <v>295</v>
      </c>
      <c r="K100" s="643"/>
      <c r="L100" s="641" t="s">
        <v>358</v>
      </c>
      <c r="M100" s="641" t="s">
        <v>364</v>
      </c>
      <c r="N100" s="641" t="s">
        <v>358</v>
      </c>
      <c r="O100" s="641" t="s">
        <v>366</v>
      </c>
      <c r="P100" s="641" t="s">
        <v>286</v>
      </c>
      <c r="Q100" s="644"/>
    </row>
    <row r="101" spans="1:17" ht="13.5" thickBot="1">
      <c r="A101" s="285"/>
      <c r="B101" s="285"/>
      <c r="C101" s="645" t="s">
        <v>177</v>
      </c>
      <c r="D101" s="646" t="s">
        <v>178</v>
      </c>
      <c r="E101" s="645" t="s">
        <v>37</v>
      </c>
      <c r="F101" s="646" t="s">
        <v>178</v>
      </c>
      <c r="G101" s="646" t="s">
        <v>178</v>
      </c>
      <c r="H101" s="647" t="s">
        <v>298</v>
      </c>
      <c r="I101" s="648" t="s">
        <v>300</v>
      </c>
      <c r="J101" s="649" t="s">
        <v>389</v>
      </c>
      <c r="K101" s="650"/>
      <c r="L101" s="647" t="s">
        <v>287</v>
      </c>
      <c r="M101" s="647" t="s">
        <v>287</v>
      </c>
      <c r="N101" s="647" t="s">
        <v>467</v>
      </c>
      <c r="O101" s="647" t="s">
        <v>467</v>
      </c>
      <c r="P101" s="647" t="s">
        <v>467</v>
      </c>
      <c r="Q101" s="515"/>
    </row>
    <row r="102" spans="1:17">
      <c r="A102" s="285"/>
      <c r="B102" s="285"/>
      <c r="C102" s="651" t="str">
        <f>IF(D96= "","-",D96)</f>
        <v>-</v>
      </c>
      <c r="D102" s="602">
        <f>+D95</f>
        <v>0</v>
      </c>
      <c r="E102" s="652">
        <f>+J99/12*(12-D97)</f>
        <v>0</v>
      </c>
      <c r="F102" s="699">
        <f t="shared" ref="F102:F133" si="0">+D102-E102</f>
        <v>0</v>
      </c>
      <c r="G102" s="602">
        <f t="shared" ref="G102:G133" si="1">+(D102+F102)/2</f>
        <v>0</v>
      </c>
      <c r="H102" s="653">
        <f>+J97*G102+E102</f>
        <v>0</v>
      </c>
      <c r="I102" s="654">
        <f>+J98*G102+E102</f>
        <v>0</v>
      </c>
      <c r="J102" s="655">
        <f t="shared" ref="J102:J133" si="2">+I102-H102</f>
        <v>0</v>
      </c>
      <c r="K102" s="655"/>
      <c r="L102" s="656"/>
      <c r="M102" s="700">
        <f t="shared" ref="M102:M133" si="3">IF(L102&lt;&gt;0,+H102-L102,0)</f>
        <v>0</v>
      </c>
      <c r="N102" s="656"/>
      <c r="O102" s="700">
        <f t="shared" ref="O102:O133" si="4">IF(N102&lt;&gt;0,+I102-N102,0)</f>
        <v>0</v>
      </c>
      <c r="P102" s="700">
        <f t="shared" ref="P102:P133" si="5">+O102-M102</f>
        <v>0</v>
      </c>
      <c r="Q102" s="603"/>
    </row>
    <row r="103" spans="1:17">
      <c r="A103" s="285"/>
      <c r="B103" s="285"/>
      <c r="C103" s="651" t="str">
        <f>IF(D96="","-",+C102+1)</f>
        <v>-</v>
      </c>
      <c r="D103" s="602">
        <f t="shared" ref="D103:D134" si="6">F102</f>
        <v>0</v>
      </c>
      <c r="E103" s="658">
        <f t="shared" ref="E103:E134" si="7">IF(D103&gt;$J$99,$J$99,D103)</f>
        <v>0</v>
      </c>
      <c r="F103" s="658">
        <f t="shared" si="0"/>
        <v>0</v>
      </c>
      <c r="G103" s="602">
        <f t="shared" si="1"/>
        <v>0</v>
      </c>
      <c r="H103" s="652">
        <f>+J97*G103+E103</f>
        <v>0</v>
      </c>
      <c r="I103" s="659">
        <f>+J98*G103+E103</f>
        <v>0</v>
      </c>
      <c r="J103" s="655">
        <f t="shared" si="2"/>
        <v>0</v>
      </c>
      <c r="K103" s="655"/>
      <c r="L103" s="660"/>
      <c r="M103" s="655">
        <f t="shared" si="3"/>
        <v>0</v>
      </c>
      <c r="N103" s="660"/>
      <c r="O103" s="655">
        <f t="shared" si="4"/>
        <v>0</v>
      </c>
      <c r="P103" s="655">
        <f t="shared" si="5"/>
        <v>0</v>
      </c>
      <c r="Q103" s="603"/>
    </row>
    <row r="104" spans="1:17">
      <c r="A104" s="285"/>
      <c r="B104" s="285"/>
      <c r="C104" s="651" t="str">
        <f>IF(D96="","-",+C103+1)</f>
        <v>-</v>
      </c>
      <c r="D104" s="602">
        <f t="shared" si="6"/>
        <v>0</v>
      </c>
      <c r="E104" s="658">
        <f t="shared" si="7"/>
        <v>0</v>
      </c>
      <c r="F104" s="658">
        <f t="shared" si="0"/>
        <v>0</v>
      </c>
      <c r="G104" s="602">
        <f t="shared" si="1"/>
        <v>0</v>
      </c>
      <c r="H104" s="652">
        <f>+J97*G104+E104</f>
        <v>0</v>
      </c>
      <c r="I104" s="659">
        <f>+J98*G104+E104</f>
        <v>0</v>
      </c>
      <c r="J104" s="655">
        <f t="shared" si="2"/>
        <v>0</v>
      </c>
      <c r="K104" s="655"/>
      <c r="L104" s="660"/>
      <c r="M104" s="655">
        <f t="shared" si="3"/>
        <v>0</v>
      </c>
      <c r="N104" s="660"/>
      <c r="O104" s="655">
        <f t="shared" si="4"/>
        <v>0</v>
      </c>
      <c r="P104" s="655">
        <f t="shared" si="5"/>
        <v>0</v>
      </c>
      <c r="Q104" s="603"/>
    </row>
    <row r="105" spans="1:17">
      <c r="A105" s="285"/>
      <c r="B105" s="285"/>
      <c r="C105" s="651" t="str">
        <f>IF(D96="","-",+C104+1)</f>
        <v>-</v>
      </c>
      <c r="D105" s="602">
        <f t="shared" si="6"/>
        <v>0</v>
      </c>
      <c r="E105" s="658">
        <f t="shared" si="7"/>
        <v>0</v>
      </c>
      <c r="F105" s="658">
        <f t="shared" si="0"/>
        <v>0</v>
      </c>
      <c r="G105" s="602">
        <f t="shared" si="1"/>
        <v>0</v>
      </c>
      <c r="H105" s="652">
        <f>+J97*G105+E105</f>
        <v>0</v>
      </c>
      <c r="I105" s="659">
        <f>+J98*G105+E105</f>
        <v>0</v>
      </c>
      <c r="J105" s="655">
        <f t="shared" si="2"/>
        <v>0</v>
      </c>
      <c r="K105" s="655"/>
      <c r="L105" s="660"/>
      <c r="M105" s="655">
        <f t="shared" si="3"/>
        <v>0</v>
      </c>
      <c r="N105" s="660"/>
      <c r="O105" s="655">
        <f t="shared" si="4"/>
        <v>0</v>
      </c>
      <c r="P105" s="655">
        <f t="shared" si="5"/>
        <v>0</v>
      </c>
      <c r="Q105" s="603"/>
    </row>
    <row r="106" spans="1:17">
      <c r="A106" s="285"/>
      <c r="B106" s="285"/>
      <c r="C106" s="651" t="str">
        <f>IF(D96="","-",+C105+1)</f>
        <v>-</v>
      </c>
      <c r="D106" s="602">
        <f t="shared" si="6"/>
        <v>0</v>
      </c>
      <c r="E106" s="658">
        <f t="shared" si="7"/>
        <v>0</v>
      </c>
      <c r="F106" s="658">
        <f t="shared" si="0"/>
        <v>0</v>
      </c>
      <c r="G106" s="602">
        <f t="shared" si="1"/>
        <v>0</v>
      </c>
      <c r="H106" s="652">
        <f>+J97*G106+E106</f>
        <v>0</v>
      </c>
      <c r="I106" s="659">
        <f>+J98*G106+E106</f>
        <v>0</v>
      </c>
      <c r="J106" s="655">
        <f t="shared" si="2"/>
        <v>0</v>
      </c>
      <c r="K106" s="655"/>
      <c r="L106" s="660"/>
      <c r="M106" s="655">
        <f t="shared" si="3"/>
        <v>0</v>
      </c>
      <c r="N106" s="660"/>
      <c r="O106" s="655">
        <f t="shared" si="4"/>
        <v>0</v>
      </c>
      <c r="P106" s="655">
        <f t="shared" si="5"/>
        <v>0</v>
      </c>
      <c r="Q106" s="603"/>
    </row>
    <row r="107" spans="1:17">
      <c r="A107" s="285"/>
      <c r="B107" s="285"/>
      <c r="C107" s="651" t="str">
        <f>IF(D96="","-",+C106+1)</f>
        <v>-</v>
      </c>
      <c r="D107" s="602">
        <f t="shared" si="6"/>
        <v>0</v>
      </c>
      <c r="E107" s="658">
        <f t="shared" si="7"/>
        <v>0</v>
      </c>
      <c r="F107" s="658">
        <f t="shared" si="0"/>
        <v>0</v>
      </c>
      <c r="G107" s="602">
        <f t="shared" si="1"/>
        <v>0</v>
      </c>
      <c r="H107" s="652">
        <f>+J97*G107+E107</f>
        <v>0</v>
      </c>
      <c r="I107" s="659">
        <f>+J98*G107+E107</f>
        <v>0</v>
      </c>
      <c r="J107" s="655">
        <f t="shared" si="2"/>
        <v>0</v>
      </c>
      <c r="K107" s="655"/>
      <c r="L107" s="660"/>
      <c r="M107" s="655">
        <f t="shared" si="3"/>
        <v>0</v>
      </c>
      <c r="N107" s="660"/>
      <c r="O107" s="655">
        <f t="shared" si="4"/>
        <v>0</v>
      </c>
      <c r="P107" s="655">
        <f t="shared" si="5"/>
        <v>0</v>
      </c>
      <c r="Q107" s="603"/>
    </row>
    <row r="108" spans="1:17">
      <c r="A108" s="285"/>
      <c r="B108" s="285"/>
      <c r="C108" s="651" t="str">
        <f>IF(D96="","-",+C107+1)</f>
        <v>-</v>
      </c>
      <c r="D108" s="602">
        <f t="shared" si="6"/>
        <v>0</v>
      </c>
      <c r="E108" s="658">
        <f t="shared" si="7"/>
        <v>0</v>
      </c>
      <c r="F108" s="658">
        <f t="shared" si="0"/>
        <v>0</v>
      </c>
      <c r="G108" s="602">
        <f t="shared" si="1"/>
        <v>0</v>
      </c>
      <c r="H108" s="652">
        <f>+J97*G108+E108</f>
        <v>0</v>
      </c>
      <c r="I108" s="659">
        <f>+J98*G108+E108</f>
        <v>0</v>
      </c>
      <c r="J108" s="655">
        <f t="shared" si="2"/>
        <v>0</v>
      </c>
      <c r="K108" s="655"/>
      <c r="L108" s="660"/>
      <c r="M108" s="655">
        <f t="shared" si="3"/>
        <v>0</v>
      </c>
      <c r="N108" s="660"/>
      <c r="O108" s="655">
        <f t="shared" si="4"/>
        <v>0</v>
      </c>
      <c r="P108" s="655">
        <f t="shared" si="5"/>
        <v>0</v>
      </c>
      <c r="Q108" s="603"/>
    </row>
    <row r="109" spans="1:17">
      <c r="A109" s="285"/>
      <c r="B109" s="285"/>
      <c r="C109" s="651" t="str">
        <f>IF(D96="","-",+C108+1)</f>
        <v>-</v>
      </c>
      <c r="D109" s="602">
        <f t="shared" si="6"/>
        <v>0</v>
      </c>
      <c r="E109" s="658">
        <f t="shared" si="7"/>
        <v>0</v>
      </c>
      <c r="F109" s="658">
        <f t="shared" si="0"/>
        <v>0</v>
      </c>
      <c r="G109" s="602">
        <f t="shared" si="1"/>
        <v>0</v>
      </c>
      <c r="H109" s="652">
        <f>+J97*G109+E109</f>
        <v>0</v>
      </c>
      <c r="I109" s="659">
        <f>+J98*G109+E109</f>
        <v>0</v>
      </c>
      <c r="J109" s="655">
        <f t="shared" si="2"/>
        <v>0</v>
      </c>
      <c r="K109" s="655"/>
      <c r="L109" s="660"/>
      <c r="M109" s="655">
        <f t="shared" si="3"/>
        <v>0</v>
      </c>
      <c r="N109" s="660"/>
      <c r="O109" s="655">
        <f t="shared" si="4"/>
        <v>0</v>
      </c>
      <c r="P109" s="655">
        <f t="shared" si="5"/>
        <v>0</v>
      </c>
      <c r="Q109" s="603"/>
    </row>
    <row r="110" spans="1:17">
      <c r="A110" s="285"/>
      <c r="B110" s="285"/>
      <c r="C110" s="651" t="str">
        <f>IF(D96="","-",+C109+1)</f>
        <v>-</v>
      </c>
      <c r="D110" s="602">
        <f t="shared" si="6"/>
        <v>0</v>
      </c>
      <c r="E110" s="658">
        <f t="shared" si="7"/>
        <v>0</v>
      </c>
      <c r="F110" s="658">
        <f t="shared" si="0"/>
        <v>0</v>
      </c>
      <c r="G110" s="602">
        <f t="shared" si="1"/>
        <v>0</v>
      </c>
      <c r="H110" s="652">
        <f>+J97*G110+E110</f>
        <v>0</v>
      </c>
      <c r="I110" s="659">
        <f>+J98*G110+E110</f>
        <v>0</v>
      </c>
      <c r="J110" s="655">
        <f t="shared" si="2"/>
        <v>0</v>
      </c>
      <c r="K110" s="655"/>
      <c r="L110" s="660"/>
      <c r="M110" s="655">
        <f t="shared" si="3"/>
        <v>0</v>
      </c>
      <c r="N110" s="660"/>
      <c r="O110" s="655">
        <f t="shared" si="4"/>
        <v>0</v>
      </c>
      <c r="P110" s="655">
        <f t="shared" si="5"/>
        <v>0</v>
      </c>
      <c r="Q110" s="603"/>
    </row>
    <row r="111" spans="1:17">
      <c r="A111" s="285"/>
      <c r="B111" s="285"/>
      <c r="C111" s="651" t="str">
        <f>IF(D96="","-",+C110+1)</f>
        <v>-</v>
      </c>
      <c r="D111" s="602">
        <f t="shared" si="6"/>
        <v>0</v>
      </c>
      <c r="E111" s="658">
        <f t="shared" si="7"/>
        <v>0</v>
      </c>
      <c r="F111" s="658">
        <f t="shared" si="0"/>
        <v>0</v>
      </c>
      <c r="G111" s="602">
        <f t="shared" si="1"/>
        <v>0</v>
      </c>
      <c r="H111" s="652">
        <f>+J97*G111+E111</f>
        <v>0</v>
      </c>
      <c r="I111" s="659">
        <f>+J98*G111+E111</f>
        <v>0</v>
      </c>
      <c r="J111" s="655">
        <f t="shared" si="2"/>
        <v>0</v>
      </c>
      <c r="K111" s="655"/>
      <c r="L111" s="660"/>
      <c r="M111" s="655">
        <f t="shared" si="3"/>
        <v>0</v>
      </c>
      <c r="N111" s="660"/>
      <c r="O111" s="655">
        <f t="shared" si="4"/>
        <v>0</v>
      </c>
      <c r="P111" s="655">
        <f t="shared" si="5"/>
        <v>0</v>
      </c>
      <c r="Q111" s="603"/>
    </row>
    <row r="112" spans="1:17">
      <c r="A112" s="285"/>
      <c r="B112" s="285"/>
      <c r="C112" s="651" t="str">
        <f>IF(D96="","-",+C111+1)</f>
        <v>-</v>
      </c>
      <c r="D112" s="602">
        <f t="shared" si="6"/>
        <v>0</v>
      </c>
      <c r="E112" s="658">
        <f t="shared" si="7"/>
        <v>0</v>
      </c>
      <c r="F112" s="658">
        <f t="shared" si="0"/>
        <v>0</v>
      </c>
      <c r="G112" s="602">
        <f t="shared" si="1"/>
        <v>0</v>
      </c>
      <c r="H112" s="652">
        <f>+J97*G112+E112</f>
        <v>0</v>
      </c>
      <c r="I112" s="659">
        <f>+J98*G112+E112</f>
        <v>0</v>
      </c>
      <c r="J112" s="655">
        <f t="shared" si="2"/>
        <v>0</v>
      </c>
      <c r="K112" s="655"/>
      <c r="L112" s="660"/>
      <c r="M112" s="655">
        <f t="shared" si="3"/>
        <v>0</v>
      </c>
      <c r="N112" s="660"/>
      <c r="O112" s="655">
        <f t="shared" si="4"/>
        <v>0</v>
      </c>
      <c r="P112" s="655">
        <f t="shared" si="5"/>
        <v>0</v>
      </c>
      <c r="Q112" s="603"/>
    </row>
    <row r="113" spans="1:17">
      <c r="A113" s="285"/>
      <c r="B113" s="285"/>
      <c r="C113" s="651" t="str">
        <f>IF(D96="","-",+C112+1)</f>
        <v>-</v>
      </c>
      <c r="D113" s="602">
        <f t="shared" si="6"/>
        <v>0</v>
      </c>
      <c r="E113" s="658">
        <f t="shared" si="7"/>
        <v>0</v>
      </c>
      <c r="F113" s="658">
        <f t="shared" si="0"/>
        <v>0</v>
      </c>
      <c r="G113" s="602">
        <f t="shared" si="1"/>
        <v>0</v>
      </c>
      <c r="H113" s="652">
        <f>+J97*G113+E113</f>
        <v>0</v>
      </c>
      <c r="I113" s="659">
        <f>+J98*G113+E113</f>
        <v>0</v>
      </c>
      <c r="J113" s="655">
        <f t="shared" si="2"/>
        <v>0</v>
      </c>
      <c r="K113" s="655"/>
      <c r="L113" s="660"/>
      <c r="M113" s="655">
        <f t="shared" si="3"/>
        <v>0</v>
      </c>
      <c r="N113" s="660"/>
      <c r="O113" s="655">
        <f t="shared" si="4"/>
        <v>0</v>
      </c>
      <c r="P113" s="655">
        <f t="shared" si="5"/>
        <v>0</v>
      </c>
      <c r="Q113" s="603"/>
    </row>
    <row r="114" spans="1:17">
      <c r="A114" s="285"/>
      <c r="B114" s="285"/>
      <c r="C114" s="651" t="str">
        <f>IF(D96="","-",+C113+1)</f>
        <v>-</v>
      </c>
      <c r="D114" s="602">
        <f t="shared" si="6"/>
        <v>0</v>
      </c>
      <c r="E114" s="658">
        <f t="shared" si="7"/>
        <v>0</v>
      </c>
      <c r="F114" s="658">
        <f t="shared" si="0"/>
        <v>0</v>
      </c>
      <c r="G114" s="602">
        <f t="shared" si="1"/>
        <v>0</v>
      </c>
      <c r="H114" s="652">
        <f>+J97*G114+E114</f>
        <v>0</v>
      </c>
      <c r="I114" s="659">
        <f>+J98*G114+E114</f>
        <v>0</v>
      </c>
      <c r="J114" s="655">
        <f t="shared" si="2"/>
        <v>0</v>
      </c>
      <c r="K114" s="655"/>
      <c r="L114" s="660"/>
      <c r="M114" s="655">
        <f t="shared" si="3"/>
        <v>0</v>
      </c>
      <c r="N114" s="660"/>
      <c r="O114" s="655">
        <f t="shared" si="4"/>
        <v>0</v>
      </c>
      <c r="P114" s="655">
        <f t="shared" si="5"/>
        <v>0</v>
      </c>
      <c r="Q114" s="603"/>
    </row>
    <row r="115" spans="1:17">
      <c r="A115" s="285"/>
      <c r="B115" s="285"/>
      <c r="C115" s="651" t="str">
        <f>IF(D96="","-",+C114+1)</f>
        <v>-</v>
      </c>
      <c r="D115" s="602">
        <f t="shared" si="6"/>
        <v>0</v>
      </c>
      <c r="E115" s="658">
        <f t="shared" si="7"/>
        <v>0</v>
      </c>
      <c r="F115" s="658">
        <f t="shared" si="0"/>
        <v>0</v>
      </c>
      <c r="G115" s="602">
        <f t="shared" si="1"/>
        <v>0</v>
      </c>
      <c r="H115" s="652">
        <f>+J97*G115+E115</f>
        <v>0</v>
      </c>
      <c r="I115" s="659">
        <f>+J98*G115+E115</f>
        <v>0</v>
      </c>
      <c r="J115" s="655">
        <f t="shared" si="2"/>
        <v>0</v>
      </c>
      <c r="K115" s="655"/>
      <c r="L115" s="660"/>
      <c r="M115" s="655">
        <f t="shared" si="3"/>
        <v>0</v>
      </c>
      <c r="N115" s="660"/>
      <c r="O115" s="655">
        <f t="shared" si="4"/>
        <v>0</v>
      </c>
      <c r="P115" s="655">
        <f t="shared" si="5"/>
        <v>0</v>
      </c>
      <c r="Q115" s="603"/>
    </row>
    <row r="116" spans="1:17">
      <c r="A116" s="285"/>
      <c r="B116" s="285"/>
      <c r="C116" s="651" t="str">
        <f>IF(D96="","-",+C115+1)</f>
        <v>-</v>
      </c>
      <c r="D116" s="602">
        <f t="shared" si="6"/>
        <v>0</v>
      </c>
      <c r="E116" s="658">
        <f t="shared" si="7"/>
        <v>0</v>
      </c>
      <c r="F116" s="658">
        <f t="shared" si="0"/>
        <v>0</v>
      </c>
      <c r="G116" s="602">
        <f t="shared" si="1"/>
        <v>0</v>
      </c>
      <c r="H116" s="652">
        <f>+J97*G116+E116</f>
        <v>0</v>
      </c>
      <c r="I116" s="659">
        <f>+J98*G116+E116</f>
        <v>0</v>
      </c>
      <c r="J116" s="655">
        <f t="shared" si="2"/>
        <v>0</v>
      </c>
      <c r="K116" s="655"/>
      <c r="L116" s="660"/>
      <c r="M116" s="655">
        <f t="shared" si="3"/>
        <v>0</v>
      </c>
      <c r="N116" s="660"/>
      <c r="O116" s="655">
        <f t="shared" si="4"/>
        <v>0</v>
      </c>
      <c r="P116" s="655">
        <f t="shared" si="5"/>
        <v>0</v>
      </c>
      <c r="Q116" s="603"/>
    </row>
    <row r="117" spans="1:17">
      <c r="A117" s="285"/>
      <c r="B117" s="285"/>
      <c r="C117" s="651" t="str">
        <f>IF(D96="","-",+C116+1)</f>
        <v>-</v>
      </c>
      <c r="D117" s="602">
        <f t="shared" si="6"/>
        <v>0</v>
      </c>
      <c r="E117" s="658">
        <f t="shared" si="7"/>
        <v>0</v>
      </c>
      <c r="F117" s="658">
        <f t="shared" si="0"/>
        <v>0</v>
      </c>
      <c r="G117" s="602">
        <f t="shared" si="1"/>
        <v>0</v>
      </c>
      <c r="H117" s="652">
        <f>+J97*G117+E117</f>
        <v>0</v>
      </c>
      <c r="I117" s="659">
        <f>+J98*G117+E117</f>
        <v>0</v>
      </c>
      <c r="J117" s="655">
        <f t="shared" si="2"/>
        <v>0</v>
      </c>
      <c r="K117" s="655"/>
      <c r="L117" s="660"/>
      <c r="M117" s="655">
        <f t="shared" si="3"/>
        <v>0</v>
      </c>
      <c r="N117" s="660"/>
      <c r="O117" s="655">
        <f t="shared" si="4"/>
        <v>0</v>
      </c>
      <c r="P117" s="655">
        <f t="shared" si="5"/>
        <v>0</v>
      </c>
      <c r="Q117" s="603"/>
    </row>
    <row r="118" spans="1:17">
      <c r="A118" s="285"/>
      <c r="B118" s="285"/>
      <c r="C118" s="651" t="str">
        <f>IF(D96="","-",+C117+1)</f>
        <v>-</v>
      </c>
      <c r="D118" s="602">
        <f t="shared" si="6"/>
        <v>0</v>
      </c>
      <c r="E118" s="658">
        <f t="shared" si="7"/>
        <v>0</v>
      </c>
      <c r="F118" s="658">
        <f t="shared" si="0"/>
        <v>0</v>
      </c>
      <c r="G118" s="602">
        <f t="shared" si="1"/>
        <v>0</v>
      </c>
      <c r="H118" s="652">
        <f>+J97*G118+E118</f>
        <v>0</v>
      </c>
      <c r="I118" s="659">
        <f>+J98*G118+E118</f>
        <v>0</v>
      </c>
      <c r="J118" s="655">
        <f t="shared" si="2"/>
        <v>0</v>
      </c>
      <c r="K118" s="655"/>
      <c r="L118" s="660"/>
      <c r="M118" s="655">
        <f t="shared" si="3"/>
        <v>0</v>
      </c>
      <c r="N118" s="660"/>
      <c r="O118" s="655">
        <f t="shared" si="4"/>
        <v>0</v>
      </c>
      <c r="P118" s="655">
        <f t="shared" si="5"/>
        <v>0</v>
      </c>
      <c r="Q118" s="603"/>
    </row>
    <row r="119" spans="1:17">
      <c r="A119" s="285"/>
      <c r="B119" s="285"/>
      <c r="C119" s="651" t="str">
        <f>IF(D96="","-",+C118+1)</f>
        <v>-</v>
      </c>
      <c r="D119" s="602">
        <f t="shared" si="6"/>
        <v>0</v>
      </c>
      <c r="E119" s="658">
        <f t="shared" si="7"/>
        <v>0</v>
      </c>
      <c r="F119" s="658">
        <f t="shared" si="0"/>
        <v>0</v>
      </c>
      <c r="G119" s="602">
        <f t="shared" si="1"/>
        <v>0</v>
      </c>
      <c r="H119" s="652">
        <f>+J97*G119+E119</f>
        <v>0</v>
      </c>
      <c r="I119" s="659">
        <f>+J98*G119+E119</f>
        <v>0</v>
      </c>
      <c r="J119" s="655">
        <f t="shared" si="2"/>
        <v>0</v>
      </c>
      <c r="K119" s="655"/>
      <c r="L119" s="660"/>
      <c r="M119" s="655">
        <f t="shared" si="3"/>
        <v>0</v>
      </c>
      <c r="N119" s="660"/>
      <c r="O119" s="655">
        <f t="shared" si="4"/>
        <v>0</v>
      </c>
      <c r="P119" s="655">
        <f t="shared" si="5"/>
        <v>0</v>
      </c>
      <c r="Q119" s="603"/>
    </row>
    <row r="120" spans="1:17">
      <c r="A120" s="285"/>
      <c r="B120" s="285"/>
      <c r="C120" s="651" t="str">
        <f>IF(D96="","-",+C119+1)</f>
        <v>-</v>
      </c>
      <c r="D120" s="602">
        <f t="shared" si="6"/>
        <v>0</v>
      </c>
      <c r="E120" s="658">
        <f t="shared" si="7"/>
        <v>0</v>
      </c>
      <c r="F120" s="658">
        <f t="shared" si="0"/>
        <v>0</v>
      </c>
      <c r="G120" s="602">
        <f t="shared" si="1"/>
        <v>0</v>
      </c>
      <c r="H120" s="652">
        <f>+J97*G120+E120</f>
        <v>0</v>
      </c>
      <c r="I120" s="659">
        <f>+J98*G120+E120</f>
        <v>0</v>
      </c>
      <c r="J120" s="655">
        <f t="shared" si="2"/>
        <v>0</v>
      </c>
      <c r="K120" s="655"/>
      <c r="L120" s="660"/>
      <c r="M120" s="655">
        <f t="shared" si="3"/>
        <v>0</v>
      </c>
      <c r="N120" s="660"/>
      <c r="O120" s="655">
        <f t="shared" si="4"/>
        <v>0</v>
      </c>
      <c r="P120" s="655">
        <f t="shared" si="5"/>
        <v>0</v>
      </c>
      <c r="Q120" s="603"/>
    </row>
    <row r="121" spans="1:17">
      <c r="A121" s="285"/>
      <c r="B121" s="285"/>
      <c r="C121" s="651" t="str">
        <f>IF(D96="","-",+C120+1)</f>
        <v>-</v>
      </c>
      <c r="D121" s="602">
        <f t="shared" si="6"/>
        <v>0</v>
      </c>
      <c r="E121" s="658">
        <f t="shared" si="7"/>
        <v>0</v>
      </c>
      <c r="F121" s="658">
        <f t="shared" si="0"/>
        <v>0</v>
      </c>
      <c r="G121" s="602">
        <f t="shared" si="1"/>
        <v>0</v>
      </c>
      <c r="H121" s="652">
        <f>+J97*G121+E121</f>
        <v>0</v>
      </c>
      <c r="I121" s="659">
        <f>+J98*G121+E121</f>
        <v>0</v>
      </c>
      <c r="J121" s="655">
        <f t="shared" si="2"/>
        <v>0</v>
      </c>
      <c r="K121" s="655"/>
      <c r="L121" s="660"/>
      <c r="M121" s="655">
        <f t="shared" si="3"/>
        <v>0</v>
      </c>
      <c r="N121" s="660"/>
      <c r="O121" s="655">
        <f t="shared" si="4"/>
        <v>0</v>
      </c>
      <c r="P121" s="655">
        <f t="shared" si="5"/>
        <v>0</v>
      </c>
      <c r="Q121" s="603"/>
    </row>
    <row r="122" spans="1:17">
      <c r="A122" s="285"/>
      <c r="B122" s="285"/>
      <c r="C122" s="651" t="str">
        <f>IF(D96="","-",+C121+1)</f>
        <v>-</v>
      </c>
      <c r="D122" s="602">
        <f t="shared" si="6"/>
        <v>0</v>
      </c>
      <c r="E122" s="658">
        <f t="shared" si="7"/>
        <v>0</v>
      </c>
      <c r="F122" s="658">
        <f t="shared" si="0"/>
        <v>0</v>
      </c>
      <c r="G122" s="602">
        <f t="shared" si="1"/>
        <v>0</v>
      </c>
      <c r="H122" s="652">
        <f>+J97*G122+E122</f>
        <v>0</v>
      </c>
      <c r="I122" s="659">
        <f>+J98*G122+E122</f>
        <v>0</v>
      </c>
      <c r="J122" s="655">
        <f t="shared" si="2"/>
        <v>0</v>
      </c>
      <c r="K122" s="655"/>
      <c r="L122" s="660"/>
      <c r="M122" s="655">
        <f t="shared" si="3"/>
        <v>0</v>
      </c>
      <c r="N122" s="660"/>
      <c r="O122" s="655">
        <f t="shared" si="4"/>
        <v>0</v>
      </c>
      <c r="P122" s="655">
        <f t="shared" si="5"/>
        <v>0</v>
      </c>
      <c r="Q122" s="603"/>
    </row>
    <row r="123" spans="1:17">
      <c r="A123" s="285"/>
      <c r="B123" s="285"/>
      <c r="C123" s="651" t="str">
        <f>IF(D96="","-",+C122+1)</f>
        <v>-</v>
      </c>
      <c r="D123" s="602">
        <f t="shared" si="6"/>
        <v>0</v>
      </c>
      <c r="E123" s="658">
        <f t="shared" si="7"/>
        <v>0</v>
      </c>
      <c r="F123" s="658">
        <f t="shared" si="0"/>
        <v>0</v>
      </c>
      <c r="G123" s="602">
        <f t="shared" si="1"/>
        <v>0</v>
      </c>
      <c r="H123" s="652">
        <f>+J97*G123+E123</f>
        <v>0</v>
      </c>
      <c r="I123" s="659">
        <f>+J98*G123+E123</f>
        <v>0</v>
      </c>
      <c r="J123" s="655">
        <f t="shared" si="2"/>
        <v>0</v>
      </c>
      <c r="K123" s="655"/>
      <c r="L123" s="660"/>
      <c r="M123" s="655">
        <f t="shared" si="3"/>
        <v>0</v>
      </c>
      <c r="N123" s="660"/>
      <c r="O123" s="655">
        <f t="shared" si="4"/>
        <v>0</v>
      </c>
      <c r="P123" s="655">
        <f t="shared" si="5"/>
        <v>0</v>
      </c>
      <c r="Q123" s="603"/>
    </row>
    <row r="124" spans="1:17">
      <c r="A124" s="285"/>
      <c r="B124" s="285"/>
      <c r="C124" s="651" t="str">
        <f>IF(D96="","-",+C123+1)</f>
        <v>-</v>
      </c>
      <c r="D124" s="602">
        <f t="shared" si="6"/>
        <v>0</v>
      </c>
      <c r="E124" s="658">
        <f t="shared" si="7"/>
        <v>0</v>
      </c>
      <c r="F124" s="658">
        <f t="shared" si="0"/>
        <v>0</v>
      </c>
      <c r="G124" s="602">
        <f t="shared" si="1"/>
        <v>0</v>
      </c>
      <c r="H124" s="652">
        <f>+J97*G124+E124</f>
        <v>0</v>
      </c>
      <c r="I124" s="659">
        <f>+J98*G124+E124</f>
        <v>0</v>
      </c>
      <c r="J124" s="655">
        <f t="shared" si="2"/>
        <v>0</v>
      </c>
      <c r="K124" s="655"/>
      <c r="L124" s="660"/>
      <c r="M124" s="655">
        <f t="shared" si="3"/>
        <v>0</v>
      </c>
      <c r="N124" s="660"/>
      <c r="O124" s="655">
        <f t="shared" si="4"/>
        <v>0</v>
      </c>
      <c r="P124" s="655">
        <f t="shared" si="5"/>
        <v>0</v>
      </c>
      <c r="Q124" s="603"/>
    </row>
    <row r="125" spans="1:17">
      <c r="A125" s="285"/>
      <c r="B125" s="285"/>
      <c r="C125" s="651" t="str">
        <f>IF(D96="","-",+C124+1)</f>
        <v>-</v>
      </c>
      <c r="D125" s="602">
        <f t="shared" si="6"/>
        <v>0</v>
      </c>
      <c r="E125" s="658">
        <f t="shared" si="7"/>
        <v>0</v>
      </c>
      <c r="F125" s="658">
        <f t="shared" si="0"/>
        <v>0</v>
      </c>
      <c r="G125" s="602">
        <f t="shared" si="1"/>
        <v>0</v>
      </c>
      <c r="H125" s="652">
        <f>+J97*G125+E125</f>
        <v>0</v>
      </c>
      <c r="I125" s="659">
        <f>+J98*G125+E125</f>
        <v>0</v>
      </c>
      <c r="J125" s="655">
        <f t="shared" si="2"/>
        <v>0</v>
      </c>
      <c r="K125" s="655"/>
      <c r="L125" s="660"/>
      <c r="M125" s="655">
        <f t="shared" si="3"/>
        <v>0</v>
      </c>
      <c r="N125" s="660"/>
      <c r="O125" s="655">
        <f t="shared" si="4"/>
        <v>0</v>
      </c>
      <c r="P125" s="655">
        <f t="shared" si="5"/>
        <v>0</v>
      </c>
      <c r="Q125" s="603"/>
    </row>
    <row r="126" spans="1:17">
      <c r="A126" s="285"/>
      <c r="B126" s="285"/>
      <c r="C126" s="651" t="str">
        <f>IF(D96="","-",+C125+1)</f>
        <v>-</v>
      </c>
      <c r="D126" s="602">
        <f t="shared" si="6"/>
        <v>0</v>
      </c>
      <c r="E126" s="658">
        <f t="shared" si="7"/>
        <v>0</v>
      </c>
      <c r="F126" s="658">
        <f t="shared" si="0"/>
        <v>0</v>
      </c>
      <c r="G126" s="602">
        <f t="shared" si="1"/>
        <v>0</v>
      </c>
      <c r="H126" s="652">
        <f>+J97*G126+E126</f>
        <v>0</v>
      </c>
      <c r="I126" s="659">
        <f>+J98*G126+E126</f>
        <v>0</v>
      </c>
      <c r="J126" s="655">
        <f t="shared" si="2"/>
        <v>0</v>
      </c>
      <c r="K126" s="655"/>
      <c r="L126" s="660"/>
      <c r="M126" s="655">
        <f t="shared" si="3"/>
        <v>0</v>
      </c>
      <c r="N126" s="660"/>
      <c r="O126" s="655">
        <f t="shared" si="4"/>
        <v>0</v>
      </c>
      <c r="P126" s="655">
        <f t="shared" si="5"/>
        <v>0</v>
      </c>
      <c r="Q126" s="603"/>
    </row>
    <row r="127" spans="1:17">
      <c r="A127" s="285"/>
      <c r="B127" s="285"/>
      <c r="C127" s="651" t="str">
        <f>IF(D96="","-",+C126+1)</f>
        <v>-</v>
      </c>
      <c r="D127" s="602">
        <f t="shared" si="6"/>
        <v>0</v>
      </c>
      <c r="E127" s="658">
        <f t="shared" si="7"/>
        <v>0</v>
      </c>
      <c r="F127" s="658">
        <f t="shared" si="0"/>
        <v>0</v>
      </c>
      <c r="G127" s="602">
        <f t="shared" si="1"/>
        <v>0</v>
      </c>
      <c r="H127" s="652">
        <f>+J97*G127+E127</f>
        <v>0</v>
      </c>
      <c r="I127" s="659">
        <f>+J98*G127+E127</f>
        <v>0</v>
      </c>
      <c r="J127" s="655">
        <f t="shared" si="2"/>
        <v>0</v>
      </c>
      <c r="K127" s="655"/>
      <c r="L127" s="660"/>
      <c r="M127" s="655">
        <f t="shared" si="3"/>
        <v>0</v>
      </c>
      <c r="N127" s="660"/>
      <c r="O127" s="655">
        <f t="shared" si="4"/>
        <v>0</v>
      </c>
      <c r="P127" s="655">
        <f t="shared" si="5"/>
        <v>0</v>
      </c>
      <c r="Q127" s="603"/>
    </row>
    <row r="128" spans="1:17">
      <c r="A128" s="285"/>
      <c r="B128" s="285"/>
      <c r="C128" s="651" t="str">
        <f>IF(D96="","-",+C127+1)</f>
        <v>-</v>
      </c>
      <c r="D128" s="602">
        <f t="shared" si="6"/>
        <v>0</v>
      </c>
      <c r="E128" s="658">
        <f t="shared" si="7"/>
        <v>0</v>
      </c>
      <c r="F128" s="658">
        <f t="shared" si="0"/>
        <v>0</v>
      </c>
      <c r="G128" s="602">
        <f t="shared" si="1"/>
        <v>0</v>
      </c>
      <c r="H128" s="652">
        <f>+J97*G128+E128</f>
        <v>0</v>
      </c>
      <c r="I128" s="659">
        <f>+J98*G128+E128</f>
        <v>0</v>
      </c>
      <c r="J128" s="655">
        <f t="shared" si="2"/>
        <v>0</v>
      </c>
      <c r="K128" s="655"/>
      <c r="L128" s="660"/>
      <c r="M128" s="655">
        <f t="shared" si="3"/>
        <v>0</v>
      </c>
      <c r="N128" s="660"/>
      <c r="O128" s="655">
        <f t="shared" si="4"/>
        <v>0</v>
      </c>
      <c r="P128" s="655">
        <f t="shared" si="5"/>
        <v>0</v>
      </c>
      <c r="Q128" s="603"/>
    </row>
    <row r="129" spans="1:17">
      <c r="A129" s="285"/>
      <c r="B129" s="285"/>
      <c r="C129" s="651" t="str">
        <f>IF(D96="","-",+C128+1)</f>
        <v>-</v>
      </c>
      <c r="D129" s="602">
        <f t="shared" si="6"/>
        <v>0</v>
      </c>
      <c r="E129" s="658">
        <f t="shared" si="7"/>
        <v>0</v>
      </c>
      <c r="F129" s="658">
        <f t="shared" si="0"/>
        <v>0</v>
      </c>
      <c r="G129" s="602">
        <f t="shared" si="1"/>
        <v>0</v>
      </c>
      <c r="H129" s="652">
        <f>+J97*G129+E129</f>
        <v>0</v>
      </c>
      <c r="I129" s="659">
        <f>+J98*G129+E129</f>
        <v>0</v>
      </c>
      <c r="J129" s="655">
        <f t="shared" si="2"/>
        <v>0</v>
      </c>
      <c r="K129" s="655"/>
      <c r="L129" s="660"/>
      <c r="M129" s="655">
        <f t="shared" si="3"/>
        <v>0</v>
      </c>
      <c r="N129" s="660"/>
      <c r="O129" s="655">
        <f t="shared" si="4"/>
        <v>0</v>
      </c>
      <c r="P129" s="655">
        <f t="shared" si="5"/>
        <v>0</v>
      </c>
      <c r="Q129" s="603"/>
    </row>
    <row r="130" spans="1:17">
      <c r="A130" s="285"/>
      <c r="B130" s="285"/>
      <c r="C130" s="651" t="str">
        <f>IF(D96="","-",+C129+1)</f>
        <v>-</v>
      </c>
      <c r="D130" s="602">
        <f t="shared" si="6"/>
        <v>0</v>
      </c>
      <c r="E130" s="658">
        <f t="shared" si="7"/>
        <v>0</v>
      </c>
      <c r="F130" s="658">
        <f t="shared" si="0"/>
        <v>0</v>
      </c>
      <c r="G130" s="602">
        <f t="shared" si="1"/>
        <v>0</v>
      </c>
      <c r="H130" s="652">
        <f>+J97*G130+E130</f>
        <v>0</v>
      </c>
      <c r="I130" s="659">
        <f>+J98*G130+E130</f>
        <v>0</v>
      </c>
      <c r="J130" s="655">
        <f t="shared" si="2"/>
        <v>0</v>
      </c>
      <c r="K130" s="655"/>
      <c r="L130" s="660"/>
      <c r="M130" s="655">
        <f t="shared" si="3"/>
        <v>0</v>
      </c>
      <c r="N130" s="660"/>
      <c r="O130" s="655">
        <f t="shared" si="4"/>
        <v>0</v>
      </c>
      <c r="P130" s="655">
        <f t="shared" si="5"/>
        <v>0</v>
      </c>
      <c r="Q130" s="603"/>
    </row>
    <row r="131" spans="1:17">
      <c r="A131" s="285"/>
      <c r="B131" s="285"/>
      <c r="C131" s="651" t="str">
        <f>IF(D96="","-",+C130+1)</f>
        <v>-</v>
      </c>
      <c r="D131" s="602">
        <f t="shared" si="6"/>
        <v>0</v>
      </c>
      <c r="E131" s="658">
        <f t="shared" si="7"/>
        <v>0</v>
      </c>
      <c r="F131" s="658">
        <f t="shared" si="0"/>
        <v>0</v>
      </c>
      <c r="G131" s="602">
        <f t="shared" si="1"/>
        <v>0</v>
      </c>
      <c r="H131" s="652">
        <f>+J97*G131+E131</f>
        <v>0</v>
      </c>
      <c r="I131" s="659">
        <f>+J98*G131+E131</f>
        <v>0</v>
      </c>
      <c r="J131" s="655">
        <f t="shared" si="2"/>
        <v>0</v>
      </c>
      <c r="K131" s="655"/>
      <c r="L131" s="660"/>
      <c r="M131" s="655">
        <f t="shared" si="3"/>
        <v>0</v>
      </c>
      <c r="N131" s="660"/>
      <c r="O131" s="655">
        <f t="shared" si="4"/>
        <v>0</v>
      </c>
      <c r="P131" s="655">
        <f t="shared" si="5"/>
        <v>0</v>
      </c>
      <c r="Q131" s="603"/>
    </row>
    <row r="132" spans="1:17">
      <c r="A132" s="285"/>
      <c r="B132" s="285"/>
      <c r="C132" s="651" t="str">
        <f>IF(D96="","-",+C131+1)</f>
        <v>-</v>
      </c>
      <c r="D132" s="602">
        <f t="shared" si="6"/>
        <v>0</v>
      </c>
      <c r="E132" s="658">
        <f t="shared" si="7"/>
        <v>0</v>
      </c>
      <c r="F132" s="658">
        <f t="shared" si="0"/>
        <v>0</v>
      </c>
      <c r="G132" s="602">
        <f t="shared" si="1"/>
        <v>0</v>
      </c>
      <c r="H132" s="652">
        <f>+J97*G132+E132</f>
        <v>0</v>
      </c>
      <c r="I132" s="659">
        <f>+J98*G132+E132</f>
        <v>0</v>
      </c>
      <c r="J132" s="655">
        <f t="shared" si="2"/>
        <v>0</v>
      </c>
      <c r="K132" s="655"/>
      <c r="L132" s="660"/>
      <c r="M132" s="655">
        <f t="shared" si="3"/>
        <v>0</v>
      </c>
      <c r="N132" s="660"/>
      <c r="O132" s="655">
        <f t="shared" si="4"/>
        <v>0</v>
      </c>
      <c r="P132" s="655">
        <f t="shared" si="5"/>
        <v>0</v>
      </c>
      <c r="Q132" s="603"/>
    </row>
    <row r="133" spans="1:17">
      <c r="A133" s="285"/>
      <c r="B133" s="285"/>
      <c r="C133" s="651" t="str">
        <f>IF(D96="","-",+C132+1)</f>
        <v>-</v>
      </c>
      <c r="D133" s="602">
        <f t="shared" si="6"/>
        <v>0</v>
      </c>
      <c r="E133" s="658">
        <f t="shared" si="7"/>
        <v>0</v>
      </c>
      <c r="F133" s="658">
        <f t="shared" si="0"/>
        <v>0</v>
      </c>
      <c r="G133" s="602">
        <f t="shared" si="1"/>
        <v>0</v>
      </c>
      <c r="H133" s="652">
        <f>+J97*G133+E133</f>
        <v>0</v>
      </c>
      <c r="I133" s="659">
        <f>+J98*G133+E133</f>
        <v>0</v>
      </c>
      <c r="J133" s="655">
        <f t="shared" si="2"/>
        <v>0</v>
      </c>
      <c r="K133" s="655"/>
      <c r="L133" s="660"/>
      <c r="M133" s="655">
        <f t="shared" si="3"/>
        <v>0</v>
      </c>
      <c r="N133" s="660"/>
      <c r="O133" s="655">
        <f t="shared" si="4"/>
        <v>0</v>
      </c>
      <c r="P133" s="655">
        <f t="shared" si="5"/>
        <v>0</v>
      </c>
      <c r="Q133" s="603"/>
    </row>
    <row r="134" spans="1:17">
      <c r="A134" s="285"/>
      <c r="B134" s="285"/>
      <c r="C134" s="651" t="str">
        <f>IF(D96="","-",+C133+1)</f>
        <v>-</v>
      </c>
      <c r="D134" s="602">
        <f t="shared" si="6"/>
        <v>0</v>
      </c>
      <c r="E134" s="658">
        <f t="shared" si="7"/>
        <v>0</v>
      </c>
      <c r="F134" s="658">
        <f t="shared" ref="F134:F161" si="8">+D134-E134</f>
        <v>0</v>
      </c>
      <c r="G134" s="602">
        <f t="shared" ref="G134:G161" si="9">+(D134+F134)/2</f>
        <v>0</v>
      </c>
      <c r="H134" s="652">
        <f>+J97*G134+E134</f>
        <v>0</v>
      </c>
      <c r="I134" s="659">
        <f>+J98*G134+E134</f>
        <v>0</v>
      </c>
      <c r="J134" s="655">
        <f t="shared" ref="J134:J161" si="10">+I134-H134</f>
        <v>0</v>
      </c>
      <c r="K134" s="655"/>
      <c r="L134" s="660"/>
      <c r="M134" s="655">
        <f t="shared" ref="M134:M161" si="11">IF(L134&lt;&gt;0,+H134-L134,0)</f>
        <v>0</v>
      </c>
      <c r="N134" s="660"/>
      <c r="O134" s="655">
        <f t="shared" ref="O134:O161" si="12">IF(N134&lt;&gt;0,+I134-N134,0)</f>
        <v>0</v>
      </c>
      <c r="P134" s="655">
        <f t="shared" ref="P134:P161" si="13">+O134-M134</f>
        <v>0</v>
      </c>
      <c r="Q134" s="603"/>
    </row>
    <row r="135" spans="1:17">
      <c r="A135" s="285"/>
      <c r="B135" s="285"/>
      <c r="C135" s="651" t="str">
        <f>IF(D96="","-",+C134+1)</f>
        <v>-</v>
      </c>
      <c r="D135" s="602">
        <f t="shared" ref="D135:D161" si="14">F134</f>
        <v>0</v>
      </c>
      <c r="E135" s="658">
        <f t="shared" ref="E135:E161" si="15">IF(D135&gt;$J$99,$J$99,D135)</f>
        <v>0</v>
      </c>
      <c r="F135" s="658">
        <f t="shared" si="8"/>
        <v>0</v>
      </c>
      <c r="G135" s="602">
        <f t="shared" si="9"/>
        <v>0</v>
      </c>
      <c r="H135" s="652">
        <f>+J97*G135+E135</f>
        <v>0</v>
      </c>
      <c r="I135" s="659">
        <f>+J98*G135+E135</f>
        <v>0</v>
      </c>
      <c r="J135" s="655">
        <f t="shared" si="10"/>
        <v>0</v>
      </c>
      <c r="K135" s="655"/>
      <c r="L135" s="660"/>
      <c r="M135" s="655">
        <f t="shared" si="11"/>
        <v>0</v>
      </c>
      <c r="N135" s="660"/>
      <c r="O135" s="655">
        <f t="shared" si="12"/>
        <v>0</v>
      </c>
      <c r="P135" s="655">
        <f t="shared" si="13"/>
        <v>0</v>
      </c>
      <c r="Q135" s="603"/>
    </row>
    <row r="136" spans="1:17">
      <c r="A136" s="285"/>
      <c r="B136" s="285"/>
      <c r="C136" s="651" t="str">
        <f>IF(D96="","-",+C135+1)</f>
        <v>-</v>
      </c>
      <c r="D136" s="602">
        <f t="shared" si="14"/>
        <v>0</v>
      </c>
      <c r="E136" s="658">
        <f t="shared" si="15"/>
        <v>0</v>
      </c>
      <c r="F136" s="658">
        <f t="shared" si="8"/>
        <v>0</v>
      </c>
      <c r="G136" s="602">
        <f t="shared" si="9"/>
        <v>0</v>
      </c>
      <c r="H136" s="652">
        <f>+J97*G136+E136</f>
        <v>0</v>
      </c>
      <c r="I136" s="659">
        <f>+J98*G136+E136</f>
        <v>0</v>
      </c>
      <c r="J136" s="655">
        <f t="shared" si="10"/>
        <v>0</v>
      </c>
      <c r="K136" s="655"/>
      <c r="L136" s="660"/>
      <c r="M136" s="655">
        <f t="shared" si="11"/>
        <v>0</v>
      </c>
      <c r="N136" s="660"/>
      <c r="O136" s="655">
        <f t="shared" si="12"/>
        <v>0</v>
      </c>
      <c r="P136" s="655">
        <f t="shared" si="13"/>
        <v>0</v>
      </c>
      <c r="Q136" s="603"/>
    </row>
    <row r="137" spans="1:17">
      <c r="A137" s="285"/>
      <c r="B137" s="285"/>
      <c r="C137" s="651" t="str">
        <f>IF(D96="","-",+C136+1)</f>
        <v>-</v>
      </c>
      <c r="D137" s="602">
        <f t="shared" si="14"/>
        <v>0</v>
      </c>
      <c r="E137" s="658">
        <f t="shared" si="15"/>
        <v>0</v>
      </c>
      <c r="F137" s="658">
        <f t="shared" si="8"/>
        <v>0</v>
      </c>
      <c r="G137" s="602">
        <f t="shared" si="9"/>
        <v>0</v>
      </c>
      <c r="H137" s="652">
        <f>+J97*G137+E137</f>
        <v>0</v>
      </c>
      <c r="I137" s="659">
        <f>+J98*G137+E137</f>
        <v>0</v>
      </c>
      <c r="J137" s="655">
        <f t="shared" si="10"/>
        <v>0</v>
      </c>
      <c r="K137" s="655"/>
      <c r="L137" s="660"/>
      <c r="M137" s="655">
        <f t="shared" si="11"/>
        <v>0</v>
      </c>
      <c r="N137" s="660"/>
      <c r="O137" s="655">
        <f t="shared" si="12"/>
        <v>0</v>
      </c>
      <c r="P137" s="655">
        <f t="shared" si="13"/>
        <v>0</v>
      </c>
      <c r="Q137" s="603"/>
    </row>
    <row r="138" spans="1:17">
      <c r="A138" s="285"/>
      <c r="B138" s="285"/>
      <c r="C138" s="651" t="str">
        <f>IF(D96="","-",+C137+1)</f>
        <v>-</v>
      </c>
      <c r="D138" s="602">
        <f t="shared" si="14"/>
        <v>0</v>
      </c>
      <c r="E138" s="658">
        <f t="shared" si="15"/>
        <v>0</v>
      </c>
      <c r="F138" s="658">
        <f t="shared" si="8"/>
        <v>0</v>
      </c>
      <c r="G138" s="602">
        <f t="shared" si="9"/>
        <v>0</v>
      </c>
      <c r="H138" s="652">
        <f>+J97*G138+E138</f>
        <v>0</v>
      </c>
      <c r="I138" s="659">
        <f>+J98*G138+E138</f>
        <v>0</v>
      </c>
      <c r="J138" s="655">
        <f t="shared" si="10"/>
        <v>0</v>
      </c>
      <c r="K138" s="655"/>
      <c r="L138" s="660"/>
      <c r="M138" s="655">
        <f t="shared" si="11"/>
        <v>0</v>
      </c>
      <c r="N138" s="660"/>
      <c r="O138" s="655">
        <f t="shared" si="12"/>
        <v>0</v>
      </c>
      <c r="P138" s="655">
        <f t="shared" si="13"/>
        <v>0</v>
      </c>
      <c r="Q138" s="603"/>
    </row>
    <row r="139" spans="1:17">
      <c r="A139" s="285"/>
      <c r="B139" s="285"/>
      <c r="C139" s="651" t="str">
        <f>IF(D96="","-",+C138+1)</f>
        <v>-</v>
      </c>
      <c r="D139" s="602">
        <f t="shared" si="14"/>
        <v>0</v>
      </c>
      <c r="E139" s="658">
        <f t="shared" si="15"/>
        <v>0</v>
      </c>
      <c r="F139" s="658">
        <f t="shared" si="8"/>
        <v>0</v>
      </c>
      <c r="G139" s="602">
        <f t="shared" si="9"/>
        <v>0</v>
      </c>
      <c r="H139" s="652">
        <f>+J97*G139+E139</f>
        <v>0</v>
      </c>
      <c r="I139" s="659">
        <f>+J98*G139+E139</f>
        <v>0</v>
      </c>
      <c r="J139" s="655">
        <f t="shared" si="10"/>
        <v>0</v>
      </c>
      <c r="K139" s="655"/>
      <c r="L139" s="660"/>
      <c r="M139" s="655">
        <f t="shared" si="11"/>
        <v>0</v>
      </c>
      <c r="N139" s="660"/>
      <c r="O139" s="655">
        <f t="shared" si="12"/>
        <v>0</v>
      </c>
      <c r="P139" s="655">
        <f t="shared" si="13"/>
        <v>0</v>
      </c>
      <c r="Q139" s="603"/>
    </row>
    <row r="140" spans="1:17">
      <c r="A140" s="285"/>
      <c r="B140" s="285"/>
      <c r="C140" s="651" t="str">
        <f>IF(D96="","-",+C139+1)</f>
        <v>-</v>
      </c>
      <c r="D140" s="602">
        <f t="shared" si="14"/>
        <v>0</v>
      </c>
      <c r="E140" s="658">
        <f t="shared" si="15"/>
        <v>0</v>
      </c>
      <c r="F140" s="658">
        <f t="shared" si="8"/>
        <v>0</v>
      </c>
      <c r="G140" s="602">
        <f t="shared" si="9"/>
        <v>0</v>
      </c>
      <c r="H140" s="652">
        <f>+J97*G140+E140</f>
        <v>0</v>
      </c>
      <c r="I140" s="659">
        <f>+J98*G140+E140</f>
        <v>0</v>
      </c>
      <c r="J140" s="655">
        <f t="shared" si="10"/>
        <v>0</v>
      </c>
      <c r="K140" s="655"/>
      <c r="L140" s="660"/>
      <c r="M140" s="655">
        <f t="shared" si="11"/>
        <v>0</v>
      </c>
      <c r="N140" s="660"/>
      <c r="O140" s="655">
        <f t="shared" si="12"/>
        <v>0</v>
      </c>
      <c r="P140" s="655">
        <f t="shared" si="13"/>
        <v>0</v>
      </c>
      <c r="Q140" s="603"/>
    </row>
    <row r="141" spans="1:17">
      <c r="A141" s="285"/>
      <c r="B141" s="285"/>
      <c r="C141" s="651" t="str">
        <f>IF(D96="","-",+C140+1)</f>
        <v>-</v>
      </c>
      <c r="D141" s="602">
        <f t="shared" si="14"/>
        <v>0</v>
      </c>
      <c r="E141" s="658">
        <f t="shared" si="15"/>
        <v>0</v>
      </c>
      <c r="F141" s="658">
        <f t="shared" si="8"/>
        <v>0</v>
      </c>
      <c r="G141" s="602">
        <f t="shared" si="9"/>
        <v>0</v>
      </c>
      <c r="H141" s="652">
        <f>+J97*G141+E141</f>
        <v>0</v>
      </c>
      <c r="I141" s="659">
        <f>+J98*G141+E141</f>
        <v>0</v>
      </c>
      <c r="J141" s="655">
        <f t="shared" si="10"/>
        <v>0</v>
      </c>
      <c r="K141" s="655"/>
      <c r="L141" s="660"/>
      <c r="M141" s="655">
        <f t="shared" si="11"/>
        <v>0</v>
      </c>
      <c r="N141" s="660"/>
      <c r="O141" s="655">
        <f t="shared" si="12"/>
        <v>0</v>
      </c>
      <c r="P141" s="655">
        <f t="shared" si="13"/>
        <v>0</v>
      </c>
      <c r="Q141" s="603"/>
    </row>
    <row r="142" spans="1:17">
      <c r="A142" s="285"/>
      <c r="B142" s="285"/>
      <c r="C142" s="651" t="str">
        <f>IF(D96="","-",+C141+1)</f>
        <v>-</v>
      </c>
      <c r="D142" s="602">
        <f t="shared" si="14"/>
        <v>0</v>
      </c>
      <c r="E142" s="658">
        <f t="shared" si="15"/>
        <v>0</v>
      </c>
      <c r="F142" s="658">
        <f t="shared" si="8"/>
        <v>0</v>
      </c>
      <c r="G142" s="602">
        <f t="shared" si="9"/>
        <v>0</v>
      </c>
      <c r="H142" s="652">
        <f>+J97*G142+E142</f>
        <v>0</v>
      </c>
      <c r="I142" s="659">
        <f>+J98*G142+E142</f>
        <v>0</v>
      </c>
      <c r="J142" s="655">
        <f t="shared" si="10"/>
        <v>0</v>
      </c>
      <c r="K142" s="655"/>
      <c r="L142" s="660"/>
      <c r="M142" s="655">
        <f t="shared" si="11"/>
        <v>0</v>
      </c>
      <c r="N142" s="660"/>
      <c r="O142" s="655">
        <f t="shared" si="12"/>
        <v>0</v>
      </c>
      <c r="P142" s="655">
        <f t="shared" si="13"/>
        <v>0</v>
      </c>
      <c r="Q142" s="603"/>
    </row>
    <row r="143" spans="1:17">
      <c r="A143" s="285"/>
      <c r="B143" s="285"/>
      <c r="C143" s="651" t="str">
        <f>IF(D96="","-",+C142+1)</f>
        <v>-</v>
      </c>
      <c r="D143" s="602">
        <f t="shared" si="14"/>
        <v>0</v>
      </c>
      <c r="E143" s="658">
        <f t="shared" si="15"/>
        <v>0</v>
      </c>
      <c r="F143" s="658">
        <f t="shared" si="8"/>
        <v>0</v>
      </c>
      <c r="G143" s="602">
        <f t="shared" si="9"/>
        <v>0</v>
      </c>
      <c r="H143" s="652">
        <f>+J97*G143+E143</f>
        <v>0</v>
      </c>
      <c r="I143" s="659">
        <f>+J98*G143+E143</f>
        <v>0</v>
      </c>
      <c r="J143" s="655">
        <f t="shared" si="10"/>
        <v>0</v>
      </c>
      <c r="K143" s="655"/>
      <c r="L143" s="660"/>
      <c r="M143" s="655">
        <f t="shared" si="11"/>
        <v>0</v>
      </c>
      <c r="N143" s="660"/>
      <c r="O143" s="655">
        <f t="shared" si="12"/>
        <v>0</v>
      </c>
      <c r="P143" s="655">
        <f t="shared" si="13"/>
        <v>0</v>
      </c>
      <c r="Q143" s="603"/>
    </row>
    <row r="144" spans="1:17">
      <c r="A144" s="285"/>
      <c r="B144" s="285"/>
      <c r="C144" s="651" t="str">
        <f>IF(D96="","-",+C143+1)</f>
        <v>-</v>
      </c>
      <c r="D144" s="602">
        <f t="shared" si="14"/>
        <v>0</v>
      </c>
      <c r="E144" s="658">
        <f t="shared" si="15"/>
        <v>0</v>
      </c>
      <c r="F144" s="658">
        <f t="shared" si="8"/>
        <v>0</v>
      </c>
      <c r="G144" s="602">
        <f t="shared" si="9"/>
        <v>0</v>
      </c>
      <c r="H144" s="652">
        <f>+J97*G144+E144</f>
        <v>0</v>
      </c>
      <c r="I144" s="659">
        <f>+J98*G144+E144</f>
        <v>0</v>
      </c>
      <c r="J144" s="655">
        <f t="shared" si="10"/>
        <v>0</v>
      </c>
      <c r="K144" s="655"/>
      <c r="L144" s="660"/>
      <c r="M144" s="655">
        <f t="shared" si="11"/>
        <v>0</v>
      </c>
      <c r="N144" s="660"/>
      <c r="O144" s="655">
        <f t="shared" si="12"/>
        <v>0</v>
      </c>
      <c r="P144" s="655">
        <f t="shared" si="13"/>
        <v>0</v>
      </c>
      <c r="Q144" s="603"/>
    </row>
    <row r="145" spans="1:17">
      <c r="A145" s="285"/>
      <c r="B145" s="285"/>
      <c r="C145" s="651" t="str">
        <f>IF(D96="","-",+C144+1)</f>
        <v>-</v>
      </c>
      <c r="D145" s="602">
        <f t="shared" si="14"/>
        <v>0</v>
      </c>
      <c r="E145" s="658">
        <f t="shared" si="15"/>
        <v>0</v>
      </c>
      <c r="F145" s="658">
        <f t="shared" si="8"/>
        <v>0</v>
      </c>
      <c r="G145" s="602">
        <f t="shared" si="9"/>
        <v>0</v>
      </c>
      <c r="H145" s="652">
        <f>+J97*G145+E145</f>
        <v>0</v>
      </c>
      <c r="I145" s="659">
        <f>+J98*G145+E145</f>
        <v>0</v>
      </c>
      <c r="J145" s="655">
        <f t="shared" si="10"/>
        <v>0</v>
      </c>
      <c r="K145" s="655"/>
      <c r="L145" s="660"/>
      <c r="M145" s="655">
        <f t="shared" si="11"/>
        <v>0</v>
      </c>
      <c r="N145" s="660"/>
      <c r="O145" s="655">
        <f t="shared" si="12"/>
        <v>0</v>
      </c>
      <c r="P145" s="655">
        <f t="shared" si="13"/>
        <v>0</v>
      </c>
      <c r="Q145" s="603"/>
    </row>
    <row r="146" spans="1:17">
      <c r="A146" s="285"/>
      <c r="B146" s="285"/>
      <c r="C146" s="651" t="str">
        <f>IF(D96="","-",+C145+1)</f>
        <v>-</v>
      </c>
      <c r="D146" s="602">
        <f t="shared" si="14"/>
        <v>0</v>
      </c>
      <c r="E146" s="658">
        <f t="shared" si="15"/>
        <v>0</v>
      </c>
      <c r="F146" s="658">
        <f t="shared" si="8"/>
        <v>0</v>
      </c>
      <c r="G146" s="602">
        <f t="shared" si="9"/>
        <v>0</v>
      </c>
      <c r="H146" s="652">
        <f>+J97*G146+E146</f>
        <v>0</v>
      </c>
      <c r="I146" s="659">
        <f>+J98*G146+E146</f>
        <v>0</v>
      </c>
      <c r="J146" s="655">
        <f t="shared" si="10"/>
        <v>0</v>
      </c>
      <c r="K146" s="655"/>
      <c r="L146" s="660"/>
      <c r="M146" s="655">
        <f t="shared" si="11"/>
        <v>0</v>
      </c>
      <c r="N146" s="660"/>
      <c r="O146" s="655">
        <f t="shared" si="12"/>
        <v>0</v>
      </c>
      <c r="P146" s="655">
        <f t="shared" si="13"/>
        <v>0</v>
      </c>
      <c r="Q146" s="603"/>
    </row>
    <row r="147" spans="1:17">
      <c r="A147" s="285"/>
      <c r="B147" s="285"/>
      <c r="C147" s="651" t="str">
        <f>IF(D96="","-",+C146+1)</f>
        <v>-</v>
      </c>
      <c r="D147" s="602">
        <f t="shared" si="14"/>
        <v>0</v>
      </c>
      <c r="E147" s="658">
        <f t="shared" si="15"/>
        <v>0</v>
      </c>
      <c r="F147" s="658">
        <f t="shared" si="8"/>
        <v>0</v>
      </c>
      <c r="G147" s="602">
        <f t="shared" si="9"/>
        <v>0</v>
      </c>
      <c r="H147" s="652">
        <f>+J97*G147+E147</f>
        <v>0</v>
      </c>
      <c r="I147" s="659">
        <f>+J98*G147+E147</f>
        <v>0</v>
      </c>
      <c r="J147" s="655">
        <f t="shared" si="10"/>
        <v>0</v>
      </c>
      <c r="K147" s="655"/>
      <c r="L147" s="660"/>
      <c r="M147" s="655">
        <f t="shared" si="11"/>
        <v>0</v>
      </c>
      <c r="N147" s="660"/>
      <c r="O147" s="655">
        <f t="shared" si="12"/>
        <v>0</v>
      </c>
      <c r="P147" s="655">
        <f t="shared" si="13"/>
        <v>0</v>
      </c>
      <c r="Q147" s="603"/>
    </row>
    <row r="148" spans="1:17">
      <c r="A148" s="285"/>
      <c r="B148" s="285"/>
      <c r="C148" s="651" t="str">
        <f>IF(D96="","-",+C147+1)</f>
        <v>-</v>
      </c>
      <c r="D148" s="602">
        <f t="shared" si="14"/>
        <v>0</v>
      </c>
      <c r="E148" s="658">
        <f t="shared" si="15"/>
        <v>0</v>
      </c>
      <c r="F148" s="658">
        <f t="shared" si="8"/>
        <v>0</v>
      </c>
      <c r="G148" s="602">
        <f t="shared" si="9"/>
        <v>0</v>
      </c>
      <c r="H148" s="652">
        <f>+J97*G148+E148</f>
        <v>0</v>
      </c>
      <c r="I148" s="659">
        <f>+J98*G148+E148</f>
        <v>0</v>
      </c>
      <c r="J148" s="655">
        <f t="shared" si="10"/>
        <v>0</v>
      </c>
      <c r="K148" s="655"/>
      <c r="L148" s="660"/>
      <c r="M148" s="655">
        <f t="shared" si="11"/>
        <v>0</v>
      </c>
      <c r="N148" s="660"/>
      <c r="O148" s="655">
        <f t="shared" si="12"/>
        <v>0</v>
      </c>
      <c r="P148" s="655">
        <f t="shared" si="13"/>
        <v>0</v>
      </c>
      <c r="Q148" s="603"/>
    </row>
    <row r="149" spans="1:17">
      <c r="A149" s="285"/>
      <c r="B149" s="285"/>
      <c r="C149" s="651" t="str">
        <f>IF(D96="","-",+C148+1)</f>
        <v>-</v>
      </c>
      <c r="D149" s="602">
        <f t="shared" si="14"/>
        <v>0</v>
      </c>
      <c r="E149" s="658">
        <f t="shared" si="15"/>
        <v>0</v>
      </c>
      <c r="F149" s="658">
        <f t="shared" si="8"/>
        <v>0</v>
      </c>
      <c r="G149" s="602">
        <f t="shared" si="9"/>
        <v>0</v>
      </c>
      <c r="H149" s="652">
        <f>+J97*G149+E149</f>
        <v>0</v>
      </c>
      <c r="I149" s="659">
        <f>+J98*G149+E149</f>
        <v>0</v>
      </c>
      <c r="J149" s="655">
        <f t="shared" si="10"/>
        <v>0</v>
      </c>
      <c r="K149" s="655"/>
      <c r="L149" s="660"/>
      <c r="M149" s="655">
        <f t="shared" si="11"/>
        <v>0</v>
      </c>
      <c r="N149" s="660"/>
      <c r="O149" s="655">
        <f t="shared" si="12"/>
        <v>0</v>
      </c>
      <c r="P149" s="655">
        <f t="shared" si="13"/>
        <v>0</v>
      </c>
      <c r="Q149" s="603"/>
    </row>
    <row r="150" spans="1:17">
      <c r="A150" s="285"/>
      <c r="B150" s="285"/>
      <c r="C150" s="651" t="str">
        <f>IF(D96="","-",+C149+1)</f>
        <v>-</v>
      </c>
      <c r="D150" s="602">
        <f t="shared" si="14"/>
        <v>0</v>
      </c>
      <c r="E150" s="658">
        <f t="shared" si="15"/>
        <v>0</v>
      </c>
      <c r="F150" s="658">
        <f t="shared" si="8"/>
        <v>0</v>
      </c>
      <c r="G150" s="602">
        <f t="shared" si="9"/>
        <v>0</v>
      </c>
      <c r="H150" s="652">
        <f>+J97*G150+E150</f>
        <v>0</v>
      </c>
      <c r="I150" s="659">
        <f>+J98*G150+E150</f>
        <v>0</v>
      </c>
      <c r="J150" s="655">
        <f t="shared" si="10"/>
        <v>0</v>
      </c>
      <c r="K150" s="655"/>
      <c r="L150" s="660"/>
      <c r="M150" s="655">
        <f t="shared" si="11"/>
        <v>0</v>
      </c>
      <c r="N150" s="660"/>
      <c r="O150" s="655">
        <f t="shared" si="12"/>
        <v>0</v>
      </c>
      <c r="P150" s="655">
        <f t="shared" si="13"/>
        <v>0</v>
      </c>
      <c r="Q150" s="603"/>
    </row>
    <row r="151" spans="1:17">
      <c r="A151" s="285"/>
      <c r="B151" s="285"/>
      <c r="C151" s="651" t="str">
        <f>IF(D96="","-",+C150+1)</f>
        <v>-</v>
      </c>
      <c r="D151" s="602">
        <f t="shared" si="14"/>
        <v>0</v>
      </c>
      <c r="E151" s="658">
        <f t="shared" si="15"/>
        <v>0</v>
      </c>
      <c r="F151" s="658">
        <f t="shared" si="8"/>
        <v>0</v>
      </c>
      <c r="G151" s="602">
        <f t="shared" si="9"/>
        <v>0</v>
      </c>
      <c r="H151" s="652">
        <f>+J97*G151+E151</f>
        <v>0</v>
      </c>
      <c r="I151" s="659">
        <f>+J98*G151+E151</f>
        <v>0</v>
      </c>
      <c r="J151" s="655">
        <f t="shared" si="10"/>
        <v>0</v>
      </c>
      <c r="K151" s="655"/>
      <c r="L151" s="660"/>
      <c r="M151" s="655">
        <f t="shared" si="11"/>
        <v>0</v>
      </c>
      <c r="N151" s="660"/>
      <c r="O151" s="655">
        <f t="shared" si="12"/>
        <v>0</v>
      </c>
      <c r="P151" s="655">
        <f t="shared" si="13"/>
        <v>0</v>
      </c>
      <c r="Q151" s="603"/>
    </row>
    <row r="152" spans="1:17">
      <c r="A152" s="285"/>
      <c r="B152" s="285"/>
      <c r="C152" s="651" t="str">
        <f>IF(D96="","-",+C151+1)</f>
        <v>-</v>
      </c>
      <c r="D152" s="602">
        <f t="shared" si="14"/>
        <v>0</v>
      </c>
      <c r="E152" s="658">
        <f t="shared" si="15"/>
        <v>0</v>
      </c>
      <c r="F152" s="658">
        <f t="shared" si="8"/>
        <v>0</v>
      </c>
      <c r="G152" s="602">
        <f t="shared" si="9"/>
        <v>0</v>
      </c>
      <c r="H152" s="652">
        <f>+J97*G152+E152</f>
        <v>0</v>
      </c>
      <c r="I152" s="659">
        <f>+J98*G152+E152</f>
        <v>0</v>
      </c>
      <c r="J152" s="655">
        <f t="shared" si="10"/>
        <v>0</v>
      </c>
      <c r="K152" s="655"/>
      <c r="L152" s="660"/>
      <c r="M152" s="655">
        <f t="shared" si="11"/>
        <v>0</v>
      </c>
      <c r="N152" s="660"/>
      <c r="O152" s="655">
        <f t="shared" si="12"/>
        <v>0</v>
      </c>
      <c r="P152" s="655">
        <f t="shared" si="13"/>
        <v>0</v>
      </c>
      <c r="Q152" s="603"/>
    </row>
    <row r="153" spans="1:17">
      <c r="A153" s="285"/>
      <c r="B153" s="285"/>
      <c r="C153" s="651" t="str">
        <f>IF(D96="","-",+C152+1)</f>
        <v>-</v>
      </c>
      <c r="D153" s="602">
        <f t="shared" si="14"/>
        <v>0</v>
      </c>
      <c r="E153" s="658">
        <f t="shared" si="15"/>
        <v>0</v>
      </c>
      <c r="F153" s="658">
        <f t="shared" si="8"/>
        <v>0</v>
      </c>
      <c r="G153" s="602">
        <f t="shared" si="9"/>
        <v>0</v>
      </c>
      <c r="H153" s="652">
        <f>+J97*G153+E153</f>
        <v>0</v>
      </c>
      <c r="I153" s="659">
        <f>+J98*G153+E153</f>
        <v>0</v>
      </c>
      <c r="J153" s="655">
        <f t="shared" si="10"/>
        <v>0</v>
      </c>
      <c r="K153" s="655"/>
      <c r="L153" s="660"/>
      <c r="M153" s="655">
        <f t="shared" si="11"/>
        <v>0</v>
      </c>
      <c r="N153" s="660"/>
      <c r="O153" s="655">
        <f t="shared" si="12"/>
        <v>0</v>
      </c>
      <c r="P153" s="655">
        <f t="shared" si="13"/>
        <v>0</v>
      </c>
      <c r="Q153" s="603"/>
    </row>
    <row r="154" spans="1:17">
      <c r="A154" s="285"/>
      <c r="B154" s="285"/>
      <c r="C154" s="651" t="str">
        <f>IF(D96="","-",+C153+1)</f>
        <v>-</v>
      </c>
      <c r="D154" s="602">
        <f t="shared" si="14"/>
        <v>0</v>
      </c>
      <c r="E154" s="658">
        <f t="shared" si="15"/>
        <v>0</v>
      </c>
      <c r="F154" s="658">
        <f t="shared" si="8"/>
        <v>0</v>
      </c>
      <c r="G154" s="602">
        <f t="shared" si="9"/>
        <v>0</v>
      </c>
      <c r="H154" s="652">
        <f>+J97*G154+E154</f>
        <v>0</v>
      </c>
      <c r="I154" s="659">
        <f>+J98*G154+E154</f>
        <v>0</v>
      </c>
      <c r="J154" s="655">
        <f t="shared" si="10"/>
        <v>0</v>
      </c>
      <c r="K154" s="655"/>
      <c r="L154" s="660"/>
      <c r="M154" s="655">
        <f t="shared" si="11"/>
        <v>0</v>
      </c>
      <c r="N154" s="660"/>
      <c r="O154" s="655">
        <f t="shared" si="12"/>
        <v>0</v>
      </c>
      <c r="P154" s="655">
        <f t="shared" si="13"/>
        <v>0</v>
      </c>
      <c r="Q154" s="603"/>
    </row>
    <row r="155" spans="1:17">
      <c r="A155" s="285"/>
      <c r="B155" s="285"/>
      <c r="C155" s="651" t="str">
        <f>IF(D96="","-",+C154+1)</f>
        <v>-</v>
      </c>
      <c r="D155" s="602">
        <f t="shared" si="14"/>
        <v>0</v>
      </c>
      <c r="E155" s="658">
        <f t="shared" si="15"/>
        <v>0</v>
      </c>
      <c r="F155" s="658">
        <f t="shared" si="8"/>
        <v>0</v>
      </c>
      <c r="G155" s="602">
        <f t="shared" si="9"/>
        <v>0</v>
      </c>
      <c r="H155" s="652">
        <f>+J97*G155+E155</f>
        <v>0</v>
      </c>
      <c r="I155" s="659">
        <f>+J98*G155+E155</f>
        <v>0</v>
      </c>
      <c r="J155" s="655">
        <f t="shared" si="10"/>
        <v>0</v>
      </c>
      <c r="K155" s="655"/>
      <c r="L155" s="660"/>
      <c r="M155" s="655">
        <f t="shared" si="11"/>
        <v>0</v>
      </c>
      <c r="N155" s="660"/>
      <c r="O155" s="655">
        <f t="shared" si="12"/>
        <v>0</v>
      </c>
      <c r="P155" s="655">
        <f t="shared" si="13"/>
        <v>0</v>
      </c>
      <c r="Q155" s="603"/>
    </row>
    <row r="156" spans="1:17">
      <c r="A156" s="285"/>
      <c r="B156" s="285"/>
      <c r="C156" s="651" t="str">
        <f>IF(D96="","-",+C155+1)</f>
        <v>-</v>
      </c>
      <c r="D156" s="602">
        <f t="shared" si="14"/>
        <v>0</v>
      </c>
      <c r="E156" s="658">
        <f t="shared" si="15"/>
        <v>0</v>
      </c>
      <c r="F156" s="658">
        <f t="shared" si="8"/>
        <v>0</v>
      </c>
      <c r="G156" s="602">
        <f t="shared" si="9"/>
        <v>0</v>
      </c>
      <c r="H156" s="652">
        <f>+J97*G156+E156</f>
        <v>0</v>
      </c>
      <c r="I156" s="659">
        <f>+J98*G156+E156</f>
        <v>0</v>
      </c>
      <c r="J156" s="655">
        <f t="shared" si="10"/>
        <v>0</v>
      </c>
      <c r="K156" s="655"/>
      <c r="L156" s="660"/>
      <c r="M156" s="655">
        <f t="shared" si="11"/>
        <v>0</v>
      </c>
      <c r="N156" s="660"/>
      <c r="O156" s="655">
        <f t="shared" si="12"/>
        <v>0</v>
      </c>
      <c r="P156" s="655">
        <f t="shared" si="13"/>
        <v>0</v>
      </c>
      <c r="Q156" s="603"/>
    </row>
    <row r="157" spans="1:17">
      <c r="A157" s="285"/>
      <c r="B157" s="285"/>
      <c r="C157" s="651" t="str">
        <f>IF(D96="","-",+C156+1)</f>
        <v>-</v>
      </c>
      <c r="D157" s="602">
        <f t="shared" si="14"/>
        <v>0</v>
      </c>
      <c r="E157" s="658">
        <f t="shared" si="15"/>
        <v>0</v>
      </c>
      <c r="F157" s="658">
        <f t="shared" si="8"/>
        <v>0</v>
      </c>
      <c r="G157" s="602">
        <f t="shared" si="9"/>
        <v>0</v>
      </c>
      <c r="H157" s="652">
        <f>+J97*G157+E157</f>
        <v>0</v>
      </c>
      <c r="I157" s="659">
        <f>+J98*G157+E157</f>
        <v>0</v>
      </c>
      <c r="J157" s="655">
        <f t="shared" si="10"/>
        <v>0</v>
      </c>
      <c r="K157" s="655"/>
      <c r="L157" s="660"/>
      <c r="M157" s="655">
        <f t="shared" si="11"/>
        <v>0</v>
      </c>
      <c r="N157" s="660"/>
      <c r="O157" s="655">
        <f t="shared" si="12"/>
        <v>0</v>
      </c>
      <c r="P157" s="655">
        <f t="shared" si="13"/>
        <v>0</v>
      </c>
      <c r="Q157" s="603"/>
    </row>
    <row r="158" spans="1:17">
      <c r="A158" s="285"/>
      <c r="B158" s="285"/>
      <c r="C158" s="651" t="str">
        <f>IF(D96="","-",+C157+1)</f>
        <v>-</v>
      </c>
      <c r="D158" s="602">
        <f t="shared" si="14"/>
        <v>0</v>
      </c>
      <c r="E158" s="658">
        <f t="shared" si="15"/>
        <v>0</v>
      </c>
      <c r="F158" s="658">
        <f t="shared" si="8"/>
        <v>0</v>
      </c>
      <c r="G158" s="602">
        <f t="shared" si="9"/>
        <v>0</v>
      </c>
      <c r="H158" s="652">
        <f>+J97*G158+E158</f>
        <v>0</v>
      </c>
      <c r="I158" s="659">
        <f>+J98*G158+E158</f>
        <v>0</v>
      </c>
      <c r="J158" s="655">
        <f t="shared" si="10"/>
        <v>0</v>
      </c>
      <c r="K158" s="655"/>
      <c r="L158" s="660"/>
      <c r="M158" s="655">
        <f t="shared" si="11"/>
        <v>0</v>
      </c>
      <c r="N158" s="660"/>
      <c r="O158" s="655">
        <f t="shared" si="12"/>
        <v>0</v>
      </c>
      <c r="P158" s="655">
        <f t="shared" si="13"/>
        <v>0</v>
      </c>
      <c r="Q158" s="603"/>
    </row>
    <row r="159" spans="1:17">
      <c r="A159" s="285"/>
      <c r="B159" s="285"/>
      <c r="C159" s="651" t="str">
        <f>IF(D96="","-",+C158+1)</f>
        <v>-</v>
      </c>
      <c r="D159" s="602">
        <f t="shared" si="14"/>
        <v>0</v>
      </c>
      <c r="E159" s="658">
        <f t="shared" si="15"/>
        <v>0</v>
      </c>
      <c r="F159" s="658">
        <f t="shared" si="8"/>
        <v>0</v>
      </c>
      <c r="G159" s="602">
        <f t="shared" si="9"/>
        <v>0</v>
      </c>
      <c r="H159" s="652">
        <f>+J97*G159+E159</f>
        <v>0</v>
      </c>
      <c r="I159" s="659">
        <f>+J98*G159+E159</f>
        <v>0</v>
      </c>
      <c r="J159" s="655">
        <f t="shared" si="10"/>
        <v>0</v>
      </c>
      <c r="K159" s="655"/>
      <c r="L159" s="660"/>
      <c r="M159" s="655">
        <f t="shared" si="11"/>
        <v>0</v>
      </c>
      <c r="N159" s="660"/>
      <c r="O159" s="655">
        <f t="shared" si="12"/>
        <v>0</v>
      </c>
      <c r="P159" s="655">
        <f t="shared" si="13"/>
        <v>0</v>
      </c>
      <c r="Q159" s="603"/>
    </row>
    <row r="160" spans="1:17">
      <c r="A160" s="285"/>
      <c r="B160" s="285"/>
      <c r="C160" s="651" t="str">
        <f>IF(D96="","-",+C159+1)</f>
        <v>-</v>
      </c>
      <c r="D160" s="602">
        <f t="shared" si="14"/>
        <v>0</v>
      </c>
      <c r="E160" s="658">
        <f t="shared" si="15"/>
        <v>0</v>
      </c>
      <c r="F160" s="658">
        <f t="shared" si="8"/>
        <v>0</v>
      </c>
      <c r="G160" s="602">
        <f t="shared" si="9"/>
        <v>0</v>
      </c>
      <c r="H160" s="652">
        <f>+J97*G160+E160</f>
        <v>0</v>
      </c>
      <c r="I160" s="659">
        <f>+J98*G160+E160</f>
        <v>0</v>
      </c>
      <c r="J160" s="655">
        <f t="shared" si="10"/>
        <v>0</v>
      </c>
      <c r="K160" s="655"/>
      <c r="L160" s="660"/>
      <c r="M160" s="655">
        <f t="shared" si="11"/>
        <v>0</v>
      </c>
      <c r="N160" s="660"/>
      <c r="O160" s="655">
        <f t="shared" si="12"/>
        <v>0</v>
      </c>
      <c r="P160" s="655">
        <f t="shared" si="13"/>
        <v>0</v>
      </c>
      <c r="Q160" s="603"/>
    </row>
    <row r="161" spans="1:17" ht="13.5" thickBot="1">
      <c r="A161" s="285"/>
      <c r="B161" s="285"/>
      <c r="C161" s="663" t="str">
        <f>IF(D96="","-",+C160+1)</f>
        <v>-</v>
      </c>
      <c r="D161" s="664">
        <f t="shared" si="14"/>
        <v>0</v>
      </c>
      <c r="E161" s="665">
        <f t="shared" si="15"/>
        <v>0</v>
      </c>
      <c r="F161" s="665">
        <f t="shared" si="8"/>
        <v>0</v>
      </c>
      <c r="G161" s="664">
        <f t="shared" si="9"/>
        <v>0</v>
      </c>
      <c r="H161" s="666">
        <f>+J97*G161+E161</f>
        <v>0</v>
      </c>
      <c r="I161" s="666">
        <f>+J98*G161+E161</f>
        <v>0</v>
      </c>
      <c r="J161" s="667">
        <f t="shared" si="10"/>
        <v>0</v>
      </c>
      <c r="K161" s="655"/>
      <c r="L161" s="668"/>
      <c r="M161" s="667">
        <f t="shared" si="11"/>
        <v>0</v>
      </c>
      <c r="N161" s="668"/>
      <c r="O161" s="667">
        <f t="shared" si="12"/>
        <v>0</v>
      </c>
      <c r="P161" s="667">
        <f t="shared" si="13"/>
        <v>0</v>
      </c>
      <c r="Q161" s="603"/>
    </row>
    <row r="162" spans="1:17">
      <c r="A162" s="285"/>
      <c r="B162" s="285"/>
      <c r="C162" s="602" t="s">
        <v>288</v>
      </c>
      <c r="D162" s="598"/>
      <c r="E162" s="598">
        <f>SUM(E102:E161)</f>
        <v>0</v>
      </c>
      <c r="F162" s="598"/>
      <c r="G162" s="598"/>
      <c r="H162" s="598">
        <f>SUM(H102:H161)</f>
        <v>0</v>
      </c>
      <c r="I162" s="598">
        <f>SUM(I102:I161)</f>
        <v>0</v>
      </c>
      <c r="J162" s="598">
        <f>SUM(J102:J161)</f>
        <v>0</v>
      </c>
      <c r="K162" s="598"/>
      <c r="L162" s="598"/>
      <c r="M162" s="598"/>
      <c r="N162" s="598"/>
      <c r="O162" s="598"/>
      <c r="P162" s="480"/>
      <c r="Q162" s="598"/>
    </row>
    <row r="163" spans="1:17">
      <c r="A163" s="285"/>
      <c r="B163" s="285"/>
      <c r="C163" s="285"/>
      <c r="D163" s="496"/>
      <c r="E163" s="480"/>
      <c r="F163" s="480"/>
      <c r="G163" s="480"/>
      <c r="H163" s="480"/>
      <c r="I163" s="575"/>
      <c r="J163" s="575"/>
      <c r="K163" s="598"/>
      <c r="L163" s="575"/>
      <c r="M163" s="575"/>
      <c r="N163" s="575"/>
      <c r="O163" s="575"/>
      <c r="P163" s="480"/>
      <c r="Q163" s="598"/>
    </row>
    <row r="164" spans="1:17">
      <c r="A164" s="285"/>
      <c r="B164" s="285"/>
      <c r="C164" s="480" t="s">
        <v>601</v>
      </c>
      <c r="D164" s="496"/>
      <c r="E164" s="480"/>
      <c r="F164" s="480"/>
      <c r="G164" s="480"/>
      <c r="H164" s="480"/>
      <c r="I164" s="575"/>
      <c r="J164" s="575"/>
      <c r="K164" s="598"/>
      <c r="L164" s="575"/>
      <c r="M164" s="575"/>
      <c r="N164" s="575"/>
      <c r="O164" s="575"/>
      <c r="P164" s="480"/>
      <c r="Q164" s="598"/>
    </row>
    <row r="165" spans="1:17">
      <c r="A165" s="285"/>
      <c r="B165" s="285"/>
      <c r="C165" s="285"/>
      <c r="D165" s="496"/>
      <c r="E165" s="480"/>
      <c r="F165" s="480"/>
      <c r="G165" s="480"/>
      <c r="H165" s="480"/>
      <c r="I165" s="575"/>
      <c r="J165" s="575"/>
      <c r="K165" s="598"/>
      <c r="L165" s="575"/>
      <c r="M165" s="575"/>
      <c r="N165" s="575"/>
      <c r="O165" s="575"/>
      <c r="P165" s="480"/>
      <c r="Q165" s="598"/>
    </row>
    <row r="166" spans="1:17">
      <c r="A166" s="285"/>
      <c r="B166" s="285"/>
      <c r="C166" s="508" t="s">
        <v>602</v>
      </c>
      <c r="D166" s="602"/>
      <c r="E166" s="602"/>
      <c r="F166" s="602"/>
      <c r="G166" s="602"/>
      <c r="H166" s="598"/>
      <c r="I166" s="598"/>
      <c r="J166" s="603"/>
      <c r="K166" s="603"/>
      <c r="L166" s="603"/>
      <c r="M166" s="603"/>
      <c r="N166" s="603"/>
      <c r="O166" s="603"/>
      <c r="P166" s="480"/>
      <c r="Q166" s="603"/>
    </row>
    <row r="167" spans="1:17">
      <c r="A167" s="285"/>
      <c r="B167" s="285"/>
      <c r="C167" s="508" t="s">
        <v>476</v>
      </c>
      <c r="D167" s="602"/>
      <c r="E167" s="602"/>
      <c r="F167" s="602"/>
      <c r="G167" s="602"/>
      <c r="H167" s="598"/>
      <c r="I167" s="598"/>
      <c r="J167" s="603"/>
      <c r="K167" s="603"/>
      <c r="L167" s="603"/>
      <c r="M167" s="603"/>
      <c r="N167" s="603"/>
      <c r="O167" s="603"/>
      <c r="P167" s="480"/>
      <c r="Q167" s="603"/>
    </row>
    <row r="168" spans="1:17">
      <c r="A168" s="285"/>
      <c r="B168" s="285"/>
      <c r="C168" s="508" t="s">
        <v>289</v>
      </c>
      <c r="D168" s="602"/>
      <c r="E168" s="602"/>
      <c r="F168" s="602"/>
      <c r="G168" s="602"/>
      <c r="H168" s="598"/>
      <c r="I168" s="598"/>
      <c r="J168" s="603"/>
      <c r="K168" s="603"/>
      <c r="L168" s="603"/>
      <c r="M168" s="603"/>
      <c r="N168" s="603"/>
      <c r="O168" s="603"/>
      <c r="P168" s="480"/>
      <c r="Q168" s="603"/>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F6"/>
  <sheetViews>
    <sheetView zoomScaleNormal="100" zoomScaleSheetLayoutView="100" workbookViewId="0">
      <selection activeCell="A3" sqref="A3"/>
    </sheetView>
  </sheetViews>
  <sheetFormatPr defaultRowHeight="12.75" customHeight="1"/>
  <cols>
    <col min="2" max="2" width="37.5703125" customWidth="1"/>
    <col min="3" max="3" width="31.5703125" customWidth="1"/>
    <col min="4" max="4" width="14.85546875" customWidth="1"/>
    <col min="5" max="5" width="18" customWidth="1"/>
    <col min="6" max="6" width="11.140625" bestFit="1" customWidth="1"/>
    <col min="7" max="8" width="9.140625" customWidth="1"/>
  </cols>
  <sheetData>
    <row r="1" spans="1:6" ht="15.75">
      <c r="A1" s="808" t="s">
        <v>114</v>
      </c>
      <c r="B1" s="146"/>
      <c r="C1" s="145"/>
      <c r="D1" s="145"/>
      <c r="E1" s="145"/>
      <c r="F1" s="145"/>
    </row>
    <row r="2" spans="1:6" ht="15.75">
      <c r="A2" s="808" t="s">
        <v>114</v>
      </c>
      <c r="B2" s="146"/>
      <c r="C2" s="145"/>
      <c r="D2" s="145"/>
      <c r="E2" s="145"/>
      <c r="F2" s="145"/>
    </row>
    <row r="3" spans="1:6" ht="15">
      <c r="A3" s="25"/>
      <c r="B3" s="1460" t="s">
        <v>387</v>
      </c>
      <c r="C3" s="1460"/>
      <c r="D3" s="1460"/>
      <c r="E3" s="1460"/>
      <c r="F3" s="1460"/>
    </row>
    <row r="4" spans="1:6" ht="15">
      <c r="A4" s="25"/>
      <c r="B4" s="1461" t="str">
        <f>"Cost of Service Formula Rate Using "&amp;TCOS!L4&amp;" FF1 Balances"</f>
        <v>Cost of Service Formula Rate Using 2024 FF1 Balances</v>
      </c>
      <c r="C4" s="1461"/>
      <c r="D4" s="1461"/>
      <c r="E4" s="1461"/>
      <c r="F4" s="1461"/>
    </row>
    <row r="5" spans="1:6" ht="15">
      <c r="A5" s="25"/>
      <c r="B5" s="1460" t="s">
        <v>547</v>
      </c>
      <c r="C5" s="1460"/>
      <c r="D5" s="1460"/>
      <c r="E5" s="1460"/>
      <c r="F5" s="1460"/>
    </row>
    <row r="6" spans="1:6" ht="15">
      <c r="A6" s="25"/>
      <c r="B6" s="1472" t="str">
        <f>+TCOS!F9</f>
        <v>Appalachian Power Company</v>
      </c>
      <c r="C6" s="1460"/>
      <c r="D6" s="1460"/>
      <c r="E6" s="1460"/>
      <c r="F6" s="1460"/>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zoomScaleNormal="100" zoomScaleSheetLayoutView="70" zoomScalePageLayoutView="50" workbookViewId="0">
      <selection activeCell="C32" sqref="C32"/>
    </sheetView>
  </sheetViews>
  <sheetFormatPr defaultColWidth="11.42578125" defaultRowHeight="12.75" customHeight="1"/>
  <cols>
    <col min="1" max="1" width="10.28515625" customWidth="1"/>
    <col min="2" max="2" width="64.5703125" customWidth="1"/>
    <col min="3" max="3" width="26.7109375" bestFit="1" customWidth="1"/>
    <col min="4" max="11" width="20.28515625" customWidth="1"/>
    <col min="12" max="14" width="11.42578125" customWidth="1"/>
  </cols>
  <sheetData>
    <row r="1" spans="1:11" ht="15">
      <c r="A1" s="1460" t="s">
        <v>387</v>
      </c>
      <c r="B1" s="1460"/>
      <c r="C1" s="1460"/>
      <c r="D1" s="1460"/>
      <c r="E1" s="1460"/>
      <c r="F1" s="1460"/>
      <c r="G1" s="1460"/>
      <c r="H1" s="816"/>
      <c r="I1" s="816"/>
      <c r="J1" s="186"/>
      <c r="K1" s="186"/>
    </row>
    <row r="2" spans="1:11" ht="15">
      <c r="A2" s="1461" t="str">
        <f>"Cost of Service Formula Rate Using Actual/Projected FF1 Balances"</f>
        <v>Cost of Service Formula Rate Using Actual/Projected FF1 Balances</v>
      </c>
      <c r="B2" s="1461"/>
      <c r="C2" s="1461"/>
      <c r="D2" s="1461"/>
      <c r="E2" s="1461"/>
      <c r="F2" s="1461"/>
      <c r="G2" s="1461"/>
      <c r="H2" s="816"/>
      <c r="I2" s="816"/>
      <c r="J2" s="816"/>
      <c r="K2" s="186"/>
    </row>
    <row r="3" spans="1:11" ht="15">
      <c r="A3" s="1461" t="s">
        <v>663</v>
      </c>
      <c r="B3" s="1461"/>
      <c r="C3" s="1461"/>
      <c r="D3" s="1461"/>
      <c r="E3" s="1461"/>
      <c r="F3" s="1461"/>
      <c r="G3" s="1461"/>
      <c r="H3" s="816"/>
      <c r="I3" s="816"/>
      <c r="J3" s="816"/>
      <c r="K3" s="186"/>
    </row>
    <row r="4" spans="1:11" ht="15">
      <c r="A4" s="1468" t="str">
        <f>TCOS!F9</f>
        <v>Appalachian Power Company</v>
      </c>
      <c r="B4" s="1468"/>
      <c r="C4" s="1468"/>
      <c r="D4" s="1468"/>
      <c r="E4" s="1468"/>
      <c r="F4" s="1468"/>
      <c r="G4" s="1468"/>
      <c r="H4" s="816"/>
      <c r="I4" s="816"/>
      <c r="J4" s="816"/>
      <c r="K4" s="186"/>
    </row>
    <row r="5" spans="1:11">
      <c r="A5" s="816"/>
      <c r="B5" s="849"/>
      <c r="C5" s="849"/>
      <c r="D5" s="849"/>
      <c r="E5" s="852"/>
      <c r="F5" s="851"/>
      <c r="G5" s="186"/>
      <c r="H5" s="851"/>
      <c r="I5" s="186"/>
      <c r="J5" s="851"/>
      <c r="K5" s="186"/>
    </row>
    <row r="6" spans="1:11" ht="12.75" customHeight="1">
      <c r="A6" s="816"/>
      <c r="B6" s="849"/>
      <c r="C6" s="1462" t="s">
        <v>662</v>
      </c>
      <c r="D6" s="1463"/>
      <c r="E6" s="1463"/>
      <c r="F6" s="1463"/>
      <c r="G6" s="1463"/>
      <c r="H6" s="1463"/>
      <c r="I6" s="1463"/>
      <c r="J6" s="1463"/>
      <c r="K6" s="1464"/>
    </row>
    <row r="7" spans="1:11" ht="25.5">
      <c r="A7" s="848" t="s">
        <v>652</v>
      </c>
      <c r="B7" s="847" t="s">
        <v>651</v>
      </c>
      <c r="C7" s="829" t="s">
        <v>229</v>
      </c>
      <c r="D7" s="829" t="s">
        <v>660</v>
      </c>
      <c r="E7" s="829" t="s">
        <v>115</v>
      </c>
      <c r="F7" s="829" t="s">
        <v>659</v>
      </c>
      <c r="G7" s="829" t="s">
        <v>438</v>
      </c>
      <c r="H7" s="829" t="s">
        <v>658</v>
      </c>
      <c r="I7" s="829" t="s">
        <v>334</v>
      </c>
      <c r="J7" s="829" t="s">
        <v>657</v>
      </c>
      <c r="K7" s="828" t="s">
        <v>656</v>
      </c>
    </row>
    <row r="8" spans="1:11">
      <c r="A8" s="821"/>
      <c r="B8" s="826" t="s">
        <v>646</v>
      </c>
      <c r="C8" s="825" t="s">
        <v>645</v>
      </c>
      <c r="D8" s="825" t="s">
        <v>644</v>
      </c>
      <c r="E8" s="825" t="s">
        <v>643</v>
      </c>
      <c r="F8" s="825" t="s">
        <v>642</v>
      </c>
      <c r="G8" s="825" t="s">
        <v>664</v>
      </c>
      <c r="H8" s="825" t="s">
        <v>665</v>
      </c>
      <c r="I8" s="825" t="s">
        <v>655</v>
      </c>
      <c r="J8" s="825" t="s">
        <v>654</v>
      </c>
      <c r="K8" s="846" t="s">
        <v>653</v>
      </c>
    </row>
    <row r="9" spans="1:11" ht="44.25" customHeight="1">
      <c r="A9" s="821"/>
      <c r="B9" s="826" t="s">
        <v>641</v>
      </c>
      <c r="C9" s="845" t="s">
        <v>442</v>
      </c>
      <c r="D9" s="845" t="s">
        <v>447</v>
      </c>
      <c r="E9" s="845" t="s">
        <v>443</v>
      </c>
      <c r="F9" s="845" t="s">
        <v>666</v>
      </c>
      <c r="G9" s="845" t="s">
        <v>444</v>
      </c>
      <c r="H9" s="845" t="s">
        <v>445</v>
      </c>
      <c r="I9" s="845" t="s">
        <v>667</v>
      </c>
      <c r="J9" s="845" t="s">
        <v>668</v>
      </c>
      <c r="K9" s="844" t="s">
        <v>446</v>
      </c>
    </row>
    <row r="10" spans="1:11">
      <c r="A10" s="821">
        <v>1</v>
      </c>
      <c r="B10" s="843" t="s">
        <v>639</v>
      </c>
      <c r="C10" s="1208">
        <v>7121984069.4207048</v>
      </c>
      <c r="D10" s="1208">
        <v>117054711.59999999</v>
      </c>
      <c r="E10" s="1208">
        <v>4741305253.2401505</v>
      </c>
      <c r="F10" s="1208"/>
      <c r="G10" s="1208">
        <v>5271141736.9239302</v>
      </c>
      <c r="H10" s="1208">
        <v>3068.5599999999899</v>
      </c>
      <c r="I10" s="1208">
        <v>703447790.60492003</v>
      </c>
      <c r="J10" s="1208">
        <v>1445602.02</v>
      </c>
      <c r="K10" s="1370">
        <v>253669342.31988901</v>
      </c>
    </row>
    <row r="11" spans="1:11">
      <c r="A11" s="821">
        <f>+A10+1</f>
        <v>2</v>
      </c>
      <c r="B11" s="843" t="s">
        <v>185</v>
      </c>
      <c r="C11" s="1208">
        <v>7128813109.3664045</v>
      </c>
      <c r="D11" s="1208">
        <v>117054711.59999999</v>
      </c>
      <c r="E11" s="1208">
        <v>4745067650.0297003</v>
      </c>
      <c r="F11" s="1208"/>
      <c r="G11" s="1208">
        <v>5282959056.7653303</v>
      </c>
      <c r="H11" s="1208">
        <v>3068.5599999999899</v>
      </c>
      <c r="I11" s="1208">
        <v>709157480.25379395</v>
      </c>
      <c r="J11" s="1208">
        <v>1445602.02</v>
      </c>
      <c r="K11" s="1206">
        <v>249452961.65844101</v>
      </c>
    </row>
    <row r="12" spans="1:11">
      <c r="A12" s="821">
        <f t="shared" ref="A12:A23" si="0">+A11+1</f>
        <v>3</v>
      </c>
      <c r="B12" s="842" t="s">
        <v>559</v>
      </c>
      <c r="C12" s="1208">
        <v>7135685909.5535002</v>
      </c>
      <c r="D12" s="1208">
        <v>117054711.59999999</v>
      </c>
      <c r="E12" s="1208">
        <v>4755786106.3465242</v>
      </c>
      <c r="F12" s="1208"/>
      <c r="G12" s="1208">
        <v>5294353913.0169601</v>
      </c>
      <c r="H12" s="1208">
        <v>3068.5599999999899</v>
      </c>
      <c r="I12" s="1208">
        <v>714288177.66518795</v>
      </c>
      <c r="J12" s="1208">
        <v>1445602.02</v>
      </c>
      <c r="K12" s="1206">
        <v>248361656.01792002</v>
      </c>
    </row>
    <row r="13" spans="1:11">
      <c r="A13" s="821">
        <f t="shared" si="0"/>
        <v>4</v>
      </c>
      <c r="B13" s="842" t="s">
        <v>638</v>
      </c>
      <c r="C13" s="1208">
        <v>7141381515.8823071</v>
      </c>
      <c r="D13" s="1208">
        <v>117054711.59999999</v>
      </c>
      <c r="E13" s="1208">
        <v>4778839636.0554085</v>
      </c>
      <c r="F13" s="1208"/>
      <c r="G13" s="1208">
        <v>5326932988.1607094</v>
      </c>
      <c r="H13" s="1208">
        <v>3068.5599999999899</v>
      </c>
      <c r="I13" s="1208">
        <v>718780812.39562905</v>
      </c>
      <c r="J13" s="1208">
        <v>1445602.02</v>
      </c>
      <c r="K13" s="1206">
        <v>239907553.85378098</v>
      </c>
    </row>
    <row r="14" spans="1:11">
      <c r="A14" s="821">
        <f t="shared" si="0"/>
        <v>5</v>
      </c>
      <c r="B14" s="842" t="s">
        <v>187</v>
      </c>
      <c r="C14" s="1208">
        <v>7147842154.1686821</v>
      </c>
      <c r="D14" s="1208">
        <v>117054711.59999999</v>
      </c>
      <c r="E14" s="1208">
        <v>4796951927.9159317</v>
      </c>
      <c r="F14" s="1208"/>
      <c r="G14" s="1208">
        <v>5357660302.4690495</v>
      </c>
      <c r="H14" s="1208">
        <v>3068.5599999999899</v>
      </c>
      <c r="I14" s="1208">
        <v>723173966.32084799</v>
      </c>
      <c r="J14" s="1208">
        <v>1445602.02</v>
      </c>
      <c r="K14" s="1206">
        <v>242499207.65676501</v>
      </c>
    </row>
    <row r="15" spans="1:11">
      <c r="A15" s="821">
        <f t="shared" si="0"/>
        <v>6</v>
      </c>
      <c r="B15" s="842" t="s">
        <v>188</v>
      </c>
      <c r="C15" s="1208">
        <v>7157391141.9024143</v>
      </c>
      <c r="D15" s="1208">
        <v>117054711.59999999</v>
      </c>
      <c r="E15" s="1208">
        <v>4825334428.0195675</v>
      </c>
      <c r="F15" s="1208"/>
      <c r="G15" s="1208">
        <v>5383621929.5521498</v>
      </c>
      <c r="H15" s="1208">
        <v>3068.5599999999899</v>
      </c>
      <c r="I15" s="1208">
        <v>727120831.90346301</v>
      </c>
      <c r="J15" s="1208">
        <v>1445602.02</v>
      </c>
      <c r="K15" s="1206">
        <v>245292360.82054999</v>
      </c>
    </row>
    <row r="16" spans="1:11">
      <c r="A16" s="821">
        <f t="shared" si="0"/>
        <v>7</v>
      </c>
      <c r="B16" s="842" t="s">
        <v>382</v>
      </c>
      <c r="C16" s="1208">
        <v>7167021726.5270643</v>
      </c>
      <c r="D16" s="1208">
        <v>117054711.59999999</v>
      </c>
      <c r="E16" s="1208">
        <v>4852972702.9019966</v>
      </c>
      <c r="F16" s="1208"/>
      <c r="G16" s="1208">
        <v>5419602225.0571003</v>
      </c>
      <c r="H16" s="1208">
        <v>3068.5599999999899</v>
      </c>
      <c r="I16" s="1208">
        <v>730638490.41395795</v>
      </c>
      <c r="J16" s="1208">
        <v>1445602.02</v>
      </c>
      <c r="K16" s="1206">
        <v>240702839.577461</v>
      </c>
    </row>
    <row r="17" spans="1:11">
      <c r="A17" s="821">
        <f t="shared" si="0"/>
        <v>8</v>
      </c>
      <c r="B17" s="842" t="s">
        <v>189</v>
      </c>
      <c r="C17" s="1208">
        <v>7173030370.3336439</v>
      </c>
      <c r="D17" s="1208">
        <v>117054711.59999999</v>
      </c>
      <c r="E17" s="1208">
        <v>4859143108.0137329</v>
      </c>
      <c r="F17" s="1208"/>
      <c r="G17" s="1208">
        <v>5442725563.1503496</v>
      </c>
      <c r="H17" s="1208">
        <v>3068.5599999999899</v>
      </c>
      <c r="I17" s="1208">
        <v>733976020.50725305</v>
      </c>
      <c r="J17" s="1208">
        <v>1445602.02</v>
      </c>
      <c r="K17" s="1206">
        <v>245510942.46542299</v>
      </c>
    </row>
    <row r="18" spans="1:11">
      <c r="A18" s="821">
        <f t="shared" si="0"/>
        <v>9</v>
      </c>
      <c r="B18" s="842" t="s">
        <v>637</v>
      </c>
      <c r="C18" s="1208">
        <v>7178307411.7415895</v>
      </c>
      <c r="D18" s="1208">
        <v>117054711.59999999</v>
      </c>
      <c r="E18" s="1208">
        <v>4870068870.4093676</v>
      </c>
      <c r="F18" s="1208"/>
      <c r="G18" s="1208">
        <v>5468743152.0693703</v>
      </c>
      <c r="H18" s="1208">
        <v>3068.5599999999899</v>
      </c>
      <c r="I18" s="1208">
        <v>751773327.70367503</v>
      </c>
      <c r="J18" s="1208">
        <v>1445602.02</v>
      </c>
      <c r="K18" s="1206">
        <v>250488074.85235402</v>
      </c>
    </row>
    <row r="19" spans="1:11">
      <c r="A19" s="821">
        <f t="shared" si="0"/>
        <v>10</v>
      </c>
      <c r="B19" s="842" t="s">
        <v>192</v>
      </c>
      <c r="C19" s="1208">
        <v>7186326767.1863546</v>
      </c>
      <c r="D19" s="1208">
        <v>117054711.59999999</v>
      </c>
      <c r="E19" s="1208">
        <v>4890692369.4279079</v>
      </c>
      <c r="F19" s="1208"/>
      <c r="G19" s="1208">
        <v>5514143963.3229895</v>
      </c>
      <c r="H19" s="1208">
        <v>3068.5599999999899</v>
      </c>
      <c r="I19" s="1208">
        <v>755615662.92818105</v>
      </c>
      <c r="J19" s="1208">
        <v>1445602.02</v>
      </c>
      <c r="K19" s="1206">
        <v>247348330.933364</v>
      </c>
    </row>
    <row r="20" spans="1:11">
      <c r="A20" s="821">
        <f t="shared" si="0"/>
        <v>11</v>
      </c>
      <c r="B20" s="842" t="s">
        <v>560</v>
      </c>
      <c r="C20" s="1208">
        <v>7200197529.2818117</v>
      </c>
      <c r="D20" s="1208">
        <v>117054711.59999999</v>
      </c>
      <c r="E20" s="1208">
        <v>4911159478.0746841</v>
      </c>
      <c r="F20" s="1208"/>
      <c r="G20" s="1208">
        <v>5548210592.6414003</v>
      </c>
      <c r="H20" s="1208">
        <v>3068.5599999999899</v>
      </c>
      <c r="I20" s="1208">
        <v>760440988.470047</v>
      </c>
      <c r="J20" s="1208">
        <v>1445602.02</v>
      </c>
      <c r="K20" s="1206">
        <v>251747507.150206</v>
      </c>
    </row>
    <row r="21" spans="1:11">
      <c r="A21" s="821">
        <f t="shared" si="0"/>
        <v>12</v>
      </c>
      <c r="B21" s="842" t="s">
        <v>561</v>
      </c>
      <c r="C21" s="1208">
        <v>7225082190.0815125</v>
      </c>
      <c r="D21" s="1208">
        <v>117054711.59999999</v>
      </c>
      <c r="E21" s="1208">
        <v>4952708686.235487</v>
      </c>
      <c r="F21" s="1208"/>
      <c r="G21" s="1208">
        <v>5601174164.0879803</v>
      </c>
      <c r="H21" s="1208">
        <v>3068.5599999999899</v>
      </c>
      <c r="I21" s="1208">
        <v>765155988.98461211</v>
      </c>
      <c r="J21" s="1208">
        <v>1445602.02</v>
      </c>
      <c r="K21" s="1206">
        <v>257474129.652937</v>
      </c>
    </row>
    <row r="22" spans="1:11">
      <c r="A22" s="820">
        <f t="shared" si="0"/>
        <v>13</v>
      </c>
      <c r="B22" s="841" t="s">
        <v>636</v>
      </c>
      <c r="C22" s="1208">
        <v>7243670460.5174751</v>
      </c>
      <c r="D22" s="1208">
        <v>117054711.59999999</v>
      </c>
      <c r="E22" s="1208">
        <v>5011073103.9462261</v>
      </c>
      <c r="F22" s="1208"/>
      <c r="G22" s="1208">
        <v>5642505029.6149702</v>
      </c>
      <c r="H22" s="1208">
        <v>3068.5599999999899</v>
      </c>
      <c r="I22" s="1208">
        <v>769583429.73828197</v>
      </c>
      <c r="J22" s="1208">
        <v>1445602.02</v>
      </c>
      <c r="K22" s="1206">
        <v>248037104.576397</v>
      </c>
    </row>
    <row r="23" spans="1:11" ht="13.5" thickBot="1">
      <c r="A23" s="1081">
        <f t="shared" si="0"/>
        <v>14</v>
      </c>
      <c r="B23" s="1082" t="s">
        <v>865</v>
      </c>
      <c r="C23" s="838">
        <f>SUM(C10:C22)/13</f>
        <v>7169748796.6125736</v>
      </c>
      <c r="D23" s="838">
        <f t="shared" ref="D23:K23" si="1">SUM(D10:D22)/13</f>
        <v>117054711.59999998</v>
      </c>
      <c r="E23" s="838">
        <f t="shared" si="1"/>
        <v>4845469486.2012844</v>
      </c>
      <c r="F23" s="838">
        <f t="shared" si="1"/>
        <v>0</v>
      </c>
      <c r="G23" s="838">
        <f t="shared" si="1"/>
        <v>5427213432.0640221</v>
      </c>
      <c r="H23" s="838">
        <f t="shared" si="1"/>
        <v>3068.5599999999899</v>
      </c>
      <c r="I23" s="838">
        <f t="shared" si="1"/>
        <v>735627151.37614226</v>
      </c>
      <c r="J23" s="838">
        <f t="shared" si="1"/>
        <v>1445602.0199999998</v>
      </c>
      <c r="K23" s="1371">
        <f t="shared" si="1"/>
        <v>247730154.73349908</v>
      </c>
    </row>
    <row r="24" spans="1:11" ht="13.5" thickTop="1">
      <c r="A24" s="816"/>
      <c r="B24" s="815"/>
      <c r="C24" s="837"/>
      <c r="D24" s="813"/>
      <c r="E24" s="813"/>
      <c r="F24" s="813"/>
      <c r="G24" s="837"/>
      <c r="H24" s="837"/>
      <c r="I24" s="837"/>
      <c r="J24" s="850"/>
      <c r="K24" s="850"/>
    </row>
    <row r="25" spans="1:11" ht="12.75" customHeight="1">
      <c r="A25" s="816"/>
      <c r="B25" s="849"/>
      <c r="C25" s="1465" t="s">
        <v>661</v>
      </c>
      <c r="D25" s="1466"/>
      <c r="E25" s="1466"/>
      <c r="F25" s="1466"/>
      <c r="G25" s="1466"/>
      <c r="H25" s="1466"/>
      <c r="I25" s="1466"/>
      <c r="J25" s="1466"/>
      <c r="K25" s="1467"/>
    </row>
    <row r="26" spans="1:11" ht="25.5">
      <c r="A26" s="848" t="s">
        <v>652</v>
      </c>
      <c r="B26" s="847" t="s">
        <v>651</v>
      </c>
      <c r="C26" s="829" t="s">
        <v>229</v>
      </c>
      <c r="D26" s="829" t="s">
        <v>660</v>
      </c>
      <c r="E26" s="829" t="s">
        <v>115</v>
      </c>
      <c r="F26" s="829" t="s">
        <v>659</v>
      </c>
      <c r="G26" s="829" t="s">
        <v>438</v>
      </c>
      <c r="H26" s="829" t="s">
        <v>658</v>
      </c>
      <c r="I26" s="829" t="s">
        <v>334</v>
      </c>
      <c r="J26" s="829" t="s">
        <v>657</v>
      </c>
      <c r="K26" s="828" t="s">
        <v>656</v>
      </c>
    </row>
    <row r="27" spans="1:11">
      <c r="A27" s="821"/>
      <c r="B27" s="826" t="s">
        <v>646</v>
      </c>
      <c r="C27" s="825" t="s">
        <v>645</v>
      </c>
      <c r="D27" s="825" t="s">
        <v>644</v>
      </c>
      <c r="E27" s="825" t="s">
        <v>643</v>
      </c>
      <c r="F27" s="825" t="s">
        <v>642</v>
      </c>
      <c r="G27" s="825" t="s">
        <v>664</v>
      </c>
      <c r="H27" s="825" t="s">
        <v>665</v>
      </c>
      <c r="I27" s="825" t="s">
        <v>655</v>
      </c>
      <c r="J27" s="825" t="s">
        <v>654</v>
      </c>
      <c r="K27" s="846" t="s">
        <v>653</v>
      </c>
    </row>
    <row r="28" spans="1:11" ht="44.25" customHeight="1">
      <c r="A28" s="821"/>
      <c r="B28" s="826" t="s">
        <v>641</v>
      </c>
      <c r="C28" s="845" t="s">
        <v>379</v>
      </c>
      <c r="D28" s="845" t="s">
        <v>669</v>
      </c>
      <c r="E28" s="845" t="s">
        <v>380</v>
      </c>
      <c r="F28" s="845" t="s">
        <v>670</v>
      </c>
      <c r="G28" s="845" t="s">
        <v>507</v>
      </c>
      <c r="H28" s="845" t="s">
        <v>671</v>
      </c>
      <c r="I28" s="845" t="s">
        <v>481</v>
      </c>
      <c r="J28" s="845" t="s">
        <v>672</v>
      </c>
      <c r="K28" s="844" t="s">
        <v>508</v>
      </c>
    </row>
    <row r="29" spans="1:11">
      <c r="A29" s="821">
        <f>+A23+1</f>
        <v>15</v>
      </c>
      <c r="B29" s="843" t="s">
        <v>639</v>
      </c>
      <c r="C29" s="1208">
        <v>3458480167.0085211</v>
      </c>
      <c r="D29" s="1208">
        <v>55391020.289999902</v>
      </c>
      <c r="E29" s="1208">
        <v>920410667.08646965</v>
      </c>
      <c r="F29" s="1208"/>
      <c r="G29" s="1208">
        <v>1805195477.2571502</v>
      </c>
      <c r="H29" s="1208">
        <v>2272.7599999999998</v>
      </c>
      <c r="I29" s="1208">
        <v>128842252.055153</v>
      </c>
      <c r="J29" s="1208">
        <v>870260.14999999991</v>
      </c>
      <c r="K29" s="1370">
        <v>161768783.69125</v>
      </c>
    </row>
    <row r="30" spans="1:11">
      <c r="A30" s="821">
        <f>+A29+1</f>
        <v>16</v>
      </c>
      <c r="B30" s="843" t="s">
        <v>185</v>
      </c>
      <c r="C30" s="1208">
        <v>3474619124.9318995</v>
      </c>
      <c r="D30" s="1208">
        <v>55837449.489999898</v>
      </c>
      <c r="E30" s="1208">
        <v>926132595.58702683</v>
      </c>
      <c r="F30" s="1208"/>
      <c r="G30" s="1208">
        <v>1813803700.9326601</v>
      </c>
      <c r="H30" s="1208">
        <v>2278.48</v>
      </c>
      <c r="I30" s="1208">
        <v>128659220.44628599</v>
      </c>
      <c r="J30" s="1208">
        <v>873892.98999999906</v>
      </c>
      <c r="K30" s="1206">
        <v>164877434.09532601</v>
      </c>
    </row>
    <row r="31" spans="1:11">
      <c r="A31" s="821">
        <f t="shared" ref="A31:A42" si="2">+A30+1</f>
        <v>17</v>
      </c>
      <c r="B31" s="842" t="s">
        <v>559</v>
      </c>
      <c r="C31" s="1208">
        <v>3490475750.459229</v>
      </c>
      <c r="D31" s="1208">
        <v>56283878.689999901</v>
      </c>
      <c r="E31" s="1208">
        <v>931863214.45769024</v>
      </c>
      <c r="F31" s="1208"/>
      <c r="G31" s="1208">
        <v>1821634837.3508701</v>
      </c>
      <c r="H31" s="1208">
        <v>2284.1999999999998</v>
      </c>
      <c r="I31" s="1208">
        <v>128490616.017138</v>
      </c>
      <c r="J31" s="1208">
        <v>877525.82999999903</v>
      </c>
      <c r="K31" s="1206">
        <v>167914081.22980699</v>
      </c>
    </row>
    <row r="32" spans="1:11">
      <c r="A32" s="821">
        <f t="shared" si="2"/>
        <v>18</v>
      </c>
      <c r="B32" s="842" t="s">
        <v>638</v>
      </c>
      <c r="C32" s="1208">
        <v>3506149145.2919445</v>
      </c>
      <c r="D32" s="1208">
        <v>56730307.889999904</v>
      </c>
      <c r="E32" s="1208">
        <v>937617443.86261654</v>
      </c>
      <c r="F32" s="1208"/>
      <c r="G32" s="1208">
        <v>1829628197.91293</v>
      </c>
      <c r="H32" s="1208">
        <v>2289.92</v>
      </c>
      <c r="I32" s="1208">
        <v>128335050.702764</v>
      </c>
      <c r="J32" s="1208">
        <v>881158.66999999899</v>
      </c>
      <c r="K32" s="1206">
        <v>159769506.00265899</v>
      </c>
    </row>
    <row r="33" spans="1:12">
      <c r="A33" s="821">
        <f t="shared" si="2"/>
        <v>19</v>
      </c>
      <c r="B33" s="842" t="s">
        <v>187</v>
      </c>
      <c r="C33" s="1208">
        <v>3522352798.3082891</v>
      </c>
      <c r="D33" s="1208">
        <v>57176737.089999899</v>
      </c>
      <c r="E33" s="1208">
        <v>943419970.51173508</v>
      </c>
      <c r="F33" s="1208"/>
      <c r="G33" s="1208">
        <v>1837691677.4811201</v>
      </c>
      <c r="H33" s="1208">
        <v>2295.6400000000003</v>
      </c>
      <c r="I33" s="1208">
        <v>128191340.95874099</v>
      </c>
      <c r="J33" s="1208">
        <v>884791.50999999896</v>
      </c>
      <c r="K33" s="1206">
        <v>162633870.573643</v>
      </c>
    </row>
    <row r="34" spans="1:12">
      <c r="A34" s="821">
        <f t="shared" si="2"/>
        <v>20</v>
      </c>
      <c r="B34" s="842" t="s">
        <v>188</v>
      </c>
      <c r="C34" s="1208">
        <v>3538932218.251781</v>
      </c>
      <c r="D34" s="1208">
        <v>57623166.289999902</v>
      </c>
      <c r="E34" s="1208">
        <v>949261847.47411406</v>
      </c>
      <c r="F34" s="1208"/>
      <c r="G34" s="1208">
        <v>1845931095.6795602</v>
      </c>
      <c r="H34" s="1208">
        <v>2301.3599999999997</v>
      </c>
      <c r="I34" s="1208">
        <v>128058656.48259899</v>
      </c>
      <c r="J34" s="1208">
        <v>888424.34999999893</v>
      </c>
      <c r="K34" s="1206">
        <v>165541429.37467599</v>
      </c>
    </row>
    <row r="35" spans="1:12">
      <c r="A35" s="821">
        <f t="shared" si="2"/>
        <v>21</v>
      </c>
      <c r="B35" s="842" t="s">
        <v>382</v>
      </c>
      <c r="C35" s="1208">
        <v>3555562829.8646269</v>
      </c>
      <c r="D35" s="1208">
        <v>58069143.129999906</v>
      </c>
      <c r="E35" s="1208">
        <v>955164715.42129552</v>
      </c>
      <c r="F35" s="1208"/>
      <c r="G35" s="1208">
        <v>1854253167.01741</v>
      </c>
      <c r="H35" s="1208">
        <v>2307.08</v>
      </c>
      <c r="I35" s="1208">
        <v>127936255.964515</v>
      </c>
      <c r="J35" s="1208">
        <v>892057.18999999901</v>
      </c>
      <c r="K35" s="1206">
        <v>160602917.578439</v>
      </c>
    </row>
    <row r="36" spans="1:12">
      <c r="A36" s="821">
        <f t="shared" si="2"/>
        <v>22</v>
      </c>
      <c r="B36" s="842" t="s">
        <v>189</v>
      </c>
      <c r="C36" s="1208">
        <v>3567048813.0170565</v>
      </c>
      <c r="D36" s="1208">
        <v>58515076.279999897</v>
      </c>
      <c r="E36" s="1208">
        <v>961127320.95722675</v>
      </c>
      <c r="F36" s="1208"/>
      <c r="G36" s="1208">
        <v>1862702514.9883301</v>
      </c>
      <c r="H36" s="1208">
        <v>2312.8000000000002</v>
      </c>
      <c r="I36" s="1208">
        <v>127824545.06986</v>
      </c>
      <c r="J36" s="1208">
        <v>895690.02999999898</v>
      </c>
      <c r="K36" s="1206">
        <v>163498916.73883998</v>
      </c>
    </row>
    <row r="37" spans="1:12">
      <c r="A37" s="821">
        <f t="shared" si="2"/>
        <v>23</v>
      </c>
      <c r="B37" s="842" t="s">
        <v>637</v>
      </c>
      <c r="C37" s="1208">
        <v>3578321966.2323513</v>
      </c>
      <c r="D37" s="1208">
        <v>58961009.429999895</v>
      </c>
      <c r="E37" s="1208">
        <v>967103959.50034571</v>
      </c>
      <c r="F37" s="1208"/>
      <c r="G37" s="1208">
        <v>1871224027.7977903</v>
      </c>
      <c r="H37" s="1208">
        <v>2318.52</v>
      </c>
      <c r="I37" s="1208">
        <v>127723506.513144</v>
      </c>
      <c r="J37" s="1208">
        <v>899322.86999999906</v>
      </c>
      <c r="K37" s="1206">
        <v>166475050.947373</v>
      </c>
    </row>
    <row r="38" spans="1:12">
      <c r="A38" s="821">
        <f t="shared" si="2"/>
        <v>24</v>
      </c>
      <c r="B38" s="842" t="s">
        <v>192</v>
      </c>
      <c r="C38" s="1208">
        <v>3589669776.9563828</v>
      </c>
      <c r="D38" s="1208">
        <v>59406942.579999901</v>
      </c>
      <c r="E38" s="1208">
        <v>973104606.0966084</v>
      </c>
      <c r="F38" s="1208"/>
      <c r="G38" s="1208">
        <v>1879822767.0272303</v>
      </c>
      <c r="H38" s="1208">
        <v>2324.2400000000002</v>
      </c>
      <c r="I38" s="1208">
        <v>127664320.234162</v>
      </c>
      <c r="J38" s="1208">
        <v>902955.70999999903</v>
      </c>
      <c r="K38" s="1206">
        <v>160580980.102355</v>
      </c>
    </row>
    <row r="39" spans="1:12">
      <c r="A39" s="821">
        <f t="shared" si="2"/>
        <v>25</v>
      </c>
      <c r="B39" s="842" t="s">
        <v>560</v>
      </c>
      <c r="C39" s="1208">
        <v>3601207377.8325267</v>
      </c>
      <c r="D39" s="1208">
        <v>59852875.7299999</v>
      </c>
      <c r="E39" s="1208">
        <v>979150062.84210348</v>
      </c>
      <c r="F39" s="1208"/>
      <c r="G39" s="1208">
        <v>1888539311.2774401</v>
      </c>
      <c r="H39" s="1208">
        <v>2329.96</v>
      </c>
      <c r="I39" s="1208">
        <v>127617600.500047</v>
      </c>
      <c r="J39" s="1208">
        <v>906588.549999999</v>
      </c>
      <c r="K39" s="1206">
        <v>163608837.269871</v>
      </c>
    </row>
    <row r="40" spans="1:12">
      <c r="A40" s="821">
        <f t="shared" si="2"/>
        <v>26</v>
      </c>
      <c r="B40" s="842" t="s">
        <v>561</v>
      </c>
      <c r="C40" s="1208">
        <v>3612777757.098937</v>
      </c>
      <c r="D40" s="1208">
        <v>60298808.879999906</v>
      </c>
      <c r="E40" s="1208">
        <v>985239602.61779118</v>
      </c>
      <c r="F40" s="1208"/>
      <c r="G40" s="1208">
        <v>1897374887.8664801</v>
      </c>
      <c r="H40" s="1208">
        <v>2335.6799999999998</v>
      </c>
      <c r="I40" s="1208">
        <v>127585621.159853</v>
      </c>
      <c r="J40" s="1208">
        <v>910221.38999999897</v>
      </c>
      <c r="K40" s="1206">
        <v>166710014.04100099</v>
      </c>
    </row>
    <row r="41" spans="1:12">
      <c r="A41" s="820">
        <f t="shared" si="2"/>
        <v>27</v>
      </c>
      <c r="B41" s="841" t="s">
        <v>636</v>
      </c>
      <c r="C41" s="1208">
        <v>3624412287.525825</v>
      </c>
      <c r="D41" s="1208">
        <v>60744742.029999897</v>
      </c>
      <c r="E41" s="1208">
        <v>991418286.32197988</v>
      </c>
      <c r="F41" s="1208"/>
      <c r="G41" s="1208">
        <v>1906386188.54421</v>
      </c>
      <c r="H41" s="1208">
        <v>2341.4</v>
      </c>
      <c r="I41" s="1208">
        <v>127568841.968582</v>
      </c>
      <c r="J41" s="1208">
        <v>913854.22999999905</v>
      </c>
      <c r="K41" s="1207">
        <v>153961729.78051001</v>
      </c>
    </row>
    <row r="42" spans="1:12" ht="13.5" thickBot="1">
      <c r="A42" s="840">
        <f t="shared" si="2"/>
        <v>28</v>
      </c>
      <c r="B42" s="1082" t="s">
        <v>865</v>
      </c>
      <c r="C42" s="838">
        <f>SUM(C29:C41)/13</f>
        <v>3547693077.9061055</v>
      </c>
      <c r="D42" s="838">
        <f t="shared" ref="D42:K42" si="3">SUM(D29:D41)/13</f>
        <v>58068550.599999897</v>
      </c>
      <c r="E42" s="838">
        <f t="shared" si="3"/>
        <v>955462637.90284646</v>
      </c>
      <c r="F42" s="838">
        <f t="shared" si="3"/>
        <v>0</v>
      </c>
      <c r="G42" s="838">
        <f t="shared" si="3"/>
        <v>1854937527.0102448</v>
      </c>
      <c r="H42" s="838">
        <f t="shared" si="3"/>
        <v>2307.0800000000004</v>
      </c>
      <c r="I42" s="838">
        <f t="shared" si="3"/>
        <v>128038294.46714184</v>
      </c>
      <c r="J42" s="838">
        <f t="shared" si="3"/>
        <v>892057.18999999901</v>
      </c>
      <c r="K42" s="838">
        <f t="shared" si="3"/>
        <v>162918734.72505766</v>
      </c>
      <c r="L42" s="1205"/>
    </row>
    <row r="43" spans="1:12" ht="13.5" thickTop="1">
      <c r="A43" s="816"/>
      <c r="B43" s="815"/>
      <c r="C43" s="837"/>
      <c r="D43" s="813"/>
      <c r="E43" s="813"/>
      <c r="F43" s="813"/>
      <c r="G43" s="837"/>
    </row>
    <row r="44" spans="1:12">
      <c r="A44" s="816"/>
      <c r="B44" s="815"/>
      <c r="C44" s="837"/>
      <c r="D44" s="813"/>
      <c r="E44" s="813"/>
      <c r="F44" s="813"/>
      <c r="G44" s="837"/>
      <c r="H44" s="837"/>
      <c r="I44" s="837"/>
      <c r="J44" s="186"/>
      <c r="K44" s="186"/>
    </row>
    <row r="45" spans="1:12">
      <c r="A45" s="836"/>
      <c r="B45" s="835"/>
      <c r="C45" s="834"/>
      <c r="D45" s="833"/>
      <c r="E45" s="833"/>
      <c r="F45" s="832"/>
    </row>
    <row r="46" spans="1:12" ht="72" customHeight="1">
      <c r="A46" s="831" t="s">
        <v>652</v>
      </c>
      <c r="B46" s="825" t="s">
        <v>651</v>
      </c>
      <c r="C46" s="830" t="s">
        <v>650</v>
      </c>
      <c r="D46" s="829" t="s">
        <v>649</v>
      </c>
      <c r="E46" s="829" t="s">
        <v>648</v>
      </c>
      <c r="F46" s="828" t="s">
        <v>647</v>
      </c>
    </row>
    <row r="47" spans="1:12">
      <c r="A47" s="821"/>
      <c r="B47" s="825" t="s">
        <v>646</v>
      </c>
      <c r="C47" s="827" t="s">
        <v>645</v>
      </c>
      <c r="D47" s="825" t="s">
        <v>644</v>
      </c>
      <c r="E47" s="825" t="s">
        <v>643</v>
      </c>
      <c r="F47" s="826" t="s">
        <v>642</v>
      </c>
    </row>
    <row r="48" spans="1:12" ht="63.75">
      <c r="A48" s="821"/>
      <c r="B48" s="825" t="s">
        <v>641</v>
      </c>
      <c r="C48" s="824" t="s">
        <v>673</v>
      </c>
      <c r="D48" s="824" t="s">
        <v>674</v>
      </c>
      <c r="E48" s="823" t="s">
        <v>640</v>
      </c>
      <c r="F48" s="822" t="s">
        <v>640</v>
      </c>
    </row>
    <row r="49" spans="1:11">
      <c r="A49" s="821">
        <f>+A42+1</f>
        <v>29</v>
      </c>
      <c r="B49" s="843" t="s">
        <v>639</v>
      </c>
      <c r="C49" s="1208">
        <v>79541187.0412599</v>
      </c>
      <c r="D49" s="1208">
        <v>28806925.3213025</v>
      </c>
      <c r="E49" s="819"/>
      <c r="F49" s="818"/>
    </row>
    <row r="50" spans="1:11">
      <c r="A50" s="821">
        <f>+A49+1</f>
        <v>30</v>
      </c>
      <c r="B50" s="843" t="s">
        <v>185</v>
      </c>
      <c r="C50" s="1208">
        <v>79486744.515730396</v>
      </c>
      <c r="D50" s="1208">
        <v>28925117.319195602</v>
      </c>
      <c r="E50" s="819"/>
      <c r="F50" s="818"/>
    </row>
    <row r="51" spans="1:11">
      <c r="A51" s="821">
        <f t="shared" ref="A51:A62" si="4">+A50+1</f>
        <v>31</v>
      </c>
      <c r="B51" s="842" t="s">
        <v>559</v>
      </c>
      <c r="C51" s="1208">
        <v>79432445.331673995</v>
      </c>
      <c r="D51" s="1208">
        <v>29043336.968195099</v>
      </c>
      <c r="E51" s="819"/>
      <c r="F51" s="818"/>
    </row>
    <row r="52" spans="1:11">
      <c r="A52" s="821">
        <f t="shared" si="4"/>
        <v>32</v>
      </c>
      <c r="B52" s="842" t="s">
        <v>638</v>
      </c>
      <c r="C52" s="1208">
        <v>79378289.111687601</v>
      </c>
      <c r="D52" s="1208">
        <v>29161584.1954985</v>
      </c>
      <c r="E52" s="819"/>
      <c r="F52" s="818"/>
    </row>
    <row r="53" spans="1:11">
      <c r="A53" s="821">
        <f t="shared" si="4"/>
        <v>33</v>
      </c>
      <c r="B53" s="842" t="s">
        <v>187</v>
      </c>
      <c r="C53" s="1208">
        <v>79324275.479361787</v>
      </c>
      <c r="D53" s="1208">
        <v>29279858.928495001</v>
      </c>
      <c r="E53" s="819"/>
      <c r="F53" s="818"/>
    </row>
    <row r="54" spans="1:11">
      <c r="A54" s="821">
        <f t="shared" si="4"/>
        <v>34</v>
      </c>
      <c r="B54" s="842" t="s">
        <v>188</v>
      </c>
      <c r="C54" s="1208">
        <v>79270404.059278101</v>
      </c>
      <c r="D54" s="1208">
        <v>29398161.094764899</v>
      </c>
      <c r="E54" s="819"/>
      <c r="F54" s="818"/>
    </row>
    <row r="55" spans="1:11">
      <c r="A55" s="821">
        <f t="shared" si="4"/>
        <v>35</v>
      </c>
      <c r="B55" s="842" t="s">
        <v>382</v>
      </c>
      <c r="C55" s="1208">
        <v>79216674.477006599</v>
      </c>
      <c r="D55" s="1208">
        <v>29516490.622079398</v>
      </c>
      <c r="E55" s="819"/>
      <c r="F55" s="818"/>
    </row>
    <row r="56" spans="1:11">
      <c r="A56" s="821">
        <f t="shared" si="4"/>
        <v>36</v>
      </c>
      <c r="B56" s="842" t="s">
        <v>189</v>
      </c>
      <c r="C56" s="1208">
        <v>79163086.359103292</v>
      </c>
      <c r="D56" s="1208">
        <v>29634847.438399702</v>
      </c>
      <c r="E56" s="819"/>
      <c r="F56" s="818"/>
    </row>
    <row r="57" spans="1:11">
      <c r="A57" s="821">
        <f t="shared" si="4"/>
        <v>37</v>
      </c>
      <c r="B57" s="842" t="s">
        <v>637</v>
      </c>
      <c r="C57" s="1208">
        <v>79109639.333107099</v>
      </c>
      <c r="D57" s="1208">
        <v>29753231.471876599</v>
      </c>
      <c r="E57" s="819"/>
      <c r="F57" s="818"/>
    </row>
    <row r="58" spans="1:11">
      <c r="A58" s="821">
        <f t="shared" si="4"/>
        <v>38</v>
      </c>
      <c r="B58" s="842" t="s">
        <v>192</v>
      </c>
      <c r="C58" s="1208">
        <v>79056333.027538002</v>
      </c>
      <c r="D58" s="1208">
        <v>29871642.6508503</v>
      </c>
      <c r="E58" s="819"/>
      <c r="F58" s="818"/>
    </row>
    <row r="59" spans="1:11">
      <c r="A59" s="821">
        <f t="shared" si="4"/>
        <v>39</v>
      </c>
      <c r="B59" s="842" t="s">
        <v>560</v>
      </c>
      <c r="C59" s="1208">
        <v>79003167.071893692</v>
      </c>
      <c r="D59" s="1208">
        <v>29990080.903849497</v>
      </c>
      <c r="E59" s="819"/>
      <c r="F59" s="818"/>
    </row>
    <row r="60" spans="1:11">
      <c r="A60" s="821">
        <f t="shared" si="4"/>
        <v>40</v>
      </c>
      <c r="B60" s="842" t="s">
        <v>561</v>
      </c>
      <c r="C60" s="1208">
        <v>78950141.09664759</v>
      </c>
      <c r="D60" s="1208">
        <v>30108546.159591101</v>
      </c>
      <c r="E60" s="819"/>
      <c r="F60" s="818"/>
    </row>
    <row r="61" spans="1:11">
      <c r="A61" s="820">
        <f t="shared" si="4"/>
        <v>41</v>
      </c>
      <c r="B61" s="841" t="s">
        <v>636</v>
      </c>
      <c r="C61" s="1208">
        <v>78897254.733245805</v>
      </c>
      <c r="D61" s="1208">
        <v>30227038.346979801</v>
      </c>
      <c r="E61" s="819"/>
      <c r="F61" s="818"/>
    </row>
    <row r="62" spans="1:11" ht="13.5" thickBot="1">
      <c r="A62" s="817">
        <f t="shared" si="4"/>
        <v>42</v>
      </c>
      <c r="B62" s="1082" t="s">
        <v>865</v>
      </c>
      <c r="C62" s="838">
        <f>SUM(C49:C61)/13</f>
        <v>79217664.741348773</v>
      </c>
      <c r="D62" s="838">
        <f>SUM(D49:D61)/13</f>
        <v>29516681.647775229</v>
      </c>
      <c r="E62" s="838">
        <f>ROUND(SUM(E49:E61)/13,-3)</f>
        <v>0</v>
      </c>
      <c r="F62" s="838">
        <f>ROUND(SUM(F49:F61)/13,-3)</f>
        <v>0</v>
      </c>
      <c r="G62" s="1205"/>
    </row>
    <row r="63" spans="1:11" ht="13.5" thickTop="1">
      <c r="A63" s="816"/>
      <c r="B63" s="815"/>
      <c r="C63" s="186"/>
      <c r="D63" s="186"/>
      <c r="E63" s="186"/>
      <c r="F63" s="186"/>
    </row>
    <row r="64" spans="1:11">
      <c r="A64" s="816">
        <v>43</v>
      </c>
      <c r="B64" s="815" t="s">
        <v>635</v>
      </c>
      <c r="C64" s="186"/>
      <c r="D64" s="814">
        <f>+E42-D62</f>
        <v>925945956.25507128</v>
      </c>
      <c r="E64" s="186"/>
      <c r="F64" s="186"/>
      <c r="G64" s="186"/>
      <c r="H64" s="186"/>
      <c r="I64" s="813"/>
      <c r="J64" s="186"/>
      <c r="K64" s="6"/>
    </row>
    <row r="66" spans="1:7">
      <c r="A66" s="812"/>
      <c r="B66" s="235"/>
      <c r="C66" s="236"/>
      <c r="D66" s="237"/>
      <c r="E66" s="59"/>
      <c r="F66" s="59"/>
      <c r="G66" s="72"/>
    </row>
    <row r="67" spans="1:7" ht="25.5">
      <c r="A67" s="857" t="s">
        <v>3</v>
      </c>
      <c r="B67" s="235"/>
      <c r="C67" s="854" t="s">
        <v>2</v>
      </c>
      <c r="D67" s="855" t="str">
        <f>"Balance @ December 31, "&amp;TCOS!L4&amp;""</f>
        <v>Balance @ December 31, 2024</v>
      </c>
      <c r="E67" s="856" t="str">
        <f>"Balance @ December 31, "&amp;TCOS!L4-1&amp;""</f>
        <v>Balance @ December 31, 2023</v>
      </c>
      <c r="F67" s="856" t="str">
        <f>"Average Balance for "&amp;TCOS!L4&amp;""</f>
        <v>Average Balance for 2024</v>
      </c>
      <c r="G67" s="72"/>
    </row>
    <row r="68" spans="1:7">
      <c r="A68" s="76"/>
      <c r="B68" s="825" t="s">
        <v>646</v>
      </c>
      <c r="C68" s="825" t="s">
        <v>645</v>
      </c>
      <c r="D68" s="825" t="s">
        <v>644</v>
      </c>
      <c r="E68" s="825" t="s">
        <v>643</v>
      </c>
      <c r="F68" s="825" t="s">
        <v>642</v>
      </c>
      <c r="G68" s="72"/>
    </row>
    <row r="69" spans="1:7">
      <c r="A69" s="238">
        <f>+A64+1</f>
        <v>44</v>
      </c>
      <c r="B69" s="76" t="s">
        <v>3</v>
      </c>
      <c r="C69" s="241" t="s">
        <v>374</v>
      </c>
      <c r="D69" s="1209">
        <v>2817649.0999999992</v>
      </c>
      <c r="E69" s="1209">
        <v>2817649.0999999992</v>
      </c>
      <c r="F69" s="118">
        <f>IF(E69="",0,AVERAGE(D69:E69))</f>
        <v>2817649.0999999992</v>
      </c>
    </row>
    <row r="70" spans="1:7">
      <c r="A70" s="234"/>
      <c r="B70" s="242"/>
      <c r="C70" s="242"/>
      <c r="F70" s="72"/>
    </row>
    <row r="71" spans="1:7">
      <c r="A71" s="233">
        <f>+A69+1</f>
        <v>45</v>
      </c>
      <c r="B71" s="76" t="s">
        <v>828</v>
      </c>
      <c r="C71" s="257" t="s">
        <v>67</v>
      </c>
      <c r="D71" s="765">
        <v>1573244.76</v>
      </c>
      <c r="E71" s="1209">
        <v>1573244.76</v>
      </c>
      <c r="F71" s="118">
        <f>IF(E71="",0,AVERAGE(D71:E71))</f>
        <v>1573244.76</v>
      </c>
    </row>
    <row r="72" spans="1:7">
      <c r="A72" s="188"/>
      <c r="B72" s="188"/>
      <c r="C72" s="188"/>
      <c r="D72" s="188"/>
    </row>
    <row r="73" spans="1:7">
      <c r="A73" s="76" t="s">
        <v>236</v>
      </c>
      <c r="B73" s="188"/>
      <c r="C73" s="188"/>
      <c r="D73" s="188"/>
    </row>
    <row r="74" spans="1:7">
      <c r="A74" s="239"/>
      <c r="B74" s="240" t="s">
        <v>360</v>
      </c>
      <c r="C74" s="240"/>
      <c r="D74" s="66"/>
      <c r="E74" s="66"/>
      <c r="F74" s="66"/>
    </row>
    <row r="75" spans="1:7">
      <c r="A75" s="238">
        <f>+A71+1</f>
        <v>46</v>
      </c>
      <c r="B75" s="1131" t="s">
        <v>114</v>
      </c>
      <c r="C75" s="1005"/>
      <c r="D75" s="765">
        <v>0</v>
      </c>
      <c r="E75" s="765" t="s">
        <v>114</v>
      </c>
      <c r="F75" s="118">
        <f>IF(E75="",0,AVERAGE(D75:E75))</f>
        <v>0</v>
      </c>
    </row>
    <row r="76" spans="1:7">
      <c r="A76" s="238">
        <f>+A75+1</f>
        <v>47</v>
      </c>
      <c r="B76" s="766"/>
      <c r="C76" s="766"/>
      <c r="D76" s="765"/>
      <c r="E76" s="765"/>
      <c r="F76" s="118">
        <f>IF(E76="",0,AVERAGE(D76:E76))</f>
        <v>0</v>
      </c>
    </row>
    <row r="77" spans="1:7">
      <c r="A77" s="238">
        <f>+A76+1</f>
        <v>48</v>
      </c>
      <c r="B77" s="766"/>
      <c r="C77" s="766"/>
      <c r="D77" s="765"/>
      <c r="E77" s="765"/>
      <c r="F77" s="118">
        <f>IF(E77="",0,AVERAGE(D77:E77))</f>
        <v>0</v>
      </c>
    </row>
    <row r="78" spans="1:7">
      <c r="A78" s="238">
        <f>+A77+1</f>
        <v>49</v>
      </c>
      <c r="B78" s="766"/>
      <c r="C78" s="766"/>
      <c r="D78" s="765"/>
      <c r="E78" s="765"/>
      <c r="F78" s="118">
        <f>IF(E78="",0,AVERAGE(D78:E78))</f>
        <v>0</v>
      </c>
    </row>
    <row r="79" spans="1:7">
      <c r="A79" s="238">
        <f>+A78+1</f>
        <v>50</v>
      </c>
      <c r="B79" s="766"/>
      <c r="C79" s="766"/>
      <c r="D79" s="767"/>
      <c r="E79" s="767"/>
      <c r="F79" s="862">
        <f>IF(E79="",0,AVERAGE(D79:E79))</f>
        <v>0</v>
      </c>
    </row>
    <row r="80" spans="1:7">
      <c r="A80" s="238">
        <f>+A79+1</f>
        <v>51</v>
      </c>
      <c r="B80" s="240" t="s">
        <v>497</v>
      </c>
      <c r="C80" s="240"/>
      <c r="D80" s="147">
        <f>SUM(D75:D79)</f>
        <v>0</v>
      </c>
      <c r="E80" s="147">
        <f>SUM(E75:E79)</f>
        <v>0</v>
      </c>
      <c r="F80" s="147">
        <f>SUM(F75:F79)</f>
        <v>0</v>
      </c>
    </row>
    <row r="81" spans="1:11">
      <c r="A81" s="238"/>
      <c r="B81" s="240"/>
      <c r="C81" s="240"/>
      <c r="D81" s="147"/>
      <c r="E81" s="147"/>
      <c r="F81" s="147"/>
    </row>
    <row r="82" spans="1:11" ht="18">
      <c r="A82" s="76" t="s">
        <v>758</v>
      </c>
      <c r="B82" s="809"/>
      <c r="C82" s="809"/>
      <c r="D82" s="809"/>
      <c r="E82" s="66"/>
      <c r="F82" s="66"/>
      <c r="G82" s="66"/>
    </row>
    <row r="83" spans="1:11">
      <c r="A83" s="63"/>
      <c r="B83" s="193"/>
      <c r="C83" s="196"/>
      <c r="D83" s="7"/>
      <c r="E83" s="66"/>
      <c r="F83" s="66"/>
      <c r="G83" s="66"/>
    </row>
    <row r="84" spans="1:11">
      <c r="A84" s="63">
        <f>+A80+1</f>
        <v>52</v>
      </c>
      <c r="B84" s="12" t="s">
        <v>167</v>
      </c>
      <c r="C84" s="12" t="s">
        <v>306</v>
      </c>
      <c r="D84" s="858"/>
      <c r="E84" s="18"/>
      <c r="F84" s="12"/>
      <c r="G84" s="18"/>
    </row>
    <row r="85" spans="1:11" ht="14.25">
      <c r="A85" s="859" t="s">
        <v>751</v>
      </c>
      <c r="B85" s="1354" t="s">
        <v>871</v>
      </c>
      <c r="C85" s="1355">
        <v>2282000</v>
      </c>
      <c r="D85" s="1209">
        <v>2928411.0999999996</v>
      </c>
      <c r="E85" s="1209">
        <v>2928411.0999999996</v>
      </c>
      <c r="F85" s="863">
        <f>IF(E85="",0,AVERAGE(D85:E85))</f>
        <v>2928411.0999999996</v>
      </c>
      <c r="G85" s="18"/>
    </row>
    <row r="86" spans="1:11" ht="14.25">
      <c r="A86" s="860" t="s">
        <v>752</v>
      </c>
      <c r="B86" s="1354"/>
      <c r="C86" s="1355"/>
      <c r="D86" s="1209"/>
      <c r="E86" s="1209"/>
      <c r="F86" s="863">
        <f>IF(E86="",0,AVERAGE(D86:E86))</f>
        <v>0</v>
      </c>
      <c r="G86" s="18"/>
    </row>
    <row r="87" spans="1:11" ht="14.25">
      <c r="A87" s="860" t="s">
        <v>1108</v>
      </c>
      <c r="B87" s="1354"/>
      <c r="C87" s="1355"/>
      <c r="D87" s="1209"/>
      <c r="E87" s="1209"/>
      <c r="F87" s="864">
        <f>IF(E87="",0,AVERAGE(D87:E87))</f>
        <v>0</v>
      </c>
      <c r="G87" s="18"/>
    </row>
    <row r="88" spans="1:11" ht="18" customHeight="1">
      <c r="A88" s="861">
        <v>54</v>
      </c>
      <c r="B88" s="18"/>
      <c r="C88" s="5" t="s">
        <v>118</v>
      </c>
      <c r="D88" s="814">
        <f>SUM(D85:D87)</f>
        <v>2928411.0999999996</v>
      </c>
      <c r="E88" s="814">
        <f>SUM(E85:E87)</f>
        <v>2928411.0999999996</v>
      </c>
      <c r="F88" s="814">
        <f>SUM(F85:F87)</f>
        <v>2928411.0999999996</v>
      </c>
      <c r="G88" s="18"/>
    </row>
    <row r="89" spans="1:11">
      <c r="A89" s="238"/>
      <c r="B89" s="240"/>
      <c r="C89" s="240"/>
      <c r="D89" s="240"/>
      <c r="G89" s="18"/>
    </row>
    <row r="90" spans="1:11">
      <c r="A90" s="853" t="s">
        <v>677</v>
      </c>
      <c r="B90" s="240"/>
      <c r="C90" s="240"/>
      <c r="D90" s="240"/>
      <c r="E90" s="186"/>
      <c r="F90" s="186"/>
      <c r="G90" s="858"/>
      <c r="H90" s="186"/>
      <c r="I90" s="186"/>
      <c r="J90" s="186"/>
      <c r="K90" s="186"/>
    </row>
    <row r="91" spans="1:11">
      <c r="A91" s="853" t="s">
        <v>676</v>
      </c>
      <c r="B91" s="240"/>
      <c r="C91" s="240"/>
      <c r="D91" s="240"/>
      <c r="E91" s="186"/>
      <c r="F91" s="186"/>
      <c r="G91" s="186"/>
      <c r="H91" s="186"/>
      <c r="I91" s="186"/>
      <c r="J91" s="186"/>
      <c r="K91" s="186"/>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I105"/>
  <sheetViews>
    <sheetView zoomScale="90" zoomScaleNormal="90" zoomScaleSheetLayoutView="70" zoomScalePageLayoutView="85" workbookViewId="0">
      <selection activeCell="C14" sqref="C14"/>
    </sheetView>
  </sheetViews>
  <sheetFormatPr defaultColWidth="11.42578125" defaultRowHeight="12.75" customHeight="1"/>
  <cols>
    <col min="1" max="1" width="10.28515625" customWidth="1"/>
    <col min="2" max="2" width="52.28515625" customWidth="1"/>
    <col min="3" max="7" width="20.28515625" customWidth="1"/>
    <col min="8" max="8" width="23" customWidth="1"/>
    <col min="9" max="12" width="11.42578125" customWidth="1"/>
    <col min="13" max="13" width="12.140625" bestFit="1" customWidth="1"/>
    <col min="14" max="14" width="11.42578125" customWidth="1"/>
  </cols>
  <sheetData>
    <row r="1" spans="1:8" ht="15">
      <c r="A1" s="1460" t="s">
        <v>387</v>
      </c>
      <c r="B1" s="1460"/>
      <c r="C1" s="1460"/>
      <c r="D1" s="1460"/>
      <c r="E1" s="1460"/>
      <c r="F1" s="1460"/>
      <c r="G1" s="1460"/>
      <c r="H1" s="816"/>
    </row>
    <row r="2" spans="1:8" ht="15">
      <c r="A2" s="1461" t="str">
        <f>"Cost of Service Formula Rate Using Actual/Projected FF1 Balances"</f>
        <v>Cost of Service Formula Rate Using Actual/Projected FF1 Balances</v>
      </c>
      <c r="B2" s="1461"/>
      <c r="C2" s="1461"/>
      <c r="D2" s="1461"/>
      <c r="E2" s="1461"/>
      <c r="F2" s="1461"/>
      <c r="G2" s="1461"/>
      <c r="H2" s="866"/>
    </row>
    <row r="3" spans="1:8" ht="15">
      <c r="A3" s="1461" t="s">
        <v>678</v>
      </c>
      <c r="B3" s="1461"/>
      <c r="C3" s="1461"/>
      <c r="D3" s="1461"/>
      <c r="E3" s="1461"/>
      <c r="F3" s="1461"/>
      <c r="G3" s="1461"/>
      <c r="H3" s="866"/>
    </row>
    <row r="4" spans="1:8" ht="15">
      <c r="A4" s="1468" t="str">
        <f>TCOS!F9</f>
        <v>Appalachian Power Company</v>
      </c>
      <c r="B4" s="1468"/>
      <c r="C4" s="1468"/>
      <c r="D4" s="1468"/>
      <c r="E4" s="1468"/>
      <c r="F4" s="1468"/>
      <c r="G4" s="1468"/>
      <c r="H4" s="866"/>
    </row>
    <row r="5" spans="1:8">
      <c r="A5" s="866"/>
      <c r="B5" s="867"/>
      <c r="C5" s="867"/>
      <c r="D5" s="867"/>
      <c r="E5" s="868"/>
      <c r="F5" s="869"/>
      <c r="G5" s="865"/>
    </row>
    <row r="6" spans="1:8" ht="12.75" customHeight="1">
      <c r="A6" s="816"/>
      <c r="B6" s="849"/>
      <c r="C6" s="1462" t="s">
        <v>6</v>
      </c>
      <c r="D6" s="1463"/>
      <c r="E6" s="1463"/>
      <c r="F6" s="1463"/>
      <c r="G6" s="1464"/>
      <c r="H6" s="6"/>
    </row>
    <row r="7" spans="1:8" ht="38.25">
      <c r="A7" s="848" t="s">
        <v>652</v>
      </c>
      <c r="B7" s="847" t="s">
        <v>651</v>
      </c>
      <c r="C7" s="830" t="s">
        <v>679</v>
      </c>
      <c r="D7" s="829" t="s">
        <v>368</v>
      </c>
      <c r="E7" s="829" t="s">
        <v>680</v>
      </c>
      <c r="F7" s="829" t="s">
        <v>681</v>
      </c>
      <c r="G7" s="870" t="s">
        <v>6</v>
      </c>
      <c r="H7" s="6"/>
    </row>
    <row r="8" spans="1:8">
      <c r="A8" s="821"/>
      <c r="B8" s="826" t="s">
        <v>646</v>
      </c>
      <c r="C8" s="827" t="s">
        <v>645</v>
      </c>
      <c r="D8" s="825" t="s">
        <v>644</v>
      </c>
      <c r="E8" s="825" t="s">
        <v>643</v>
      </c>
      <c r="F8" s="825" t="s">
        <v>642</v>
      </c>
      <c r="G8" s="871" t="s">
        <v>682</v>
      </c>
      <c r="H8" s="6"/>
    </row>
    <row r="9" spans="1:8" ht="44.25" customHeight="1">
      <c r="A9" s="821"/>
      <c r="B9" s="826" t="s">
        <v>641</v>
      </c>
      <c r="C9" s="872" t="s">
        <v>683</v>
      </c>
      <c r="D9" s="845" t="s">
        <v>684</v>
      </c>
      <c r="E9" s="845" t="s">
        <v>685</v>
      </c>
      <c r="F9" s="845" t="s">
        <v>686</v>
      </c>
      <c r="G9" s="873"/>
      <c r="H9" s="6"/>
    </row>
    <row r="10" spans="1:8">
      <c r="A10" s="821">
        <v>1</v>
      </c>
      <c r="B10" s="843" t="s">
        <v>639</v>
      </c>
      <c r="C10" s="874">
        <v>5322295891.0557899</v>
      </c>
      <c r="D10" s="1365"/>
      <c r="E10" s="874">
        <v>-3463212.63</v>
      </c>
      <c r="F10" s="874">
        <v>-6919139.9376111105</v>
      </c>
      <c r="G10" s="875">
        <f t="shared" ref="G10:G22" si="0">+C10-D10-E10-F10</f>
        <v>5332678243.6234016</v>
      </c>
      <c r="H10" s="6"/>
    </row>
    <row r="11" spans="1:8">
      <c r="A11" s="821">
        <f t="shared" ref="A11:A23" si="1">+A10+1</f>
        <v>2</v>
      </c>
      <c r="B11" s="843" t="s">
        <v>185</v>
      </c>
      <c r="C11" s="874">
        <v>5377501434.8700905</v>
      </c>
      <c r="D11" s="1215"/>
      <c r="E11" s="874">
        <v>-3463212.63</v>
      </c>
      <c r="F11" s="874">
        <v>-6923069.3291333299</v>
      </c>
      <c r="G11" s="875">
        <f t="shared" si="0"/>
        <v>5387887716.8292236</v>
      </c>
      <c r="H11" s="6"/>
    </row>
    <row r="12" spans="1:8">
      <c r="A12" s="821">
        <f t="shared" si="1"/>
        <v>3</v>
      </c>
      <c r="B12" s="842" t="s">
        <v>559</v>
      </c>
      <c r="C12" s="874">
        <v>5420469429.8430996</v>
      </c>
      <c r="D12" s="1215"/>
      <c r="E12" s="874">
        <v>-3463212.63</v>
      </c>
      <c r="F12" s="874">
        <v>-6926998.7206555493</v>
      </c>
      <c r="G12" s="875">
        <f t="shared" si="0"/>
        <v>5430859641.1937551</v>
      </c>
      <c r="H12" s="6"/>
    </row>
    <row r="13" spans="1:8">
      <c r="A13" s="821">
        <f t="shared" si="1"/>
        <v>4</v>
      </c>
      <c r="B13" s="842" t="s">
        <v>638</v>
      </c>
      <c r="C13" s="874">
        <v>5459705420.2629194</v>
      </c>
      <c r="D13" s="1215"/>
      <c r="E13" s="874">
        <v>-3463212.63</v>
      </c>
      <c r="F13" s="874">
        <v>-6930928.1121777706</v>
      </c>
      <c r="G13" s="875">
        <f t="shared" si="0"/>
        <v>5470099561.0050974</v>
      </c>
      <c r="H13" s="6"/>
    </row>
    <row r="14" spans="1:8">
      <c r="A14" s="821">
        <f t="shared" si="1"/>
        <v>5</v>
      </c>
      <c r="B14" s="842" t="s">
        <v>187</v>
      </c>
      <c r="C14" s="874">
        <v>5475395887.5443096</v>
      </c>
      <c r="D14" s="1215"/>
      <c r="E14" s="874">
        <v>-3463212.63</v>
      </c>
      <c r="F14" s="874">
        <v>-6934857.5037000002</v>
      </c>
      <c r="G14" s="875">
        <f t="shared" si="0"/>
        <v>5485793957.67801</v>
      </c>
      <c r="H14" s="6"/>
    </row>
    <row r="15" spans="1:8">
      <c r="A15" s="821">
        <f t="shared" si="1"/>
        <v>6</v>
      </c>
      <c r="B15" s="842" t="s">
        <v>188</v>
      </c>
      <c r="C15" s="874">
        <v>5499222422.8895798</v>
      </c>
      <c r="D15" s="1215"/>
      <c r="E15" s="874">
        <v>-3463212.63</v>
      </c>
      <c r="F15" s="874">
        <v>-6938786.8952222196</v>
      </c>
      <c r="G15" s="875">
        <f t="shared" si="0"/>
        <v>5509624422.4148026</v>
      </c>
      <c r="H15" s="6"/>
    </row>
    <row r="16" spans="1:8">
      <c r="A16" s="821">
        <f t="shared" si="1"/>
        <v>7</v>
      </c>
      <c r="B16" s="842" t="s">
        <v>382</v>
      </c>
      <c r="C16" s="874">
        <v>5530498088.7452698</v>
      </c>
      <c r="D16" s="1215"/>
      <c r="E16" s="874">
        <v>-3463212.63</v>
      </c>
      <c r="F16" s="874">
        <v>-6942716.28674444</v>
      </c>
      <c r="G16" s="875">
        <f t="shared" si="0"/>
        <v>5540904017.662014</v>
      </c>
      <c r="H16" s="6"/>
    </row>
    <row r="17" spans="1:8">
      <c r="A17" s="821">
        <f t="shared" si="1"/>
        <v>8</v>
      </c>
      <c r="B17" s="842" t="s">
        <v>189</v>
      </c>
      <c r="C17" s="874">
        <v>5471016695.6896</v>
      </c>
      <c r="D17" s="1215"/>
      <c r="E17" s="874">
        <v>-3463212.63</v>
      </c>
      <c r="F17" s="874">
        <v>-6946645.6782666603</v>
      </c>
      <c r="G17" s="875">
        <f t="shared" si="0"/>
        <v>5481426553.9978666</v>
      </c>
      <c r="H17" s="6"/>
    </row>
    <row r="18" spans="1:8">
      <c r="A18" s="821">
        <f t="shared" si="1"/>
        <v>9</v>
      </c>
      <c r="B18" s="842" t="s">
        <v>637</v>
      </c>
      <c r="C18" s="874">
        <v>5514949967.6301298</v>
      </c>
      <c r="D18" s="1215"/>
      <c r="E18" s="874">
        <v>-3463212.63</v>
      </c>
      <c r="F18" s="874">
        <v>-6950575.06978889</v>
      </c>
      <c r="G18" s="875">
        <f t="shared" si="0"/>
        <v>5525363755.3299189</v>
      </c>
      <c r="H18" s="6"/>
    </row>
    <row r="19" spans="1:8">
      <c r="A19" s="821">
        <f t="shared" si="1"/>
        <v>10</v>
      </c>
      <c r="B19" s="842" t="s">
        <v>192</v>
      </c>
      <c r="C19" s="874">
        <v>5534893102.11901</v>
      </c>
      <c r="D19" s="1215"/>
      <c r="E19" s="874">
        <v>-3463212.63</v>
      </c>
      <c r="F19" s="874">
        <v>-6954504.4613111103</v>
      </c>
      <c r="G19" s="875">
        <f t="shared" si="0"/>
        <v>5545310819.2103214</v>
      </c>
      <c r="H19" s="6"/>
    </row>
    <row r="20" spans="1:8">
      <c r="A20" s="821">
        <f t="shared" si="1"/>
        <v>11</v>
      </c>
      <c r="B20" s="842" t="s">
        <v>560</v>
      </c>
      <c r="C20" s="874">
        <v>5564593543.75702</v>
      </c>
      <c r="D20" s="1215"/>
      <c r="E20" s="874">
        <v>-3463212.63</v>
      </c>
      <c r="F20" s="874">
        <v>-6958433.8528333297</v>
      </c>
      <c r="G20" s="875">
        <f t="shared" si="0"/>
        <v>5575015190.2398539</v>
      </c>
      <c r="H20" s="6"/>
    </row>
    <row r="21" spans="1:8">
      <c r="A21" s="821">
        <f t="shared" si="1"/>
        <v>12</v>
      </c>
      <c r="B21" s="842" t="s">
        <v>561</v>
      </c>
      <c r="C21" s="874">
        <v>5612182653.9173899</v>
      </c>
      <c r="D21" s="1215"/>
      <c r="E21" s="874">
        <v>-3463212.63</v>
      </c>
      <c r="F21" s="874">
        <v>-6962363.24435555</v>
      </c>
      <c r="G21" s="875">
        <f t="shared" si="0"/>
        <v>5622608229.7917452</v>
      </c>
      <c r="H21" s="6"/>
    </row>
    <row r="22" spans="1:8">
      <c r="A22" s="820">
        <f t="shared" si="1"/>
        <v>13</v>
      </c>
      <c r="B22" s="841" t="s">
        <v>636</v>
      </c>
      <c r="C22" s="874">
        <v>5673985849.5229397</v>
      </c>
      <c r="D22" s="1216"/>
      <c r="E22" s="874">
        <v>-3463212.63</v>
      </c>
      <c r="F22" s="874">
        <v>-6966292.6358777704</v>
      </c>
      <c r="G22" s="875">
        <f t="shared" si="0"/>
        <v>5684415354.7888174</v>
      </c>
      <c r="H22" s="6"/>
    </row>
    <row r="23" spans="1:8" ht="13.5" thickBot="1">
      <c r="A23" s="840">
        <f t="shared" si="1"/>
        <v>14</v>
      </c>
      <c r="B23" s="839" t="s">
        <v>866</v>
      </c>
      <c r="C23" s="838">
        <f>SUM(C10:C22)/13</f>
        <v>5496670029.8343954</v>
      </c>
      <c r="D23" s="838">
        <f t="shared" ref="D23:G23" si="2">SUM(D10:D22)/13</f>
        <v>0</v>
      </c>
      <c r="E23" s="838">
        <f t="shared" si="2"/>
        <v>-3463212.6300000004</v>
      </c>
      <c r="F23" s="838">
        <f t="shared" si="2"/>
        <v>-6942716.28674444</v>
      </c>
      <c r="G23" s="838">
        <f t="shared" si="2"/>
        <v>5507075958.7511396</v>
      </c>
      <c r="H23" s="1372"/>
    </row>
    <row r="24" spans="1:8" ht="13.5" thickTop="1">
      <c r="A24" s="816"/>
      <c r="B24" s="815"/>
      <c r="C24" s="837"/>
      <c r="D24" s="813"/>
      <c r="E24" s="813"/>
      <c r="F24" s="813"/>
      <c r="G24" s="837"/>
      <c r="H24" s="837"/>
    </row>
    <row r="25" spans="1:8" ht="12.75" customHeight="1">
      <c r="A25" s="816"/>
      <c r="B25" s="849"/>
      <c r="C25" s="1530" t="s">
        <v>687</v>
      </c>
      <c r="D25" s="1531"/>
      <c r="E25" s="1531"/>
      <c r="F25" s="1531"/>
      <c r="G25" s="1531"/>
      <c r="H25" s="1532"/>
    </row>
    <row r="26" spans="1:8" ht="38.25">
      <c r="A26" s="848" t="s">
        <v>652</v>
      </c>
      <c r="B26" s="847" t="s">
        <v>651</v>
      </c>
      <c r="C26" s="830" t="s">
        <v>699</v>
      </c>
      <c r="D26" s="829" t="s">
        <v>698</v>
      </c>
      <c r="E26" s="829" t="s">
        <v>697</v>
      </c>
      <c r="F26" s="829" t="s">
        <v>696</v>
      </c>
      <c r="G26" s="829" t="s">
        <v>688</v>
      </c>
      <c r="H26" s="870" t="s">
        <v>632</v>
      </c>
    </row>
    <row r="27" spans="1:8">
      <c r="A27" s="821"/>
      <c r="B27" s="826" t="s">
        <v>646</v>
      </c>
      <c r="C27" s="827" t="s">
        <v>645</v>
      </c>
      <c r="D27" s="825" t="s">
        <v>644</v>
      </c>
      <c r="E27" s="825" t="s">
        <v>643</v>
      </c>
      <c r="F27" s="825" t="s">
        <v>642</v>
      </c>
      <c r="G27" s="825" t="s">
        <v>664</v>
      </c>
      <c r="H27" s="871" t="s">
        <v>689</v>
      </c>
    </row>
    <row r="28" spans="1:8" ht="44.25" customHeight="1">
      <c r="A28" s="821"/>
      <c r="B28" s="826" t="s">
        <v>641</v>
      </c>
      <c r="C28" s="872" t="s">
        <v>690</v>
      </c>
      <c r="D28" s="845" t="s">
        <v>691</v>
      </c>
      <c r="E28" s="845" t="s">
        <v>692</v>
      </c>
      <c r="F28" s="845" t="s">
        <v>693</v>
      </c>
      <c r="G28" s="845" t="s">
        <v>694</v>
      </c>
      <c r="H28" s="876"/>
    </row>
    <row r="29" spans="1:8">
      <c r="A29" s="821">
        <f>+A23+1</f>
        <v>15</v>
      </c>
      <c r="B29" s="843" t="s">
        <v>639</v>
      </c>
      <c r="C29" s="874">
        <v>147717357.98999998</v>
      </c>
      <c r="D29" s="874"/>
      <c r="E29" s="874"/>
      <c r="F29" s="874">
        <v>5482749554.6399994</v>
      </c>
      <c r="G29" s="874"/>
      <c r="H29" s="875">
        <f t="shared" ref="H29:H41" si="3">+C29-D29+E29+F29-G29</f>
        <v>5630466912.6299992</v>
      </c>
    </row>
    <row r="30" spans="1:8">
      <c r="A30" s="821">
        <f t="shared" ref="A30:A42" si="4">+A29+1</f>
        <v>16</v>
      </c>
      <c r="B30" s="843" t="s">
        <v>185</v>
      </c>
      <c r="C30" s="874">
        <v>147717357.98999998</v>
      </c>
      <c r="D30" s="799"/>
      <c r="E30" s="799"/>
      <c r="F30" s="874">
        <v>5482749554.6399994</v>
      </c>
      <c r="G30" s="1130"/>
      <c r="H30" s="875">
        <f t="shared" si="3"/>
        <v>5630466912.6299992</v>
      </c>
    </row>
    <row r="31" spans="1:8">
      <c r="A31" s="821">
        <f t="shared" si="4"/>
        <v>17</v>
      </c>
      <c r="B31" s="842" t="s">
        <v>559</v>
      </c>
      <c r="C31" s="874">
        <v>134314512.989999</v>
      </c>
      <c r="D31" s="799"/>
      <c r="E31" s="799"/>
      <c r="F31" s="874">
        <v>5482749554.6399994</v>
      </c>
      <c r="G31" s="1130"/>
      <c r="H31" s="875">
        <f t="shared" si="3"/>
        <v>5617064067.6299982</v>
      </c>
    </row>
    <row r="32" spans="1:8">
      <c r="A32" s="821">
        <f t="shared" si="4"/>
        <v>18</v>
      </c>
      <c r="B32" s="842" t="s">
        <v>638</v>
      </c>
      <c r="C32" s="874">
        <v>134314512.989999</v>
      </c>
      <c r="D32" s="799"/>
      <c r="E32" s="799"/>
      <c r="F32" s="874">
        <v>5482749554.6399994</v>
      </c>
      <c r="G32" s="1130"/>
      <c r="H32" s="875">
        <f t="shared" si="3"/>
        <v>5617064067.6299982</v>
      </c>
    </row>
    <row r="33" spans="1:9">
      <c r="A33" s="821">
        <f t="shared" si="4"/>
        <v>19</v>
      </c>
      <c r="B33" s="842" t="s">
        <v>187</v>
      </c>
      <c r="C33" s="874">
        <v>134314512.989999</v>
      </c>
      <c r="D33" s="799"/>
      <c r="E33" s="799"/>
      <c r="F33" s="874">
        <v>5482749554.6399994</v>
      </c>
      <c r="G33" s="1130"/>
      <c r="H33" s="875">
        <f t="shared" si="3"/>
        <v>5617064067.6299982</v>
      </c>
    </row>
    <row r="34" spans="1:9">
      <c r="A34" s="821">
        <f t="shared" si="4"/>
        <v>20</v>
      </c>
      <c r="B34" s="842" t="s">
        <v>188</v>
      </c>
      <c r="C34" s="874">
        <v>134314512.989999</v>
      </c>
      <c r="D34" s="799"/>
      <c r="E34" s="799"/>
      <c r="F34" s="874">
        <v>5482749554.6399994</v>
      </c>
      <c r="G34" s="1130"/>
      <c r="H34" s="875">
        <f t="shared" si="3"/>
        <v>5617064067.6299982</v>
      </c>
    </row>
    <row r="35" spans="1:9">
      <c r="A35" s="821">
        <f t="shared" si="4"/>
        <v>21</v>
      </c>
      <c r="B35" s="842" t="s">
        <v>382</v>
      </c>
      <c r="C35" s="874">
        <v>134314512.989999</v>
      </c>
      <c r="D35" s="799"/>
      <c r="E35" s="799"/>
      <c r="F35" s="874">
        <v>5482749554.6399994</v>
      </c>
      <c r="G35" s="1130"/>
      <c r="H35" s="875">
        <f t="shared" si="3"/>
        <v>5617064067.6299982</v>
      </c>
    </row>
    <row r="36" spans="1:9">
      <c r="A36" s="821">
        <f t="shared" si="4"/>
        <v>22</v>
      </c>
      <c r="B36" s="842" t="s">
        <v>189</v>
      </c>
      <c r="C36" s="874">
        <v>134314512.989999</v>
      </c>
      <c r="D36" s="799"/>
      <c r="E36" s="799"/>
      <c r="F36" s="874">
        <v>5482749554.6399994</v>
      </c>
      <c r="G36" s="1130"/>
      <c r="H36" s="875">
        <f t="shared" si="3"/>
        <v>5617064067.6299982</v>
      </c>
    </row>
    <row r="37" spans="1:9">
      <c r="A37" s="821">
        <f t="shared" si="4"/>
        <v>23</v>
      </c>
      <c r="B37" s="842" t="s">
        <v>637</v>
      </c>
      <c r="C37" s="874">
        <v>120339772.989999</v>
      </c>
      <c r="D37" s="799"/>
      <c r="E37" s="799"/>
      <c r="F37" s="874">
        <v>5482749554.6399994</v>
      </c>
      <c r="G37" s="1130"/>
      <c r="H37" s="875">
        <f t="shared" si="3"/>
        <v>5603089327.6299982</v>
      </c>
    </row>
    <row r="38" spans="1:9">
      <c r="A38" s="821">
        <f t="shared" si="4"/>
        <v>24</v>
      </c>
      <c r="B38" s="842" t="s">
        <v>192</v>
      </c>
      <c r="C38" s="874">
        <v>120339772.989999</v>
      </c>
      <c r="D38" s="799"/>
      <c r="E38" s="799"/>
      <c r="F38" s="874">
        <v>5482749554.6399994</v>
      </c>
      <c r="G38" s="1130"/>
      <c r="H38" s="875">
        <f t="shared" si="3"/>
        <v>5603089327.6299982</v>
      </c>
    </row>
    <row r="39" spans="1:9">
      <c r="A39" s="821">
        <f t="shared" si="4"/>
        <v>25</v>
      </c>
      <c r="B39" s="842" t="s">
        <v>560</v>
      </c>
      <c r="C39" s="874">
        <v>120339772.989999</v>
      </c>
      <c r="D39" s="799"/>
      <c r="E39" s="799"/>
      <c r="F39" s="874">
        <v>5482749554.6399994</v>
      </c>
      <c r="G39" s="1130"/>
      <c r="H39" s="875">
        <f t="shared" si="3"/>
        <v>5603089327.6299982</v>
      </c>
    </row>
    <row r="40" spans="1:9">
      <c r="A40" s="821">
        <f t="shared" si="4"/>
        <v>26</v>
      </c>
      <c r="B40" s="842" t="s">
        <v>561</v>
      </c>
      <c r="C40" s="874">
        <v>120339772.989999</v>
      </c>
      <c r="D40" s="799"/>
      <c r="E40" s="799"/>
      <c r="F40" s="874">
        <v>5482749554.6399994</v>
      </c>
      <c r="G40" s="1130"/>
      <c r="H40" s="875">
        <f t="shared" si="3"/>
        <v>5603089327.6299982</v>
      </c>
    </row>
    <row r="41" spans="1:9">
      <c r="A41" s="820">
        <f t="shared" si="4"/>
        <v>27</v>
      </c>
      <c r="B41" s="841" t="s">
        <v>636</v>
      </c>
      <c r="C41" s="874">
        <v>120339772.989999</v>
      </c>
      <c r="D41" s="799"/>
      <c r="E41" s="799"/>
      <c r="F41" s="874">
        <v>5482749554.6399994</v>
      </c>
      <c r="G41" s="874"/>
      <c r="H41" s="875">
        <f t="shared" si="3"/>
        <v>5603089327.6299982</v>
      </c>
    </row>
    <row r="42" spans="1:9" ht="13.5" thickBot="1">
      <c r="A42" s="840">
        <f t="shared" si="4"/>
        <v>28</v>
      </c>
      <c r="B42" s="839" t="s">
        <v>866</v>
      </c>
      <c r="C42" s="838">
        <f t="shared" ref="C42:H42" si="5">SUM(C29:C41)/13</f>
        <v>131001589.14384533</v>
      </c>
      <c r="D42" s="838">
        <f t="shared" si="5"/>
        <v>0</v>
      </c>
      <c r="E42" s="838">
        <f t="shared" si="5"/>
        <v>0</v>
      </c>
      <c r="F42" s="838">
        <f t="shared" si="5"/>
        <v>5482749554.6399994</v>
      </c>
      <c r="G42" s="838">
        <f t="shared" si="5"/>
        <v>0</v>
      </c>
      <c r="H42" s="838">
        <f t="shared" si="5"/>
        <v>5613751143.783844</v>
      </c>
      <c r="I42" s="1205"/>
    </row>
    <row r="43" spans="1:9" ht="13.5" thickTop="1">
      <c r="A43" s="866"/>
      <c r="B43" s="877"/>
      <c r="C43" s="878"/>
      <c r="D43" s="879"/>
      <c r="E43" s="879"/>
      <c r="F43" s="879"/>
      <c r="G43" s="878"/>
      <c r="H43" s="878"/>
    </row>
    <row r="44" spans="1:9" ht="12.75" customHeight="1">
      <c r="A44" s="880" t="s">
        <v>695</v>
      </c>
      <c r="B44" s="865"/>
      <c r="C44" s="865"/>
      <c r="D44" s="865"/>
      <c r="E44" s="865"/>
      <c r="F44" s="513"/>
      <c r="G44" s="513"/>
      <c r="H44" s="513"/>
    </row>
    <row r="45" spans="1:9">
      <c r="A45" s="881"/>
      <c r="B45" s="865"/>
      <c r="C45" s="865"/>
      <c r="D45" s="865"/>
      <c r="E45" s="513"/>
      <c r="F45" s="513"/>
      <c r="G45" s="513"/>
      <c r="H45" s="513"/>
    </row>
    <row r="46" spans="1:9" ht="15">
      <c r="A46" s="882" t="s">
        <v>7</v>
      </c>
      <c r="B46" s="865"/>
      <c r="C46" s="865"/>
      <c r="D46" s="865"/>
      <c r="E46" s="513"/>
      <c r="F46" s="513"/>
      <c r="G46" s="513"/>
      <c r="H46" s="816"/>
    </row>
    <row r="47" spans="1:9" ht="15">
      <c r="A47" s="882"/>
      <c r="B47" s="883" t="s">
        <v>646</v>
      </c>
      <c r="C47" s="883" t="s">
        <v>645</v>
      </c>
      <c r="D47" s="884" t="s">
        <v>644</v>
      </c>
      <c r="E47" s="883" t="s">
        <v>643</v>
      </c>
      <c r="F47" s="884" t="s">
        <v>642</v>
      </c>
      <c r="G47" s="883" t="s">
        <v>664</v>
      </c>
      <c r="H47" s="883" t="s">
        <v>665</v>
      </c>
    </row>
    <row r="48" spans="1:9">
      <c r="A48" s="585">
        <f>+A42+1</f>
        <v>29</v>
      </c>
      <c r="B48" s="885" t="str">
        <f>"Annual Interest Expense for "&amp;TCOS!L4</f>
        <v>Annual Interest Expense for 2024</v>
      </c>
      <c r="C48" s="886"/>
      <c r="D48" s="887"/>
      <c r="E48" s="888"/>
      <c r="F48" s="888"/>
      <c r="G48" s="888"/>
      <c r="H48" s="888"/>
    </row>
    <row r="49" spans="1:8">
      <c r="A49" s="585">
        <f t="shared" ref="A49:A56" si="6">+A48+1</f>
        <v>30</v>
      </c>
      <c r="B49" s="1040" t="s">
        <v>767</v>
      </c>
      <c r="C49" s="886"/>
      <c r="D49" s="887"/>
      <c r="E49" s="874">
        <v>258536161.525415</v>
      </c>
      <c r="F49" s="888"/>
      <c r="G49" s="888"/>
      <c r="H49" s="888"/>
    </row>
    <row r="50" spans="1:8" ht="28.5" customHeight="1">
      <c r="A50" s="585">
        <f t="shared" si="6"/>
        <v>31</v>
      </c>
      <c r="B50" s="1524" t="str">
        <f>"Less: Total Hedge Gain/Expense Accumulated from p 256-257, col. (i) of FERC Form 1  included in Ln "&amp;A49&amp;" and shown in "&amp;A74&amp;" below."</f>
        <v>Less: Total Hedge Gain/Expense Accumulated from p 256-257, col. (i) of FERC Form 1  included in Ln 30 and shown in 50 below.</v>
      </c>
      <c r="C50" s="1525"/>
      <c r="D50" s="887"/>
      <c r="E50" s="886">
        <f>+C74</f>
        <v>2543.5100000001257</v>
      </c>
      <c r="F50" s="888"/>
      <c r="G50" s="888"/>
      <c r="H50" s="888"/>
    </row>
    <row r="51" spans="1:8" ht="16.5" customHeight="1">
      <c r="A51" s="585">
        <f t="shared" si="6"/>
        <v>32</v>
      </c>
      <c r="B51" s="891" t="str">
        <f>"Plus:  Allowed Hedge Recovery From Ln "&amp;A80&amp;"  below."</f>
        <v>Plus:  Allowed Hedge Recovery From Ln 55  below.</v>
      </c>
      <c r="C51" s="1041"/>
      <c r="D51" s="887"/>
      <c r="E51" s="892">
        <f>+E80</f>
        <v>2543.5100000001257</v>
      </c>
      <c r="F51" s="888"/>
      <c r="G51" s="888"/>
      <c r="H51" s="888"/>
    </row>
    <row r="52" spans="1:8">
      <c r="A52" s="585">
        <f t="shared" si="6"/>
        <v>33</v>
      </c>
      <c r="B52" s="1040" t="s">
        <v>768</v>
      </c>
      <c r="C52" s="1042"/>
      <c r="D52" s="893"/>
      <c r="E52" s="874">
        <v>4001563.1007124297</v>
      </c>
      <c r="F52" s="888"/>
      <c r="G52" s="888"/>
      <c r="H52" s="888"/>
    </row>
    <row r="53" spans="1:8">
      <c r="A53" s="585">
        <f t="shared" si="6"/>
        <v>34</v>
      </c>
      <c r="B53" s="1040" t="s">
        <v>769</v>
      </c>
      <c r="C53" s="894"/>
      <c r="D53" s="887"/>
      <c r="E53" s="874">
        <v>3875717.4126534602</v>
      </c>
      <c r="F53" s="888"/>
      <c r="G53" s="888"/>
      <c r="H53" s="888"/>
    </row>
    <row r="54" spans="1:8">
      <c r="A54" s="585">
        <f t="shared" si="6"/>
        <v>35</v>
      </c>
      <c r="B54" s="1040" t="s">
        <v>770</v>
      </c>
      <c r="C54" s="894"/>
      <c r="D54" s="887"/>
      <c r="E54" s="890"/>
      <c r="F54" s="888"/>
      <c r="G54" s="888"/>
      <c r="H54" s="888"/>
    </row>
    <row r="55" spans="1:8" ht="13.5" thickBot="1">
      <c r="A55" s="585">
        <f t="shared" si="6"/>
        <v>36</v>
      </c>
      <c r="B55" s="1040" t="s">
        <v>771</v>
      </c>
      <c r="C55" s="894"/>
      <c r="D55" s="887"/>
      <c r="E55" s="895"/>
      <c r="F55" s="888"/>
      <c r="G55" s="888"/>
      <c r="H55" s="888"/>
    </row>
    <row r="56" spans="1:8">
      <c r="A56" s="585">
        <f t="shared" si="6"/>
        <v>37</v>
      </c>
      <c r="B56" s="885" t="str">
        <f>"Total Interest Expense (Ln "&amp;A49&amp;" - "&amp;A50&amp;" + "&amp;A52&amp;" + "&amp;A53&amp;" - "&amp;A54&amp;" - "&amp;A55&amp;")"</f>
        <v>Total Interest Expense (Ln 30 - 31 + 33 + 34 - 35 - 36)</v>
      </c>
      <c r="C56" s="896"/>
      <c r="D56" s="897"/>
      <c r="E56" s="898">
        <f>+E49-E50+E51+E52+E53-E54-E55</f>
        <v>266413442.03878087</v>
      </c>
      <c r="F56" s="888"/>
      <c r="G56" s="888"/>
      <c r="H56" s="888"/>
    </row>
    <row r="57" spans="1:8" ht="13.5" thickBot="1">
      <c r="A57" s="585"/>
      <c r="B57" s="889"/>
      <c r="C57" s="894"/>
      <c r="D57" s="887"/>
      <c r="E57" s="898"/>
      <c r="F57" s="888"/>
      <c r="G57" s="888"/>
      <c r="H57" s="888"/>
    </row>
    <row r="58" spans="1:8" ht="13.5" thickBot="1">
      <c r="A58" s="585">
        <f>+A56+1</f>
        <v>38</v>
      </c>
      <c r="B58" s="885" t="str">
        <f>"Average Cost of Debt for "&amp;TCOS!L4&amp;" (Ln "&amp;A56&amp;"/ ln "&amp;A42&amp;" (g))"</f>
        <v>Average Cost of Debt for 2024 (Ln 37/ ln 28 (g))</v>
      </c>
      <c r="C58" s="896"/>
      <c r="D58" s="887"/>
      <c r="E58" s="899">
        <f>+E56/H42</f>
        <v>4.7457294635118052E-2</v>
      </c>
      <c r="F58" s="888"/>
      <c r="G58" s="888"/>
      <c r="H58" s="888"/>
    </row>
    <row r="59" spans="1:8">
      <c r="A59" s="900"/>
      <c r="B59" s="889"/>
      <c r="C59" s="894"/>
      <c r="D59" s="887"/>
      <c r="E59" s="894"/>
      <c r="F59" s="888"/>
      <c r="G59" s="888"/>
      <c r="H59" s="888"/>
    </row>
    <row r="60" spans="1:8" ht="28.5" customHeight="1">
      <c r="A60" s="701"/>
      <c r="B60" s="1526" t="s">
        <v>0</v>
      </c>
      <c r="C60" s="1526"/>
      <c r="D60" s="1526"/>
      <c r="E60" s="1526"/>
      <c r="F60" s="702"/>
      <c r="G60" s="901"/>
      <c r="H60" s="902"/>
    </row>
    <row r="61" spans="1:8" ht="107.25" customHeight="1">
      <c r="A61" s="703">
        <f>+A58+1</f>
        <v>39</v>
      </c>
      <c r="B61" s="1527" t="s">
        <v>312</v>
      </c>
      <c r="C61" s="1528"/>
      <c r="D61" s="1528"/>
      <c r="E61" s="1528"/>
      <c r="F61" s="513"/>
      <c r="G61" s="901"/>
      <c r="H61" s="902"/>
    </row>
    <row r="62" spans="1:8" ht="12" customHeight="1">
      <c r="A62" s="701"/>
      <c r="B62" s="704"/>
      <c r="C62" s="704"/>
      <c r="D62" s="704"/>
      <c r="E62" s="704"/>
      <c r="F62" s="901"/>
      <c r="G62" s="1529" t="s">
        <v>232</v>
      </c>
      <c r="H62" s="1529"/>
    </row>
    <row r="63" spans="1:8" ht="52.5" customHeight="1">
      <c r="A63" s="526"/>
      <c r="B63" s="904" t="s">
        <v>359</v>
      </c>
      <c r="C63" s="903" t="str">
        <f>"Total Hedge (Gain)/Loss for "&amp;TCOS!L4</f>
        <v>Total Hedge (Gain)/Loss for 2024</v>
      </c>
      <c r="D63" s="903" t="str">
        <f>"Less Excludable Amounts (See NOTE on Line "&amp;A61&amp;")"</f>
        <v>Less Excludable Amounts (See NOTE on Line 39)</v>
      </c>
      <c r="E63" s="903" t="s">
        <v>1</v>
      </c>
      <c r="F63" s="903" t="s">
        <v>231</v>
      </c>
      <c r="G63" s="903" t="s">
        <v>283</v>
      </c>
      <c r="H63" s="903" t="s">
        <v>285</v>
      </c>
    </row>
    <row r="64" spans="1:8" ht="12.75" customHeight="1">
      <c r="A64" s="526">
        <f>+A61+1</f>
        <v>40</v>
      </c>
      <c r="B64" s="905" t="s">
        <v>1195</v>
      </c>
      <c r="C64" s="890">
        <v>0</v>
      </c>
      <c r="D64" s="890">
        <v>0</v>
      </c>
      <c r="E64" s="906">
        <f>+C64-D64</f>
        <v>0</v>
      </c>
      <c r="F64" s="890">
        <v>0</v>
      </c>
      <c r="G64" s="1314">
        <v>38353</v>
      </c>
      <c r="H64" s="1314">
        <v>41821</v>
      </c>
    </row>
    <row r="65" spans="1:8" ht="12.75" customHeight="1">
      <c r="A65" s="526">
        <f t="shared" ref="A65:A74" si="7">+A64+1</f>
        <v>41</v>
      </c>
      <c r="B65" s="905" t="s">
        <v>1196</v>
      </c>
      <c r="C65" s="890">
        <v>0</v>
      </c>
      <c r="D65" s="890">
        <v>0</v>
      </c>
      <c r="E65" s="906">
        <f>+C65-D65</f>
        <v>0</v>
      </c>
      <c r="F65" s="890">
        <v>0</v>
      </c>
      <c r="G65" s="1314">
        <v>38504</v>
      </c>
      <c r="H65" s="1314">
        <v>42125</v>
      </c>
    </row>
    <row r="66" spans="1:8" ht="12.75" customHeight="1">
      <c r="A66" s="526">
        <f t="shared" si="7"/>
        <v>42</v>
      </c>
      <c r="B66" s="905" t="s">
        <v>1197</v>
      </c>
      <c r="C66" s="890">
        <v>0</v>
      </c>
      <c r="D66" s="890">
        <v>0</v>
      </c>
      <c r="E66" s="906">
        <f t="shared" ref="E66:E71" si="8">+C66-D66</f>
        <v>0</v>
      </c>
      <c r="F66" s="890">
        <v>0</v>
      </c>
      <c r="G66" s="1314">
        <v>38596</v>
      </c>
      <c r="H66" s="1314">
        <v>42248</v>
      </c>
    </row>
    <row r="67" spans="1:8" ht="12.75" customHeight="1">
      <c r="A67" s="526">
        <f t="shared" si="7"/>
        <v>43</v>
      </c>
      <c r="B67" s="905" t="s">
        <v>1198</v>
      </c>
      <c r="C67" s="890">
        <v>37071.349999999977</v>
      </c>
      <c r="D67" s="890">
        <v>0</v>
      </c>
      <c r="E67" s="906">
        <f t="shared" si="8"/>
        <v>37071.349999999977</v>
      </c>
      <c r="F67" s="890">
        <v>383070.44</v>
      </c>
      <c r="G67" s="1314">
        <v>37742</v>
      </c>
      <c r="H67" s="1314">
        <v>48700</v>
      </c>
    </row>
    <row r="68" spans="1:8" ht="12.75" customHeight="1">
      <c r="A68" s="526">
        <f t="shared" si="7"/>
        <v>44</v>
      </c>
      <c r="B68" s="905" t="s">
        <v>1199</v>
      </c>
      <c r="C68" s="890">
        <v>-194198.39999999991</v>
      </c>
      <c r="D68" s="890">
        <v>0</v>
      </c>
      <c r="E68" s="906">
        <f t="shared" si="8"/>
        <v>-194198.39999999991</v>
      </c>
      <c r="F68" s="890">
        <v>-2573130.02</v>
      </c>
      <c r="G68" s="1314">
        <v>38808</v>
      </c>
      <c r="H68" s="1314">
        <v>49766</v>
      </c>
    </row>
    <row r="69" spans="1:8" ht="12.75" customHeight="1">
      <c r="A69" s="526">
        <f t="shared" si="7"/>
        <v>45</v>
      </c>
      <c r="B69" s="905" t="s">
        <v>1200</v>
      </c>
      <c r="C69" s="890">
        <v>159670.56000000006</v>
      </c>
      <c r="D69" s="890">
        <v>0</v>
      </c>
      <c r="E69" s="906">
        <f t="shared" si="8"/>
        <v>159670.56000000006</v>
      </c>
      <c r="F69" s="890">
        <v>2428322.2999999998</v>
      </c>
      <c r="G69" s="1314">
        <v>39508</v>
      </c>
      <c r="H69" s="1314">
        <v>50496</v>
      </c>
    </row>
    <row r="70" spans="1:8" ht="12.75" customHeight="1">
      <c r="A70" s="526">
        <f t="shared" si="7"/>
        <v>46</v>
      </c>
      <c r="B70" s="905" t="s">
        <v>1201</v>
      </c>
      <c r="C70" s="890">
        <v>0</v>
      </c>
      <c r="D70" s="890">
        <v>0</v>
      </c>
      <c r="E70" s="906">
        <f t="shared" si="8"/>
        <v>0</v>
      </c>
      <c r="F70" s="890">
        <v>0</v>
      </c>
      <c r="G70" s="1314">
        <v>40322</v>
      </c>
      <c r="H70" s="1314">
        <v>42125</v>
      </c>
    </row>
    <row r="71" spans="1:8" ht="12.75" customHeight="1">
      <c r="A71" s="526">
        <f t="shared" si="7"/>
        <v>47</v>
      </c>
      <c r="B71" s="905" t="s">
        <v>1202</v>
      </c>
      <c r="C71" s="890">
        <v>0</v>
      </c>
      <c r="D71" s="890">
        <v>0</v>
      </c>
      <c r="E71" s="906">
        <f t="shared" si="8"/>
        <v>0</v>
      </c>
      <c r="F71" s="890">
        <v>0</v>
      </c>
      <c r="G71" s="1314">
        <v>40603</v>
      </c>
      <c r="H71" s="1314">
        <v>44256</v>
      </c>
    </row>
    <row r="72" spans="1:8" ht="12.75" customHeight="1">
      <c r="A72" s="526">
        <f t="shared" si="7"/>
        <v>48</v>
      </c>
      <c r="B72" s="905"/>
      <c r="C72" s="799"/>
      <c r="D72" s="890"/>
      <c r="E72" s="906">
        <f>+C72-D72</f>
        <v>0</v>
      </c>
      <c r="F72" s="907"/>
      <c r="G72" s="907"/>
      <c r="H72" s="907"/>
    </row>
    <row r="73" spans="1:8" ht="12.75" customHeight="1">
      <c r="A73" s="526">
        <f t="shared" si="7"/>
        <v>49</v>
      </c>
      <c r="B73" s="480"/>
      <c r="C73" s="908"/>
      <c r="D73" s="908"/>
      <c r="E73" s="909"/>
      <c r="F73" s="906">
        <f>SUM(F64:F72)</f>
        <v>238262.71999999974</v>
      </c>
      <c r="G73" s="901"/>
      <c r="H73" s="902"/>
    </row>
    <row r="74" spans="1:8" ht="12.75" customHeight="1">
      <c r="A74" s="526">
        <f t="shared" si="7"/>
        <v>50</v>
      </c>
      <c r="B74" s="889" t="s">
        <v>8</v>
      </c>
      <c r="C74" s="898">
        <f>SUM(C64:C72)</f>
        <v>2543.5100000001257</v>
      </c>
      <c r="D74" s="898">
        <f>SUM(D64:D72)</f>
        <v>0</v>
      </c>
      <c r="E74" s="902"/>
      <c r="F74" s="901"/>
      <c r="G74" s="901"/>
      <c r="H74" s="902"/>
    </row>
    <row r="75" spans="1:8" ht="21" customHeight="1">
      <c r="A75" s="526"/>
      <c r="B75" s="889"/>
      <c r="C75" s="898"/>
      <c r="D75" s="898"/>
      <c r="E75" s="898"/>
      <c r="F75" s="901"/>
      <c r="G75" s="901"/>
      <c r="H75" s="902"/>
    </row>
    <row r="76" spans="1:8" ht="14.25" customHeight="1">
      <c r="A76" s="526">
        <f>+A74+1</f>
        <v>51</v>
      </c>
      <c r="B76" s="889" t="str">
        <f>"Hedge Gain or Loss Prior to Application of Recovery Limit (Sum of Lines "&amp;A64&amp;" to "&amp;A72&amp;")"</f>
        <v>Hedge Gain or Loss Prior to Application of Recovery Limit (Sum of Lines 40 to 48)</v>
      </c>
      <c r="C76" s="898"/>
      <c r="D76" s="898"/>
      <c r="E76" s="898">
        <f>SUM(E64:E72)</f>
        <v>2543.5100000001257</v>
      </c>
      <c r="F76" s="901"/>
      <c r="G76" s="901"/>
      <c r="H76" s="902"/>
    </row>
    <row r="77" spans="1:8" ht="12.75" customHeight="1">
      <c r="A77" s="526">
        <f>+A76+1</f>
        <v>52</v>
      </c>
      <c r="B77" s="910" t="str">
        <f>"Total Average Capital Structure Balance for "&amp;TCOS!L4&amp;" (TCOS, Ln "&amp;TCOS!B258&amp;")"</f>
        <v>Total Average Capital Structure Balance for 2024 (TCOS, Ln 157)</v>
      </c>
      <c r="C77" s="894"/>
      <c r="D77" s="887"/>
      <c r="E77" s="911">
        <f>TCOS!G258</f>
        <v>11120827102.534985</v>
      </c>
      <c r="F77" s="901"/>
      <c r="G77" s="901"/>
      <c r="H77" s="912"/>
    </row>
    <row r="78" spans="1:8" ht="12.75" customHeight="1">
      <c r="A78" s="526">
        <f>+A77+1</f>
        <v>53</v>
      </c>
      <c r="B78" s="889" t="s">
        <v>489</v>
      </c>
      <c r="C78" s="894"/>
      <c r="D78" s="887"/>
      <c r="E78" s="913">
        <v>5.0000000000000001E-4</v>
      </c>
      <c r="F78" s="901"/>
      <c r="G78" s="914"/>
      <c r="H78" s="902"/>
    </row>
    <row r="79" spans="1:8" ht="12.75" customHeight="1" thickBot="1">
      <c r="A79" s="526">
        <f>+A78+1</f>
        <v>54</v>
      </c>
      <c r="B79" s="889" t="s">
        <v>490</v>
      </c>
      <c r="C79" s="894"/>
      <c r="D79" s="887"/>
      <c r="E79" s="915">
        <f>+E77*E78</f>
        <v>5560413.5512674926</v>
      </c>
      <c r="F79" s="901"/>
      <c r="G79" s="901"/>
      <c r="H79" s="902"/>
    </row>
    <row r="80" spans="1:8" ht="12.75" customHeight="1" thickBot="1">
      <c r="A80" s="526">
        <f>+A79+1</f>
        <v>55</v>
      </c>
      <c r="B80" s="885" t="str">
        <f>"Recoverable Hedge Amortization (Lesser of Ln "&amp;A76&amp;" or Ln "&amp;A79&amp;")"</f>
        <v>Recoverable Hedge Amortization (Lesser of Ln 51 or Ln 54)</v>
      </c>
      <c r="C80" s="894"/>
      <c r="D80" s="887"/>
      <c r="E80" s="916">
        <f>+IF(E79&lt;E76,E79,E76)</f>
        <v>2543.5100000001257</v>
      </c>
      <c r="F80" s="901"/>
      <c r="G80" s="901"/>
      <c r="H80" s="902"/>
    </row>
    <row r="81" spans="1:8" ht="12.75" customHeight="1">
      <c r="A81" s="526"/>
      <c r="B81" s="889"/>
      <c r="C81" s="894"/>
      <c r="D81" s="887"/>
      <c r="E81" s="894"/>
      <c r="F81" s="901"/>
      <c r="G81" s="901"/>
      <c r="H81" s="902"/>
    </row>
    <row r="82" spans="1:8" ht="12.75" customHeight="1">
      <c r="A82" s="917" t="s">
        <v>9</v>
      </c>
      <c r="B82" s="918"/>
      <c r="C82" s="894"/>
      <c r="D82" s="887"/>
      <c r="E82" s="894"/>
      <c r="F82" s="901"/>
      <c r="G82" s="901"/>
      <c r="H82" s="902"/>
    </row>
    <row r="83" spans="1:8" ht="12.75" customHeight="1">
      <c r="A83" s="526"/>
      <c r="B83" s="889"/>
      <c r="C83" s="894"/>
      <c r="D83" s="887"/>
      <c r="E83" s="894"/>
      <c r="F83" s="901"/>
      <c r="G83" s="901"/>
      <c r="H83" s="902"/>
    </row>
    <row r="84" spans="1:8" ht="12.75" customHeight="1">
      <c r="A84" s="526"/>
      <c r="B84" s="919" t="s">
        <v>258</v>
      </c>
      <c r="C84" s="920"/>
      <c r="D84" s="921"/>
      <c r="E84" s="920" t="s">
        <v>506</v>
      </c>
      <c r="F84" s="901"/>
      <c r="G84" s="901"/>
      <c r="H84" s="902"/>
    </row>
    <row r="85" spans="1:8" ht="12.75" customHeight="1">
      <c r="A85" s="526">
        <f>+A80+1</f>
        <v>56</v>
      </c>
      <c r="B85" s="887" t="str">
        <f>""&amp;C$85*100&amp;"% Series - "&amp;C$86&amp;" - Dividend Rate (p. 250-251)"</f>
        <v>0% Series - 0 - Dividend Rate (p. 250-251)</v>
      </c>
      <c r="C85" s="922">
        <v>0</v>
      </c>
      <c r="D85" s="922">
        <v>0</v>
      </c>
      <c r="E85" s="920"/>
      <c r="F85" s="901"/>
      <c r="G85" s="901"/>
      <c r="H85" s="902"/>
    </row>
    <row r="86" spans="1:8" ht="12.75" customHeight="1">
      <c r="A86" s="526">
        <f>+A85+1</f>
        <v>57</v>
      </c>
      <c r="B86" s="887" t="str">
        <f>""&amp;C$85*100&amp;"% Series - "&amp;C$86&amp;" - Par Value (p. 250-251)"</f>
        <v>0% Series - 0 - Par Value (p. 250-251)</v>
      </c>
      <c r="C86" s="923">
        <v>0</v>
      </c>
      <c r="D86" s="923">
        <v>0</v>
      </c>
      <c r="E86" s="920"/>
      <c r="F86" s="901"/>
      <c r="G86" s="901"/>
      <c r="H86" s="902"/>
    </row>
    <row r="87" spans="1:8" ht="12.75" customHeight="1">
      <c r="A87" s="526">
        <f>+A86+1</f>
        <v>58</v>
      </c>
      <c r="B87" s="887" t="str">
        <f>""&amp;C$85*100&amp;"% Series - "&amp;C$86&amp;" - Shares O/S (p.250-251) "</f>
        <v xml:space="preserve">0% Series - 0 - Shares O/S (p.250-251) </v>
      </c>
      <c r="C87" s="890">
        <v>0</v>
      </c>
      <c r="D87" s="890">
        <v>0</v>
      </c>
      <c r="E87" s="924"/>
      <c r="F87" s="901"/>
      <c r="G87" s="901"/>
      <c r="H87" s="902"/>
    </row>
    <row r="88" spans="1:8" ht="12.75" customHeight="1">
      <c r="A88" s="526">
        <f>+A87+1</f>
        <v>59</v>
      </c>
      <c r="B88" s="887" t="str">
        <f>""&amp;C$85*100&amp;"% Series - "&amp;C$86&amp;" - Monetary Value (Ln "&amp;A86&amp;" * Ln "&amp;A87&amp;")"</f>
        <v>0% Series - 0 - Monetary Value (Ln 57 * Ln 58)</v>
      </c>
      <c r="C88" s="925">
        <v>0</v>
      </c>
      <c r="D88" s="925">
        <v>0</v>
      </c>
      <c r="E88" s="926">
        <f>IF(C88=D88=0,0,AVERAGE(C88:D88))</f>
        <v>0</v>
      </c>
      <c r="F88" s="901"/>
      <c r="G88" s="901"/>
      <c r="H88" s="902"/>
    </row>
    <row r="89" spans="1:8" ht="12.75" customHeight="1">
      <c r="A89" s="526">
        <f>+A88+1</f>
        <v>60</v>
      </c>
      <c r="B89" s="887" t="str">
        <f>""&amp;C$85*100&amp;"% Series - "&amp;C$86&amp;" -  Dividend Amount (Ln "&amp;A85&amp;" * Ln "&amp;A88&amp;")"</f>
        <v>0% Series - 0 -  Dividend Amount (Ln 56 * Ln 59)</v>
      </c>
      <c r="C89" s="925">
        <v>0</v>
      </c>
      <c r="D89" s="925">
        <v>0</v>
      </c>
      <c r="E89" s="926">
        <f>IF(C89=D89=0,0,AVERAGE(C89:D89))</f>
        <v>0</v>
      </c>
      <c r="F89" s="901"/>
      <c r="G89" s="901"/>
      <c r="H89" s="902"/>
    </row>
    <row r="90" spans="1:8" ht="12.75" customHeight="1">
      <c r="A90" s="526"/>
      <c r="B90" s="887"/>
      <c r="C90" s="925"/>
      <c r="D90" s="914"/>
      <c r="E90" s="927"/>
      <c r="F90" s="901"/>
      <c r="G90" s="901"/>
      <c r="H90" s="902"/>
    </row>
    <row r="91" spans="1:8" ht="12.75" customHeight="1">
      <c r="A91" s="526">
        <f>+A89+1</f>
        <v>61</v>
      </c>
      <c r="B91" s="887" t="str">
        <f>""&amp;C$91*100&amp;"% Series - "&amp;C$92&amp;" - Dividend Rate (p. 250-251)"</f>
        <v>0% Series - 0 - Dividend Rate (p. 250-251)</v>
      </c>
      <c r="C91" s="922">
        <v>0</v>
      </c>
      <c r="D91" s="922">
        <v>0</v>
      </c>
      <c r="E91" s="927"/>
      <c r="F91" s="901"/>
      <c r="G91" s="901"/>
      <c r="H91" s="902"/>
    </row>
    <row r="92" spans="1:8" ht="12.75" customHeight="1">
      <c r="A92" s="526">
        <f>+A91+1</f>
        <v>62</v>
      </c>
      <c r="B92" s="887" t="str">
        <f>""&amp;C$91*100&amp;"% Series - "&amp;C$92&amp;" - Par Value (p. 250-251)"</f>
        <v>0% Series - 0 - Par Value (p. 250-251)</v>
      </c>
      <c r="C92" s="923">
        <v>0</v>
      </c>
      <c r="D92" s="923">
        <v>0</v>
      </c>
      <c r="E92" s="927"/>
      <c r="F92" s="901"/>
      <c r="G92" s="901"/>
      <c r="H92" s="902"/>
    </row>
    <row r="93" spans="1:8" ht="12.75" customHeight="1">
      <c r="A93" s="526">
        <f>+A92+1</f>
        <v>63</v>
      </c>
      <c r="B93" s="887" t="str">
        <f>""&amp;C$91*100&amp;"% Series - "&amp;C$92&amp;" - Shares O/S (p.250-251) "</f>
        <v xml:space="preserve">0% Series - 0 - Shares O/S (p.250-251) </v>
      </c>
      <c r="C93" s="890">
        <v>0</v>
      </c>
      <c r="D93" s="890">
        <v>0</v>
      </c>
      <c r="E93" s="927"/>
      <c r="F93" s="901"/>
      <c r="G93" s="901"/>
      <c r="H93" s="902"/>
    </row>
    <row r="94" spans="1:8" ht="12.75" customHeight="1">
      <c r="A94" s="526">
        <f>+A93+1</f>
        <v>64</v>
      </c>
      <c r="B94" s="887" t="str">
        <f>""&amp;C$91*100&amp;"% Series - "&amp;C$92&amp;" - Monetary Value (Ln "&amp;A92&amp;" * Ln "&amp;A93&amp;")"</f>
        <v>0% Series - 0 - Monetary Value (Ln 62 * Ln 63)</v>
      </c>
      <c r="C94" s="886">
        <v>0</v>
      </c>
      <c r="D94" s="886">
        <v>0</v>
      </c>
      <c r="E94" s="926">
        <f>IF(C94=D94=0,0,AVERAGE(C94:D94))</f>
        <v>0</v>
      </c>
      <c r="F94" s="901"/>
      <c r="G94" s="901"/>
      <c r="H94" s="902"/>
    </row>
    <row r="95" spans="1:8" ht="12.75" customHeight="1">
      <c r="A95" s="526">
        <f>+A94+1</f>
        <v>65</v>
      </c>
      <c r="B95" s="887" t="str">
        <f>""&amp;C$91*100&amp;"% Series - "&amp;C$92&amp;" -  Dividend Amount (Ln "&amp;A91&amp;" * Ln "&amp;A94&amp;")"</f>
        <v>0% Series - 0 -  Dividend Amount (Ln 61 * Ln 64)</v>
      </c>
      <c r="C95" s="886">
        <v>0</v>
      </c>
      <c r="D95" s="886">
        <v>0</v>
      </c>
      <c r="E95" s="926">
        <f>IF(C95=D95=0,0,AVERAGE(C95:D95))</f>
        <v>0</v>
      </c>
      <c r="F95" s="901"/>
      <c r="G95" s="901"/>
      <c r="H95" s="902"/>
    </row>
    <row r="96" spans="1:8" ht="12.75" customHeight="1">
      <c r="A96" s="526"/>
      <c r="B96" s="887"/>
      <c r="C96" s="886"/>
      <c r="D96" s="886"/>
      <c r="E96" s="926"/>
      <c r="F96" s="901"/>
      <c r="G96" s="901"/>
      <c r="H96" s="902"/>
    </row>
    <row r="97" spans="1:8" ht="12.75" customHeight="1">
      <c r="A97" s="526">
        <f>+A95+1</f>
        <v>66</v>
      </c>
      <c r="B97" s="887" t="str">
        <f>""&amp;C$97*100&amp;"% Series - "&amp;C$98&amp;" - Dividend Rate (p. 250-251)"</f>
        <v>0% Series - 0 - Dividend Rate (p. 250-251)</v>
      </c>
      <c r="C97" s="922">
        <v>0</v>
      </c>
      <c r="D97" s="922">
        <v>0</v>
      </c>
      <c r="E97" s="926"/>
      <c r="F97" s="901"/>
      <c r="G97" s="901"/>
      <c r="H97" s="902"/>
    </row>
    <row r="98" spans="1:8" ht="12.75" customHeight="1">
      <c r="A98" s="526">
        <f>+A97+1</f>
        <v>67</v>
      </c>
      <c r="B98" s="887" t="str">
        <f>""&amp;C$97*100&amp;"% Series - "&amp;C$98&amp;" - Par Value (p. 250-251)"</f>
        <v>0% Series - 0 - Par Value (p. 250-251)</v>
      </c>
      <c r="C98" s="923">
        <v>0</v>
      </c>
      <c r="D98" s="923">
        <v>0</v>
      </c>
      <c r="E98" s="926"/>
      <c r="F98" s="901"/>
      <c r="G98" s="901"/>
      <c r="H98" s="902"/>
    </row>
    <row r="99" spans="1:8" ht="12.75" customHeight="1">
      <c r="A99" s="526">
        <f>+A98+1</f>
        <v>68</v>
      </c>
      <c r="B99" s="887" t="str">
        <f>""&amp;C$97*100&amp;"% Series - "&amp;C$98&amp;" - Shares O/S (p.250-251) "</f>
        <v xml:space="preserve">0% Series - 0 - Shares O/S (p.250-251) </v>
      </c>
      <c r="C99" s="890">
        <v>0</v>
      </c>
      <c r="D99" s="890">
        <v>0</v>
      </c>
      <c r="E99" s="927"/>
      <c r="F99" s="901"/>
      <c r="G99" s="901"/>
      <c r="H99" s="902"/>
    </row>
    <row r="100" spans="1:8" ht="12.75" customHeight="1">
      <c r="A100" s="526">
        <f>+A99+1</f>
        <v>69</v>
      </c>
      <c r="B100" s="887" t="str">
        <f>""&amp;C$97*100&amp;"% Series - "&amp;C$98&amp;" - Monetary Value (Ln "&amp;A98&amp;" * Ln "&amp;A99&amp;")"</f>
        <v>0% Series - 0 - Monetary Value (Ln 67 * Ln 68)</v>
      </c>
      <c r="C100" s="886">
        <f>+C99*C98</f>
        <v>0</v>
      </c>
      <c r="D100" s="886">
        <f>+D99*D98</f>
        <v>0</v>
      </c>
      <c r="E100" s="926">
        <f>IF(C100=D100=0,0,AVERAGE(C100:D100))</f>
        <v>0</v>
      </c>
      <c r="F100" s="901"/>
      <c r="G100" s="901"/>
      <c r="H100" s="902"/>
    </row>
    <row r="101" spans="1:8" ht="12.75" customHeight="1">
      <c r="A101" s="526">
        <f>+A100+1</f>
        <v>70</v>
      </c>
      <c r="B101" s="887" t="str">
        <f>""&amp;C$97*100&amp;"% Series - "&amp;C$98&amp;" -  Dividend Amount (Ln "&amp;A97&amp;" * Ln "&amp;A100&amp;")"</f>
        <v>0% Series - 0 -  Dividend Amount (Ln 66 * Ln 69)</v>
      </c>
      <c r="C101" s="886">
        <f>+C100*C97</f>
        <v>0</v>
      </c>
      <c r="D101" s="886">
        <f>+D100*D97</f>
        <v>0</v>
      </c>
      <c r="E101" s="926">
        <f>IF(C101=D101=0,0,AVERAGE(C101:D101))</f>
        <v>0</v>
      </c>
      <c r="F101" s="901"/>
      <c r="G101" s="901"/>
      <c r="H101" s="902"/>
    </row>
    <row r="102" spans="1:8" ht="12.75" customHeight="1">
      <c r="A102" s="526"/>
      <c r="B102" s="887"/>
      <c r="C102" s="886"/>
      <c r="D102" s="886"/>
      <c r="E102" s="901"/>
      <c r="F102" s="901"/>
      <c r="G102" s="901"/>
      <c r="H102" s="902"/>
    </row>
    <row r="103" spans="1:8" ht="12.75" customHeight="1">
      <c r="A103" s="526">
        <f>+A101+1</f>
        <v>71</v>
      </c>
      <c r="B103" s="897" t="str">
        <f>"Balance of Preferred Stock (Lns "&amp;A88&amp;", "&amp;A94&amp;", "&amp;A100&amp;")"</f>
        <v>Balance of Preferred Stock (Lns 59, 64, 69)</v>
      </c>
      <c r="C103" s="886">
        <f>+C88+C94+C100</f>
        <v>0</v>
      </c>
      <c r="D103" s="886">
        <f>+D88+D94+D100</f>
        <v>0</v>
      </c>
      <c r="E103" s="928">
        <f>+E88+E94+E100</f>
        <v>0</v>
      </c>
      <c r="F103" s="887" t="s">
        <v>313</v>
      </c>
      <c r="G103" s="901"/>
      <c r="H103" s="902"/>
    </row>
    <row r="104" spans="1:8" ht="12.75" customHeight="1" thickBot="1">
      <c r="A104" s="526">
        <f>+A103+1</f>
        <v>72</v>
      </c>
      <c r="B104" s="897" t="str">
        <f>"Dividends on Preferred Stock (Lns "&amp;A89&amp;", "&amp;A95&amp;", "&amp;A101&amp;")"</f>
        <v>Dividends on Preferred Stock (Lns 60, 65, 70)</v>
      </c>
      <c r="C104" s="929">
        <f>+C95+C89+C101</f>
        <v>0</v>
      </c>
      <c r="D104" s="929">
        <f>+D95+D89+D101</f>
        <v>0</v>
      </c>
      <c r="E104" s="930">
        <f>+E101+E95+E89</f>
        <v>0</v>
      </c>
      <c r="F104" s="901"/>
      <c r="G104" s="901"/>
      <c r="H104" s="902"/>
    </row>
    <row r="105" spans="1:8" ht="12.75" customHeight="1" thickBot="1">
      <c r="A105" s="526">
        <f>+A104+1</f>
        <v>73</v>
      </c>
      <c r="B105" s="931" t="str">
        <f>"Average Cost of Preferred Stock (Ln "&amp;A104&amp;"/"&amp;A103&amp;")"</f>
        <v>Average Cost of Preferred Stock (Ln 72/71)</v>
      </c>
      <c r="C105" s="894">
        <f>IF(C103=0,0,C104/C103)</f>
        <v>0</v>
      </c>
      <c r="D105" s="894">
        <f>IF(D103=0,0,D104/D103)</f>
        <v>0</v>
      </c>
      <c r="E105" s="899">
        <f>IF(E103=0,0,+E104/E103)</f>
        <v>0</v>
      </c>
      <c r="F105" s="901"/>
      <c r="G105" s="901"/>
      <c r="H105" s="90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ustomHeight="1"/>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08" t="s">
        <v>114</v>
      </c>
    </row>
    <row r="2" spans="1:21" ht="15.75">
      <c r="A2" s="808" t="s">
        <v>114</v>
      </c>
    </row>
    <row r="3" spans="1:21" ht="18">
      <c r="A3" s="1510" t="s">
        <v>387</v>
      </c>
      <c r="B3" s="1510"/>
      <c r="C3" s="1510"/>
      <c r="D3" s="1510"/>
      <c r="E3" s="1510"/>
      <c r="F3" s="1510"/>
      <c r="G3" s="1510"/>
      <c r="H3" s="1510"/>
      <c r="I3" s="1510"/>
      <c r="J3" s="1510"/>
      <c r="K3" s="1510"/>
      <c r="L3" s="1510"/>
      <c r="M3" s="1510"/>
      <c r="N3" s="1510"/>
      <c r="O3" s="1510"/>
    </row>
    <row r="4" spans="1:21" ht="18">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c r="N4" s="1509"/>
      <c r="O4" s="1509"/>
    </row>
    <row r="5" spans="1:21" ht="18">
      <c r="A5" s="1509" t="s">
        <v>239</v>
      </c>
      <c r="B5" s="1509"/>
      <c r="C5" s="1509"/>
      <c r="D5" s="1509"/>
      <c r="E5" s="1509"/>
      <c r="F5" s="1509"/>
      <c r="G5" s="1509"/>
      <c r="H5" s="1509"/>
      <c r="I5" s="1509"/>
      <c r="J5" s="1509"/>
      <c r="K5" s="1509"/>
      <c r="L5" s="1509"/>
      <c r="M5" s="1509"/>
      <c r="N5" s="1509"/>
      <c r="O5" s="1509"/>
    </row>
    <row r="6" spans="1:21" ht="18">
      <c r="A6" s="1504" t="str">
        <f>+TCOS!F9</f>
        <v>Appalachian Power Company</v>
      </c>
      <c r="B6" s="1504"/>
      <c r="C6" s="1504"/>
      <c r="D6" s="1504"/>
      <c r="E6" s="1504"/>
      <c r="F6" s="1504"/>
      <c r="G6" s="1504"/>
      <c r="H6" s="1504"/>
      <c r="I6" s="1504"/>
      <c r="J6" s="1504"/>
      <c r="K6" s="1504"/>
      <c r="L6" s="1504"/>
      <c r="M6" s="1504"/>
      <c r="N6" s="1504"/>
      <c r="O6" s="1504"/>
    </row>
    <row r="7" spans="1:21" ht="12.75" customHeight="1">
      <c r="A7" s="142"/>
      <c r="B7" s="142"/>
      <c r="C7" s="142"/>
      <c r="D7" s="142"/>
      <c r="E7" s="142"/>
      <c r="F7" s="142"/>
      <c r="G7" s="142"/>
      <c r="H7" s="142"/>
      <c r="I7" s="142"/>
      <c r="J7" s="142"/>
      <c r="K7" s="142"/>
      <c r="L7" s="142"/>
    </row>
    <row r="8" spans="1:21" ht="12.75" customHeight="1">
      <c r="A8" s="1538" t="s">
        <v>390</v>
      </c>
      <c r="B8" s="1538"/>
      <c r="C8" s="1538"/>
      <c r="D8" s="1538"/>
      <c r="E8" s="1538"/>
      <c r="F8" s="1538"/>
      <c r="G8" s="1538"/>
      <c r="H8" s="1538"/>
      <c r="I8" s="1538"/>
      <c r="J8" s="1538"/>
      <c r="K8" s="1538"/>
      <c r="L8" s="1538"/>
      <c r="M8" s="1538"/>
      <c r="N8" s="1538"/>
      <c r="O8" s="1538"/>
    </row>
    <row r="9" spans="1:21" ht="12.75" customHeight="1">
      <c r="A9" s="1538"/>
      <c r="B9" s="1538"/>
      <c r="C9" s="1538"/>
      <c r="D9" s="1538"/>
      <c r="E9" s="1538"/>
      <c r="F9" s="1538"/>
      <c r="G9" s="1538"/>
      <c r="H9" s="1538"/>
      <c r="I9" s="1538"/>
      <c r="J9" s="1538"/>
      <c r="K9" s="1538"/>
      <c r="L9" s="1538"/>
      <c r="M9" s="1538"/>
      <c r="N9" s="1538"/>
      <c r="O9" s="1538"/>
    </row>
    <row r="10" spans="1:21">
      <c r="A10" s="1538"/>
      <c r="B10" s="1538"/>
      <c r="C10" s="1538"/>
      <c r="D10" s="1538"/>
      <c r="E10" s="1538"/>
      <c r="F10" s="1538"/>
      <c r="G10" s="1538"/>
      <c r="H10" s="1538"/>
      <c r="I10" s="1538"/>
      <c r="J10" s="1538"/>
      <c r="K10" s="1538"/>
      <c r="L10" s="1538"/>
      <c r="M10" s="1538"/>
      <c r="N10" s="1538"/>
      <c r="O10" s="1538"/>
    </row>
    <row r="11" spans="1:21">
      <c r="A11" s="1538"/>
      <c r="B11" s="1538"/>
      <c r="C11" s="1538"/>
      <c r="D11" s="1538"/>
      <c r="E11" s="1538"/>
      <c r="F11" s="1538"/>
      <c r="G11" s="1538"/>
      <c r="H11" s="1538"/>
      <c r="I11" s="1538"/>
      <c r="J11" s="1538"/>
      <c r="K11" s="1538"/>
      <c r="L11" s="1538"/>
      <c r="M11" s="1538"/>
      <c r="N11" s="1538"/>
      <c r="O11" s="1538"/>
    </row>
    <row r="12" spans="1:21">
      <c r="B12" s="1" t="s">
        <v>162</v>
      </c>
      <c r="C12" s="1"/>
      <c r="D12" s="1537" t="s">
        <v>163</v>
      </c>
      <c r="E12" s="1537"/>
      <c r="F12" s="1537"/>
      <c r="G12" s="1537"/>
      <c r="H12" s="1"/>
      <c r="I12" s="1" t="s">
        <v>4</v>
      </c>
      <c r="J12" s="1"/>
      <c r="K12" s="1" t="s">
        <v>165</v>
      </c>
      <c r="L12" s="1"/>
      <c r="M12" s="1" t="s">
        <v>84</v>
      </c>
      <c r="N12" s="1"/>
      <c r="O12" s="1" t="s">
        <v>85</v>
      </c>
      <c r="P12" s="1"/>
      <c r="Q12" s="1" t="s">
        <v>20</v>
      </c>
      <c r="R12" s="1"/>
      <c r="S12" s="1" t="s">
        <v>91</v>
      </c>
      <c r="T12" s="1"/>
      <c r="U12" s="86" t="s">
        <v>500</v>
      </c>
    </row>
    <row r="13" spans="1:21">
      <c r="I13" s="1534" t="s">
        <v>18</v>
      </c>
      <c r="Q13" s="1533" t="s">
        <v>19</v>
      </c>
      <c r="S13" s="1534" t="s">
        <v>21</v>
      </c>
      <c r="U13" s="247" t="s">
        <v>80</v>
      </c>
    </row>
    <row r="14" spans="1:21">
      <c r="A14" s="143" t="s">
        <v>17</v>
      </c>
      <c r="B14" s="143" t="s">
        <v>13</v>
      </c>
      <c r="C14" s="143"/>
      <c r="D14" s="173" t="s">
        <v>14</v>
      </c>
      <c r="E14" s="143"/>
      <c r="F14" s="143"/>
      <c r="G14" s="143"/>
      <c r="H14" s="143"/>
      <c r="I14" s="1536"/>
      <c r="J14" s="143"/>
      <c r="K14" s="143" t="s">
        <v>15</v>
      </c>
      <c r="L14" s="143"/>
      <c r="M14" s="143" t="s">
        <v>16</v>
      </c>
      <c r="N14" s="143"/>
      <c r="O14" s="143" t="s">
        <v>493</v>
      </c>
      <c r="Q14" s="1533"/>
      <c r="S14" s="1534"/>
      <c r="U14" s="247" t="s">
        <v>306</v>
      </c>
    </row>
    <row r="15" spans="1:21">
      <c r="A15" s="143"/>
      <c r="B15" s="143"/>
      <c r="C15" s="143"/>
      <c r="D15" s="173"/>
      <c r="E15" s="143"/>
      <c r="F15" s="143"/>
      <c r="G15" s="143"/>
      <c r="H15" s="143"/>
      <c r="I15" s="3" t="s">
        <v>491</v>
      </c>
      <c r="J15" s="143"/>
      <c r="K15" s="143"/>
      <c r="L15" s="143"/>
      <c r="M15" s="143"/>
      <c r="N15" s="143"/>
      <c r="O15" s="143"/>
      <c r="Q15" s="191"/>
      <c r="S15" s="143" t="s">
        <v>493</v>
      </c>
    </row>
    <row r="16" spans="1:21">
      <c r="I16" t="s">
        <v>492</v>
      </c>
    </row>
    <row r="17" spans="1:21">
      <c r="A17" s="1">
        <v>1</v>
      </c>
      <c r="B17" s="801"/>
      <c r="D17" s="1535"/>
      <c r="E17" s="1535"/>
      <c r="F17" s="1535"/>
      <c r="G17" s="1535"/>
      <c r="I17" s="802"/>
      <c r="K17" s="800"/>
      <c r="L17" s="119"/>
      <c r="M17" s="800"/>
      <c r="O17" s="144">
        <f>+K17-M17</f>
        <v>0</v>
      </c>
      <c r="Q17" s="179">
        <f>IF(I17="G",TCOS!L241,IF(I17="T",1,0))</f>
        <v>0</v>
      </c>
      <c r="S17" s="144">
        <f>ROUND(O17*Q17,0)</f>
        <v>0</v>
      </c>
      <c r="U17" s="803"/>
    </row>
    <row r="18" spans="1:21">
      <c r="A18" s="1"/>
      <c r="D18" s="1535"/>
      <c r="E18" s="1535"/>
      <c r="F18" s="1535"/>
      <c r="G18" s="1535"/>
      <c r="K18" s="119"/>
      <c r="L18" s="119"/>
      <c r="M18" s="119"/>
      <c r="O18" s="119"/>
      <c r="Q18" s="179"/>
      <c r="S18" s="119"/>
    </row>
    <row r="19" spans="1:21">
      <c r="A19" s="1"/>
      <c r="D19" s="1535"/>
      <c r="E19" s="1535"/>
      <c r="F19" s="1535"/>
      <c r="G19" s="1535"/>
      <c r="K19" s="119"/>
      <c r="L19" s="119"/>
      <c r="M19" s="119"/>
      <c r="O19" s="119"/>
      <c r="Q19" s="179"/>
      <c r="S19" s="119"/>
    </row>
    <row r="20" spans="1:21">
      <c r="A20" s="1"/>
      <c r="K20" s="119"/>
      <c r="L20" s="119"/>
      <c r="M20" s="119"/>
      <c r="O20" s="119"/>
      <c r="Q20" s="179"/>
      <c r="S20" s="119"/>
    </row>
    <row r="21" spans="1:21">
      <c r="A21" s="1"/>
      <c r="K21" s="119"/>
      <c r="L21" s="119"/>
      <c r="M21" s="119"/>
      <c r="O21" s="119"/>
      <c r="Q21" s="179"/>
      <c r="S21" s="119"/>
    </row>
    <row r="22" spans="1:21" ht="12" customHeight="1">
      <c r="A22" s="1">
        <f>+A17+1</f>
        <v>2</v>
      </c>
      <c r="B22" s="801"/>
      <c r="D22" s="1535"/>
      <c r="E22" s="1535"/>
      <c r="F22" s="1535"/>
      <c r="G22" s="1535"/>
      <c r="I22" s="802"/>
      <c r="K22" s="800"/>
      <c r="L22" s="119"/>
      <c r="M22" s="800"/>
      <c r="O22" s="144">
        <f>+K22-M22</f>
        <v>0</v>
      </c>
      <c r="Q22" s="179">
        <f>IF(I22="G",TCOS!L241,IF(I22="T",1,0))</f>
        <v>0</v>
      </c>
      <c r="S22" s="144">
        <f>ROUND(O22*Q22,0)</f>
        <v>0</v>
      </c>
      <c r="U22" s="803"/>
    </row>
    <row r="23" spans="1:21">
      <c r="A23" s="1"/>
      <c r="D23" s="1535"/>
      <c r="E23" s="1535"/>
      <c r="F23" s="1535"/>
      <c r="G23" s="1535"/>
      <c r="K23" s="119"/>
      <c r="L23" s="119"/>
      <c r="M23" s="119"/>
      <c r="O23" s="119"/>
      <c r="Q23" s="179"/>
      <c r="S23" s="119"/>
    </row>
    <row r="24" spans="1:21">
      <c r="A24" s="1"/>
      <c r="D24" s="1535"/>
      <c r="E24" s="1535"/>
      <c r="F24" s="1535"/>
      <c r="G24" s="1535"/>
      <c r="K24" s="119"/>
      <c r="L24" s="119"/>
      <c r="M24" s="119"/>
      <c r="O24" s="119"/>
      <c r="Q24" s="179"/>
      <c r="S24" s="119"/>
    </row>
    <row r="25" spans="1:21">
      <c r="A25" s="1"/>
      <c r="I25" s="1"/>
      <c r="K25" s="119"/>
      <c r="L25" s="119"/>
      <c r="M25" s="119"/>
      <c r="O25" s="119"/>
      <c r="Q25" s="179"/>
      <c r="S25" s="119"/>
    </row>
    <row r="26" spans="1:21">
      <c r="A26" s="1"/>
      <c r="I26" s="1"/>
      <c r="K26" s="119"/>
      <c r="L26" s="119"/>
      <c r="M26" s="119"/>
      <c r="O26" s="119"/>
      <c r="Q26" s="179"/>
      <c r="S26" s="119"/>
    </row>
    <row r="27" spans="1:21">
      <c r="A27" s="1">
        <f>+A22+1</f>
        <v>3</v>
      </c>
      <c r="B27" s="801"/>
      <c r="D27" s="1535"/>
      <c r="E27" s="1535"/>
      <c r="F27" s="1535"/>
      <c r="G27" s="1535"/>
      <c r="I27" s="802"/>
      <c r="K27" s="800"/>
      <c r="L27" s="119"/>
      <c r="M27" s="800"/>
      <c r="O27" s="144">
        <f>+K27-M27</f>
        <v>0</v>
      </c>
      <c r="Q27" s="179">
        <f>IF(I27="G",TCOS!L241,IF(I27="T",1,0))</f>
        <v>0</v>
      </c>
      <c r="S27" s="144">
        <f>ROUND(O27*Q27,0)</f>
        <v>0</v>
      </c>
      <c r="U27" s="803"/>
    </row>
    <row r="28" spans="1:21">
      <c r="A28" s="1"/>
      <c r="D28" s="1535"/>
      <c r="E28" s="1535"/>
      <c r="F28" s="1535"/>
      <c r="G28" s="1535"/>
      <c r="K28" s="119"/>
      <c r="L28" s="119"/>
      <c r="M28" s="119"/>
      <c r="O28" s="119"/>
      <c r="Q28" s="179"/>
      <c r="S28" s="119"/>
    </row>
    <row r="29" spans="1:21">
      <c r="A29" s="1"/>
      <c r="D29" s="1535"/>
      <c r="E29" s="1535"/>
      <c r="F29" s="1535"/>
      <c r="G29" s="1535"/>
      <c r="K29" s="119"/>
      <c r="L29" s="119"/>
      <c r="M29" s="119"/>
      <c r="O29" s="119"/>
      <c r="Q29" s="179"/>
    </row>
    <row r="30" spans="1:21">
      <c r="A30" s="1"/>
      <c r="O30" s="119"/>
      <c r="Q30" s="179"/>
    </row>
    <row r="31" spans="1:21">
      <c r="A31" s="1"/>
      <c r="O31" s="119"/>
      <c r="Q31" s="179"/>
    </row>
    <row r="32" spans="1:21">
      <c r="A32" s="1"/>
      <c r="O32" s="119"/>
      <c r="Q32" s="179"/>
    </row>
    <row r="33" spans="1:19" ht="13.5" thickBot="1">
      <c r="A33" s="1">
        <f>+A27+1</f>
        <v>4</v>
      </c>
      <c r="K33" t="str">
        <f>"Net (Gain) or Loss for "&amp;TCOS!L4&amp;""</f>
        <v>Net (Gain) or Loss for 2024</v>
      </c>
      <c r="O33" s="189">
        <f>SUM(O17:O27)</f>
        <v>0</v>
      </c>
      <c r="Q33" s="190"/>
      <c r="S33" s="189">
        <f>SUM(S17:S27)</f>
        <v>0</v>
      </c>
    </row>
    <row r="34" spans="1:19" ht="12.75" customHeight="1" thickTop="1"/>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57"/>
  <sheetViews>
    <sheetView view="pageBreakPreview" topLeftCell="A10" zoomScaleNormal="75" zoomScaleSheetLayoutView="100" workbookViewId="0">
      <selection activeCell="D37" sqref="D37:J37"/>
    </sheetView>
  </sheetViews>
  <sheetFormatPr defaultRowHeight="12.75" customHeight="1"/>
  <cols>
    <col min="1" max="1" width="8.140625" customWidth="1"/>
    <col min="2" max="2" width="28.85546875" customWidth="1"/>
    <col min="3" max="3" width="17.85546875" customWidth="1"/>
    <col min="4" max="4" width="19.28515625" customWidth="1"/>
    <col min="5" max="6" width="19.85546875" customWidth="1"/>
    <col min="7" max="7" width="21.42578125" customWidth="1"/>
    <col min="8" max="9" width="19.85546875" customWidth="1"/>
    <col min="10" max="10" width="21.28515625" customWidth="1"/>
    <col min="11" max="11" width="18.140625" customWidth="1"/>
    <col min="12" max="12" width="22.42578125" customWidth="1"/>
    <col min="13" max="13" width="22.140625" customWidth="1"/>
    <col min="14" max="14" width="11.140625" customWidth="1"/>
    <col min="15" max="15" width="11.28515625" bestFit="1" customWidth="1"/>
    <col min="16" max="16" width="12.42578125" customWidth="1"/>
    <col min="18" max="18" width="10.28515625" bestFit="1" customWidth="1"/>
    <col min="20" max="20" width="12.85546875" customWidth="1"/>
    <col min="21" max="21" width="13.5703125" customWidth="1"/>
  </cols>
  <sheetData>
    <row r="1" spans="1:17" s="1084" customFormat="1" ht="15.75">
      <c r="A1" s="1083" t="s">
        <v>114</v>
      </c>
    </row>
    <row r="2" spans="1:17" s="1084" customFormat="1" ht="15.75">
      <c r="A2" s="1083" t="s">
        <v>114</v>
      </c>
    </row>
    <row r="3" spans="1:17" s="1084" customFormat="1" ht="15.75">
      <c r="A3" s="1545" t="s">
        <v>387</v>
      </c>
      <c r="B3" s="1545"/>
      <c r="C3" s="1545"/>
      <c r="D3" s="1545"/>
      <c r="E3" s="1545"/>
      <c r="F3" s="1545"/>
      <c r="G3" s="1545"/>
      <c r="H3" s="1545"/>
      <c r="I3" s="1545"/>
      <c r="J3" s="1545"/>
      <c r="K3" s="1545"/>
      <c r="L3" s="1085"/>
      <c r="M3" s="1085"/>
      <c r="N3" s="1086"/>
      <c r="O3" s="1086"/>
      <c r="P3" s="1086"/>
      <c r="Q3" s="1086"/>
    </row>
    <row r="4" spans="1:17" s="1084" customFormat="1" ht="15.75">
      <c r="A4" s="1546" t="str">
        <f>"Cost of Service Formula Rate Using Actual/Projected FF1 Balances"</f>
        <v>Cost of Service Formula Rate Using Actual/Projected FF1 Balances</v>
      </c>
      <c r="B4" s="1547"/>
      <c r="C4" s="1547"/>
      <c r="D4" s="1547"/>
      <c r="E4" s="1547"/>
      <c r="F4" s="1547"/>
      <c r="G4" s="1547"/>
      <c r="H4" s="1547"/>
      <c r="I4" s="1547"/>
      <c r="J4" s="1547"/>
      <c r="K4" s="1547"/>
      <c r="L4" s="1087"/>
      <c r="M4" s="1089"/>
      <c r="N4" s="1090"/>
      <c r="O4" s="1090"/>
      <c r="P4" s="1090"/>
      <c r="Q4" s="1090"/>
    </row>
    <row r="5" spans="1:17" s="1084" customFormat="1" ht="15.75">
      <c r="A5" s="1548" t="s">
        <v>856</v>
      </c>
      <c r="B5" s="1548"/>
      <c r="C5" s="1548"/>
      <c r="D5" s="1548"/>
      <c r="E5" s="1548"/>
      <c r="F5" s="1548"/>
      <c r="G5" s="1548"/>
      <c r="H5" s="1548"/>
      <c r="I5" s="1548"/>
      <c r="J5" s="1548"/>
      <c r="K5" s="1548"/>
      <c r="L5" s="1087"/>
      <c r="M5" s="1091"/>
      <c r="N5" s="1091"/>
      <c r="O5" s="1091"/>
      <c r="P5" s="1091"/>
      <c r="Q5" s="1091"/>
    </row>
    <row r="6" spans="1:17" s="1084" customFormat="1" ht="15.75">
      <c r="A6" s="1549" t="str">
        <f>TCOS!F9</f>
        <v>Appalachian Power Company</v>
      </c>
      <c r="B6" s="1549"/>
      <c r="C6" s="1549"/>
      <c r="D6" s="1549"/>
      <c r="E6" s="1549"/>
      <c r="F6" s="1549"/>
      <c r="G6" s="1549"/>
      <c r="H6" s="1549"/>
      <c r="I6" s="1549"/>
      <c r="J6" s="1549"/>
      <c r="K6" s="1549"/>
      <c r="L6" s="1092"/>
      <c r="M6" s="1092"/>
      <c r="N6" s="1093"/>
      <c r="O6" s="1093"/>
      <c r="P6" s="1093"/>
      <c r="Q6" s="1093"/>
    </row>
    <row r="7" spans="1:17" s="1084" customFormat="1"/>
    <row r="8" spans="1:17" s="1084" customFormat="1"/>
    <row r="9" spans="1:17" s="1084" customFormat="1">
      <c r="B9" s="1542"/>
      <c r="C9" s="1542"/>
      <c r="D9" s="1542"/>
      <c r="E9" s="1542"/>
      <c r="F9" s="1542"/>
      <c r="G9" s="1542"/>
      <c r="H9" s="1542"/>
      <c r="I9" s="1542"/>
      <c r="J9" s="1542"/>
      <c r="K9" s="1542"/>
      <c r="L9" s="1542"/>
      <c r="M9" s="1542"/>
      <c r="N9" s="1095"/>
      <c r="O9" s="1095"/>
      <c r="P9" s="1095"/>
      <c r="Q9" s="1095"/>
    </row>
    <row r="10" spans="1:17" s="1084" customFormat="1">
      <c r="I10" s="1095"/>
      <c r="J10" s="1095"/>
      <c r="K10" s="1095"/>
      <c r="L10" s="1095"/>
      <c r="M10" s="1095"/>
      <c r="N10" s="1095"/>
      <c r="O10" s="1095"/>
      <c r="P10" s="1095"/>
      <c r="Q10" s="1095"/>
    </row>
    <row r="11" spans="1:17" s="1084" customFormat="1">
      <c r="I11" s="1095"/>
      <c r="J11" s="1095"/>
      <c r="K11" s="1095"/>
      <c r="L11" s="1095"/>
      <c r="M11" s="1095"/>
      <c r="N11" s="1095"/>
      <c r="O11" s="1095"/>
      <c r="P11" s="1095"/>
      <c r="Q11" s="1095"/>
    </row>
    <row r="12" spans="1:17" s="1084" customFormat="1">
      <c r="A12" s="1088">
        <v>1</v>
      </c>
      <c r="B12" s="1084" t="s">
        <v>830</v>
      </c>
      <c r="E12" s="1123">
        <v>52287952</v>
      </c>
      <c r="I12" s="1107"/>
      <c r="J12" s="1095"/>
      <c r="K12" s="1095"/>
      <c r="L12" s="1095"/>
      <c r="M12" s="1095"/>
      <c r="N12" s="1095"/>
      <c r="O12" s="1095"/>
      <c r="P12" s="1095"/>
      <c r="Q12" s="1095"/>
    </row>
    <row r="13" spans="1:17" s="1084" customFormat="1">
      <c r="I13" s="1107"/>
      <c r="J13" s="1095"/>
      <c r="K13" s="1095"/>
      <c r="L13" s="1095"/>
      <c r="M13" s="1095"/>
      <c r="N13" s="1095"/>
      <c r="O13" s="1095"/>
      <c r="P13" s="1095"/>
      <c r="Q13" s="1095"/>
    </row>
    <row r="14" spans="1:17" s="1084" customFormat="1">
      <c r="B14" s="1539" t="str">
        <f>"Allocation of PBOP Settlement Amount for "&amp;TCOS!L4&amp;""</f>
        <v>Allocation of PBOP Settlement Amount for 2024</v>
      </c>
      <c r="C14" s="1539"/>
      <c r="D14" s="1096"/>
      <c r="E14" s="1096"/>
      <c r="F14" s="1096"/>
      <c r="G14" s="1096"/>
      <c r="H14" s="1096"/>
      <c r="I14" s="1096"/>
      <c r="J14" s="1096"/>
      <c r="K14" s="1096"/>
      <c r="L14" s="1096"/>
      <c r="M14" s="1096"/>
      <c r="N14" s="1095"/>
      <c r="O14" s="1095"/>
      <c r="P14" s="1095"/>
      <c r="Q14" s="1095"/>
    </row>
    <row r="15" spans="1:17" s="1084" customFormat="1">
      <c r="C15" s="1542" t="s">
        <v>831</v>
      </c>
      <c r="D15" s="1542"/>
      <c r="E15" s="1542"/>
      <c r="F15" s="1094"/>
      <c r="N15" s="1095"/>
      <c r="O15" s="1095"/>
      <c r="P15" s="1095"/>
      <c r="Q15" s="1095"/>
    </row>
    <row r="16" spans="1:17" s="1084" customFormat="1">
      <c r="B16" s="1107"/>
      <c r="C16" s="1543" t="s">
        <v>832</v>
      </c>
      <c r="D16" s="1543" t="s">
        <v>833</v>
      </c>
      <c r="E16" s="1543" t="s">
        <v>834</v>
      </c>
      <c r="F16" s="1120"/>
      <c r="G16" s="1120"/>
      <c r="H16" s="1120"/>
      <c r="I16" s="1543" t="s">
        <v>835</v>
      </c>
      <c r="N16" s="1095"/>
      <c r="O16" s="1095"/>
      <c r="P16" s="1095"/>
      <c r="Q16" s="1095"/>
    </row>
    <row r="17" spans="1:17" s="1084" customFormat="1" ht="12.75" customHeight="1">
      <c r="C17" s="1540"/>
      <c r="D17" s="1540"/>
      <c r="E17" s="1540"/>
      <c r="F17" s="1543" t="str">
        <f>"Labor Allocator for "&amp;TCOS!L4&amp;""</f>
        <v>Labor Allocator for 2024</v>
      </c>
      <c r="G17" s="1122"/>
      <c r="H17" s="1544" t="s">
        <v>836</v>
      </c>
      <c r="I17" s="1543"/>
      <c r="N17" s="1095"/>
      <c r="O17" s="1095"/>
      <c r="P17" s="1095"/>
      <c r="Q17" s="1095"/>
    </row>
    <row r="18" spans="1:17" s="1084" customFormat="1">
      <c r="A18" s="1097" t="s">
        <v>837</v>
      </c>
      <c r="B18" s="1094" t="s">
        <v>183</v>
      </c>
      <c r="C18" s="1540"/>
      <c r="D18" s="1540"/>
      <c r="E18" s="1540"/>
      <c r="F18" s="1543"/>
      <c r="G18" s="1125" t="s">
        <v>838</v>
      </c>
      <c r="H18" s="1544"/>
      <c r="I18" s="1543"/>
      <c r="N18" s="1095"/>
      <c r="O18" s="1095"/>
      <c r="P18" s="1095"/>
      <c r="Q18" s="1095"/>
    </row>
    <row r="19" spans="1:17" s="1084" customFormat="1">
      <c r="B19" s="1094"/>
      <c r="C19" s="1106"/>
      <c r="D19" s="1106"/>
      <c r="E19" s="1106"/>
      <c r="F19" s="1120"/>
      <c r="G19" s="1122"/>
      <c r="H19" s="1122"/>
      <c r="I19" s="1106"/>
      <c r="N19" s="1095"/>
      <c r="O19" s="1095"/>
      <c r="P19" s="1095"/>
      <c r="Q19" s="1095"/>
    </row>
    <row r="20" spans="1:17" s="1084" customFormat="1">
      <c r="B20" s="1094"/>
      <c r="C20" s="1120" t="s">
        <v>162</v>
      </c>
      <c r="D20" s="1120" t="s">
        <v>839</v>
      </c>
      <c r="E20" s="1121" t="str">
        <f>"(C )=(B) * "&amp;E12&amp;""</f>
        <v>(C )=(B) * 52287952</v>
      </c>
      <c r="F20" s="1120" t="s">
        <v>165</v>
      </c>
      <c r="G20" s="1126" t="s">
        <v>840</v>
      </c>
      <c r="H20" s="1126" t="s">
        <v>841</v>
      </c>
      <c r="I20" s="1121" t="s">
        <v>842</v>
      </c>
      <c r="N20" s="1095"/>
      <c r="O20" s="1095"/>
      <c r="P20" s="1095"/>
      <c r="Q20" s="1095"/>
    </row>
    <row r="21" spans="1:17" s="1084" customFormat="1">
      <c r="B21" s="1094"/>
      <c r="C21" s="1120" t="str">
        <f>"(Line "&amp;A47&amp;")"</f>
        <v>(Line 14)</v>
      </c>
      <c r="D21" s="1120"/>
      <c r="E21" s="1121"/>
      <c r="F21" s="1120"/>
      <c r="G21" s="1122"/>
      <c r="H21" s="1124"/>
      <c r="I21" s="1121"/>
      <c r="N21" s="1095"/>
      <c r="O21" s="1095"/>
      <c r="P21" s="1095"/>
      <c r="Q21" s="1095"/>
    </row>
    <row r="22" spans="1:17" s="1084" customFormat="1">
      <c r="A22" s="1084">
        <v>2</v>
      </c>
      <c r="B22" s="1084" t="s">
        <v>843</v>
      </c>
      <c r="C22" s="1123">
        <v>-28089628.566056948</v>
      </c>
      <c r="D22" s="1310">
        <f t="shared" ref="D22:D27" si="0">+C22/C$28</f>
        <v>0.35971085900067357</v>
      </c>
      <c r="E22" s="1105">
        <f t="shared" ref="E22:E27" si="1">ROUND(D22*E$28,0)</f>
        <v>18808544</v>
      </c>
      <c r="F22" s="1214">
        <v>0.10717827348053025</v>
      </c>
      <c r="G22" s="1311">
        <f t="shared" ref="G22:G27" si="2">+C22*F22</f>
        <v>-3010597.8924193662</v>
      </c>
      <c r="H22" s="1311">
        <f t="shared" ref="H22:H27" si="3">+F22*E22</f>
        <v>2015867.2726025863</v>
      </c>
      <c r="I22" s="1105">
        <f t="shared" ref="I22:I27" si="4">+G22-H22</f>
        <v>-5026465.1650219522</v>
      </c>
      <c r="N22" s="1095"/>
      <c r="O22" s="1095"/>
      <c r="P22" s="1095"/>
      <c r="Q22" s="1095"/>
    </row>
    <row r="23" spans="1:17" s="1084" customFormat="1">
      <c r="A23" s="1084">
        <f t="shared" ref="A23:A28" si="5">+A22+1</f>
        <v>3</v>
      </c>
      <c r="B23" s="1084" t="s">
        <v>844</v>
      </c>
      <c r="C23" s="1123">
        <v>-20588132.712423295</v>
      </c>
      <c r="D23" s="1310">
        <f t="shared" si="0"/>
        <v>0.2636480181925463</v>
      </c>
      <c r="E23" s="1105">
        <f t="shared" si="1"/>
        <v>13785615</v>
      </c>
      <c r="F23" s="1214">
        <v>5.1135848117019871E-2</v>
      </c>
      <c r="G23" s="1311">
        <f t="shared" si="2"/>
        <v>-1052791.627395526</v>
      </c>
      <c r="H23" s="1311">
        <f t="shared" si="3"/>
        <v>704939.11483971088</v>
      </c>
      <c r="I23" s="1105">
        <f t="shared" si="4"/>
        <v>-1757730.7422352368</v>
      </c>
      <c r="N23" s="1095"/>
      <c r="O23" s="1095"/>
      <c r="P23" s="1095"/>
      <c r="Q23" s="1095"/>
    </row>
    <row r="24" spans="1:17" s="1084" customFormat="1">
      <c r="A24" s="1084">
        <f t="shared" si="5"/>
        <v>4</v>
      </c>
      <c r="B24" s="1084" t="s">
        <v>845</v>
      </c>
      <c r="C24" s="1123">
        <v>-6450809.7209908422</v>
      </c>
      <c r="D24" s="1310">
        <f t="shared" si="0"/>
        <v>8.2607938390167127E-2</v>
      </c>
      <c r="E24" s="1105">
        <f t="shared" si="1"/>
        <v>4319400</v>
      </c>
      <c r="F24" s="1214">
        <v>9.8323665191820911E-2</v>
      </c>
      <c r="G24" s="1311">
        <f t="shared" si="2"/>
        <v>-634267.25522284722</v>
      </c>
      <c r="H24" s="1311">
        <f t="shared" si="3"/>
        <v>424699.23942955123</v>
      </c>
      <c r="I24" s="1105">
        <f t="shared" si="4"/>
        <v>-1058966.4946523984</v>
      </c>
      <c r="N24" s="1095"/>
      <c r="O24" s="1095"/>
      <c r="P24" s="1095"/>
      <c r="Q24" s="1095"/>
    </row>
    <row r="25" spans="1:17" s="1084" customFormat="1">
      <c r="A25" s="1084">
        <f t="shared" si="5"/>
        <v>5</v>
      </c>
      <c r="B25" s="1084" t="s">
        <v>846</v>
      </c>
      <c r="C25" s="1123">
        <v>-701394.5378321592</v>
      </c>
      <c r="D25" s="1310">
        <f t="shared" si="0"/>
        <v>8.9819354894162141E-3</v>
      </c>
      <c r="E25" s="1105">
        <f t="shared" si="1"/>
        <v>469647</v>
      </c>
      <c r="F25" s="1214">
        <v>8.9987662007902425E-2</v>
      </c>
      <c r="G25" s="1311">
        <f t="shared" si="2"/>
        <v>-63116.854604629276</v>
      </c>
      <c r="H25" s="1311">
        <f t="shared" si="3"/>
        <v>42262.435499025349</v>
      </c>
      <c r="I25" s="1105">
        <f t="shared" si="4"/>
        <v>-105379.29010365462</v>
      </c>
      <c r="N25" s="1095"/>
      <c r="O25" s="1095"/>
      <c r="P25" s="1095"/>
      <c r="Q25" s="1095"/>
    </row>
    <row r="26" spans="1:17" s="1084" customFormat="1">
      <c r="A26" s="1084">
        <f t="shared" si="5"/>
        <v>6</v>
      </c>
      <c r="B26" s="1084" t="s">
        <v>847</v>
      </c>
      <c r="C26" s="1123">
        <v>-20853937.977060094</v>
      </c>
      <c r="D26" s="1310">
        <f t="shared" si="0"/>
        <v>0.26705187381294215</v>
      </c>
      <c r="E26" s="1105">
        <f t="shared" si="1"/>
        <v>13963596</v>
      </c>
      <c r="F26" s="1214">
        <v>0.12482296603541986</v>
      </c>
      <c r="G26" s="1311">
        <f t="shared" si="2"/>
        <v>-2603050.3918153243</v>
      </c>
      <c r="H26" s="1311">
        <f t="shared" si="3"/>
        <v>1742977.4692403246</v>
      </c>
      <c r="I26" s="1105">
        <f t="shared" si="4"/>
        <v>-4346027.8610556489</v>
      </c>
      <c r="N26" s="1095"/>
      <c r="O26" s="1095"/>
      <c r="P26" s="1095"/>
      <c r="Q26" s="1095"/>
    </row>
    <row r="27" spans="1:17" s="1084" customFormat="1">
      <c r="A27" s="1084">
        <f t="shared" si="5"/>
        <v>7</v>
      </c>
      <c r="B27" s="1084" t="s">
        <v>848</v>
      </c>
      <c r="C27" s="1317">
        <v>-1405561.5746078787</v>
      </c>
      <c r="D27" s="1310">
        <f t="shared" si="0"/>
        <v>1.7999375114254555E-2</v>
      </c>
      <c r="E27" s="1127">
        <f t="shared" si="1"/>
        <v>941150</v>
      </c>
      <c r="F27" s="1312">
        <v>2.8842754279883847E-2</v>
      </c>
      <c r="G27" s="1313">
        <f t="shared" si="2"/>
        <v>-40540.267121661673</v>
      </c>
      <c r="H27" s="1313">
        <f t="shared" si="3"/>
        <v>27145.358190512681</v>
      </c>
      <c r="I27" s="1127">
        <f t="shared" si="4"/>
        <v>-67685.62531217435</v>
      </c>
      <c r="N27" s="1095"/>
      <c r="O27" s="1095"/>
      <c r="P27" s="1095"/>
      <c r="Q27" s="1095"/>
    </row>
    <row r="28" spans="1:17" s="1084" customFormat="1">
      <c r="A28" s="1084">
        <f t="shared" si="5"/>
        <v>8</v>
      </c>
      <c r="B28" s="1094" t="str">
        <f>"Sum of Lines "&amp;A22&amp;" to "&amp;A27&amp;""</f>
        <v>Sum of Lines 2 to 7</v>
      </c>
      <c r="C28" s="1105">
        <f>SUM(C22:C27)</f>
        <v>-78089465.088971227</v>
      </c>
      <c r="E28" s="1122">
        <f>+E12</f>
        <v>52287952</v>
      </c>
      <c r="F28" s="1122"/>
      <c r="G28" s="1122">
        <f>SUM(G22:G27)</f>
        <v>-7404364.2885793541</v>
      </c>
      <c r="H28" s="1122">
        <f>SUM(H22:H27)</f>
        <v>4957890.8898017108</v>
      </c>
      <c r="I28" s="1122">
        <f>SUM(I22:I27)</f>
        <v>-12362255.178381065</v>
      </c>
      <c r="N28" s="1095"/>
      <c r="O28" s="1095"/>
      <c r="P28" s="1095"/>
      <c r="Q28" s="1095"/>
    </row>
    <row r="29" spans="1:17" s="1084" customFormat="1">
      <c r="C29" s="1105"/>
      <c r="N29" s="1095"/>
      <c r="O29" s="1095"/>
      <c r="P29" s="1095"/>
      <c r="Q29" s="1095"/>
    </row>
    <row r="30" spans="1:17" s="1084" customFormat="1">
      <c r="I30" s="1107"/>
      <c r="N30" s="1095"/>
      <c r="O30" s="1095"/>
      <c r="P30" s="1095"/>
      <c r="Q30" s="1095"/>
    </row>
    <row r="31" spans="1:17" s="1084" customFormat="1">
      <c r="I31" s="1107"/>
      <c r="J31" s="1095"/>
      <c r="K31" s="1095"/>
      <c r="L31" s="1095"/>
      <c r="M31" s="1095"/>
      <c r="N31" s="1095"/>
      <c r="O31" s="1095"/>
      <c r="P31" s="1095"/>
      <c r="Q31" s="1095"/>
    </row>
    <row r="32" spans="1:17" s="1084" customFormat="1">
      <c r="I32" s="1107"/>
      <c r="J32" s="1095"/>
      <c r="K32" s="1095"/>
      <c r="L32" s="1095"/>
      <c r="M32" s="1095"/>
      <c r="N32" s="1095"/>
      <c r="O32" s="1095"/>
      <c r="P32" s="1095"/>
      <c r="Q32" s="1095"/>
    </row>
    <row r="33" spans="1:17" s="1084" customFormat="1">
      <c r="B33" s="1097" t="s">
        <v>857</v>
      </c>
      <c r="F33" s="1098"/>
      <c r="I33" s="1107"/>
      <c r="J33" s="1095"/>
      <c r="K33" s="1095"/>
      <c r="L33" s="1095"/>
      <c r="M33" s="1095"/>
      <c r="N33" s="1095"/>
      <c r="O33" s="1095"/>
      <c r="P33" s="1095"/>
      <c r="Q33" s="1095"/>
    </row>
    <row r="34" spans="1:17" s="1084" customFormat="1">
      <c r="E34" s="1098"/>
      <c r="I34" s="1099"/>
      <c r="J34" s="1095"/>
      <c r="K34" s="1095"/>
      <c r="L34" s="1095"/>
      <c r="M34" s="1095"/>
      <c r="N34" s="1095"/>
      <c r="O34" s="1095"/>
      <c r="P34" s="1095"/>
      <c r="Q34" s="1095"/>
    </row>
    <row r="35" spans="1:17" s="1084" customFormat="1">
      <c r="D35" s="1100" t="s">
        <v>843</v>
      </c>
      <c r="E35" s="1101"/>
      <c r="F35" s="1100" t="s">
        <v>844</v>
      </c>
      <c r="G35" s="1100" t="s">
        <v>845</v>
      </c>
      <c r="H35" s="1100" t="s">
        <v>849</v>
      </c>
      <c r="I35" s="1102" t="s">
        <v>847</v>
      </c>
      <c r="J35" s="1102" t="s">
        <v>848</v>
      </c>
      <c r="K35" s="1102" t="s">
        <v>850</v>
      </c>
      <c r="L35" s="1095"/>
      <c r="M35" s="1095"/>
      <c r="N35" s="1095"/>
      <c r="O35" s="1095"/>
      <c r="P35" s="1095"/>
      <c r="Q35" s="1095"/>
    </row>
    <row r="36" spans="1:17" s="1084" customFormat="1">
      <c r="E36" s="1103"/>
      <c r="I36" s="1095"/>
      <c r="J36" s="1095"/>
      <c r="K36" s="1095"/>
      <c r="L36" s="1095"/>
      <c r="M36" s="1095"/>
      <c r="N36" s="1095"/>
      <c r="O36" s="1095"/>
      <c r="P36" s="1095"/>
      <c r="Q36" s="1095"/>
    </row>
    <row r="37" spans="1:17" s="1084" customFormat="1">
      <c r="A37" s="1084">
        <f>+A28+1</f>
        <v>9</v>
      </c>
      <c r="B37" s="1084" t="s">
        <v>851</v>
      </c>
      <c r="D37" s="1306">
        <v>-9880000</v>
      </c>
      <c r="E37" s="1373"/>
      <c r="F37" s="1306">
        <v>-8311000</v>
      </c>
      <c r="G37" s="1306">
        <v>-1994000</v>
      </c>
      <c r="H37" s="1306">
        <v>-231000</v>
      </c>
      <c r="I37" s="1306">
        <v>-7132000</v>
      </c>
      <c r="J37" s="1306">
        <v>-946000</v>
      </c>
      <c r="K37" s="1104">
        <f>SUM(D37:J37)</f>
        <v>-28494000</v>
      </c>
      <c r="L37" s="1095" t="s">
        <v>114</v>
      </c>
      <c r="M37" s="1095"/>
      <c r="N37" s="1095"/>
      <c r="O37" s="1095"/>
      <c r="P37" s="1095"/>
      <c r="Q37" s="1095"/>
    </row>
    <row r="38" spans="1:17" s="1084" customFormat="1">
      <c r="D38" s="1105"/>
      <c r="E38" s="1103"/>
      <c r="F38" s="1105"/>
      <c r="G38" s="1105"/>
      <c r="H38" s="1105"/>
      <c r="I38" s="1105"/>
      <c r="J38" s="1105"/>
    </row>
    <row r="39" spans="1:17" s="1084" customFormat="1">
      <c r="A39" s="1084">
        <f>+A37+1</f>
        <v>10</v>
      </c>
      <c r="B39" s="1540" t="s">
        <v>852</v>
      </c>
      <c r="C39" s="1540"/>
      <c r="D39" s="1306">
        <v>672186.22299999744</v>
      </c>
      <c r="E39" s="1307"/>
      <c r="F39" s="1306">
        <v>2408275.3649999965</v>
      </c>
      <c r="G39" s="1306">
        <v>581811.02999999933</v>
      </c>
      <c r="H39" s="1306">
        <v>2.9999999795109034E-2</v>
      </c>
      <c r="I39" s="1306">
        <v>2.9999999329447746E-2</v>
      </c>
      <c r="J39" s="1306">
        <v>-539281.00000000047</v>
      </c>
      <c r="K39" s="1104"/>
      <c r="L39" s="1095"/>
      <c r="M39" s="1095"/>
      <c r="N39" s="1095"/>
      <c r="O39" s="1095"/>
      <c r="P39" s="1095"/>
      <c r="Q39" s="1095"/>
    </row>
    <row r="40" spans="1:17" s="1084" customFormat="1">
      <c r="B40" s="1540"/>
      <c r="C40" s="1540"/>
      <c r="D40" s="1098"/>
      <c r="E40" s="1103"/>
      <c r="F40" s="1098"/>
      <c r="G40" s="1098"/>
      <c r="H40" s="1098"/>
      <c r="I40" s="1098"/>
      <c r="J40" s="1098"/>
      <c r="K40" s="1107"/>
      <c r="L40" s="1095"/>
      <c r="M40" s="1095"/>
      <c r="N40" s="1095"/>
      <c r="O40" s="1095"/>
      <c r="P40" s="1095"/>
      <c r="Q40" s="1095"/>
    </row>
    <row r="41" spans="1:17" s="1084" customFormat="1">
      <c r="A41" s="1084">
        <f>+A39+1</f>
        <v>11</v>
      </c>
      <c r="B41" s="1084" t="s">
        <v>853</v>
      </c>
      <c r="D41" s="1306"/>
      <c r="E41" s="1307"/>
      <c r="F41" s="1306"/>
      <c r="G41" s="1306"/>
      <c r="H41" s="1306"/>
      <c r="I41" s="1306"/>
      <c r="J41" s="1306"/>
      <c r="K41" s="1104">
        <f>SUM(D41:J41)</f>
        <v>0</v>
      </c>
      <c r="L41" s="1095"/>
      <c r="M41" s="1095"/>
      <c r="N41" s="1095"/>
      <c r="O41" s="1095"/>
      <c r="P41" s="1095"/>
      <c r="Q41" s="1095"/>
    </row>
    <row r="42" spans="1:17" s="1084" customFormat="1">
      <c r="D42" s="1108"/>
      <c r="E42" s="1109"/>
      <c r="F42" s="1108"/>
      <c r="G42" s="1108"/>
      <c r="H42" s="1108"/>
      <c r="I42" s="1110"/>
      <c r="J42" s="1110"/>
      <c r="K42" s="1111"/>
      <c r="L42" s="1095"/>
      <c r="M42" s="1095"/>
      <c r="N42" s="1095"/>
      <c r="O42" s="1095"/>
      <c r="P42" s="1095"/>
      <c r="Q42" s="1095"/>
    </row>
    <row r="43" spans="1:17" s="1084" customFormat="1">
      <c r="A43" s="1084">
        <f>+A41+1</f>
        <v>12</v>
      </c>
      <c r="B43" s="1084" t="str">
        <f>"Net Company Expense (Ln "&amp;A37&amp;" + Ln "&amp;A39&amp;" + Ln  "&amp;A41&amp;")"</f>
        <v>Net Company Expense (Ln 9 + Ln 10 + Ln  11)</v>
      </c>
      <c r="D43" s="1098">
        <f t="shared" ref="D43:J43" si="6">+D37+D41+D39</f>
        <v>-9207813.7770000026</v>
      </c>
      <c r="E43" s="1112"/>
      <c r="F43" s="1098">
        <f t="shared" si="6"/>
        <v>-5902724.6350000035</v>
      </c>
      <c r="G43" s="1098">
        <f t="shared" si="6"/>
        <v>-1412188.9700000007</v>
      </c>
      <c r="H43" s="1098">
        <f t="shared" si="6"/>
        <v>-230999.9700000002</v>
      </c>
      <c r="I43" s="1098">
        <f t="shared" si="6"/>
        <v>-7131999.9700000007</v>
      </c>
      <c r="J43" s="1098">
        <f t="shared" si="6"/>
        <v>-1485281.0000000005</v>
      </c>
      <c r="K43" s="1104">
        <f>SUM(D43:J43)</f>
        <v>-25371008.322000008</v>
      </c>
      <c r="L43" s="1095"/>
      <c r="M43" s="1095"/>
      <c r="N43" s="1095"/>
      <c r="O43" s="1095"/>
      <c r="P43" s="1095"/>
      <c r="Q43" s="1095"/>
    </row>
    <row r="44" spans="1:17" s="1084" customFormat="1">
      <c r="E44" s="1103"/>
      <c r="G44" s="1098">
        <f>+G40+G42</f>
        <v>0</v>
      </c>
      <c r="I44" s="1095"/>
      <c r="J44" s="1095"/>
      <c r="K44" s="1107"/>
      <c r="L44" s="1113"/>
      <c r="M44" s="1095"/>
      <c r="N44" s="1095"/>
      <c r="O44" s="1095"/>
      <c r="P44" s="1095"/>
      <c r="Q44" s="1095"/>
    </row>
    <row r="45" spans="1:17" s="1084" customFormat="1">
      <c r="A45" s="1084">
        <f>+A43+1</f>
        <v>13</v>
      </c>
      <c r="B45" s="1540" t="s">
        <v>854</v>
      </c>
      <c r="C45" s="1540"/>
      <c r="D45" s="1306">
        <v>-6901941.7890569456</v>
      </c>
      <c r="E45" s="1307"/>
      <c r="F45" s="1306">
        <v>-3895823.0774232922</v>
      </c>
      <c r="G45" s="1306">
        <v>-1524370.7509908418</v>
      </c>
      <c r="H45" s="1306">
        <v>-204836.56783215897</v>
      </c>
      <c r="I45" s="1306">
        <v>-5390620.0070600919</v>
      </c>
      <c r="J45" s="1306">
        <v>-259813.57460787817</v>
      </c>
      <c r="K45" s="1104">
        <f>SUM(D45:J45)</f>
        <v>-18177405.766971208</v>
      </c>
      <c r="L45" s="1114" t="s">
        <v>114</v>
      </c>
      <c r="M45" s="1095"/>
      <c r="N45" s="1095"/>
      <c r="O45" s="1095"/>
      <c r="P45" s="1095"/>
      <c r="Q45" s="1095"/>
    </row>
    <row r="46" spans="1:17" s="1084" customFormat="1">
      <c r="B46" s="1540"/>
      <c r="C46" s="1540"/>
      <c r="D46" s="1115"/>
      <c r="E46" s="1103"/>
      <c r="I46" s="1095"/>
      <c r="J46" s="1095"/>
      <c r="K46" s="1107"/>
      <c r="L46" s="1095"/>
      <c r="M46" s="1095"/>
      <c r="N46" s="1095"/>
      <c r="O46" s="1095"/>
      <c r="P46" s="1095"/>
      <c r="Q46" s="1095"/>
    </row>
    <row r="47" spans="1:17" s="1084" customFormat="1" ht="13.5" thickBot="1">
      <c r="A47" s="1084">
        <f>+A45+1</f>
        <v>14</v>
      </c>
      <c r="B47" s="1084" t="str">
        <f>"Company PBOP Expense (Ln "&amp;A43&amp;" + Ln  "&amp;A45&amp;")"</f>
        <v>Company PBOP Expense (Ln 12 + Ln  13)</v>
      </c>
      <c r="D47" s="1116">
        <f>+D45+D41+D39+D37</f>
        <v>-16109755.566056948</v>
      </c>
      <c r="E47" s="1117"/>
      <c r="F47" s="1116">
        <f>+F45+F41+F39+F37</f>
        <v>-9798547.7124232948</v>
      </c>
      <c r="G47" s="1116">
        <f>+G45+G41+G39+G37</f>
        <v>-2936559.7209908422</v>
      </c>
      <c r="H47" s="1116">
        <f>+H45+H41+H39+H37</f>
        <v>-435836.5378321592</v>
      </c>
      <c r="I47" s="1116">
        <f>+I45+I41+I39+I37</f>
        <v>-12522619.977060093</v>
      </c>
      <c r="J47" s="1116">
        <f>+J45+J41+J39+J37</f>
        <v>-1745094.5746078787</v>
      </c>
      <c r="K47" s="1118">
        <f>SUM(D47:J47)</f>
        <v>-43548414.088971213</v>
      </c>
      <c r="L47" s="1095"/>
      <c r="M47" s="1095"/>
      <c r="N47" s="1095"/>
      <c r="O47" s="1095"/>
      <c r="P47" s="1095"/>
      <c r="Q47" s="1095"/>
    </row>
    <row r="48" spans="1:17" s="1084" customFormat="1" ht="13.5" thickTop="1">
      <c r="I48" s="1095"/>
      <c r="J48" s="1095"/>
      <c r="K48" s="1095"/>
      <c r="L48" s="1095"/>
      <c r="M48" s="1095"/>
      <c r="N48" s="1095"/>
      <c r="O48" s="1095"/>
      <c r="P48" s="1095"/>
      <c r="Q48" s="1095"/>
    </row>
    <row r="49" spans="1:17" s="1084" customFormat="1">
      <c r="A49" s="1541" t="s">
        <v>855</v>
      </c>
      <c r="B49" s="1541"/>
      <c r="C49" s="1541"/>
      <c r="D49" s="1541"/>
      <c r="E49" s="1541"/>
      <c r="F49" s="1541"/>
      <c r="G49" s="1541"/>
      <c r="H49" s="1541"/>
      <c r="I49" s="1541"/>
      <c r="J49" s="1541"/>
      <c r="K49" s="1541"/>
      <c r="L49" s="1119"/>
      <c r="M49" s="1095"/>
      <c r="N49" s="1095"/>
      <c r="O49" s="1095"/>
      <c r="P49" s="1095"/>
      <c r="Q49" s="1095"/>
    </row>
    <row r="50" spans="1:17" s="1084" customFormat="1">
      <c r="A50" s="1541"/>
      <c r="B50" s="1541"/>
      <c r="C50" s="1541"/>
      <c r="D50" s="1541"/>
      <c r="E50" s="1541"/>
      <c r="F50" s="1541"/>
      <c r="G50" s="1541"/>
      <c r="H50" s="1541"/>
      <c r="I50" s="1541"/>
      <c r="J50" s="1541"/>
      <c r="K50" s="1541"/>
      <c r="L50" s="1095"/>
      <c r="M50" s="1095"/>
      <c r="N50" s="1095"/>
      <c r="O50" s="1095"/>
      <c r="P50" s="1095"/>
      <c r="Q50" s="1095"/>
    </row>
    <row r="51" spans="1:17" s="1084" customFormat="1">
      <c r="A51" s="1541"/>
      <c r="B51" s="1541"/>
      <c r="C51" s="1541"/>
      <c r="D51" s="1541"/>
      <c r="E51" s="1541"/>
      <c r="F51" s="1541"/>
      <c r="G51" s="1541"/>
      <c r="H51" s="1541"/>
      <c r="I51" s="1541"/>
      <c r="J51" s="1541"/>
      <c r="K51" s="1541"/>
      <c r="L51" s="1095"/>
      <c r="M51" s="1095"/>
      <c r="N51" s="1095"/>
      <c r="O51" s="1095"/>
      <c r="P51" s="1095"/>
      <c r="Q51" s="1095"/>
    </row>
    <row r="52" spans="1:17" s="1084" customFormat="1">
      <c r="A52" s="1541"/>
      <c r="B52" s="1541"/>
      <c r="C52" s="1541"/>
      <c r="D52" s="1541"/>
      <c r="E52" s="1541"/>
      <c r="F52" s="1541"/>
      <c r="G52" s="1541"/>
      <c r="H52" s="1541"/>
      <c r="I52" s="1541"/>
      <c r="J52" s="1541"/>
      <c r="K52" s="1541"/>
      <c r="Q52" s="1095"/>
    </row>
    <row r="53" spans="1:17" s="1084" customFormat="1">
      <c r="A53" s="1541"/>
      <c r="B53" s="1541"/>
      <c r="C53" s="1541"/>
      <c r="D53" s="1541"/>
      <c r="E53" s="1541"/>
      <c r="F53" s="1541"/>
      <c r="G53" s="1541"/>
      <c r="H53" s="1541"/>
      <c r="I53" s="1541"/>
      <c r="J53" s="1541"/>
      <c r="K53" s="1541"/>
      <c r="Q53" s="1095"/>
    </row>
    <row r="54" spans="1:17" s="1084" customFormat="1">
      <c r="A54" s="1541"/>
      <c r="B54" s="1541"/>
      <c r="C54" s="1541"/>
      <c r="D54" s="1541"/>
      <c r="E54" s="1541"/>
      <c r="F54" s="1541"/>
      <c r="G54" s="1541"/>
      <c r="H54" s="1541"/>
      <c r="I54" s="1541"/>
      <c r="J54" s="1541"/>
      <c r="K54" s="1541"/>
      <c r="Q54" s="1095"/>
    </row>
    <row r="55" spans="1:17" s="1084" customFormat="1">
      <c r="A55" s="1541"/>
      <c r="B55" s="1541"/>
      <c r="C55" s="1541"/>
      <c r="D55" s="1541"/>
      <c r="E55" s="1541"/>
      <c r="F55" s="1541"/>
      <c r="G55" s="1541"/>
      <c r="H55" s="1541"/>
      <c r="I55" s="1541"/>
      <c r="J55" s="1541"/>
      <c r="K55" s="1541"/>
      <c r="Q55" s="1095"/>
    </row>
    <row r="56" spans="1:17" s="1084" customFormat="1">
      <c r="A56" s="1541"/>
      <c r="B56" s="1541"/>
      <c r="C56" s="1541"/>
      <c r="D56" s="1541"/>
      <c r="E56" s="1541"/>
      <c r="F56" s="1541"/>
      <c r="G56" s="1541"/>
      <c r="H56" s="1541"/>
      <c r="I56" s="1541"/>
      <c r="J56" s="1541"/>
      <c r="K56" s="1541"/>
      <c r="Q56" s="1095"/>
    </row>
    <row r="57" spans="1:17" s="1084" customFormat="1">
      <c r="A57" s="1541"/>
      <c r="B57" s="1541"/>
      <c r="C57" s="1541"/>
      <c r="D57" s="1541"/>
      <c r="E57" s="1541"/>
      <c r="F57" s="1541"/>
      <c r="G57" s="1541"/>
      <c r="H57" s="1541"/>
      <c r="I57" s="1541"/>
      <c r="J57" s="1541"/>
      <c r="K57" s="1541"/>
      <c r="Q57" s="1095"/>
    </row>
  </sheetData>
  <mergeCells count="16">
    <mergeCell ref="A3:K3"/>
    <mergeCell ref="A4:K4"/>
    <mergeCell ref="A5:K5"/>
    <mergeCell ref="A6:K6"/>
    <mergeCell ref="B9:M9"/>
    <mergeCell ref="B14:C14"/>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D51" sqref="D51"/>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08" t="s">
        <v>114</v>
      </c>
      <c r="B1" s="706"/>
      <c r="C1" s="706"/>
      <c r="D1" s="706"/>
      <c r="E1" s="706"/>
      <c r="F1" s="706"/>
      <c r="G1" s="229"/>
      <c r="H1" s="706"/>
      <c r="I1" s="706"/>
      <c r="J1" s="706"/>
      <c r="K1" s="706"/>
      <c r="L1" s="706"/>
      <c r="M1" s="706"/>
      <c r="N1" s="706"/>
      <c r="O1" s="706"/>
      <c r="P1" s="706"/>
      <c r="Q1" s="706"/>
      <c r="R1" s="706"/>
      <c r="S1" s="706"/>
    </row>
    <row r="2" spans="1:19" ht="15.75">
      <c r="A2" s="808" t="s">
        <v>114</v>
      </c>
      <c r="B2" s="706"/>
      <c r="C2" s="706"/>
      <c r="D2" s="706"/>
      <c r="E2" s="706"/>
      <c r="F2" s="706"/>
      <c r="G2" s="229"/>
      <c r="H2" s="706"/>
      <c r="I2" s="706"/>
      <c r="J2" s="706"/>
      <c r="K2" s="706"/>
      <c r="L2" s="706"/>
      <c r="M2" s="706"/>
      <c r="N2" s="706"/>
      <c r="O2" s="706"/>
      <c r="P2" s="706"/>
      <c r="Q2" s="706"/>
      <c r="R2" s="706"/>
      <c r="S2" s="706"/>
    </row>
    <row r="3" spans="1:19" ht="19.5">
      <c r="A3" s="1550" t="s">
        <v>391</v>
      </c>
      <c r="B3" s="1550"/>
      <c r="C3" s="1550"/>
      <c r="D3" s="1550"/>
      <c r="E3" s="1550"/>
      <c r="F3" s="1550"/>
      <c r="G3" s="1550"/>
      <c r="H3" s="1550"/>
      <c r="I3" s="1550"/>
      <c r="J3" s="1550"/>
      <c r="K3" s="1550"/>
      <c r="L3" s="1550"/>
      <c r="M3" s="1550"/>
      <c r="N3" s="1550"/>
      <c r="O3" s="1550"/>
      <c r="P3" s="705"/>
      <c r="Q3" s="705"/>
      <c r="R3" s="705"/>
      <c r="S3" s="705"/>
    </row>
    <row r="4" spans="1:19" ht="19.5">
      <c r="A4" s="1550" t="s">
        <v>392</v>
      </c>
      <c r="B4" s="1550"/>
      <c r="C4" s="1550"/>
      <c r="D4" s="1550"/>
      <c r="E4" s="1550"/>
      <c r="F4" s="1550"/>
      <c r="G4" s="1550"/>
      <c r="H4" s="1550"/>
      <c r="I4" s="1550"/>
      <c r="J4" s="1550"/>
      <c r="K4" s="1550"/>
      <c r="L4" s="1550"/>
      <c r="M4" s="1550"/>
      <c r="N4" s="1550"/>
      <c r="O4" s="1550"/>
      <c r="P4" s="705"/>
      <c r="Q4" s="705"/>
      <c r="R4" s="705"/>
      <c r="S4" s="705"/>
    </row>
    <row r="5" spans="1:19" ht="19.5">
      <c r="A5" s="1550" t="s">
        <v>393</v>
      </c>
      <c r="B5" s="1550"/>
      <c r="C5" s="1550"/>
      <c r="D5" s="1550"/>
      <c r="E5" s="1550"/>
      <c r="F5" s="1550"/>
      <c r="G5" s="1550"/>
      <c r="H5" s="1550"/>
      <c r="I5" s="1550"/>
      <c r="J5" s="1550"/>
      <c r="K5" s="1550"/>
      <c r="L5" s="1550"/>
      <c r="M5" s="1550"/>
      <c r="N5" s="1550"/>
      <c r="O5" s="1550"/>
      <c r="P5" s="705"/>
      <c r="Q5" s="705"/>
      <c r="R5" s="705"/>
      <c r="S5" s="705"/>
    </row>
    <row r="6" spans="1:19" ht="19.5">
      <c r="A6" s="1550" t="s">
        <v>394</v>
      </c>
      <c r="B6" s="1550"/>
      <c r="C6" s="1550"/>
      <c r="D6" s="1550"/>
      <c r="E6" s="1550"/>
      <c r="F6" s="1550"/>
      <c r="G6" s="1550"/>
      <c r="H6" s="1550"/>
      <c r="I6" s="1550"/>
      <c r="J6" s="1550"/>
      <c r="K6" s="1550"/>
      <c r="L6" s="1550"/>
      <c r="M6" s="1550"/>
      <c r="N6" s="1550"/>
      <c r="O6" s="1550"/>
      <c r="P6" s="705"/>
      <c r="Q6" s="705"/>
      <c r="R6" s="705"/>
      <c r="S6" s="705"/>
    </row>
    <row r="7" spans="1:19" ht="19.5">
      <c r="A7" s="1550" t="s">
        <v>1076</v>
      </c>
      <c r="B7" s="1550"/>
      <c r="C7" s="1550"/>
      <c r="D7" s="1550"/>
      <c r="E7" s="1550"/>
      <c r="F7" s="1550"/>
      <c r="G7" s="1550"/>
      <c r="H7" s="1550"/>
      <c r="I7" s="1550"/>
      <c r="J7" s="1550"/>
      <c r="K7" s="1550"/>
      <c r="L7" s="1550"/>
      <c r="M7" s="1550"/>
      <c r="N7" s="1550"/>
      <c r="O7" s="1550"/>
      <c r="P7" s="705"/>
      <c r="Q7" s="705"/>
      <c r="R7" s="705"/>
      <c r="S7" s="705"/>
    </row>
    <row r="8" spans="1:19" ht="19.5">
      <c r="A8" s="1550" t="s">
        <v>395</v>
      </c>
      <c r="B8" s="1550"/>
      <c r="C8" s="1550"/>
      <c r="D8" s="1550"/>
      <c r="E8" s="1550"/>
      <c r="F8" s="1550"/>
      <c r="G8" s="1550"/>
      <c r="H8" s="1550"/>
      <c r="I8" s="1550"/>
      <c r="J8" s="1550"/>
      <c r="K8" s="1550"/>
      <c r="L8" s="1550"/>
      <c r="M8" s="1550"/>
      <c r="N8" s="1550"/>
      <c r="O8" s="1550"/>
      <c r="P8" s="705"/>
      <c r="Q8" s="705"/>
      <c r="R8" s="705"/>
      <c r="S8" s="705"/>
    </row>
    <row r="9" spans="1:19" ht="19.5">
      <c r="A9" s="1551" t="s">
        <v>870</v>
      </c>
      <c r="B9" s="1550"/>
      <c r="C9" s="1550"/>
      <c r="D9" s="1550"/>
      <c r="E9" s="1550"/>
      <c r="F9" s="1550"/>
      <c r="G9" s="1550"/>
      <c r="H9" s="1550"/>
      <c r="I9" s="1550"/>
      <c r="J9" s="1550"/>
      <c r="K9" s="1550"/>
      <c r="L9" s="1550"/>
      <c r="M9" s="1550"/>
      <c r="N9" s="1550"/>
      <c r="O9" s="1550"/>
      <c r="P9" s="705"/>
      <c r="Q9" s="705"/>
      <c r="R9" s="705"/>
      <c r="S9" s="705"/>
    </row>
    <row r="10" spans="1:19" ht="19.5">
      <c r="A10" s="1552"/>
      <c r="B10" s="1552"/>
      <c r="C10" s="1552"/>
      <c r="D10" s="1552"/>
      <c r="E10" s="1552"/>
      <c r="F10" s="1552"/>
      <c r="G10" s="1552"/>
      <c r="H10" s="1552"/>
      <c r="I10" s="1552"/>
      <c r="J10" s="1552"/>
      <c r="K10" s="1552"/>
      <c r="L10" s="1552"/>
      <c r="M10" s="1552"/>
      <c r="N10" s="1552"/>
      <c r="O10" s="1552"/>
      <c r="P10" s="1322"/>
      <c r="Q10" s="1322"/>
      <c r="R10" s="1322"/>
      <c r="S10" s="1322"/>
    </row>
    <row r="11" spans="1:19" ht="15">
      <c r="A11" s="706"/>
      <c r="B11" s="706"/>
      <c r="C11" s="706"/>
      <c r="D11" s="706"/>
      <c r="E11" s="706"/>
      <c r="F11" s="706"/>
      <c r="G11" s="229"/>
      <c r="H11" s="706"/>
      <c r="I11" s="706"/>
      <c r="J11" s="706"/>
      <c r="K11" s="706"/>
      <c r="L11" s="706"/>
      <c r="M11" s="706"/>
      <c r="N11" s="706"/>
      <c r="O11" s="706"/>
      <c r="P11" s="706"/>
      <c r="Q11" s="706"/>
      <c r="R11" s="706"/>
      <c r="S11" s="706"/>
    </row>
    <row r="12" spans="1:19" ht="16.5" thickBot="1">
      <c r="A12" s="707"/>
      <c r="B12" s="707"/>
      <c r="C12" s="1553" t="s">
        <v>603</v>
      </c>
      <c r="D12" s="1553"/>
      <c r="E12" s="1553"/>
      <c r="F12" s="707"/>
      <c r="G12" s="1553" t="s">
        <v>604</v>
      </c>
      <c r="H12" s="1553"/>
      <c r="I12" s="1553"/>
      <c r="J12" s="707"/>
      <c r="K12" s="1553" t="s">
        <v>396</v>
      </c>
      <c r="L12" s="1553"/>
      <c r="M12" s="1553"/>
      <c r="N12" s="707"/>
      <c r="O12" s="1553" t="s">
        <v>605</v>
      </c>
      <c r="P12" s="1553"/>
      <c r="Q12" s="1553"/>
      <c r="R12" s="707"/>
      <c r="S12" s="1320" t="s">
        <v>397</v>
      </c>
    </row>
    <row r="13" spans="1:19" ht="15">
      <c r="A13" s="707"/>
      <c r="B13" s="707"/>
      <c r="C13" s="708" t="s">
        <v>121</v>
      </c>
      <c r="D13" s="709"/>
      <c r="E13" s="709"/>
      <c r="F13" s="709"/>
      <c r="G13" s="710" t="s">
        <v>122</v>
      </c>
      <c r="H13" s="711"/>
      <c r="I13" s="711"/>
      <c r="J13" s="711"/>
      <c r="K13" s="712" t="s">
        <v>123</v>
      </c>
      <c r="L13" s="711"/>
      <c r="M13" s="711"/>
      <c r="N13" s="711"/>
      <c r="O13" s="713" t="s">
        <v>124</v>
      </c>
      <c r="P13" s="711"/>
      <c r="Q13" s="711"/>
      <c r="R13" s="711"/>
      <c r="S13" s="711"/>
    </row>
    <row r="14" spans="1:19" ht="15">
      <c r="A14" s="707"/>
      <c r="B14" s="707"/>
      <c r="C14" s="708" t="s">
        <v>114</v>
      </c>
      <c r="D14" s="709"/>
      <c r="E14" s="708" t="s">
        <v>398</v>
      </c>
      <c r="F14" s="709"/>
      <c r="G14" s="710" t="s">
        <v>606</v>
      </c>
      <c r="H14" s="709"/>
      <c r="I14" s="708" t="s">
        <v>398</v>
      </c>
      <c r="J14" s="709"/>
      <c r="K14" s="706"/>
      <c r="L14" s="709"/>
      <c r="M14" s="708" t="s">
        <v>398</v>
      </c>
      <c r="N14" s="709"/>
      <c r="O14" s="706"/>
      <c r="P14" s="709"/>
      <c r="Q14" s="708" t="s">
        <v>398</v>
      </c>
      <c r="R14" s="709"/>
      <c r="S14" s="708" t="s">
        <v>398</v>
      </c>
    </row>
    <row r="15" spans="1:19" ht="15">
      <c r="A15" s="707"/>
      <c r="B15" s="708" t="s">
        <v>399</v>
      </c>
      <c r="C15" s="708" t="s">
        <v>607</v>
      </c>
      <c r="D15" s="708" t="s">
        <v>400</v>
      </c>
      <c r="E15" s="708" t="s">
        <v>401</v>
      </c>
      <c r="F15" s="709"/>
      <c r="G15" s="710" t="s">
        <v>402</v>
      </c>
      <c r="H15" s="708" t="s">
        <v>400</v>
      </c>
      <c r="I15" s="708" t="s">
        <v>401</v>
      </c>
      <c r="J15" s="709"/>
      <c r="K15" s="708" t="s">
        <v>80</v>
      </c>
      <c r="L15" s="708" t="s">
        <v>400</v>
      </c>
      <c r="M15" s="708" t="s">
        <v>401</v>
      </c>
      <c r="N15" s="709"/>
      <c r="O15" s="708" t="s">
        <v>80</v>
      </c>
      <c r="P15" s="708" t="s">
        <v>400</v>
      </c>
      <c r="Q15" s="708" t="s">
        <v>401</v>
      </c>
      <c r="R15" s="709"/>
      <c r="S15" s="708" t="s">
        <v>401</v>
      </c>
    </row>
    <row r="16" spans="1:19" ht="15">
      <c r="A16" s="708"/>
      <c r="B16" s="708" t="s">
        <v>403</v>
      </c>
      <c r="C16" s="708" t="s">
        <v>404</v>
      </c>
      <c r="D16" s="708" t="s">
        <v>608</v>
      </c>
      <c r="E16" s="708" t="s">
        <v>405</v>
      </c>
      <c r="F16" s="709"/>
      <c r="G16" s="710" t="s">
        <v>404</v>
      </c>
      <c r="H16" s="708" t="s">
        <v>608</v>
      </c>
      <c r="I16" s="708" t="s">
        <v>405</v>
      </c>
      <c r="J16" s="709"/>
      <c r="K16" s="708" t="s">
        <v>404</v>
      </c>
      <c r="L16" s="708" t="s">
        <v>608</v>
      </c>
      <c r="M16" s="708" t="s">
        <v>405</v>
      </c>
      <c r="N16" s="709"/>
      <c r="O16" s="708" t="s">
        <v>404</v>
      </c>
      <c r="P16" s="708" t="s">
        <v>608</v>
      </c>
      <c r="Q16" s="708" t="s">
        <v>405</v>
      </c>
      <c r="R16" s="709"/>
      <c r="S16" s="708" t="s">
        <v>405</v>
      </c>
    </row>
    <row r="17" spans="1:19" ht="15">
      <c r="A17" s="706"/>
      <c r="B17" s="706"/>
      <c r="C17" s="706"/>
      <c r="D17" s="706"/>
      <c r="E17" s="706"/>
      <c r="F17" s="706"/>
      <c r="G17" s="229"/>
      <c r="H17" s="706"/>
      <c r="I17" s="706"/>
      <c r="J17" s="706"/>
      <c r="K17" s="706"/>
      <c r="L17" s="706"/>
      <c r="M17" s="706"/>
      <c r="N17" s="706"/>
      <c r="O17" s="706"/>
      <c r="P17" s="706"/>
      <c r="Q17" s="706"/>
      <c r="R17" s="706"/>
      <c r="S17" s="706"/>
    </row>
    <row r="18" spans="1:19" ht="15.75" thickBot="1">
      <c r="A18" s="714"/>
      <c r="B18" s="707"/>
      <c r="C18" s="223"/>
      <c r="D18" s="707"/>
      <c r="E18" s="707"/>
      <c r="F18" s="707"/>
      <c r="G18" s="223"/>
      <c r="H18" s="707"/>
      <c r="I18" s="707"/>
      <c r="J18" s="707"/>
      <c r="K18" s="265"/>
      <c r="L18" s="707"/>
      <c r="M18" s="707"/>
      <c r="N18" s="707"/>
      <c r="O18" s="265"/>
      <c r="P18" s="707"/>
      <c r="Q18" s="707"/>
      <c r="R18" s="707"/>
      <c r="S18" s="707"/>
    </row>
    <row r="19" spans="1:19" ht="15">
      <c r="A19" s="715" t="s">
        <v>406</v>
      </c>
      <c r="B19" s="716"/>
      <c r="C19" s="224"/>
      <c r="D19" s="225"/>
      <c r="E19" s="226"/>
      <c r="F19" s="716"/>
      <c r="G19" s="224"/>
      <c r="H19" s="227"/>
      <c r="I19" s="226"/>
      <c r="J19" s="716"/>
      <c r="K19" s="716"/>
      <c r="L19" s="227"/>
      <c r="M19" s="226"/>
      <c r="N19" s="716"/>
      <c r="O19" s="716"/>
      <c r="P19" s="225"/>
      <c r="Q19" s="226"/>
      <c r="R19" s="716"/>
      <c r="S19" s="226"/>
    </row>
    <row r="20" spans="1:19" ht="15">
      <c r="A20" s="717" t="s">
        <v>609</v>
      </c>
      <c r="B20" s="228">
        <v>350.1</v>
      </c>
      <c r="C20" s="223">
        <v>6.5839999999999996E-3</v>
      </c>
      <c r="D20" s="266">
        <v>1</v>
      </c>
      <c r="E20" s="223">
        <f>ROUND((C20*D20),4)</f>
        <v>6.6E-3</v>
      </c>
      <c r="F20" s="718"/>
      <c r="G20" s="223"/>
      <c r="H20" s="267"/>
      <c r="I20" s="229"/>
      <c r="J20" s="718"/>
      <c r="K20" s="223"/>
      <c r="L20" s="267"/>
      <c r="M20" s="268"/>
      <c r="N20" s="718"/>
      <c r="O20" s="223"/>
      <c r="P20" s="266"/>
      <c r="Q20" s="268"/>
      <c r="R20" s="718"/>
      <c r="S20" s="223">
        <f>ROUND((((E20+I20)+M20)+Q20),4)</f>
        <v>6.6E-3</v>
      </c>
    </row>
    <row r="21" spans="1:19" ht="15">
      <c r="A21" s="717" t="s">
        <v>610</v>
      </c>
      <c r="B21" s="228">
        <v>351</v>
      </c>
      <c r="C21" s="223"/>
      <c r="D21" s="266"/>
      <c r="E21" s="223"/>
      <c r="F21" s="718"/>
      <c r="G21" s="223">
        <v>0.14219999999999999</v>
      </c>
      <c r="H21" s="267">
        <v>1</v>
      </c>
      <c r="I21" s="223">
        <f>ROUND((G21*H21),4)</f>
        <v>0.14219999999999999</v>
      </c>
      <c r="J21" s="718"/>
      <c r="K21" s="223"/>
      <c r="L21" s="267"/>
      <c r="M21" s="268"/>
      <c r="N21" s="718"/>
      <c r="O21" s="223"/>
      <c r="P21" s="266"/>
      <c r="Q21" s="268"/>
      <c r="R21" s="718"/>
      <c r="S21" s="223">
        <f>I21</f>
        <v>0.14219999999999999</v>
      </c>
    </row>
    <row r="22" spans="1:19" ht="15">
      <c r="A22" s="719" t="s">
        <v>407</v>
      </c>
      <c r="B22" s="228">
        <v>352</v>
      </c>
      <c r="C22" s="223">
        <v>1.9900000000000001E-2</v>
      </c>
      <c r="D22" s="230">
        <v>0.49482100000000001</v>
      </c>
      <c r="E22" s="223">
        <f t="shared" ref="E22:E28" si="0">ROUND((C22*D22),4)</f>
        <v>9.7999999999999997E-3</v>
      </c>
      <c r="F22" s="718"/>
      <c r="G22" s="223">
        <v>1.6199999999999999E-2</v>
      </c>
      <c r="H22" s="230">
        <v>0.41108299999999998</v>
      </c>
      <c r="I22" s="223">
        <f t="shared" ref="I22:I28" si="1">ROUND((G22*H22),4)</f>
        <v>6.7000000000000002E-3</v>
      </c>
      <c r="J22" s="718"/>
      <c r="K22" s="223">
        <v>2.1899999999999999E-2</v>
      </c>
      <c r="L22" s="230">
        <v>3.6533000000000003E-2</v>
      </c>
      <c r="M22" s="223">
        <f t="shared" ref="M22:M28" si="2">ROUND((K22*L22),4)</f>
        <v>8.0000000000000004E-4</v>
      </c>
      <c r="N22" s="718"/>
      <c r="O22" s="223">
        <v>2.1899999999999999E-2</v>
      </c>
      <c r="P22" s="230">
        <v>5.7563000000000003E-2</v>
      </c>
      <c r="Q22" s="223">
        <f t="shared" ref="Q22:Q28" si="3">ROUND((O22*P22),4)</f>
        <v>1.2999999999999999E-3</v>
      </c>
      <c r="R22" s="718"/>
      <c r="S22" s="223">
        <f t="shared" ref="S22:S28" si="4">ROUND((((E22+I22)+M22)+Q22),4)</f>
        <v>1.8599999999999998E-2</v>
      </c>
    </row>
    <row r="23" spans="1:19" ht="15">
      <c r="A23" s="719" t="s">
        <v>408</v>
      </c>
      <c r="B23" s="228">
        <v>353</v>
      </c>
      <c r="C23" s="223">
        <v>2.7E-2</v>
      </c>
      <c r="D23" s="230">
        <v>0.49482100000000001</v>
      </c>
      <c r="E23" s="223">
        <f t="shared" si="0"/>
        <v>1.34E-2</v>
      </c>
      <c r="F23" s="718"/>
      <c r="G23" s="223">
        <v>2.3699999999999999E-2</v>
      </c>
      <c r="H23" s="230">
        <v>0.41108299999999998</v>
      </c>
      <c r="I23" s="223">
        <f t="shared" si="1"/>
        <v>9.7000000000000003E-3</v>
      </c>
      <c r="J23" s="718"/>
      <c r="K23" s="223">
        <v>2.1899999999999999E-2</v>
      </c>
      <c r="L23" s="230">
        <v>3.6533000000000003E-2</v>
      </c>
      <c r="M23" s="223">
        <f t="shared" si="2"/>
        <v>8.0000000000000004E-4</v>
      </c>
      <c r="N23" s="718"/>
      <c r="O23" s="223">
        <v>2.1899999999999999E-2</v>
      </c>
      <c r="P23" s="230">
        <v>5.7563000000000003E-2</v>
      </c>
      <c r="Q23" s="223">
        <f t="shared" si="3"/>
        <v>1.2999999999999999E-3</v>
      </c>
      <c r="R23" s="718"/>
      <c r="S23" s="223">
        <f t="shared" si="4"/>
        <v>2.52E-2</v>
      </c>
    </row>
    <row r="24" spans="1:19" ht="15">
      <c r="A24" s="719" t="s">
        <v>409</v>
      </c>
      <c r="B24" s="228">
        <v>354</v>
      </c>
      <c r="C24" s="223">
        <v>1.6400000000000001E-2</v>
      </c>
      <c r="D24" s="230">
        <v>0.49482100000000001</v>
      </c>
      <c r="E24" s="223">
        <f t="shared" si="0"/>
        <v>8.0999999999999996E-3</v>
      </c>
      <c r="F24" s="718"/>
      <c r="G24" s="223">
        <v>1.5900000000000001E-2</v>
      </c>
      <c r="H24" s="230">
        <v>0.41108299999999998</v>
      </c>
      <c r="I24" s="223">
        <f t="shared" si="1"/>
        <v>6.4999999999999997E-3</v>
      </c>
      <c r="J24" s="718"/>
      <c r="K24" s="223">
        <v>2.1899999999999999E-2</v>
      </c>
      <c r="L24" s="230">
        <v>3.6533000000000003E-2</v>
      </c>
      <c r="M24" s="223">
        <f t="shared" si="2"/>
        <v>8.0000000000000004E-4</v>
      </c>
      <c r="N24" s="718"/>
      <c r="O24" s="223">
        <v>2.1899999999999999E-2</v>
      </c>
      <c r="P24" s="230">
        <v>5.7563000000000003E-2</v>
      </c>
      <c r="Q24" s="223">
        <f t="shared" si="3"/>
        <v>1.2999999999999999E-3</v>
      </c>
      <c r="R24" s="718"/>
      <c r="S24" s="223">
        <f t="shared" si="4"/>
        <v>1.67E-2</v>
      </c>
    </row>
    <row r="25" spans="1:19" ht="15">
      <c r="A25" s="719" t="s">
        <v>410</v>
      </c>
      <c r="B25" s="228">
        <v>355</v>
      </c>
      <c r="C25" s="223">
        <v>3.4599999999999999E-2</v>
      </c>
      <c r="D25" s="230">
        <v>0.49482100000000001</v>
      </c>
      <c r="E25" s="223">
        <f t="shared" si="0"/>
        <v>1.7100000000000001E-2</v>
      </c>
      <c r="F25" s="718"/>
      <c r="G25" s="223">
        <v>2.7099999999999999E-2</v>
      </c>
      <c r="H25" s="230">
        <v>0.41108299999999998</v>
      </c>
      <c r="I25" s="223">
        <f t="shared" si="1"/>
        <v>1.11E-2</v>
      </c>
      <c r="J25" s="718"/>
      <c r="K25" s="223">
        <v>2.1899999999999999E-2</v>
      </c>
      <c r="L25" s="230">
        <v>3.6533000000000003E-2</v>
      </c>
      <c r="M25" s="223">
        <f t="shared" si="2"/>
        <v>8.0000000000000004E-4</v>
      </c>
      <c r="N25" s="718"/>
      <c r="O25" s="223">
        <v>2.1899999999999999E-2</v>
      </c>
      <c r="P25" s="230">
        <v>5.7563000000000003E-2</v>
      </c>
      <c r="Q25" s="223">
        <f t="shared" si="3"/>
        <v>1.2999999999999999E-3</v>
      </c>
      <c r="R25" s="718"/>
      <c r="S25" s="223">
        <f t="shared" si="4"/>
        <v>3.0300000000000001E-2</v>
      </c>
    </row>
    <row r="26" spans="1:19" ht="15">
      <c r="A26" s="719" t="s">
        <v>611</v>
      </c>
      <c r="B26" s="228">
        <v>356</v>
      </c>
      <c r="C26" s="223">
        <v>1.6500000000000001E-2</v>
      </c>
      <c r="D26" s="230">
        <v>0.49482100000000001</v>
      </c>
      <c r="E26" s="223">
        <f t="shared" si="0"/>
        <v>8.2000000000000007E-3</v>
      </c>
      <c r="F26" s="718"/>
      <c r="G26" s="223">
        <v>1.5299999999999999E-2</v>
      </c>
      <c r="H26" s="230">
        <v>0.41108299999999998</v>
      </c>
      <c r="I26" s="223">
        <f t="shared" si="1"/>
        <v>6.3E-3</v>
      </c>
      <c r="J26" s="718"/>
      <c r="K26" s="223">
        <v>2.1899999999999999E-2</v>
      </c>
      <c r="L26" s="230">
        <v>3.6533000000000003E-2</v>
      </c>
      <c r="M26" s="223">
        <f t="shared" si="2"/>
        <v>8.0000000000000004E-4</v>
      </c>
      <c r="N26" s="718"/>
      <c r="O26" s="223">
        <v>2.1899999999999999E-2</v>
      </c>
      <c r="P26" s="230">
        <v>5.7563000000000003E-2</v>
      </c>
      <c r="Q26" s="223">
        <f t="shared" si="3"/>
        <v>1.2999999999999999E-3</v>
      </c>
      <c r="R26" s="718"/>
      <c r="S26" s="223">
        <f t="shared" si="4"/>
        <v>1.66E-2</v>
      </c>
    </row>
    <row r="27" spans="1:19" ht="15">
      <c r="A27" s="719" t="s">
        <v>411</v>
      </c>
      <c r="B27" s="228">
        <v>357</v>
      </c>
      <c r="C27" s="223">
        <v>2.4899999999999999E-2</v>
      </c>
      <c r="D27" s="230">
        <v>0.49482100000000001</v>
      </c>
      <c r="E27" s="223">
        <f t="shared" si="0"/>
        <v>1.23E-2</v>
      </c>
      <c r="F27" s="718"/>
      <c r="G27" s="223">
        <v>3.7100000000000001E-2</v>
      </c>
      <c r="H27" s="230">
        <v>0.41108299999999998</v>
      </c>
      <c r="I27" s="223">
        <f t="shared" si="1"/>
        <v>1.5299999999999999E-2</v>
      </c>
      <c r="J27" s="718"/>
      <c r="K27" s="223">
        <v>2.1899999999999999E-2</v>
      </c>
      <c r="L27" s="230">
        <v>3.6533000000000003E-2</v>
      </c>
      <c r="M27" s="223">
        <f t="shared" si="2"/>
        <v>8.0000000000000004E-4</v>
      </c>
      <c r="N27" s="718"/>
      <c r="O27" s="223">
        <v>2.1899999999999999E-2</v>
      </c>
      <c r="P27" s="230">
        <v>5.7563000000000003E-2</v>
      </c>
      <c r="Q27" s="223">
        <f t="shared" si="3"/>
        <v>1.2999999999999999E-3</v>
      </c>
      <c r="R27" s="718"/>
      <c r="S27" s="223">
        <f t="shared" si="4"/>
        <v>2.9700000000000001E-2</v>
      </c>
    </row>
    <row r="28" spans="1:19" ht="15">
      <c r="A28" s="719" t="s">
        <v>412</v>
      </c>
      <c r="B28" s="228">
        <v>358</v>
      </c>
      <c r="C28" s="223">
        <v>4.7199999999999999E-2</v>
      </c>
      <c r="D28" s="230">
        <v>0.49482100000000001</v>
      </c>
      <c r="E28" s="223">
        <f t="shared" si="0"/>
        <v>2.3400000000000001E-2</v>
      </c>
      <c r="F28" s="718"/>
      <c r="G28" s="223">
        <v>5.2400000000000002E-2</v>
      </c>
      <c r="H28" s="230">
        <v>0.41108299999999998</v>
      </c>
      <c r="I28" s="223">
        <f t="shared" si="1"/>
        <v>2.1499999999999998E-2</v>
      </c>
      <c r="J28" s="718"/>
      <c r="K28" s="265">
        <v>2.1899999999999999E-2</v>
      </c>
      <c r="L28" s="230">
        <v>3.6533000000000003E-2</v>
      </c>
      <c r="M28" s="223">
        <f t="shared" si="2"/>
        <v>8.0000000000000004E-4</v>
      </c>
      <c r="N28" s="718"/>
      <c r="O28" s="265">
        <v>2.1899999999999999E-2</v>
      </c>
      <c r="P28" s="230">
        <v>5.7563000000000003E-2</v>
      </c>
      <c r="Q28" s="223">
        <f t="shared" si="3"/>
        <v>1.2999999999999999E-3</v>
      </c>
      <c r="R28" s="718"/>
      <c r="S28" s="223">
        <f t="shared" si="4"/>
        <v>4.7E-2</v>
      </c>
    </row>
    <row r="29" spans="1:19" ht="15.75" thickBot="1">
      <c r="A29" s="719"/>
      <c r="B29" s="718"/>
      <c r="C29" s="265"/>
      <c r="D29" s="266"/>
      <c r="E29" s="268"/>
      <c r="F29" s="718"/>
      <c r="G29" s="265"/>
      <c r="H29" s="266"/>
      <c r="I29" s="268"/>
      <c r="J29" s="718"/>
      <c r="K29" s="265"/>
      <c r="L29" s="266"/>
      <c r="M29" s="268"/>
      <c r="N29" s="718"/>
      <c r="O29" s="265"/>
      <c r="P29" s="266"/>
      <c r="Q29" s="223"/>
      <c r="R29" s="718"/>
      <c r="S29" s="223"/>
    </row>
    <row r="30" spans="1:19" ht="15">
      <c r="A30" s="1232" t="s">
        <v>982</v>
      </c>
      <c r="B30" s="1233"/>
      <c r="C30" s="1234"/>
      <c r="D30" s="1235"/>
      <c r="E30" s="1236"/>
      <c r="F30" s="1233"/>
      <c r="G30" s="1234"/>
      <c r="H30" s="1235"/>
      <c r="I30" s="1236"/>
      <c r="J30" s="1233"/>
      <c r="K30" s="1233"/>
      <c r="L30" s="1235"/>
      <c r="M30" s="1236"/>
      <c r="N30" s="1233"/>
      <c r="O30" s="1233"/>
      <c r="P30" s="1235"/>
      <c r="Q30" s="1236"/>
      <c r="R30" s="1233"/>
      <c r="S30" s="1237"/>
    </row>
    <row r="31" spans="1:19" ht="15">
      <c r="A31" s="717" t="s">
        <v>814</v>
      </c>
      <c r="B31" s="228">
        <v>390</v>
      </c>
      <c r="C31" s="223">
        <v>1.89E-2</v>
      </c>
      <c r="D31" s="266">
        <v>0.523756</v>
      </c>
      <c r="E31" s="223">
        <f t="shared" ref="E31:E39" si="5">ROUND((C31*D31),4)</f>
        <v>9.9000000000000008E-3</v>
      </c>
      <c r="F31" s="718"/>
      <c r="G31" s="223">
        <v>1.9099999999999999E-2</v>
      </c>
      <c r="H31" s="267">
        <v>0.42594100000000001</v>
      </c>
      <c r="I31" s="223">
        <f t="shared" ref="I31:I39" si="6">ROUND((G31*H31),4)</f>
        <v>8.0999999999999996E-3</v>
      </c>
      <c r="J31" s="718"/>
      <c r="K31" s="223">
        <v>3.4300000000000004E-2</v>
      </c>
      <c r="L31" s="267">
        <v>1.9295E-2</v>
      </c>
      <c r="M31" s="223">
        <f t="shared" ref="M31:M39" si="7">ROUND((K31*L31),4)</f>
        <v>6.9999999999999999E-4</v>
      </c>
      <c r="N31" s="718"/>
      <c r="O31" s="223">
        <v>3.4300000000000004E-2</v>
      </c>
      <c r="P31" s="266">
        <v>3.1008999999999998E-2</v>
      </c>
      <c r="Q31" s="223">
        <f t="shared" ref="Q31:Q39" si="8">ROUND((O31*P31),4)</f>
        <v>1.1000000000000001E-3</v>
      </c>
      <c r="R31" s="718"/>
      <c r="S31" s="223">
        <f t="shared" ref="S31:S39" si="9">ROUND((((E31+I31)+M31)+Q31),4)</f>
        <v>1.9800000000000002E-2</v>
      </c>
    </row>
    <row r="32" spans="1:19" ht="15">
      <c r="A32" s="717" t="s">
        <v>815</v>
      </c>
      <c r="B32" s="228">
        <v>391</v>
      </c>
      <c r="C32" s="223">
        <v>3.2099999999999997E-2</v>
      </c>
      <c r="D32" s="266">
        <v>0.523756</v>
      </c>
      <c r="E32" s="223">
        <f t="shared" si="5"/>
        <v>1.6799999999999999E-2</v>
      </c>
      <c r="F32" s="718"/>
      <c r="G32" s="223">
        <v>3.1699999999999999E-2</v>
      </c>
      <c r="H32" s="267">
        <v>0.42594100000000001</v>
      </c>
      <c r="I32" s="223">
        <f t="shared" si="6"/>
        <v>1.35E-2</v>
      </c>
      <c r="J32" s="718"/>
      <c r="K32" s="223">
        <v>3.4300000000000004E-2</v>
      </c>
      <c r="L32" s="267">
        <v>1.9295E-2</v>
      </c>
      <c r="M32" s="223">
        <f t="shared" si="7"/>
        <v>6.9999999999999999E-4</v>
      </c>
      <c r="N32" s="718"/>
      <c r="O32" s="223">
        <v>3.4300000000000004E-2</v>
      </c>
      <c r="P32" s="266">
        <v>3.1008999999999998E-2</v>
      </c>
      <c r="Q32" s="223">
        <f t="shared" si="8"/>
        <v>1.1000000000000001E-3</v>
      </c>
      <c r="R32" s="718"/>
      <c r="S32" s="223">
        <f t="shared" si="9"/>
        <v>3.2099999999999997E-2</v>
      </c>
    </row>
    <row r="33" spans="1:19" ht="15">
      <c r="A33" s="717" t="s">
        <v>983</v>
      </c>
      <c r="B33" s="228">
        <v>392</v>
      </c>
      <c r="C33" s="223">
        <v>3.4599999999999999E-2</v>
      </c>
      <c r="D33" s="230">
        <v>0.523756</v>
      </c>
      <c r="E33" s="223">
        <f t="shared" si="5"/>
        <v>1.8100000000000002E-2</v>
      </c>
      <c r="F33" s="718"/>
      <c r="G33" s="223">
        <v>3.4000000000000002E-2</v>
      </c>
      <c r="H33" s="230">
        <v>0.42594100000000001</v>
      </c>
      <c r="I33" s="223">
        <f t="shared" si="6"/>
        <v>1.4500000000000001E-2</v>
      </c>
      <c r="J33" s="718"/>
      <c r="K33" s="223">
        <v>3.4300000000000004E-2</v>
      </c>
      <c r="L33" s="230">
        <v>1.9295E-2</v>
      </c>
      <c r="M33" s="223">
        <f t="shared" si="7"/>
        <v>6.9999999999999999E-4</v>
      </c>
      <c r="N33" s="718"/>
      <c r="O33" s="223">
        <v>3.4300000000000004E-2</v>
      </c>
      <c r="P33" s="230">
        <v>3.1008999999999998E-2</v>
      </c>
      <c r="Q33" s="223">
        <f t="shared" si="8"/>
        <v>1.1000000000000001E-3</v>
      </c>
      <c r="R33" s="718"/>
      <c r="S33" s="223">
        <f t="shared" si="9"/>
        <v>3.44E-2</v>
      </c>
    </row>
    <row r="34" spans="1:19" ht="15">
      <c r="A34" s="717" t="s">
        <v>816</v>
      </c>
      <c r="B34" s="228">
        <v>393</v>
      </c>
      <c r="C34" s="223">
        <v>1.78E-2</v>
      </c>
      <c r="D34" s="230">
        <v>0.523756</v>
      </c>
      <c r="E34" s="223">
        <f t="shared" si="5"/>
        <v>9.2999999999999992E-3</v>
      </c>
      <c r="F34" s="718"/>
      <c r="G34" s="223">
        <v>1.7999999999999999E-2</v>
      </c>
      <c r="H34" s="230">
        <v>0.42594100000000001</v>
      </c>
      <c r="I34" s="223">
        <f t="shared" si="6"/>
        <v>7.7000000000000002E-3</v>
      </c>
      <c r="J34" s="718"/>
      <c r="K34" s="223">
        <v>3.4300000000000004E-2</v>
      </c>
      <c r="L34" s="230">
        <v>1.9295E-2</v>
      </c>
      <c r="M34" s="223">
        <f t="shared" si="7"/>
        <v>6.9999999999999999E-4</v>
      </c>
      <c r="N34" s="718"/>
      <c r="O34" s="223">
        <v>3.4300000000000004E-2</v>
      </c>
      <c r="P34" s="230">
        <v>3.1008999999999998E-2</v>
      </c>
      <c r="Q34" s="223">
        <f t="shared" si="8"/>
        <v>1.1000000000000001E-3</v>
      </c>
      <c r="R34" s="718"/>
      <c r="S34" s="223">
        <f t="shared" si="9"/>
        <v>1.8800000000000001E-2</v>
      </c>
    </row>
    <row r="35" spans="1:19" ht="15.75" customHeight="1">
      <c r="A35" s="717" t="s">
        <v>817</v>
      </c>
      <c r="B35" s="228">
        <v>394</v>
      </c>
      <c r="C35" s="223">
        <v>2.5899999999999999E-2</v>
      </c>
      <c r="D35" s="230">
        <v>0.523756</v>
      </c>
      <c r="E35" s="223">
        <f t="shared" si="5"/>
        <v>1.3599999999999999E-2</v>
      </c>
      <c r="F35" s="718"/>
      <c r="G35" s="223">
        <v>2.5700000000000001E-2</v>
      </c>
      <c r="H35" s="230">
        <v>0.42594100000000001</v>
      </c>
      <c r="I35" s="223">
        <f t="shared" si="6"/>
        <v>1.09E-2</v>
      </c>
      <c r="J35" s="718"/>
      <c r="K35" s="223">
        <v>3.4300000000000004E-2</v>
      </c>
      <c r="L35" s="230">
        <v>1.9295E-2</v>
      </c>
      <c r="M35" s="223">
        <f t="shared" si="7"/>
        <v>6.9999999999999999E-4</v>
      </c>
      <c r="N35" s="718"/>
      <c r="O35" s="223">
        <v>3.4300000000000004E-2</v>
      </c>
      <c r="P35" s="230">
        <v>3.1008999999999998E-2</v>
      </c>
      <c r="Q35" s="223">
        <f t="shared" si="8"/>
        <v>1.1000000000000001E-3</v>
      </c>
      <c r="R35" s="718"/>
      <c r="S35" s="223">
        <f t="shared" si="9"/>
        <v>2.63E-2</v>
      </c>
    </row>
    <row r="36" spans="1:19" ht="15.75" customHeight="1">
      <c r="A36" s="717" t="s">
        <v>818</v>
      </c>
      <c r="B36" s="228">
        <v>395</v>
      </c>
      <c r="C36" s="223">
        <v>3.8699999999999998E-2</v>
      </c>
      <c r="D36" s="230">
        <v>0.523756</v>
      </c>
      <c r="E36" s="223">
        <f t="shared" si="5"/>
        <v>2.0299999999999999E-2</v>
      </c>
      <c r="F36" s="718"/>
      <c r="G36" s="223">
        <v>4.0099999999999997E-2</v>
      </c>
      <c r="H36" s="230">
        <v>0.42594100000000001</v>
      </c>
      <c r="I36" s="223">
        <f t="shared" si="6"/>
        <v>1.7100000000000001E-2</v>
      </c>
      <c r="J36" s="718"/>
      <c r="K36" s="223">
        <v>3.4300000000000004E-2</v>
      </c>
      <c r="L36" s="230">
        <v>1.9295E-2</v>
      </c>
      <c r="M36" s="223">
        <f t="shared" si="7"/>
        <v>6.9999999999999999E-4</v>
      </c>
      <c r="N36" s="718"/>
      <c r="O36" s="223">
        <v>3.4300000000000004E-2</v>
      </c>
      <c r="P36" s="230">
        <v>3.1008999999999998E-2</v>
      </c>
      <c r="Q36" s="223">
        <f t="shared" si="8"/>
        <v>1.1000000000000001E-3</v>
      </c>
      <c r="R36" s="718"/>
      <c r="S36" s="223">
        <f t="shared" si="9"/>
        <v>3.9199999999999999E-2</v>
      </c>
    </row>
    <row r="37" spans="1:19" ht="15.75" customHeight="1">
      <c r="A37" s="717" t="s">
        <v>984</v>
      </c>
      <c r="B37" s="228">
        <v>396</v>
      </c>
      <c r="C37" s="223">
        <v>0</v>
      </c>
      <c r="D37" s="230">
        <v>0.523756</v>
      </c>
      <c r="E37" s="223">
        <f t="shared" si="5"/>
        <v>0</v>
      </c>
      <c r="F37" s="718"/>
      <c r="G37" s="223">
        <v>3.9E-2</v>
      </c>
      <c r="H37" s="230">
        <v>0.42594100000000001</v>
      </c>
      <c r="I37" s="223">
        <f t="shared" si="6"/>
        <v>1.66E-2</v>
      </c>
      <c r="J37" s="718"/>
      <c r="K37" s="223">
        <v>3.4300000000000004E-2</v>
      </c>
      <c r="L37" s="230">
        <v>1.9295E-2</v>
      </c>
      <c r="M37" s="223">
        <f t="shared" si="7"/>
        <v>6.9999999999999999E-4</v>
      </c>
      <c r="N37" s="718"/>
      <c r="O37" s="223">
        <v>3.4300000000000004E-2</v>
      </c>
      <c r="P37" s="230">
        <v>3.1008999999999998E-2</v>
      </c>
      <c r="Q37" s="223">
        <f t="shared" si="8"/>
        <v>1.1000000000000001E-3</v>
      </c>
      <c r="R37" s="718"/>
      <c r="S37" s="223">
        <f t="shared" si="9"/>
        <v>1.84E-2</v>
      </c>
    </row>
    <row r="38" spans="1:19" ht="15">
      <c r="A38" s="717" t="s">
        <v>819</v>
      </c>
      <c r="B38" s="228">
        <v>397</v>
      </c>
      <c r="C38" s="223">
        <v>5.0500000000000003E-2</v>
      </c>
      <c r="D38" s="230">
        <v>0.523756</v>
      </c>
      <c r="E38" s="223">
        <f t="shared" si="5"/>
        <v>2.64E-2</v>
      </c>
      <c r="F38" s="718"/>
      <c r="G38" s="223">
        <v>4.9799999999999997E-2</v>
      </c>
      <c r="H38" s="230">
        <v>0.42594100000000001</v>
      </c>
      <c r="I38" s="223">
        <f t="shared" si="6"/>
        <v>2.12E-2</v>
      </c>
      <c r="J38" s="718"/>
      <c r="K38" s="223">
        <v>3.4300000000000004E-2</v>
      </c>
      <c r="L38" s="230">
        <v>1.9295E-2</v>
      </c>
      <c r="M38" s="223">
        <f t="shared" si="7"/>
        <v>6.9999999999999999E-4</v>
      </c>
      <c r="N38" s="718"/>
      <c r="O38" s="223">
        <v>3.4300000000000004E-2</v>
      </c>
      <c r="P38" s="230">
        <v>3.1008999999999998E-2</v>
      </c>
      <c r="Q38" s="223">
        <f t="shared" si="8"/>
        <v>1.1000000000000001E-3</v>
      </c>
      <c r="R38" s="718"/>
      <c r="S38" s="223">
        <f t="shared" si="9"/>
        <v>4.9399999999999999E-2</v>
      </c>
    </row>
    <row r="39" spans="1:19" ht="15">
      <c r="A39" s="717" t="s">
        <v>820</v>
      </c>
      <c r="B39" s="228">
        <v>398</v>
      </c>
      <c r="C39" s="223">
        <v>2.6700000000000002E-2</v>
      </c>
      <c r="D39" s="230">
        <v>0.523756</v>
      </c>
      <c r="E39" s="223">
        <f t="shared" si="5"/>
        <v>1.4E-2</v>
      </c>
      <c r="F39" s="718"/>
      <c r="G39" s="223">
        <v>2.7E-2</v>
      </c>
      <c r="H39" s="230">
        <v>0.42594100000000001</v>
      </c>
      <c r="I39" s="223">
        <f t="shared" si="6"/>
        <v>1.15E-2</v>
      </c>
      <c r="J39" s="718"/>
      <c r="K39" s="265">
        <v>3.4300000000000004E-2</v>
      </c>
      <c r="L39" s="230">
        <v>1.9295E-2</v>
      </c>
      <c r="M39" s="223">
        <f t="shared" si="7"/>
        <v>6.9999999999999999E-4</v>
      </c>
      <c r="N39" s="718"/>
      <c r="O39" s="265">
        <v>3.4300000000000004E-2</v>
      </c>
      <c r="P39" s="230">
        <v>3.1008999999999998E-2</v>
      </c>
      <c r="Q39" s="223">
        <f t="shared" si="8"/>
        <v>1.1000000000000001E-3</v>
      </c>
      <c r="R39" s="718"/>
      <c r="S39" s="223">
        <f t="shared" si="9"/>
        <v>2.7300000000000001E-2</v>
      </c>
    </row>
    <row r="40" spans="1:19" ht="15.75" thickBot="1">
      <c r="A40" s="1238"/>
      <c r="B40" s="1239"/>
      <c r="C40" s="1240"/>
      <c r="D40" s="1241"/>
      <c r="E40" s="1242"/>
      <c r="F40" s="1239"/>
      <c r="G40" s="1242"/>
      <c r="H40" s="1241"/>
      <c r="I40" s="1242"/>
      <c r="J40" s="1239"/>
      <c r="K40" s="1240"/>
      <c r="L40" s="1241"/>
      <c r="M40" s="1242"/>
      <c r="N40" s="1239"/>
      <c r="O40" s="1240"/>
      <c r="P40" s="1241"/>
      <c r="Q40" s="1242"/>
      <c r="R40" s="1239"/>
      <c r="S40" s="1242"/>
    </row>
    <row r="41" spans="1:19" ht="15">
      <c r="A41" s="706"/>
      <c r="B41" s="707"/>
      <c r="C41" s="223"/>
      <c r="D41" s="706"/>
      <c r="E41" s="706"/>
      <c r="F41" s="706"/>
      <c r="G41" s="229"/>
      <c r="H41" s="706"/>
      <c r="I41" s="706"/>
      <c r="J41" s="706"/>
      <c r="K41" s="706"/>
      <c r="L41" s="706"/>
      <c r="M41" s="706"/>
      <c r="N41" s="706"/>
      <c r="O41" s="706"/>
      <c r="P41" s="706"/>
      <c r="Q41" s="706"/>
      <c r="R41" s="706"/>
      <c r="S41" s="706"/>
    </row>
    <row r="42" spans="1:19" ht="15" customHeight="1">
      <c r="A42" s="706" t="s">
        <v>1077</v>
      </c>
      <c r="B42" s="720"/>
      <c r="C42" s="231"/>
      <c r="D42" s="720"/>
      <c r="E42" s="706"/>
      <c r="F42" s="721" t="s">
        <v>123</v>
      </c>
      <c r="G42" s="229" t="s">
        <v>1078</v>
      </c>
      <c r="H42" s="707"/>
      <c r="I42" s="706"/>
      <c r="J42" s="706"/>
      <c r="K42" s="706"/>
      <c r="L42" s="721"/>
      <c r="M42" s="706"/>
      <c r="N42" s="706"/>
      <c r="O42" s="706"/>
      <c r="P42" s="706"/>
      <c r="Q42" s="706"/>
      <c r="R42" s="706"/>
      <c r="S42" s="706"/>
    </row>
    <row r="43" spans="1:19" ht="15.75">
      <c r="A43" s="706" t="s">
        <v>1079</v>
      </c>
      <c r="B43" s="720"/>
      <c r="C43" s="231"/>
      <c r="D43" s="720"/>
      <c r="E43" s="720"/>
      <c r="F43" s="722"/>
      <c r="G43" s="229"/>
      <c r="H43" s="707"/>
      <c r="I43" s="706"/>
      <c r="J43" s="706"/>
      <c r="K43" s="706"/>
      <c r="L43" s="706"/>
      <c r="M43" s="706"/>
      <c r="N43" s="706"/>
      <c r="O43" s="706"/>
      <c r="P43" s="706"/>
      <c r="Q43" s="706"/>
      <c r="R43" s="706"/>
      <c r="S43" s="706"/>
    </row>
    <row r="44" spans="1:19" ht="15" customHeight="1">
      <c r="A44" s="706"/>
      <c r="B44" s="720"/>
      <c r="C44" s="231"/>
      <c r="D44" s="723"/>
      <c r="E44" s="723"/>
      <c r="F44" s="721" t="s">
        <v>612</v>
      </c>
      <c r="G44" s="229" t="s">
        <v>1080</v>
      </c>
      <c r="H44" s="706"/>
      <c r="I44" s="706"/>
      <c r="J44" s="706"/>
      <c r="K44" s="706"/>
      <c r="L44" s="706"/>
      <c r="M44" s="706"/>
      <c r="N44" s="706"/>
      <c r="O44" s="706"/>
      <c r="P44" s="706"/>
      <c r="Q44" s="706"/>
      <c r="R44" s="706"/>
      <c r="S44" s="706"/>
    </row>
    <row r="45" spans="1:19" ht="15.75">
      <c r="A45" s="706" t="s">
        <v>1081</v>
      </c>
      <c r="B45" s="720"/>
      <c r="C45" s="231"/>
      <c r="D45" s="720"/>
      <c r="E45" s="720"/>
      <c r="F45" s="722"/>
      <c r="G45" s="229"/>
      <c r="H45" s="707"/>
      <c r="I45" s="706"/>
      <c r="J45" s="706"/>
      <c r="K45" s="706"/>
      <c r="L45" s="706"/>
      <c r="M45" s="706"/>
      <c r="N45" s="706"/>
      <c r="O45" s="706"/>
      <c r="P45" s="706"/>
      <c r="Q45" s="706"/>
      <c r="R45" s="706"/>
      <c r="S45" s="706"/>
    </row>
    <row r="46" spans="1:19" ht="15.75">
      <c r="A46" s="706" t="s">
        <v>1082</v>
      </c>
      <c r="B46" s="720"/>
      <c r="C46" s="231"/>
      <c r="D46" s="720"/>
      <c r="E46" s="720"/>
      <c r="F46" s="721" t="s">
        <v>613</v>
      </c>
      <c r="G46" s="1554" t="s">
        <v>614</v>
      </c>
      <c r="H46" s="1554"/>
      <c r="I46" s="1554"/>
      <c r="J46" s="1554"/>
      <c r="K46" s="1554"/>
      <c r="L46" s="1554"/>
      <c r="M46" s="706"/>
      <c r="N46" s="706"/>
      <c r="O46" s="706"/>
      <c r="P46" s="706"/>
      <c r="Q46" s="706"/>
      <c r="R46" s="706"/>
      <c r="S46" s="706"/>
    </row>
    <row r="47" spans="1:19" ht="15.75">
      <c r="A47" s="706"/>
      <c r="B47" s="720"/>
      <c r="C47" s="231"/>
      <c r="D47" s="720"/>
      <c r="E47" s="720"/>
      <c r="F47" s="721"/>
      <c r="G47" s="1554" t="s">
        <v>615</v>
      </c>
      <c r="H47" s="1554"/>
      <c r="I47" s="1554"/>
      <c r="J47" s="1554"/>
      <c r="K47" s="1554"/>
      <c r="L47" s="1554"/>
      <c r="M47" s="706"/>
      <c r="N47" s="706"/>
      <c r="O47" s="706"/>
      <c r="P47" s="706"/>
      <c r="Q47" s="706"/>
      <c r="R47" s="706"/>
      <c r="S47" s="706"/>
    </row>
    <row r="48" spans="1:19" ht="15.75">
      <c r="A48" s="706"/>
      <c r="B48" s="720"/>
      <c r="C48" s="231"/>
      <c r="D48" s="720"/>
      <c r="E48" s="720"/>
      <c r="F48" s="721"/>
      <c r="G48" s="1554" t="s">
        <v>616</v>
      </c>
      <c r="H48" s="1554"/>
      <c r="I48" s="1554"/>
      <c r="J48" s="1554"/>
      <c r="K48" s="1554"/>
      <c r="L48" s="1554"/>
      <c r="M48" s="706"/>
      <c r="N48" s="706"/>
      <c r="O48" s="706"/>
      <c r="P48" s="706"/>
      <c r="Q48" s="706"/>
      <c r="R48" s="706"/>
      <c r="S48" s="706"/>
    </row>
    <row r="49" spans="1:19" ht="15.75">
      <c r="A49" s="724"/>
      <c r="B49" s="707"/>
      <c r="C49" s="223"/>
      <c r="D49" s="706"/>
      <c r="E49" s="706"/>
      <c r="F49" s="706"/>
      <c r="G49" s="1554" t="s">
        <v>114</v>
      </c>
      <c r="H49" s="1554"/>
      <c r="I49" s="1554"/>
      <c r="J49" s="1554"/>
      <c r="K49" s="1554"/>
      <c r="L49" s="1554"/>
      <c r="M49" s="706"/>
      <c r="N49" s="706"/>
      <c r="O49" s="706"/>
      <c r="P49" s="706"/>
      <c r="Q49" s="706"/>
      <c r="R49" s="706"/>
      <c r="S49" s="706"/>
    </row>
    <row r="50" spans="1:19" ht="15.75">
      <c r="A50" s="724"/>
      <c r="B50" s="707"/>
      <c r="C50" s="223"/>
      <c r="D50" s="706"/>
      <c r="E50" s="706"/>
      <c r="F50" s="721" t="s">
        <v>617</v>
      </c>
      <c r="G50" s="1554" t="s">
        <v>1083</v>
      </c>
      <c r="H50" s="1554"/>
      <c r="I50" s="1554"/>
      <c r="J50" s="1554"/>
      <c r="K50" s="1554"/>
      <c r="L50" s="1554"/>
      <c r="M50" s="706"/>
      <c r="N50" s="706"/>
      <c r="O50" s="706"/>
      <c r="P50" s="706"/>
      <c r="Q50" s="706"/>
      <c r="R50" s="706"/>
      <c r="S50" s="706"/>
    </row>
    <row r="51" spans="1:19" ht="15.75">
      <c r="A51" s="724" t="s">
        <v>413</v>
      </c>
      <c r="B51" s="707"/>
      <c r="C51" s="223"/>
      <c r="D51" s="706"/>
      <c r="E51" s="706"/>
      <c r="F51" s="706"/>
      <c r="G51" s="706" t="s">
        <v>1084</v>
      </c>
      <c r="H51" s="706"/>
      <c r="I51" s="706"/>
      <c r="J51" s="706"/>
      <c r="K51" s="706"/>
      <c r="L51" s="706"/>
      <c r="M51" s="706"/>
      <c r="N51" s="706"/>
      <c r="O51" s="725"/>
      <c r="P51" s="706"/>
      <c r="Q51" s="706"/>
      <c r="R51" s="706"/>
      <c r="S51" s="706"/>
    </row>
    <row r="52" spans="1:19" ht="15">
      <c r="A52" s="1323" t="s">
        <v>29</v>
      </c>
      <c r="B52" s="1324"/>
      <c r="C52" s="1324"/>
      <c r="D52" s="1325"/>
      <c r="E52" s="706"/>
      <c r="F52" s="706"/>
      <c r="G52" s="229"/>
      <c r="H52" s="706"/>
      <c r="I52" s="706"/>
      <c r="J52" s="706"/>
      <c r="K52" s="706"/>
      <c r="L52" s="706"/>
      <c r="M52" s="706"/>
      <c r="N52" s="706"/>
      <c r="O52" s="725"/>
      <c r="P52" s="706"/>
      <c r="Q52" s="706"/>
      <c r="R52" s="706"/>
      <c r="S52" s="706"/>
    </row>
    <row r="53" spans="1:19" ht="15">
      <c r="A53" s="1555" t="s">
        <v>618</v>
      </c>
      <c r="B53" s="1556"/>
      <c r="C53" s="1556"/>
      <c r="D53" s="1556"/>
      <c r="E53" s="1556"/>
      <c r="F53" s="1556"/>
      <c r="G53" s="1556"/>
      <c r="H53" s="1556"/>
      <c r="I53" s="1556"/>
      <c r="J53" s="1556"/>
      <c r="K53" s="1556"/>
      <c r="L53" s="1556"/>
      <c r="M53" s="1556"/>
      <c r="N53" s="1556"/>
      <c r="O53" s="706"/>
      <c r="P53" s="706"/>
      <c r="Q53" s="706"/>
      <c r="R53" s="706"/>
      <c r="S53" s="706"/>
    </row>
    <row r="54" spans="1:19" ht="15">
      <c r="A54" s="1556"/>
      <c r="B54" s="1556"/>
      <c r="C54" s="1556"/>
      <c r="D54" s="1556"/>
      <c r="E54" s="1556"/>
      <c r="F54" s="1556"/>
      <c r="G54" s="1556"/>
      <c r="H54" s="1556"/>
      <c r="I54" s="1556"/>
      <c r="J54" s="1556"/>
      <c r="K54" s="1556"/>
      <c r="L54" s="1556"/>
      <c r="M54" s="1556"/>
      <c r="N54" s="1556"/>
      <c r="O54" s="706"/>
      <c r="P54" s="706"/>
      <c r="Q54" s="706"/>
      <c r="R54" s="706"/>
      <c r="S54" s="706"/>
    </row>
    <row r="55" spans="1:19" ht="15">
      <c r="A55" s="1434" t="s">
        <v>829</v>
      </c>
      <c r="B55" s="1434"/>
      <c r="C55" s="1434"/>
      <c r="D55" s="1434"/>
      <c r="E55" s="1434"/>
      <c r="F55" s="1434"/>
      <c r="G55" s="1434"/>
      <c r="H55" s="1434"/>
      <c r="I55" s="1434"/>
      <c r="J55" s="1434"/>
      <c r="K55" s="1434"/>
      <c r="L55" s="1434"/>
      <c r="M55" s="1434"/>
      <c r="N55" s="1434"/>
      <c r="O55" s="706"/>
      <c r="P55" s="706"/>
      <c r="Q55" s="706"/>
      <c r="R55" s="706"/>
      <c r="S55" s="706"/>
    </row>
    <row r="56" spans="1:19" ht="15">
      <c r="A56" s="1434"/>
      <c r="B56" s="1434"/>
      <c r="C56" s="1434"/>
      <c r="D56" s="1434"/>
      <c r="E56" s="1434"/>
      <c r="F56" s="1434"/>
      <c r="G56" s="1434"/>
      <c r="H56" s="1434"/>
      <c r="I56" s="1434"/>
      <c r="J56" s="1434"/>
      <c r="K56" s="1434"/>
      <c r="L56" s="1434"/>
      <c r="M56" s="1434"/>
      <c r="N56" s="1434"/>
      <c r="O56" s="706"/>
      <c r="P56" s="706"/>
      <c r="Q56" s="706"/>
      <c r="R56" s="706"/>
      <c r="S56" s="706"/>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9"/>
  <sheetViews>
    <sheetView view="pageBreakPreview" zoomScale="60" zoomScaleNormal="70" workbookViewId="0">
      <selection activeCell="K35" sqref="K35"/>
    </sheetView>
  </sheetViews>
  <sheetFormatPr defaultColWidth="9.140625" defaultRowHeight="12.75"/>
  <cols>
    <col min="1" max="1" width="34.28515625" style="1326" customWidth="1"/>
    <col min="2" max="2" width="9.140625" style="1326"/>
    <col min="3" max="3" width="11.85546875" style="1326" customWidth="1"/>
    <col min="4" max="4" width="18.28515625" style="1326" customWidth="1"/>
    <col min="5" max="5" width="12.5703125" style="1326" customWidth="1"/>
    <col min="6" max="6" width="9.140625" style="1326"/>
    <col min="7" max="7" width="12.140625" style="1326" customWidth="1"/>
    <col min="8" max="8" width="18.85546875" style="1326" customWidth="1"/>
    <col min="9" max="9" width="15.5703125" style="1326" bestFit="1" customWidth="1"/>
    <col min="10" max="16384" width="9.140625" style="1326"/>
  </cols>
  <sheetData>
    <row r="1" spans="1:11" s="706" customFormat="1" ht="15.75">
      <c r="A1" s="808" t="s">
        <v>114</v>
      </c>
      <c r="G1" s="229"/>
    </row>
    <row r="2" spans="1:11" s="706" customFormat="1" ht="15.75">
      <c r="A2" s="808" t="s">
        <v>114</v>
      </c>
      <c r="G2" s="229"/>
    </row>
    <row r="3" spans="1:11" ht="19.5">
      <c r="A3" s="1557" t="s">
        <v>391</v>
      </c>
      <c r="B3" s="1557"/>
      <c r="C3" s="1557"/>
      <c r="D3" s="1557"/>
      <c r="E3" s="1557"/>
      <c r="F3" s="1557"/>
      <c r="G3" s="1557"/>
      <c r="H3" s="1557"/>
      <c r="I3" s="1557"/>
      <c r="J3" s="1557"/>
      <c r="K3" s="1557"/>
    </row>
    <row r="4" spans="1:11" ht="19.5">
      <c r="A4" s="1557" t="s">
        <v>392</v>
      </c>
      <c r="B4" s="1557"/>
      <c r="C4" s="1557"/>
      <c r="D4" s="1557"/>
      <c r="E4" s="1557"/>
      <c r="F4" s="1557"/>
      <c r="G4" s="1557"/>
      <c r="H4" s="1557"/>
      <c r="I4" s="1557"/>
      <c r="J4" s="1557"/>
      <c r="K4" s="1557"/>
    </row>
    <row r="5" spans="1:11" ht="19.5">
      <c r="A5" s="1557" t="s">
        <v>393</v>
      </c>
      <c r="B5" s="1557"/>
      <c r="C5" s="1557"/>
      <c r="D5" s="1557"/>
      <c r="E5" s="1557"/>
      <c r="F5" s="1557"/>
      <c r="G5" s="1557"/>
      <c r="H5" s="1557"/>
      <c r="I5" s="1557"/>
      <c r="J5" s="1557"/>
      <c r="K5" s="1557"/>
    </row>
    <row r="6" spans="1:11" ht="19.5">
      <c r="A6" s="1557" t="s">
        <v>394</v>
      </c>
      <c r="B6" s="1557"/>
      <c r="C6" s="1557"/>
      <c r="D6" s="1557"/>
      <c r="E6" s="1557"/>
      <c r="F6" s="1557"/>
      <c r="G6" s="1557"/>
      <c r="H6" s="1557"/>
      <c r="I6" s="1557"/>
      <c r="J6" s="1557"/>
      <c r="K6" s="1557"/>
    </row>
    <row r="7" spans="1:11" ht="19.5">
      <c r="A7" s="1557" t="s">
        <v>1085</v>
      </c>
      <c r="B7" s="1557"/>
      <c r="C7" s="1557"/>
      <c r="D7" s="1557"/>
      <c r="E7" s="1557"/>
      <c r="F7" s="1557"/>
      <c r="G7" s="1557"/>
      <c r="H7" s="1557"/>
      <c r="I7" s="1557"/>
      <c r="J7" s="1557"/>
      <c r="K7" s="1557"/>
    </row>
    <row r="8" spans="1:11" ht="19.5">
      <c r="A8" s="1557" t="s">
        <v>395</v>
      </c>
      <c r="B8" s="1557"/>
      <c r="C8" s="1557"/>
      <c r="D8" s="1557"/>
      <c r="E8" s="1557"/>
      <c r="F8" s="1557"/>
      <c r="G8" s="1557"/>
      <c r="H8" s="1557"/>
      <c r="I8" s="1557"/>
      <c r="J8" s="1557"/>
      <c r="K8" s="1557"/>
    </row>
    <row r="9" spans="1:11" ht="19.5">
      <c r="A9" s="1557" t="s">
        <v>773</v>
      </c>
      <c r="B9" s="1557"/>
      <c r="C9" s="1557"/>
      <c r="D9" s="1557"/>
      <c r="E9" s="1557"/>
      <c r="F9" s="1557"/>
      <c r="G9" s="1557"/>
      <c r="H9" s="1557"/>
      <c r="I9" s="1557"/>
      <c r="J9" s="1557"/>
      <c r="K9" s="1557"/>
    </row>
    <row r="10" spans="1:11" ht="19.5">
      <c r="A10" s="1559"/>
      <c r="B10" s="1559"/>
      <c r="C10" s="1559"/>
      <c r="D10" s="1559"/>
      <c r="E10" s="1559"/>
      <c r="F10" s="1559"/>
      <c r="G10" s="1559"/>
      <c r="H10" s="1559"/>
      <c r="I10" s="1559"/>
      <c r="J10" s="1559"/>
      <c r="K10" s="1559"/>
    </row>
    <row r="11" spans="1:11" ht="16.5" thickBot="1">
      <c r="A11" s="1044"/>
      <c r="B11" s="1044"/>
      <c r="C11" s="1560" t="s">
        <v>774</v>
      </c>
      <c r="D11" s="1560"/>
      <c r="E11" s="1560"/>
      <c r="F11" s="1044"/>
      <c r="G11" s="1560" t="s">
        <v>1086</v>
      </c>
      <c r="H11" s="1560"/>
      <c r="I11" s="1560"/>
      <c r="J11" s="1044"/>
      <c r="K11" s="1321" t="s">
        <v>397</v>
      </c>
    </row>
    <row r="12" spans="1:11" ht="15.75">
      <c r="A12" s="1045"/>
      <c r="B12" s="1044"/>
      <c r="C12" s="1046" t="s">
        <v>121</v>
      </c>
      <c r="D12" s="1047"/>
      <c r="E12" s="1047"/>
      <c r="F12" s="1047"/>
      <c r="G12" s="1048" t="s">
        <v>122</v>
      </c>
      <c r="H12" s="1049"/>
      <c r="I12" s="1049"/>
      <c r="J12" s="1049"/>
      <c r="K12" s="1049"/>
    </row>
    <row r="13" spans="1:11" ht="15">
      <c r="A13" s="1044"/>
      <c r="B13" s="1044"/>
      <c r="C13" s="1046" t="s">
        <v>114</v>
      </c>
      <c r="D13" s="1047"/>
      <c r="E13" s="1046" t="s">
        <v>398</v>
      </c>
      <c r="F13" s="1047"/>
      <c r="G13" s="1048" t="s">
        <v>775</v>
      </c>
      <c r="H13" s="1047"/>
      <c r="I13" s="1046" t="s">
        <v>398</v>
      </c>
      <c r="J13" s="1047"/>
      <c r="K13" s="1046" t="s">
        <v>398</v>
      </c>
    </row>
    <row r="14" spans="1:11" ht="15">
      <c r="A14" s="1044"/>
      <c r="B14" s="1046" t="s">
        <v>399</v>
      </c>
      <c r="C14" s="1046" t="s">
        <v>776</v>
      </c>
      <c r="D14" s="1046" t="s">
        <v>400</v>
      </c>
      <c r="E14" s="1046" t="s">
        <v>401</v>
      </c>
      <c r="F14" s="1047"/>
      <c r="G14" s="1048" t="s">
        <v>402</v>
      </c>
      <c r="H14" s="1046" t="s">
        <v>400</v>
      </c>
      <c r="I14" s="1046" t="s">
        <v>401</v>
      </c>
      <c r="J14" s="1047"/>
      <c r="K14" s="1046" t="s">
        <v>401</v>
      </c>
    </row>
    <row r="15" spans="1:11" ht="15">
      <c r="A15" s="1046"/>
      <c r="B15" s="1046" t="s">
        <v>403</v>
      </c>
      <c r="C15" s="1046" t="s">
        <v>404</v>
      </c>
      <c r="D15" s="1046" t="s">
        <v>777</v>
      </c>
      <c r="E15" s="1046" t="s">
        <v>405</v>
      </c>
      <c r="F15" s="1047"/>
      <c r="G15" s="1048" t="s">
        <v>404</v>
      </c>
      <c r="H15" s="1046" t="s">
        <v>777</v>
      </c>
      <c r="I15" s="1046" t="s">
        <v>405</v>
      </c>
      <c r="J15" s="1047"/>
      <c r="K15" s="1046" t="s">
        <v>405</v>
      </c>
    </row>
    <row r="16" spans="1:11" ht="15">
      <c r="A16" s="1050"/>
      <c r="B16" s="1050"/>
      <c r="C16" s="1050"/>
      <c r="D16" s="1050"/>
      <c r="E16" s="1050"/>
      <c r="F16" s="1050"/>
      <c r="G16" s="1051"/>
      <c r="H16" s="1050"/>
      <c r="I16" s="1050"/>
      <c r="J16" s="1050"/>
      <c r="K16" s="1050"/>
    </row>
    <row r="17" spans="1:11" ht="15.75" thickBot="1">
      <c r="A17" s="1052"/>
      <c r="B17" s="1044"/>
      <c r="C17" s="223"/>
      <c r="D17" s="1044"/>
      <c r="E17" s="1044"/>
      <c r="F17" s="1044"/>
      <c r="G17" s="1053"/>
      <c r="H17" s="1044"/>
      <c r="I17" s="1044"/>
      <c r="J17" s="1044"/>
      <c r="K17" s="1044"/>
    </row>
    <row r="18" spans="1:11" ht="15">
      <c r="A18" s="1054" t="s">
        <v>406</v>
      </c>
      <c r="B18" s="1055"/>
      <c r="C18" s="224"/>
      <c r="D18" s="225"/>
      <c r="E18" s="226"/>
      <c r="F18" s="1055"/>
      <c r="G18" s="226"/>
      <c r="H18" s="227"/>
      <c r="I18" s="226"/>
      <c r="J18" s="1055"/>
      <c r="K18" s="226"/>
    </row>
    <row r="19" spans="1:11" ht="15">
      <c r="A19" s="1050" t="s">
        <v>778</v>
      </c>
      <c r="B19" s="228">
        <v>350.1</v>
      </c>
      <c r="C19" s="229">
        <v>1.66E-2</v>
      </c>
      <c r="D19" s="230">
        <v>0.66233529999999996</v>
      </c>
      <c r="E19" s="229">
        <f t="shared" ref="E19:E27" si="0">ROUND((C19*D19),6)</f>
        <v>1.0995E-2</v>
      </c>
      <c r="F19" s="1056"/>
      <c r="G19" s="229">
        <v>1.6199999999999999E-2</v>
      </c>
      <c r="H19" s="230">
        <v>0.33766470000000004</v>
      </c>
      <c r="I19" s="229">
        <f t="shared" ref="I19:I27" si="1">ROUND((G19*H19),6)</f>
        <v>5.47E-3</v>
      </c>
      <c r="J19" s="1056"/>
      <c r="K19" s="223">
        <f>ROUND(E19+I19,4)</f>
        <v>1.6500000000000001E-2</v>
      </c>
    </row>
    <row r="20" spans="1:11" ht="15">
      <c r="A20" s="1057" t="s">
        <v>407</v>
      </c>
      <c r="B20" s="228">
        <v>352</v>
      </c>
      <c r="C20" s="229">
        <v>1.77E-2</v>
      </c>
      <c r="D20" s="230">
        <v>0.66233529999999996</v>
      </c>
      <c r="E20" s="229">
        <f t="shared" si="0"/>
        <v>1.1723000000000001E-2</v>
      </c>
      <c r="F20" s="1056"/>
      <c r="G20" s="229">
        <v>1.7399999999999999E-2</v>
      </c>
      <c r="H20" s="230">
        <v>0.33766470000000004</v>
      </c>
      <c r="I20" s="229">
        <f t="shared" si="1"/>
        <v>5.875E-3</v>
      </c>
      <c r="J20" s="1056"/>
      <c r="K20" s="223">
        <f t="shared" ref="K20:K27" si="2">ROUND(E20+I20,4)</f>
        <v>1.7600000000000001E-2</v>
      </c>
    </row>
    <row r="21" spans="1:11" ht="15">
      <c r="A21" s="1057" t="s">
        <v>408</v>
      </c>
      <c r="B21" s="228">
        <v>353</v>
      </c>
      <c r="C21" s="229">
        <v>2.4299999999999999E-2</v>
      </c>
      <c r="D21" s="230">
        <v>0.66233529999999996</v>
      </c>
      <c r="E21" s="229">
        <f t="shared" si="0"/>
        <v>1.6095000000000002E-2</v>
      </c>
      <c r="F21" s="1056"/>
      <c r="G21" s="229">
        <v>2.41E-2</v>
      </c>
      <c r="H21" s="230">
        <v>0.33766470000000004</v>
      </c>
      <c r="I21" s="229">
        <f t="shared" si="1"/>
        <v>8.1379999999999994E-3</v>
      </c>
      <c r="J21" s="1056"/>
      <c r="K21" s="223">
        <f t="shared" si="2"/>
        <v>2.4199999999999999E-2</v>
      </c>
    </row>
    <row r="22" spans="1:11" ht="15">
      <c r="A22" s="1057" t="s">
        <v>409</v>
      </c>
      <c r="B22" s="228">
        <v>354</v>
      </c>
      <c r="C22" s="229">
        <v>2.5700000000000001E-2</v>
      </c>
      <c r="D22" s="230">
        <v>0.66233529999999996</v>
      </c>
      <c r="E22" s="229">
        <f t="shared" si="0"/>
        <v>1.7021999999999999E-2</v>
      </c>
      <c r="F22" s="1056"/>
      <c r="G22" s="229">
        <v>2.4500000000000001E-2</v>
      </c>
      <c r="H22" s="230">
        <v>0.33766470000000004</v>
      </c>
      <c r="I22" s="229">
        <f t="shared" si="1"/>
        <v>8.2730000000000008E-3</v>
      </c>
      <c r="J22" s="1056"/>
      <c r="K22" s="223">
        <f t="shared" si="2"/>
        <v>2.53E-2</v>
      </c>
    </row>
    <row r="23" spans="1:11" ht="15">
      <c r="A23" s="1057" t="s">
        <v>410</v>
      </c>
      <c r="B23" s="228">
        <v>355</v>
      </c>
      <c r="C23" s="229">
        <v>3.1899999999999998E-2</v>
      </c>
      <c r="D23" s="230">
        <v>0.66233529999999996</v>
      </c>
      <c r="E23" s="229">
        <f t="shared" si="0"/>
        <v>2.1128000000000001E-2</v>
      </c>
      <c r="F23" s="1056"/>
      <c r="G23" s="229">
        <v>3.1699999999999999E-2</v>
      </c>
      <c r="H23" s="230">
        <v>0.33766470000000004</v>
      </c>
      <c r="I23" s="229">
        <f t="shared" si="1"/>
        <v>1.0704E-2</v>
      </c>
      <c r="J23" s="1056"/>
      <c r="K23" s="223">
        <f t="shared" si="2"/>
        <v>3.1800000000000002E-2</v>
      </c>
    </row>
    <row r="24" spans="1:11" ht="15">
      <c r="A24" s="1057" t="s">
        <v>779</v>
      </c>
      <c r="B24" s="228">
        <v>356</v>
      </c>
      <c r="C24" s="229">
        <v>2.35E-2</v>
      </c>
      <c r="D24" s="230">
        <v>0.66233529999999996</v>
      </c>
      <c r="E24" s="229">
        <f t="shared" si="0"/>
        <v>1.5565000000000001E-2</v>
      </c>
      <c r="F24" s="1056"/>
      <c r="G24" s="229">
        <v>2.2800000000000001E-2</v>
      </c>
      <c r="H24" s="230">
        <v>0.33766470000000004</v>
      </c>
      <c r="I24" s="229">
        <f t="shared" si="1"/>
        <v>7.6990000000000001E-3</v>
      </c>
      <c r="J24" s="1056"/>
      <c r="K24" s="223">
        <f t="shared" si="2"/>
        <v>2.3300000000000001E-2</v>
      </c>
    </row>
    <row r="25" spans="1:11" ht="15">
      <c r="A25" s="1057" t="s">
        <v>411</v>
      </c>
      <c r="B25" s="228">
        <v>357</v>
      </c>
      <c r="C25" s="229">
        <v>2.3E-2</v>
      </c>
      <c r="D25" s="230">
        <v>0.66233529999999996</v>
      </c>
      <c r="E25" s="229">
        <f t="shared" si="0"/>
        <v>1.5233999999999999E-2</v>
      </c>
      <c r="F25" s="1056"/>
      <c r="G25" s="229">
        <v>2.2100000000000002E-2</v>
      </c>
      <c r="H25" s="230">
        <v>0.33766470000000004</v>
      </c>
      <c r="I25" s="229">
        <f t="shared" si="1"/>
        <v>7.4619999999999999E-3</v>
      </c>
      <c r="J25" s="1056"/>
      <c r="K25" s="223">
        <f t="shared" si="2"/>
        <v>2.2700000000000001E-2</v>
      </c>
    </row>
    <row r="26" spans="1:11" ht="15">
      <c r="A26" s="1057" t="s">
        <v>412</v>
      </c>
      <c r="B26" s="228">
        <v>358</v>
      </c>
      <c r="C26" s="229">
        <v>1.9300000000000001E-2</v>
      </c>
      <c r="D26" s="230">
        <v>0.66233529999999996</v>
      </c>
      <c r="E26" s="229">
        <f t="shared" si="0"/>
        <v>1.2782999999999999E-2</v>
      </c>
      <c r="F26" s="1056"/>
      <c r="G26" s="229">
        <v>1.9E-2</v>
      </c>
      <c r="H26" s="230">
        <v>0.33766470000000004</v>
      </c>
      <c r="I26" s="229">
        <f t="shared" si="1"/>
        <v>6.4159999999999998E-3</v>
      </c>
      <c r="J26" s="1056"/>
      <c r="K26" s="223">
        <f t="shared" si="2"/>
        <v>1.9199999999999998E-2</v>
      </c>
    </row>
    <row r="27" spans="1:11" ht="15">
      <c r="A27" s="1057" t="s">
        <v>780</v>
      </c>
      <c r="B27" s="228">
        <v>359</v>
      </c>
      <c r="C27" s="229">
        <v>1.61E-2</v>
      </c>
      <c r="D27" s="230">
        <v>0.66233529999999996</v>
      </c>
      <c r="E27" s="229">
        <f t="shared" si="0"/>
        <v>1.0664E-2</v>
      </c>
      <c r="F27" s="1056"/>
      <c r="G27" s="229">
        <v>1.5900000000000001E-2</v>
      </c>
      <c r="H27" s="230">
        <v>0.33766470000000004</v>
      </c>
      <c r="I27" s="229">
        <f t="shared" si="1"/>
        <v>5.3689999999999996E-3</v>
      </c>
      <c r="J27" s="1056"/>
      <c r="K27" s="223">
        <f t="shared" si="2"/>
        <v>1.6E-2</v>
      </c>
    </row>
    <row r="28" spans="1:11" ht="15">
      <c r="A28" s="1050"/>
      <c r="B28" s="1050"/>
      <c r="C28" s="1050"/>
      <c r="D28" s="1050"/>
      <c r="E28" s="1050"/>
      <c r="F28" s="1050"/>
      <c r="G28" s="1050"/>
      <c r="H28" s="1050"/>
      <c r="I28" s="1050"/>
      <c r="J28" s="1050"/>
      <c r="K28" s="1050"/>
    </row>
    <row r="29" spans="1:11" ht="15.75" thickBot="1">
      <c r="A29" s="1050"/>
      <c r="B29" s="1050"/>
      <c r="C29" s="1050"/>
      <c r="D29" s="1050"/>
      <c r="E29" s="1050"/>
      <c r="F29" s="1050"/>
      <c r="G29" s="1050"/>
      <c r="H29" s="1050"/>
      <c r="I29" s="1050"/>
      <c r="J29" s="1050"/>
      <c r="K29" s="1050"/>
    </row>
    <row r="30" spans="1:11" ht="15">
      <c r="A30" s="1232" t="s">
        <v>982</v>
      </c>
      <c r="B30" s="1233"/>
      <c r="C30" s="1327"/>
      <c r="D30" s="1235"/>
      <c r="E30" s="1236"/>
      <c r="F30" s="1233"/>
      <c r="G30" s="1237"/>
      <c r="H30" s="1235"/>
      <c r="I30" s="1236"/>
      <c r="J30" s="1233"/>
      <c r="K30" s="1050"/>
    </row>
    <row r="31" spans="1:11" ht="15">
      <c r="A31" s="1328"/>
      <c r="B31" s="228">
        <v>390</v>
      </c>
      <c r="C31" s="229">
        <v>2.0799999999999999E-2</v>
      </c>
      <c r="D31" s="230">
        <v>0.68186831634107659</v>
      </c>
      <c r="E31" s="229">
        <f t="shared" ref="E31:E39" si="3">ROUND((C31*D31),6)</f>
        <v>1.4182999999999999E-2</v>
      </c>
      <c r="F31" s="1056"/>
      <c r="G31" s="229">
        <v>2.0799999999999999E-2</v>
      </c>
      <c r="H31" s="230">
        <v>0.31813168365892341</v>
      </c>
      <c r="I31" s="229">
        <f t="shared" ref="I31:I39" si="4">ROUND((G31*H31),6)</f>
        <v>6.6169999999999996E-3</v>
      </c>
      <c r="J31" s="1329"/>
      <c r="K31" s="223">
        <f t="shared" ref="K31:K39" si="5">ROUND(E31+I31,4)</f>
        <v>2.0799999999999999E-2</v>
      </c>
    </row>
    <row r="32" spans="1:11" ht="15">
      <c r="A32" s="1328"/>
      <c r="B32" s="228">
        <v>391</v>
      </c>
      <c r="C32" s="229">
        <v>4.7899999999999998E-2</v>
      </c>
      <c r="D32" s="230">
        <v>0.68186831634107659</v>
      </c>
      <c r="E32" s="229">
        <f t="shared" si="3"/>
        <v>3.2661000000000003E-2</v>
      </c>
      <c r="F32" s="1056"/>
      <c r="G32" s="229">
        <v>4.8399999999999999E-2</v>
      </c>
      <c r="H32" s="230">
        <v>0.31813168365892341</v>
      </c>
      <c r="I32" s="229">
        <f t="shared" si="4"/>
        <v>1.5398E-2</v>
      </c>
      <c r="J32" s="1329"/>
      <c r="K32" s="223">
        <f t="shared" si="5"/>
        <v>4.8099999999999997E-2</v>
      </c>
    </row>
    <row r="33" spans="1:11" ht="15">
      <c r="A33" s="1330" t="s">
        <v>1087</v>
      </c>
      <c r="B33" s="228">
        <v>392</v>
      </c>
      <c r="C33" s="229">
        <v>4.6399999999999997E-2</v>
      </c>
      <c r="D33" s="230">
        <v>0.68186831634107659</v>
      </c>
      <c r="E33" s="229">
        <f t="shared" si="3"/>
        <v>3.1639E-2</v>
      </c>
      <c r="F33" s="1056"/>
      <c r="G33" s="229">
        <v>4.6800000000000001E-2</v>
      </c>
      <c r="H33" s="230">
        <v>0.31813168365892341</v>
      </c>
      <c r="I33" s="229">
        <f t="shared" si="4"/>
        <v>1.4888999999999999E-2</v>
      </c>
      <c r="J33" s="1329"/>
      <c r="K33" s="223">
        <f t="shared" si="5"/>
        <v>4.65E-2</v>
      </c>
    </row>
    <row r="34" spans="1:11" ht="15">
      <c r="A34" s="1328"/>
      <c r="B34" s="228">
        <v>393</v>
      </c>
      <c r="C34" s="229">
        <v>7.3499999999999996E-2</v>
      </c>
      <c r="D34" s="230">
        <v>0.68186831634107659</v>
      </c>
      <c r="E34" s="229">
        <f t="shared" si="3"/>
        <v>5.0117000000000002E-2</v>
      </c>
      <c r="F34" s="1056"/>
      <c r="G34" s="229">
        <v>7.3800000000000004E-2</v>
      </c>
      <c r="H34" s="230">
        <v>0.31813168365892341</v>
      </c>
      <c r="I34" s="229">
        <f t="shared" si="4"/>
        <v>2.3477999999999999E-2</v>
      </c>
      <c r="J34" s="1329"/>
      <c r="K34" s="223">
        <f t="shared" si="5"/>
        <v>7.3599999999999999E-2</v>
      </c>
    </row>
    <row r="35" spans="1:11" ht="15">
      <c r="A35" s="1328"/>
      <c r="B35" s="228">
        <v>394</v>
      </c>
      <c r="C35" s="229">
        <v>6.9900000000000004E-2</v>
      </c>
      <c r="D35" s="230">
        <v>0.68186831634107659</v>
      </c>
      <c r="E35" s="229">
        <f t="shared" si="3"/>
        <v>4.7662999999999997E-2</v>
      </c>
      <c r="F35" s="1056"/>
      <c r="G35" s="229">
        <v>7.0699999999999999E-2</v>
      </c>
      <c r="H35" s="230">
        <v>0.31813168365892341</v>
      </c>
      <c r="I35" s="229">
        <f t="shared" si="4"/>
        <v>2.2492000000000002E-2</v>
      </c>
      <c r="J35" s="1329"/>
      <c r="K35" s="223">
        <f t="shared" si="5"/>
        <v>7.0199999999999999E-2</v>
      </c>
    </row>
    <row r="36" spans="1:11" ht="15">
      <c r="A36" s="1328"/>
      <c r="B36" s="228">
        <v>395</v>
      </c>
      <c r="C36" s="229">
        <v>5.4100000000000002E-2</v>
      </c>
      <c r="D36" s="230">
        <v>0.68186831634107659</v>
      </c>
      <c r="E36" s="229">
        <f t="shared" si="3"/>
        <v>3.6888999999999998E-2</v>
      </c>
      <c r="F36" s="1056"/>
      <c r="G36" s="229">
        <v>5.4600000000000003E-2</v>
      </c>
      <c r="H36" s="230">
        <v>0.31813168365892341</v>
      </c>
      <c r="I36" s="229">
        <f t="shared" si="4"/>
        <v>1.737E-2</v>
      </c>
      <c r="J36" s="1329"/>
      <c r="K36" s="223">
        <f t="shared" si="5"/>
        <v>5.4300000000000001E-2</v>
      </c>
    </row>
    <row r="37" spans="1:11" ht="15">
      <c r="A37" s="1328"/>
      <c r="B37" s="228">
        <v>396</v>
      </c>
      <c r="C37" s="229">
        <v>4.8099999999999997E-2</v>
      </c>
      <c r="D37" s="230">
        <v>0.68186831634107659</v>
      </c>
      <c r="E37" s="229">
        <f t="shared" si="3"/>
        <v>3.2798000000000001E-2</v>
      </c>
      <c r="F37" s="1056"/>
      <c r="G37" s="229">
        <v>4.9000000000000002E-2</v>
      </c>
      <c r="H37" s="230">
        <v>0.31813168365892341</v>
      </c>
      <c r="I37" s="229">
        <f t="shared" si="4"/>
        <v>1.5587999999999999E-2</v>
      </c>
      <c r="J37" s="1329"/>
      <c r="K37" s="223">
        <f t="shared" si="5"/>
        <v>4.8399999999999999E-2</v>
      </c>
    </row>
    <row r="38" spans="1:11" ht="15">
      <c r="A38" s="1328"/>
      <c r="B38" s="228">
        <v>397</v>
      </c>
      <c r="C38" s="229">
        <v>3.9100000000000003E-2</v>
      </c>
      <c r="D38" s="230">
        <v>0.68186831634107659</v>
      </c>
      <c r="E38" s="229">
        <f t="shared" si="3"/>
        <v>2.6661000000000001E-2</v>
      </c>
      <c r="F38" s="1056"/>
      <c r="G38" s="229">
        <v>3.9300000000000002E-2</v>
      </c>
      <c r="H38" s="230">
        <v>0.31813168365892341</v>
      </c>
      <c r="I38" s="229">
        <f t="shared" si="4"/>
        <v>1.2503E-2</v>
      </c>
      <c r="J38" s="1329"/>
      <c r="K38" s="223">
        <f t="shared" si="5"/>
        <v>3.9199999999999999E-2</v>
      </c>
    </row>
    <row r="39" spans="1:11" ht="15">
      <c r="A39" s="1328"/>
      <c r="B39" s="228">
        <v>398</v>
      </c>
      <c r="C39" s="229">
        <v>3.32E-2</v>
      </c>
      <c r="D39" s="230">
        <v>0.68186831634107659</v>
      </c>
      <c r="E39" s="229">
        <f t="shared" si="3"/>
        <v>2.2637999999999998E-2</v>
      </c>
      <c r="F39" s="1056"/>
      <c r="G39" s="229">
        <v>3.3500000000000002E-2</v>
      </c>
      <c r="H39" s="230">
        <v>0.31813168365892341</v>
      </c>
      <c r="I39" s="229">
        <f t="shared" si="4"/>
        <v>1.0657E-2</v>
      </c>
      <c r="J39" s="1329"/>
      <c r="K39" s="223">
        <f t="shared" si="5"/>
        <v>3.3300000000000003E-2</v>
      </c>
    </row>
    <row r="40" spans="1:11" ht="15.75" thickBot="1">
      <c r="A40" s="1238"/>
      <c r="B40" s="1239"/>
      <c r="C40" s="1240"/>
      <c r="D40" s="1241"/>
      <c r="E40" s="1242"/>
      <c r="F40" s="1239"/>
      <c r="G40" s="1242"/>
      <c r="H40" s="1241"/>
      <c r="I40" s="1242"/>
      <c r="J40" s="1239"/>
      <c r="K40" s="1050"/>
    </row>
    <row r="41" spans="1:11" ht="15">
      <c r="A41" s="1050"/>
      <c r="B41" s="1050"/>
      <c r="C41" s="1050"/>
      <c r="D41" s="1050"/>
      <c r="E41" s="1050"/>
      <c r="F41" s="1050"/>
      <c r="G41" s="1050"/>
      <c r="H41" s="1050"/>
      <c r="I41" s="1050"/>
      <c r="J41" s="1050"/>
      <c r="K41" s="1050"/>
    </row>
    <row r="42" spans="1:11" ht="15">
      <c r="A42" s="1050"/>
      <c r="B42" s="1050"/>
      <c r="C42" s="1050"/>
      <c r="D42" s="1050"/>
      <c r="E42" s="1050"/>
      <c r="F42" s="1050"/>
      <c r="G42" s="1050"/>
      <c r="H42" s="1050"/>
      <c r="I42" s="1050"/>
      <c r="J42" s="1050"/>
      <c r="K42" s="1050"/>
    </row>
    <row r="43" spans="1:11" ht="15">
      <c r="A43" s="1050"/>
      <c r="B43" s="1044"/>
      <c r="C43" s="223"/>
      <c r="D43" s="1050"/>
      <c r="E43" s="1050"/>
      <c r="F43" s="1050"/>
      <c r="G43" s="1051"/>
      <c r="H43" s="1050"/>
      <c r="I43" s="1050"/>
      <c r="J43" s="1050"/>
      <c r="K43" s="1050"/>
    </row>
    <row r="44" spans="1:11" ht="15.75">
      <c r="A44" s="1045" t="s">
        <v>1088</v>
      </c>
      <c r="B44" s="1058"/>
      <c r="C44" s="231"/>
      <c r="D44" s="1058"/>
      <c r="E44" s="1050"/>
      <c r="F44" s="1058"/>
      <c r="G44" s="1050"/>
      <c r="H44" s="1044"/>
      <c r="I44" s="1050"/>
      <c r="J44" s="1050"/>
      <c r="K44" s="1050"/>
    </row>
    <row r="45" spans="1:11" ht="15.75">
      <c r="A45" s="1045" t="s">
        <v>1089</v>
      </c>
      <c r="B45" s="1058"/>
      <c r="C45" s="231"/>
      <c r="D45" s="1058"/>
      <c r="E45" s="1058"/>
      <c r="F45" s="1058"/>
      <c r="G45" s="1050"/>
      <c r="H45" s="1044"/>
      <c r="I45" s="1050"/>
      <c r="J45" s="1050"/>
      <c r="K45" s="1050"/>
    </row>
    <row r="46" spans="1:11" ht="15.75">
      <c r="A46" s="1045" t="s">
        <v>1090</v>
      </c>
      <c r="B46" s="1058"/>
      <c r="C46" s="231"/>
      <c r="D46" s="1059"/>
      <c r="E46" s="1059"/>
      <c r="F46" s="1059"/>
      <c r="G46" s="1050"/>
      <c r="H46" s="1050"/>
      <c r="I46" s="1050"/>
      <c r="J46" s="1050"/>
      <c r="K46" s="1050"/>
    </row>
    <row r="47" spans="1:11" ht="15">
      <c r="A47" s="1561" t="s">
        <v>781</v>
      </c>
      <c r="B47" s="1562"/>
      <c r="C47" s="1562"/>
      <c r="D47" s="1562"/>
      <c r="E47" s="1562"/>
      <c r="F47" s="1562"/>
      <c r="G47" s="1562"/>
      <c r="H47" s="1562"/>
      <c r="I47" s="1562"/>
      <c r="J47" s="1562"/>
      <c r="K47" s="1050"/>
    </row>
    <row r="48" spans="1:11" ht="15">
      <c r="A48" s="1562"/>
      <c r="B48" s="1562"/>
      <c r="C48" s="1562"/>
      <c r="D48" s="1562"/>
      <c r="E48" s="1562"/>
      <c r="F48" s="1562"/>
      <c r="G48" s="1562"/>
      <c r="H48" s="1562"/>
      <c r="I48" s="1562"/>
      <c r="J48" s="1562"/>
      <c r="K48" s="1050"/>
    </row>
    <row r="49" spans="1:11" ht="18.75" customHeight="1">
      <c r="A49" s="1562"/>
      <c r="B49" s="1562"/>
      <c r="C49" s="1562"/>
      <c r="D49" s="1562"/>
      <c r="E49" s="1562"/>
      <c r="F49" s="1562"/>
      <c r="G49" s="1562"/>
      <c r="H49" s="1562"/>
      <c r="I49" s="1562"/>
      <c r="J49" s="1562"/>
      <c r="K49" s="1050"/>
    </row>
    <row r="50" spans="1:11" ht="15.75">
      <c r="A50" s="1050"/>
      <c r="B50" s="1058"/>
      <c r="C50" s="231"/>
      <c r="D50" s="1059"/>
      <c r="E50" s="1059"/>
      <c r="F50" s="1059"/>
      <c r="G50" s="1051"/>
      <c r="H50" s="1050"/>
      <c r="I50" s="1050"/>
      <c r="J50" s="1050"/>
      <c r="K50" s="1050"/>
    </row>
    <row r="51" spans="1:11" ht="15.75">
      <c r="A51" s="1060" t="s">
        <v>413</v>
      </c>
      <c r="B51" s="1044"/>
      <c r="C51" s="223"/>
      <c r="D51" s="1050"/>
      <c r="E51" s="1050"/>
      <c r="F51" s="1050"/>
      <c r="G51" s="1051"/>
      <c r="H51" s="1050"/>
      <c r="I51" s="1050"/>
      <c r="J51" s="1050"/>
      <c r="K51" s="1050"/>
    </row>
    <row r="52" spans="1:11" ht="15">
      <c r="A52" s="1061" t="s">
        <v>29</v>
      </c>
      <c r="B52" s="1062"/>
      <c r="C52" s="1062"/>
      <c r="D52" s="1063"/>
      <c r="E52" s="1050"/>
      <c r="F52" s="1050"/>
      <c r="G52" s="1051"/>
      <c r="H52" s="1050"/>
      <c r="I52" s="1050"/>
      <c r="J52" s="1050"/>
      <c r="K52" s="1050"/>
    </row>
    <row r="53" spans="1:11" ht="15">
      <c r="A53" s="1563" t="s">
        <v>782</v>
      </c>
      <c r="B53" s="1563"/>
      <c r="C53" s="1563"/>
      <c r="D53" s="1563"/>
      <c r="E53" s="1563"/>
      <c r="F53" s="1563"/>
      <c r="G53" s="1563"/>
      <c r="H53" s="1563"/>
      <c r="I53" s="1563"/>
      <c r="J53" s="1563"/>
      <c r="K53" s="1050"/>
    </row>
    <row r="54" spans="1:11" ht="15">
      <c r="A54" s="1563"/>
      <c r="B54" s="1563"/>
      <c r="C54" s="1563"/>
      <c r="D54" s="1563"/>
      <c r="E54" s="1563"/>
      <c r="F54" s="1563"/>
      <c r="G54" s="1563"/>
      <c r="H54" s="1563"/>
      <c r="I54" s="1563"/>
      <c r="J54" s="1563"/>
      <c r="K54" s="1050"/>
    </row>
    <row r="55" spans="1:11" ht="15">
      <c r="A55" s="1558" t="s">
        <v>829</v>
      </c>
      <c r="B55" s="1558"/>
      <c r="C55" s="1558"/>
      <c r="D55" s="1558"/>
      <c r="E55" s="1558"/>
      <c r="F55" s="1558"/>
      <c r="G55" s="1558"/>
      <c r="H55" s="1558"/>
      <c r="I55" s="1558"/>
      <c r="J55" s="1558"/>
      <c r="K55" s="1050"/>
    </row>
    <row r="56" spans="1:11" ht="15">
      <c r="A56" s="1558"/>
      <c r="B56" s="1558"/>
      <c r="C56" s="1558"/>
      <c r="D56" s="1558"/>
      <c r="E56" s="1558"/>
      <c r="F56" s="1558"/>
      <c r="G56" s="1558"/>
      <c r="H56" s="1558"/>
      <c r="I56" s="1558"/>
      <c r="J56" s="1558"/>
      <c r="K56" s="1050"/>
    </row>
    <row r="57" spans="1:11" ht="15">
      <c r="A57" s="1050"/>
      <c r="B57" s="1050"/>
      <c r="C57" s="1050"/>
      <c r="D57" s="1050"/>
      <c r="E57" s="1050"/>
      <c r="F57" s="1050"/>
      <c r="G57" s="1051"/>
      <c r="H57" s="1050"/>
      <c r="I57" s="1050"/>
      <c r="J57" s="1050"/>
      <c r="K57" s="1050"/>
    </row>
    <row r="58" spans="1:11" ht="15">
      <c r="A58" s="1050"/>
      <c r="B58" s="1050"/>
      <c r="C58" s="1050"/>
      <c r="D58" s="1050"/>
      <c r="E58" s="1050"/>
      <c r="F58" s="1050"/>
      <c r="G58" s="1051"/>
      <c r="H58" s="1050"/>
      <c r="I58" s="1050"/>
      <c r="J58" s="1050"/>
      <c r="K58" s="1050"/>
    </row>
    <row r="59" spans="1:11" ht="15">
      <c r="A59" s="1050"/>
      <c r="B59" s="1050"/>
      <c r="C59" s="1050"/>
      <c r="D59" s="1050"/>
      <c r="E59" s="1050"/>
      <c r="F59" s="1050"/>
      <c r="G59" s="1051"/>
      <c r="H59" s="1050"/>
      <c r="I59" s="1050"/>
      <c r="J59" s="1050"/>
      <c r="K59" s="1050"/>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zoomScale="60" zoomScaleNormal="70" workbookViewId="0">
      <selection activeCell="K35" sqref="K35"/>
    </sheetView>
  </sheetViews>
  <sheetFormatPr defaultColWidth="9.140625" defaultRowHeight="12.75"/>
  <cols>
    <col min="1" max="1" width="33.5703125" style="1326" customWidth="1"/>
    <col min="2" max="2" width="17.140625" style="1326" customWidth="1"/>
    <col min="3" max="3" width="23.42578125" style="1326" customWidth="1"/>
    <col min="4" max="4" width="9.140625" style="1326"/>
    <col min="5" max="5" width="21.85546875" style="1326" customWidth="1"/>
    <col min="6" max="16384" width="9.140625" style="1326"/>
  </cols>
  <sheetData>
    <row r="1" spans="1:7" s="706" customFormat="1" ht="15.75">
      <c r="A1" s="808" t="s">
        <v>114</v>
      </c>
      <c r="G1" s="229"/>
    </row>
    <row r="2" spans="1:7" s="706" customFormat="1" ht="15.75">
      <c r="A2" s="808" t="s">
        <v>114</v>
      </c>
      <c r="G2" s="229"/>
    </row>
    <row r="3" spans="1:7" ht="19.5">
      <c r="A3" s="1050"/>
      <c r="B3" s="1564" t="s">
        <v>391</v>
      </c>
      <c r="C3" s="1564"/>
      <c r="D3" s="1564"/>
      <c r="E3" s="1564"/>
    </row>
    <row r="4" spans="1:7" ht="19.5">
      <c r="A4" s="1050"/>
      <c r="B4" s="1564" t="s">
        <v>783</v>
      </c>
      <c r="C4" s="1564"/>
      <c r="D4" s="1564"/>
      <c r="E4" s="1564"/>
    </row>
    <row r="5" spans="1:7" ht="19.5">
      <c r="A5" s="1050"/>
      <c r="B5" s="1564" t="s">
        <v>784</v>
      </c>
      <c r="C5" s="1564"/>
      <c r="D5" s="1564"/>
      <c r="E5" s="1564"/>
    </row>
    <row r="6" spans="1:7" ht="19.5">
      <c r="A6" s="1050"/>
      <c r="B6" s="1564" t="s">
        <v>785</v>
      </c>
      <c r="C6" s="1564"/>
      <c r="D6" s="1564"/>
      <c r="E6" s="1564"/>
    </row>
    <row r="7" spans="1:7" ht="19.5">
      <c r="A7" s="1050"/>
      <c r="B7" s="1564" t="s">
        <v>786</v>
      </c>
      <c r="C7" s="1564"/>
      <c r="D7" s="1564"/>
      <c r="E7" s="1564"/>
    </row>
    <row r="8" spans="1:7" ht="19.5">
      <c r="A8" s="1050"/>
      <c r="B8" s="1564" t="s">
        <v>787</v>
      </c>
      <c r="C8" s="1564"/>
      <c r="D8" s="1564"/>
      <c r="E8" s="1564"/>
    </row>
    <row r="9" spans="1:7" ht="15">
      <c r="A9" s="1050"/>
      <c r="B9" s="1044"/>
      <c r="C9" s="1044"/>
      <c r="D9" s="1046" t="s">
        <v>114</v>
      </c>
      <c r="E9" s="1050"/>
    </row>
    <row r="10" spans="1:7" ht="15.75">
      <c r="A10" s="1044"/>
      <c r="B10" s="1064" t="s">
        <v>399</v>
      </c>
      <c r="C10" s="1050"/>
      <c r="D10" s="1050"/>
      <c r="E10" s="1065"/>
    </row>
    <row r="11" spans="1:7" ht="15.75">
      <c r="A11" s="1046"/>
      <c r="B11" s="1064" t="s">
        <v>403</v>
      </c>
      <c r="C11" s="1064" t="s">
        <v>404</v>
      </c>
      <c r="D11" s="1064"/>
      <c r="E11" s="1050"/>
    </row>
    <row r="12" spans="1:7" ht="15.75" thickBot="1">
      <c r="A12" s="1052"/>
      <c r="B12" s="1044"/>
      <c r="C12" s="1066" t="s">
        <v>499</v>
      </c>
      <c r="D12" s="1050"/>
      <c r="E12" s="1050"/>
    </row>
    <row r="13" spans="1:7" ht="15">
      <c r="A13" s="1054" t="s">
        <v>406</v>
      </c>
      <c r="B13" s="1055"/>
      <c r="C13" s="224"/>
      <c r="D13" s="1050"/>
      <c r="E13" s="1050"/>
    </row>
    <row r="14" spans="1:7" ht="15">
      <c r="A14" s="1050"/>
      <c r="B14" s="1067"/>
      <c r="C14" s="223"/>
      <c r="D14" s="1068"/>
      <c r="E14" s="1050"/>
    </row>
    <row r="15" spans="1:7" ht="15">
      <c r="A15" s="1050" t="s">
        <v>407</v>
      </c>
      <c r="B15" s="228">
        <v>352</v>
      </c>
      <c r="C15" s="223">
        <v>1.04E-2</v>
      </c>
      <c r="D15" s="1068"/>
      <c r="E15" s="1050"/>
    </row>
    <row r="16" spans="1:7" ht="15">
      <c r="A16" s="1050" t="s">
        <v>408</v>
      </c>
      <c r="B16" s="228">
        <v>353</v>
      </c>
      <c r="C16" s="223">
        <v>1.49E-2</v>
      </c>
      <c r="D16" s="1068"/>
      <c r="E16" s="1050"/>
    </row>
    <row r="17" spans="1:5" ht="15">
      <c r="A17" s="1050" t="s">
        <v>409</v>
      </c>
      <c r="B17" s="228">
        <v>354</v>
      </c>
      <c r="C17" s="223">
        <v>1.1999999999999999E-3</v>
      </c>
      <c r="D17" s="1068"/>
      <c r="E17" s="1050"/>
    </row>
    <row r="18" spans="1:5" ht="15">
      <c r="A18" s="1050" t="s">
        <v>410</v>
      </c>
      <c r="B18" s="228">
        <v>355</v>
      </c>
      <c r="C18" s="223">
        <v>2.1399999999999999E-2</v>
      </c>
      <c r="D18" s="1068"/>
      <c r="E18" s="1050"/>
    </row>
    <row r="19" spans="1:5" ht="15">
      <c r="A19" s="1050" t="s">
        <v>779</v>
      </c>
      <c r="B19" s="228">
        <v>356</v>
      </c>
      <c r="C19" s="223">
        <v>7.7000000000000002E-3</v>
      </c>
      <c r="D19" s="1068"/>
      <c r="E19" s="1050"/>
    </row>
    <row r="20" spans="1:5" ht="15">
      <c r="A20" s="1057" t="s">
        <v>411</v>
      </c>
      <c r="B20" s="228">
        <v>357</v>
      </c>
      <c r="C20" s="1069" t="s">
        <v>621</v>
      </c>
      <c r="D20" s="1050"/>
      <c r="E20" s="1050"/>
    </row>
    <row r="21" spans="1:5" ht="15">
      <c r="A21" s="1057" t="s">
        <v>412</v>
      </c>
      <c r="B21" s="228">
        <v>358</v>
      </c>
      <c r="C21" s="1069" t="s">
        <v>621</v>
      </c>
      <c r="D21" s="1068"/>
      <c r="E21" s="1050"/>
    </row>
    <row r="22" spans="1:5" ht="15.75">
      <c r="A22" s="1045" t="s">
        <v>788</v>
      </c>
      <c r="B22" s="1070"/>
      <c r="C22" s="1071">
        <v>1.46E-2</v>
      </c>
      <c r="D22" s="1068"/>
      <c r="E22" s="1050"/>
    </row>
    <row r="23" spans="1:5" ht="15.75">
      <c r="A23" s="1045"/>
      <c r="B23" s="1070"/>
      <c r="C23" s="1071"/>
      <c r="D23" s="1068"/>
      <c r="E23" s="1050"/>
    </row>
    <row r="24" spans="1:5" s="3" customFormat="1" ht="15.75">
      <c r="A24" s="1078" t="s">
        <v>813</v>
      </c>
      <c r="C24" s="1319"/>
    </row>
    <row r="25" spans="1:5" s="3" customFormat="1">
      <c r="C25" s="1319"/>
    </row>
    <row r="26" spans="1:5" s="3" customFormat="1" ht="15">
      <c r="A26" s="1079" t="s">
        <v>814</v>
      </c>
      <c r="B26" s="1331">
        <v>390</v>
      </c>
      <c r="C26" s="1332">
        <v>1.7100000000000001E-2</v>
      </c>
    </row>
    <row r="27" spans="1:5" s="3" customFormat="1" ht="15">
      <c r="A27" s="1079" t="s">
        <v>815</v>
      </c>
      <c r="B27" s="1331">
        <v>391</v>
      </c>
      <c r="C27" s="1332">
        <v>2.8199999999999999E-2</v>
      </c>
    </row>
    <row r="28" spans="1:5" s="3" customFormat="1" ht="15">
      <c r="A28" s="1079" t="s">
        <v>816</v>
      </c>
      <c r="B28" s="1331">
        <v>393</v>
      </c>
      <c r="C28" s="1332">
        <v>2.2200000000000001E-2</v>
      </c>
    </row>
    <row r="29" spans="1:5" s="3" customFormat="1" ht="15">
      <c r="A29" s="1079" t="s">
        <v>817</v>
      </c>
      <c r="B29" s="1331">
        <v>394</v>
      </c>
      <c r="C29" s="1332">
        <v>3.1199999999999999E-2</v>
      </c>
    </row>
    <row r="30" spans="1:5" s="3" customFormat="1" ht="15">
      <c r="A30" s="1079" t="s">
        <v>818</v>
      </c>
      <c r="B30" s="1331">
        <v>395</v>
      </c>
      <c r="C30" s="1332">
        <v>3.1699999999999999E-2</v>
      </c>
    </row>
    <row r="31" spans="1:5" s="3" customFormat="1" ht="15">
      <c r="A31" s="1079" t="s">
        <v>819</v>
      </c>
      <c r="B31" s="1331">
        <v>397</v>
      </c>
      <c r="C31" s="1332">
        <v>3.32E-2</v>
      </c>
    </row>
    <row r="32" spans="1:5" s="3" customFormat="1" ht="15">
      <c r="A32" s="1079" t="s">
        <v>820</v>
      </c>
      <c r="B32" s="1331">
        <v>398</v>
      </c>
      <c r="C32" s="1332">
        <v>4.9200000000000001E-2</v>
      </c>
    </row>
    <row r="33" spans="1:5" s="3" customFormat="1" ht="15">
      <c r="A33" s="1318"/>
      <c r="B33" s="1079"/>
      <c r="C33" s="1332"/>
    </row>
    <row r="34" spans="1:5" s="3" customFormat="1" ht="15.75">
      <c r="A34" s="1318"/>
      <c r="B34" s="1080" t="s">
        <v>821</v>
      </c>
      <c r="C34" s="1332">
        <v>3.2500000000000001E-2</v>
      </c>
    </row>
    <row r="35" spans="1:5" s="3" customFormat="1" ht="15.75">
      <c r="A35" s="1318"/>
      <c r="B35" s="1080"/>
      <c r="C35" s="1333"/>
    </row>
    <row r="36" spans="1:5" ht="15.75">
      <c r="A36" s="1050" t="s">
        <v>789</v>
      </c>
      <c r="B36" s="1058"/>
      <c r="C36" s="231"/>
      <c r="D36" s="1050"/>
      <c r="E36" s="1050"/>
    </row>
    <row r="37" spans="1:5" ht="15">
      <c r="A37" s="1565"/>
      <c r="B37" s="1565"/>
      <c r="C37" s="1565"/>
      <c r="D37" s="1565"/>
      <c r="E37" s="1050"/>
    </row>
    <row r="38" spans="1:5" ht="15">
      <c r="A38" s="1565" t="s">
        <v>790</v>
      </c>
      <c r="B38" s="1565"/>
      <c r="C38" s="1565"/>
      <c r="D38" s="1565"/>
      <c r="E38" s="1050"/>
    </row>
    <row r="39" spans="1:5" ht="15">
      <c r="A39" s="1072" t="s">
        <v>158</v>
      </c>
      <c r="B39" s="1072"/>
      <c r="C39" s="1072"/>
      <c r="D39" s="1072"/>
      <c r="E39" s="1050"/>
    </row>
    <row r="40" spans="1:5" ht="15">
      <c r="A40" s="1565" t="s">
        <v>1091</v>
      </c>
      <c r="B40" s="1565"/>
      <c r="C40" s="1565"/>
      <c r="D40" s="1050"/>
      <c r="E40" s="1050"/>
    </row>
    <row r="41" spans="1:5" ht="15">
      <c r="A41" s="1565"/>
      <c r="B41" s="1565"/>
      <c r="C41" s="1565"/>
      <c r="D41" s="1050"/>
      <c r="E41" s="1050"/>
    </row>
    <row r="42" spans="1:5" ht="15">
      <c r="A42" s="1050"/>
      <c r="B42" s="1044"/>
      <c r="C42" s="223"/>
      <c r="D42" s="1050"/>
      <c r="E42" s="1050"/>
    </row>
    <row r="43" spans="1:5" ht="15">
      <c r="A43" s="1565"/>
      <c r="B43" s="1565"/>
      <c r="C43" s="1565"/>
      <c r="D43" s="1565"/>
      <c r="E43" s="1050"/>
    </row>
    <row r="44" spans="1:5" ht="15.75">
      <c r="A44" s="1060" t="s">
        <v>791</v>
      </c>
      <c r="B44" s="1044"/>
      <c r="C44" s="223"/>
      <c r="D44" s="1050"/>
      <c r="E44" s="1050"/>
    </row>
    <row r="45" spans="1:5" ht="15">
      <c r="A45" s="1566" t="s">
        <v>829</v>
      </c>
      <c r="B45" s="1566"/>
      <c r="C45" s="1566"/>
      <c r="D45" s="1065"/>
      <c r="E45" s="1050"/>
    </row>
    <row r="46" spans="1:5" ht="15">
      <c r="A46" s="1566"/>
      <c r="B46" s="1566"/>
      <c r="C46" s="1566"/>
      <c r="D46" s="1065"/>
      <c r="E46" s="1050"/>
    </row>
    <row r="47" spans="1:5" ht="15">
      <c r="A47" s="1566"/>
      <c r="B47" s="1566"/>
      <c r="C47" s="1566"/>
      <c r="D47" s="1065"/>
      <c r="E47" s="1050"/>
    </row>
    <row r="48" spans="1:5" ht="15">
      <c r="A48" s="1566"/>
      <c r="B48" s="1566"/>
      <c r="C48" s="1566"/>
      <c r="D48" s="1065"/>
      <c r="E48" s="1050"/>
    </row>
    <row r="49" spans="1:5" ht="15">
      <c r="A49" s="1566"/>
      <c r="B49" s="1566"/>
      <c r="C49" s="1566"/>
      <c r="D49" s="1065"/>
      <c r="E49" s="1050"/>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view="pageBreakPreview" zoomScale="60" zoomScaleNormal="70" workbookViewId="0">
      <selection activeCell="K35" sqref="K35"/>
    </sheetView>
  </sheetViews>
  <sheetFormatPr defaultColWidth="9.140625" defaultRowHeight="12.75"/>
  <cols>
    <col min="1" max="1" width="9.140625" style="1326"/>
    <col min="2" max="2" width="38.5703125" style="1326" customWidth="1"/>
    <col min="3" max="3" width="21.85546875" style="1326" customWidth="1"/>
    <col min="4" max="4" width="25.85546875" style="1326" customWidth="1"/>
    <col min="5" max="16384" width="9.140625" style="1326"/>
  </cols>
  <sheetData>
    <row r="1" spans="1:7" s="706" customFormat="1" ht="15.75">
      <c r="A1" s="808" t="s">
        <v>114</v>
      </c>
      <c r="G1" s="229"/>
    </row>
    <row r="2" spans="1:7" s="706" customFormat="1" ht="15.75">
      <c r="A2" s="808" t="s">
        <v>114</v>
      </c>
      <c r="G2" s="229"/>
    </row>
    <row r="3" spans="1:7" ht="19.5">
      <c r="A3" s="1050"/>
      <c r="B3" s="1564" t="s">
        <v>391</v>
      </c>
      <c r="C3" s="1564"/>
      <c r="D3" s="1564"/>
      <c r="E3" s="1564"/>
    </row>
    <row r="4" spans="1:7" ht="19.5">
      <c r="A4" s="1050"/>
      <c r="B4" s="1564" t="s">
        <v>783</v>
      </c>
      <c r="C4" s="1564"/>
      <c r="D4" s="1564"/>
      <c r="E4" s="1564"/>
    </row>
    <row r="5" spans="1:7" ht="19.5">
      <c r="A5" s="1050"/>
      <c r="B5" s="1564" t="s">
        <v>784</v>
      </c>
      <c r="C5" s="1564"/>
      <c r="D5" s="1564"/>
      <c r="E5" s="1564"/>
    </row>
    <row r="6" spans="1:7" ht="19.5">
      <c r="A6" s="1050"/>
      <c r="B6" s="1564" t="s">
        <v>792</v>
      </c>
      <c r="C6" s="1564"/>
      <c r="D6" s="1564"/>
      <c r="E6" s="1564"/>
    </row>
    <row r="7" spans="1:7" ht="19.5">
      <c r="A7" s="1050"/>
      <c r="B7" s="1564" t="s">
        <v>786</v>
      </c>
      <c r="C7" s="1564"/>
      <c r="D7" s="1564"/>
      <c r="E7" s="1564"/>
    </row>
    <row r="8" spans="1:7" ht="19.5">
      <c r="A8" s="1050"/>
      <c r="B8" s="1564" t="s">
        <v>793</v>
      </c>
      <c r="C8" s="1564"/>
      <c r="D8" s="1564"/>
      <c r="E8" s="1564"/>
    </row>
    <row r="9" spans="1:7" ht="15">
      <c r="A9" s="1050"/>
      <c r="B9" s="1044"/>
      <c r="C9" s="1044"/>
      <c r="D9" s="1046" t="s">
        <v>114</v>
      </c>
      <c r="E9" s="1050"/>
    </row>
    <row r="10" spans="1:7" ht="15.75">
      <c r="A10" s="1050"/>
      <c r="B10" s="1044"/>
      <c r="C10" s="1064" t="s">
        <v>399</v>
      </c>
      <c r="D10" s="1050"/>
      <c r="E10" s="1050"/>
    </row>
    <row r="11" spans="1:7" ht="15.75">
      <c r="A11" s="1050"/>
      <c r="B11" s="1046"/>
      <c r="C11" s="1064" t="s">
        <v>403</v>
      </c>
      <c r="D11" s="1064" t="s">
        <v>404</v>
      </c>
      <c r="E11" s="1064"/>
    </row>
    <row r="12" spans="1:7" ht="15.75" thickBot="1">
      <c r="A12" s="1050"/>
      <c r="B12" s="1052"/>
      <c r="C12" s="1044"/>
      <c r="D12" s="1066" t="s">
        <v>499</v>
      </c>
      <c r="E12" s="1050"/>
    </row>
    <row r="13" spans="1:7" ht="15">
      <c r="A13" s="1050"/>
      <c r="B13" s="1054" t="s">
        <v>406</v>
      </c>
      <c r="C13" s="1055"/>
      <c r="D13" s="224"/>
      <c r="E13" s="1050"/>
    </row>
    <row r="14" spans="1:7" ht="15">
      <c r="A14" s="1050"/>
      <c r="B14" s="1050"/>
      <c r="C14" s="1067"/>
      <c r="D14" s="223"/>
      <c r="E14" s="1068"/>
    </row>
    <row r="15" spans="1:7" ht="15">
      <c r="A15" s="1050"/>
      <c r="B15" s="1050" t="s">
        <v>794</v>
      </c>
      <c r="C15" s="1057">
        <v>350.1</v>
      </c>
      <c r="D15" s="223">
        <v>1.44E-2</v>
      </c>
      <c r="E15" s="1068"/>
    </row>
    <row r="16" spans="1:7" ht="15">
      <c r="A16" s="1050"/>
      <c r="B16" s="1050" t="s">
        <v>407</v>
      </c>
      <c r="C16" s="228">
        <v>352</v>
      </c>
      <c r="D16" s="223">
        <v>2.0799999999999999E-2</v>
      </c>
      <c r="E16" s="1068"/>
    </row>
    <row r="17" spans="1:5" ht="15">
      <c r="A17" s="1050"/>
      <c r="B17" s="1050" t="s">
        <v>408</v>
      </c>
      <c r="C17" s="228">
        <v>353</v>
      </c>
      <c r="D17" s="223">
        <v>2.1499999999999998E-2</v>
      </c>
      <c r="E17" s="1068"/>
    </row>
    <row r="18" spans="1:5" ht="15">
      <c r="A18" s="1050"/>
      <c r="B18" s="1050" t="s">
        <v>409</v>
      </c>
      <c r="C18" s="228">
        <v>354</v>
      </c>
      <c r="D18" s="223">
        <v>2.6100000000000002E-2</v>
      </c>
      <c r="E18" s="1068"/>
    </row>
    <row r="19" spans="1:5" ht="15">
      <c r="A19" s="1050"/>
      <c r="B19" s="1050" t="s">
        <v>410</v>
      </c>
      <c r="C19" s="228">
        <v>355</v>
      </c>
      <c r="D19" s="223">
        <v>3.95E-2</v>
      </c>
      <c r="E19" s="1068"/>
    </row>
    <row r="20" spans="1:5" ht="15">
      <c r="A20" s="1050"/>
      <c r="B20" s="1050" t="s">
        <v>779</v>
      </c>
      <c r="C20" s="228">
        <v>356</v>
      </c>
      <c r="D20" s="223">
        <v>2.9100000000000001E-2</v>
      </c>
      <c r="E20" s="1068"/>
    </row>
    <row r="21" spans="1:5" ht="15">
      <c r="A21" s="1050"/>
      <c r="B21" s="1050" t="s">
        <v>411</v>
      </c>
      <c r="C21" s="228">
        <v>357</v>
      </c>
      <c r="D21" s="223">
        <v>2.9899999999999999E-2</v>
      </c>
      <c r="E21" s="1068"/>
    </row>
    <row r="22" spans="1:5" ht="15">
      <c r="A22" s="1050"/>
      <c r="B22" s="1050" t="s">
        <v>412</v>
      </c>
      <c r="C22" s="228">
        <v>358</v>
      </c>
      <c r="D22" s="223">
        <v>2.6200000000000001E-2</v>
      </c>
      <c r="E22" s="1068"/>
    </row>
    <row r="23" spans="1:5" ht="15">
      <c r="A23" s="1050"/>
      <c r="B23" s="1050"/>
      <c r="C23" s="1044"/>
      <c r="D23" s="223"/>
      <c r="E23" s="1050"/>
    </row>
    <row r="24" spans="1:5" ht="15.75">
      <c r="A24" s="1050"/>
      <c r="B24" s="1050" t="s">
        <v>789</v>
      </c>
      <c r="C24" s="1058"/>
      <c r="D24" s="231"/>
      <c r="E24" s="1050"/>
    </row>
    <row r="25" spans="1:5" ht="15">
      <c r="A25" s="1050"/>
      <c r="B25" s="1565"/>
      <c r="C25" s="1565"/>
      <c r="D25" s="1565"/>
      <c r="E25" s="1565"/>
    </row>
    <row r="26" spans="1:5" ht="15">
      <c r="A26" s="1050"/>
      <c r="B26" s="1565" t="s">
        <v>795</v>
      </c>
      <c r="C26" s="1565"/>
      <c r="D26" s="1565"/>
      <c r="E26" s="1565"/>
    </row>
    <row r="27" spans="1:5" ht="15">
      <c r="A27" s="1050"/>
      <c r="B27" s="1565"/>
      <c r="C27" s="1565"/>
      <c r="D27" s="1565"/>
      <c r="E27" s="1565"/>
    </row>
    <row r="28" spans="1:5" ht="15.75">
      <c r="A28" s="1050"/>
      <c r="B28" s="1060" t="s">
        <v>791</v>
      </c>
      <c r="C28" s="1044"/>
      <c r="D28" s="223"/>
      <c r="E28" s="1050"/>
    </row>
    <row r="29" spans="1:5" ht="15">
      <c r="A29" s="1050"/>
      <c r="B29" s="1566" t="s">
        <v>829</v>
      </c>
      <c r="C29" s="1566"/>
      <c r="D29" s="1566"/>
      <c r="E29" s="1065"/>
    </row>
    <row r="30" spans="1:5" ht="15">
      <c r="A30" s="1050"/>
      <c r="B30" s="1566"/>
      <c r="C30" s="1566"/>
      <c r="D30" s="1566"/>
      <c r="E30" s="1065"/>
    </row>
    <row r="31" spans="1:5" ht="15">
      <c r="A31" s="1050"/>
      <c r="B31" s="1566"/>
      <c r="C31" s="1566"/>
      <c r="D31" s="1566"/>
      <c r="E31" s="1065"/>
    </row>
    <row r="32" spans="1:5" ht="15">
      <c r="A32" s="1050"/>
      <c r="B32" s="1566"/>
      <c r="C32" s="1566"/>
      <c r="D32" s="1566"/>
      <c r="E32" s="1065"/>
    </row>
    <row r="33" spans="1:5" ht="15">
      <c r="A33" s="1050"/>
      <c r="B33" s="1566"/>
      <c r="C33" s="1566"/>
      <c r="D33" s="1566"/>
      <c r="E33" s="106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7"/>
  <sheetViews>
    <sheetView view="pageBreakPreview" zoomScale="60" zoomScaleNormal="70" workbookViewId="0">
      <selection activeCell="K35" sqref="K35"/>
    </sheetView>
  </sheetViews>
  <sheetFormatPr defaultColWidth="9.140625" defaultRowHeight="12.75"/>
  <cols>
    <col min="1" max="1" width="38.85546875" style="1326" customWidth="1"/>
    <col min="2" max="2" width="28.42578125" style="1326" customWidth="1"/>
    <col min="3" max="3" width="23.140625" style="1326" customWidth="1"/>
    <col min="4" max="16384" width="9.140625" style="1326"/>
  </cols>
  <sheetData>
    <row r="1" spans="1:7" s="706" customFormat="1" ht="15.75">
      <c r="A1" s="808" t="s">
        <v>114</v>
      </c>
      <c r="G1" s="229"/>
    </row>
    <row r="2" spans="1:7" s="706" customFormat="1" ht="15.75">
      <c r="A2" s="808" t="s">
        <v>114</v>
      </c>
      <c r="G2" s="229"/>
    </row>
    <row r="3" spans="1:7" ht="19.5">
      <c r="A3" s="1564" t="s">
        <v>391</v>
      </c>
      <c r="B3" s="1564"/>
      <c r="C3" s="1564"/>
      <c r="D3" s="1564"/>
    </row>
    <row r="4" spans="1:7" ht="19.5">
      <c r="A4" s="1564" t="s">
        <v>783</v>
      </c>
      <c r="B4" s="1564"/>
      <c r="C4" s="1564"/>
      <c r="D4" s="1564"/>
    </row>
    <row r="5" spans="1:7" ht="19.5">
      <c r="A5" s="1564" t="s">
        <v>784</v>
      </c>
      <c r="B5" s="1564"/>
      <c r="C5" s="1564"/>
      <c r="D5" s="1564"/>
    </row>
    <row r="6" spans="1:7" ht="19.5">
      <c r="A6" s="1564" t="s">
        <v>1092</v>
      </c>
      <c r="B6" s="1564"/>
      <c r="C6" s="1564"/>
      <c r="D6" s="1564"/>
    </row>
    <row r="7" spans="1:7" ht="19.5">
      <c r="A7" s="1564" t="s">
        <v>786</v>
      </c>
      <c r="B7" s="1564"/>
      <c r="C7" s="1564"/>
      <c r="D7" s="1564"/>
    </row>
    <row r="8" spans="1:7" ht="19.5">
      <c r="A8" s="1564" t="s">
        <v>796</v>
      </c>
      <c r="B8" s="1564"/>
      <c r="C8" s="1564"/>
      <c r="D8" s="1564"/>
    </row>
    <row r="9" spans="1:7" ht="15">
      <c r="A9" s="1044"/>
      <c r="B9" s="1044"/>
      <c r="C9" s="1046" t="s">
        <v>114</v>
      </c>
      <c r="D9" s="1050"/>
    </row>
    <row r="10" spans="1:7" ht="15.75">
      <c r="A10" s="1044"/>
      <c r="B10" s="1064" t="s">
        <v>399</v>
      </c>
      <c r="C10" s="1050"/>
      <c r="D10" s="1050"/>
    </row>
    <row r="11" spans="1:7" ht="15.75">
      <c r="A11" s="1046"/>
      <c r="B11" s="1064" t="s">
        <v>403</v>
      </c>
      <c r="C11" s="1064" t="s">
        <v>404</v>
      </c>
      <c r="D11" s="1064"/>
    </row>
    <row r="12" spans="1:7" ht="15.75" thickBot="1">
      <c r="A12" s="1052"/>
      <c r="B12" s="1044"/>
      <c r="C12" s="1066" t="s">
        <v>499</v>
      </c>
      <c r="D12" s="1050"/>
    </row>
    <row r="13" spans="1:7" ht="15">
      <c r="A13" s="1054" t="s">
        <v>406</v>
      </c>
      <c r="B13" s="1055"/>
      <c r="C13" s="224"/>
      <c r="D13" s="1050"/>
    </row>
    <row r="14" spans="1:7" ht="15">
      <c r="A14" s="1057" t="s">
        <v>407</v>
      </c>
      <c r="B14" s="228">
        <v>352</v>
      </c>
      <c r="C14" s="223">
        <v>2.0199999999999999E-2</v>
      </c>
      <c r="D14" s="1068"/>
    </row>
    <row r="15" spans="1:7" ht="15">
      <c r="A15" s="1057" t="s">
        <v>408</v>
      </c>
      <c r="B15" s="228">
        <v>353</v>
      </c>
      <c r="C15" s="223">
        <v>2.29E-2</v>
      </c>
      <c r="D15" s="1068"/>
    </row>
    <row r="16" spans="1:7" ht="15">
      <c r="A16" s="1067"/>
      <c r="B16" s="228"/>
      <c r="C16" s="223"/>
      <c r="D16" s="1068"/>
    </row>
    <row r="17" spans="1:4" ht="15">
      <c r="A17" s="1057" t="s">
        <v>797</v>
      </c>
      <c r="B17" s="228">
        <v>354</v>
      </c>
      <c r="C17" s="223">
        <v>1.8800000000000001E-2</v>
      </c>
      <c r="D17" s="1068"/>
    </row>
    <row r="18" spans="1:4" ht="15">
      <c r="A18" s="1057" t="s">
        <v>798</v>
      </c>
      <c r="B18" s="228">
        <v>354</v>
      </c>
      <c r="C18" s="223">
        <v>1.8800000000000001E-2</v>
      </c>
      <c r="D18" s="1068"/>
    </row>
    <row r="19" spans="1:4" ht="15">
      <c r="A19" s="1073"/>
      <c r="B19" s="1074"/>
      <c r="C19" s="265"/>
      <c r="D19" s="1068"/>
    </row>
    <row r="20" spans="1:4" ht="15">
      <c r="A20" s="1057" t="s">
        <v>799</v>
      </c>
      <c r="B20" s="228">
        <v>355</v>
      </c>
      <c r="C20" s="223">
        <v>3.5200000000000002E-2</v>
      </c>
      <c r="D20" s="1068"/>
    </row>
    <row r="21" spans="1:4" ht="15">
      <c r="A21" s="1057" t="s">
        <v>800</v>
      </c>
      <c r="B21" s="228">
        <v>355</v>
      </c>
      <c r="C21" s="223">
        <v>3.5200000000000002E-2</v>
      </c>
      <c r="D21" s="1068"/>
    </row>
    <row r="22" spans="1:4" ht="15">
      <c r="A22" s="1073"/>
      <c r="B22" s="228"/>
      <c r="C22" s="223"/>
      <c r="D22" s="1068"/>
    </row>
    <row r="23" spans="1:4" ht="15">
      <c r="A23" s="1057" t="s">
        <v>801</v>
      </c>
      <c r="B23" s="228">
        <v>356</v>
      </c>
      <c r="C23" s="223">
        <v>1.9099999999999999E-2</v>
      </c>
      <c r="D23" s="1068"/>
    </row>
    <row r="24" spans="1:4" ht="15">
      <c r="A24" s="1057" t="s">
        <v>802</v>
      </c>
      <c r="B24" s="228">
        <v>356</v>
      </c>
      <c r="C24" s="223">
        <v>1.9099999999999999E-2</v>
      </c>
      <c r="D24" s="1068"/>
    </row>
    <row r="25" spans="1:4" ht="15">
      <c r="A25" s="1057" t="s">
        <v>803</v>
      </c>
      <c r="B25" s="228">
        <v>356</v>
      </c>
      <c r="C25" s="223">
        <v>1.9099999999999999E-2</v>
      </c>
      <c r="D25" s="1068"/>
    </row>
    <row r="26" spans="1:4" ht="15">
      <c r="A26" s="1057" t="s">
        <v>804</v>
      </c>
      <c r="B26" s="228">
        <v>356</v>
      </c>
      <c r="C26" s="223">
        <v>1.9099999999999999E-2</v>
      </c>
      <c r="D26" s="1068"/>
    </row>
    <row r="27" spans="1:4" ht="15">
      <c r="A27" s="1057" t="s">
        <v>805</v>
      </c>
      <c r="B27" s="228">
        <v>356</v>
      </c>
      <c r="C27" s="223">
        <v>1.9099999999999999E-2</v>
      </c>
      <c r="D27" s="1068"/>
    </row>
    <row r="28" spans="1:4" ht="15">
      <c r="A28" s="1057"/>
      <c r="B28" s="228"/>
      <c r="C28" s="223"/>
      <c r="D28" s="1068"/>
    </row>
    <row r="29" spans="1:4" ht="15">
      <c r="A29" s="1057" t="s">
        <v>411</v>
      </c>
      <c r="B29" s="228">
        <v>357</v>
      </c>
      <c r="C29" s="223">
        <v>2.2599999999999999E-2</v>
      </c>
      <c r="D29" s="1068"/>
    </row>
    <row r="30" spans="1:4" ht="15">
      <c r="A30" s="1057" t="s">
        <v>412</v>
      </c>
      <c r="B30" s="228">
        <v>358</v>
      </c>
      <c r="C30" s="223">
        <v>3.27E-2</v>
      </c>
      <c r="D30" s="1068"/>
    </row>
    <row r="31" spans="1:4" ht="15">
      <c r="A31" s="1067"/>
      <c r="B31" s="1056"/>
      <c r="C31" s="265"/>
      <c r="D31" s="1050"/>
    </row>
    <row r="32" spans="1:4" ht="15.75" thickBot="1">
      <c r="A32" s="1075"/>
      <c r="B32" s="1076"/>
      <c r="C32" s="1077"/>
      <c r="D32" s="1050"/>
    </row>
    <row r="33" spans="1:4" ht="15">
      <c r="A33" s="1052"/>
      <c r="B33" s="1044"/>
      <c r="C33" s="223"/>
      <c r="D33" s="1050"/>
    </row>
    <row r="34" spans="1:4" ht="15">
      <c r="A34" s="1050"/>
      <c r="B34" s="1044"/>
      <c r="C34" s="223"/>
      <c r="D34" s="1050"/>
    </row>
    <row r="35" spans="1:4" ht="15.75">
      <c r="A35" s="1050" t="s">
        <v>789</v>
      </c>
      <c r="B35" s="1058"/>
      <c r="C35" s="231"/>
      <c r="D35" s="1050"/>
    </row>
    <row r="36" spans="1:4" ht="15">
      <c r="A36" s="1050"/>
      <c r="B36" s="1050"/>
      <c r="C36" s="1050"/>
      <c r="D36" s="1050"/>
    </row>
    <row r="37" spans="1:4" ht="15">
      <c r="A37" s="1565" t="s">
        <v>806</v>
      </c>
      <c r="B37" s="1565"/>
      <c r="C37" s="1565"/>
      <c r="D37" s="1565"/>
    </row>
    <row r="38" spans="1:4" ht="15">
      <c r="A38" s="1050" t="s">
        <v>807</v>
      </c>
      <c r="B38" s="1050"/>
      <c r="C38" s="1050"/>
      <c r="D38" s="1050"/>
    </row>
    <row r="39" spans="1:4" ht="15">
      <c r="A39" s="1050" t="s">
        <v>808</v>
      </c>
      <c r="B39" s="1050"/>
      <c r="C39" s="1050"/>
      <c r="D39" s="1050"/>
    </row>
    <row r="40" spans="1:4" ht="15">
      <c r="A40" s="1050"/>
      <c r="B40" s="1050"/>
      <c r="C40" s="1050"/>
      <c r="D40" s="1050"/>
    </row>
    <row r="41" spans="1:4" ht="15.75">
      <c r="A41" s="1060" t="s">
        <v>809</v>
      </c>
      <c r="B41" s="1044"/>
      <c r="C41" s="223"/>
      <c r="D41" s="1050"/>
    </row>
    <row r="42" spans="1:4">
      <c r="A42" s="1566" t="s">
        <v>829</v>
      </c>
      <c r="B42" s="1566"/>
      <c r="C42" s="1566"/>
      <c r="D42" s="1065"/>
    </row>
    <row r="43" spans="1:4">
      <c r="A43" s="1566"/>
      <c r="B43" s="1566"/>
      <c r="C43" s="1566"/>
      <c r="D43" s="1065"/>
    </row>
    <row r="44" spans="1:4">
      <c r="A44" s="1566"/>
      <c r="B44" s="1566"/>
      <c r="C44" s="1566"/>
      <c r="D44" s="1065"/>
    </row>
    <row r="45" spans="1:4">
      <c r="A45" s="1566"/>
      <c r="B45" s="1566"/>
      <c r="C45" s="1566"/>
      <c r="D45" s="1065"/>
    </row>
    <row r="46" spans="1:4">
      <c r="A46" s="1566"/>
      <c r="B46" s="1566"/>
      <c r="C46" s="1566"/>
      <c r="D46" s="1065"/>
    </row>
    <row r="47" spans="1:4" ht="15">
      <c r="A47" s="1050"/>
      <c r="B47" s="1050"/>
      <c r="C47" s="1050"/>
      <c r="D47" s="1050"/>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K35" sqref="K35"/>
    </sheetView>
  </sheetViews>
  <sheetFormatPr defaultColWidth="14.5703125" defaultRowHeight="15"/>
  <cols>
    <col min="1" max="1" width="41.5703125" style="1050" customWidth="1"/>
    <col min="2" max="2" width="33.140625" style="1050" customWidth="1"/>
    <col min="3" max="4" width="31.85546875" style="1050" customWidth="1"/>
    <col min="5" max="5" width="16.5703125" style="1050" customWidth="1"/>
    <col min="6" max="6" width="14.5703125" style="1050" customWidth="1"/>
    <col min="7" max="7" width="4.85546875" style="1050" customWidth="1"/>
    <col min="8" max="8" width="14.5703125" style="1051" customWidth="1"/>
    <col min="9" max="9" width="18.42578125" style="1050" customWidth="1"/>
    <col min="10" max="10" width="15.5703125" style="1050" customWidth="1"/>
    <col min="11" max="11" width="6.140625" style="1050" customWidth="1"/>
    <col min="12" max="12" width="14.5703125" style="1050" customWidth="1"/>
    <col min="13" max="13" width="16.140625" style="1050" customWidth="1"/>
    <col min="14" max="14" width="14.5703125" style="1050" customWidth="1"/>
    <col min="15" max="15" width="4.85546875" style="1050" customWidth="1"/>
    <col min="16" max="16" width="18.5703125" style="1050" customWidth="1"/>
    <col min="17" max="16384" width="14.5703125" style="1050"/>
  </cols>
  <sheetData>
    <row r="1" spans="1:7" s="706" customFormat="1" ht="15.75">
      <c r="A1" s="808" t="s">
        <v>114</v>
      </c>
      <c r="G1" s="229"/>
    </row>
    <row r="2" spans="1:7" s="706" customFormat="1" ht="15.75">
      <c r="A2" s="808" t="s">
        <v>114</v>
      </c>
      <c r="G2" s="229"/>
    </row>
    <row r="3" spans="1:7" ht="19.5">
      <c r="B3" s="1564" t="s">
        <v>391</v>
      </c>
      <c r="C3" s="1564"/>
      <c r="D3" s="1564"/>
      <c r="E3" s="1564"/>
    </row>
    <row r="4" spans="1:7" ht="19.5">
      <c r="B4" s="1564" t="s">
        <v>783</v>
      </c>
      <c r="C4" s="1564"/>
      <c r="D4" s="1564"/>
      <c r="E4" s="1564"/>
    </row>
    <row r="5" spans="1:7" ht="19.5">
      <c r="B5" s="1564" t="s">
        <v>784</v>
      </c>
      <c r="C5" s="1564"/>
      <c r="D5" s="1564"/>
      <c r="E5" s="1564"/>
    </row>
    <row r="6" spans="1:7" ht="19.5">
      <c r="B6" s="1564" t="s">
        <v>1093</v>
      </c>
      <c r="C6" s="1564"/>
      <c r="D6" s="1564"/>
      <c r="E6" s="1564"/>
    </row>
    <row r="7" spans="1:7" ht="19.5">
      <c r="B7" s="1564" t="s">
        <v>786</v>
      </c>
      <c r="C7" s="1564"/>
      <c r="D7" s="1564"/>
      <c r="E7" s="1564"/>
    </row>
    <row r="8" spans="1:7" ht="19.5">
      <c r="B8" s="1564" t="s">
        <v>810</v>
      </c>
      <c r="C8" s="1564"/>
      <c r="D8" s="1564"/>
      <c r="E8" s="1564"/>
    </row>
    <row r="9" spans="1:7">
      <c r="B9" s="1044"/>
      <c r="C9" s="1044"/>
      <c r="D9" s="1046" t="s">
        <v>114</v>
      </c>
    </row>
    <row r="10" spans="1:7">
      <c r="A10" s="1566"/>
      <c r="B10" s="1566"/>
      <c r="C10" s="1566"/>
      <c r="D10" s="1065"/>
    </row>
    <row r="11" spans="1:7" ht="15.75">
      <c r="A11" s="1044"/>
      <c r="B11" s="1064" t="s">
        <v>399</v>
      </c>
    </row>
    <row r="12" spans="1:7" ht="15.75">
      <c r="A12" s="1046"/>
      <c r="B12" s="1064" t="s">
        <v>403</v>
      </c>
      <c r="C12" s="1064" t="s">
        <v>404</v>
      </c>
      <c r="D12" s="1064"/>
    </row>
    <row r="13" spans="1:7" ht="15.75" thickBot="1">
      <c r="C13" s="1068" t="s">
        <v>499</v>
      </c>
    </row>
    <row r="14" spans="1:7">
      <c r="A14" s="1054" t="s">
        <v>406</v>
      </c>
      <c r="B14" s="1055"/>
      <c r="C14" s="224"/>
    </row>
    <row r="15" spans="1:7">
      <c r="A15" s="1067"/>
      <c r="D15" s="1068"/>
    </row>
    <row r="16" spans="1:7">
      <c r="A16" s="1057" t="s">
        <v>407</v>
      </c>
      <c r="B16" s="228">
        <v>352</v>
      </c>
      <c r="C16" s="223">
        <v>1.15E-2</v>
      </c>
      <c r="D16" s="1068"/>
    </row>
    <row r="17" spans="1:4">
      <c r="A17" s="1073" t="s">
        <v>408</v>
      </c>
      <c r="B17" s="228">
        <v>353</v>
      </c>
      <c r="C17" s="223">
        <v>2.2200000000000001E-2</v>
      </c>
      <c r="D17" s="1068"/>
    </row>
    <row r="18" spans="1:4">
      <c r="A18" s="1073" t="s">
        <v>409</v>
      </c>
      <c r="B18" s="228">
        <v>354</v>
      </c>
      <c r="C18" s="223">
        <v>2.6499999999999999E-2</v>
      </c>
      <c r="D18" s="1068"/>
    </row>
    <row r="19" spans="1:4">
      <c r="A19" s="1073" t="s">
        <v>410</v>
      </c>
      <c r="B19" s="228">
        <v>355</v>
      </c>
      <c r="C19" s="223">
        <v>2.41E-2</v>
      </c>
      <c r="D19" s="1068"/>
    </row>
    <row r="20" spans="1:4">
      <c r="A20" s="1073" t="s">
        <v>779</v>
      </c>
      <c r="B20" s="228">
        <v>356</v>
      </c>
      <c r="C20" s="223">
        <v>1.32E-2</v>
      </c>
      <c r="D20" s="1068"/>
    </row>
    <row r="21" spans="1:4">
      <c r="A21" s="1073" t="s">
        <v>411</v>
      </c>
      <c r="B21" s="228">
        <v>351</v>
      </c>
      <c r="C21" s="223">
        <v>9.9400000000000002E-2</v>
      </c>
      <c r="D21" s="1068"/>
    </row>
    <row r="22" spans="1:4">
      <c r="A22" s="1073" t="s">
        <v>412</v>
      </c>
      <c r="B22" s="228">
        <v>351</v>
      </c>
      <c r="C22" s="223">
        <v>0.13980000000000001</v>
      </c>
      <c r="D22" s="1068"/>
    </row>
    <row r="23" spans="1:4">
      <c r="A23" s="1073" t="s">
        <v>780</v>
      </c>
      <c r="B23" s="228">
        <v>359</v>
      </c>
      <c r="C23" s="1066" t="s">
        <v>811</v>
      </c>
      <c r="D23" s="1068"/>
    </row>
    <row r="24" spans="1:4" ht="15.75" thickBot="1">
      <c r="A24" s="1073"/>
      <c r="B24" s="228"/>
      <c r="C24" s="223"/>
      <c r="D24" s="1068"/>
    </row>
    <row r="25" spans="1:4">
      <c r="A25" s="1054" t="s">
        <v>813</v>
      </c>
      <c r="B25" s="1055"/>
      <c r="C25" s="224"/>
      <c r="D25" s="1068"/>
    </row>
    <row r="26" spans="1:4" ht="15" customHeight="1">
      <c r="A26" s="1073"/>
      <c r="B26" s="228"/>
      <c r="C26" s="223"/>
      <c r="D26" s="1068"/>
    </row>
    <row r="27" spans="1:4">
      <c r="A27" s="1073" t="s">
        <v>814</v>
      </c>
      <c r="B27" s="228">
        <v>390</v>
      </c>
      <c r="C27" s="223">
        <v>1.0800000000000001E-2</v>
      </c>
      <c r="D27" s="1068"/>
    </row>
    <row r="28" spans="1:4">
      <c r="A28" s="1073" t="s">
        <v>815</v>
      </c>
      <c r="B28" s="228">
        <v>391</v>
      </c>
      <c r="C28" s="223">
        <v>2.1299999999999999E-2</v>
      </c>
      <c r="D28" s="1068"/>
    </row>
    <row r="29" spans="1:4">
      <c r="A29" s="1073" t="s">
        <v>816</v>
      </c>
      <c r="B29" s="228">
        <v>393</v>
      </c>
      <c r="C29" s="223">
        <v>1.78E-2</v>
      </c>
      <c r="D29" s="1068"/>
    </row>
    <row r="30" spans="1:4" ht="15" customHeight="1">
      <c r="A30" s="1073" t="s">
        <v>817</v>
      </c>
      <c r="B30" s="228">
        <v>394</v>
      </c>
      <c r="C30" s="223">
        <v>1.6500000000000001E-2</v>
      </c>
      <c r="D30" s="1068"/>
    </row>
    <row r="31" spans="1:4">
      <c r="A31" s="1073" t="s">
        <v>819</v>
      </c>
      <c r="B31" s="228">
        <v>397</v>
      </c>
      <c r="C31" s="223">
        <v>5.0900000000000001E-2</v>
      </c>
      <c r="D31" s="1068"/>
    </row>
    <row r="32" spans="1:4">
      <c r="A32" s="1073" t="s">
        <v>820</v>
      </c>
      <c r="B32" s="228">
        <v>398</v>
      </c>
      <c r="C32" s="223">
        <v>2.76E-2</v>
      </c>
      <c r="D32" s="1068"/>
    </row>
    <row r="33" spans="1:4">
      <c r="A33" s="1073"/>
      <c r="B33" s="228"/>
      <c r="C33" s="223"/>
      <c r="D33" s="1068"/>
    </row>
    <row r="34" spans="1:4">
      <c r="A34" s="1073"/>
      <c r="B34" s="228"/>
      <c r="C34" s="223"/>
      <c r="D34" s="1068"/>
    </row>
    <row r="35" spans="1:4">
      <c r="A35" s="1073"/>
      <c r="B35" s="228"/>
      <c r="C35" s="223"/>
      <c r="D35" s="1068"/>
    </row>
    <row r="36" spans="1:4">
      <c r="A36" s="1067"/>
      <c r="B36" s="1056"/>
      <c r="C36" s="265"/>
    </row>
    <row r="37" spans="1:4">
      <c r="A37" s="1565" t="s">
        <v>812</v>
      </c>
      <c r="B37" s="1565"/>
      <c r="C37" s="1565"/>
      <c r="D37" s="1565"/>
    </row>
    <row r="38" spans="1:4" ht="15.75">
      <c r="B38" s="1058"/>
      <c r="C38" s="231"/>
    </row>
    <row r="39" spans="1:4">
      <c r="A39" s="1565"/>
      <c r="B39" s="1565"/>
      <c r="C39" s="1565"/>
      <c r="D39" s="1565"/>
    </row>
    <row r="40" spans="1:4" ht="15.75">
      <c r="A40" s="1060" t="s">
        <v>809</v>
      </c>
      <c r="B40" s="1044"/>
      <c r="C40" s="223"/>
    </row>
    <row r="41" spans="1:4">
      <c r="A41" s="1566" t="s">
        <v>829</v>
      </c>
      <c r="B41" s="1566"/>
      <c r="C41" s="1566"/>
      <c r="D41" s="1065"/>
    </row>
    <row r="42" spans="1:4">
      <c r="A42" s="1566"/>
      <c r="B42" s="1566"/>
      <c r="C42" s="1566"/>
      <c r="D42" s="1065"/>
    </row>
    <row r="43" spans="1:4">
      <c r="A43" s="1566"/>
      <c r="B43" s="1566"/>
      <c r="C43" s="1566"/>
      <c r="D43" s="1065"/>
    </row>
    <row r="44" spans="1:4">
      <c r="A44" s="1566"/>
      <c r="B44" s="1566"/>
      <c r="C44" s="1566"/>
      <c r="D44" s="1065"/>
    </row>
    <row r="45" spans="1:4">
      <c r="A45" s="1566"/>
      <c r="B45" s="1566"/>
      <c r="C45" s="1566"/>
      <c r="D45" s="1065"/>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57"/>
  <sheetViews>
    <sheetView view="pageBreakPreview" zoomScale="60" zoomScaleNormal="100" workbookViewId="0">
      <selection activeCell="D10" sqref="D10"/>
    </sheetView>
  </sheetViews>
  <sheetFormatPr defaultColWidth="8.85546875" defaultRowHeight="12.75" customHeight="1"/>
  <cols>
    <col min="1" max="1" width="42.28515625" customWidth="1"/>
    <col min="2" max="2" width="10.28515625" customWidth="1"/>
    <col min="3" max="3" width="3.28515625" customWidth="1"/>
    <col min="4" max="4" width="28.7109375" customWidth="1"/>
    <col min="5" max="5" width="4.7109375" customWidth="1"/>
    <col min="6" max="6" width="15.5703125" customWidth="1"/>
    <col min="8" max="8" width="21.140625" customWidth="1"/>
    <col min="9" max="9" width="17.42578125" customWidth="1"/>
    <col min="11" max="11" width="18.140625" customWidth="1"/>
  </cols>
  <sheetData>
    <row r="1" spans="1:11" ht="15.75">
      <c r="A1" s="1568" t="s">
        <v>387</v>
      </c>
      <c r="B1" s="1568"/>
      <c r="C1" s="1568"/>
      <c r="D1" s="1568"/>
      <c r="E1" s="1568"/>
      <c r="F1" s="1568"/>
      <c r="G1" s="1568"/>
      <c r="H1" s="1568"/>
      <c r="I1" s="1568"/>
      <c r="J1" s="1568"/>
      <c r="K1" s="1568"/>
    </row>
    <row r="2" spans="1:11" ht="15.75">
      <c r="A2" s="1567" t="s">
        <v>567</v>
      </c>
      <c r="B2" s="1567"/>
      <c r="C2" s="1567"/>
      <c r="D2" s="1567"/>
      <c r="E2" s="1567"/>
      <c r="F2" s="1567"/>
      <c r="G2" s="1567"/>
      <c r="H2" s="1567"/>
      <c r="I2" s="1567"/>
      <c r="J2" s="1567"/>
      <c r="K2" s="1567"/>
    </row>
    <row r="3" spans="1:11" ht="15.75">
      <c r="A3" s="1567" t="s">
        <v>568</v>
      </c>
      <c r="B3" s="1567"/>
      <c r="C3" s="1567"/>
      <c r="D3" s="1567"/>
      <c r="E3" s="1567"/>
      <c r="F3" s="1567"/>
      <c r="G3" s="1567"/>
      <c r="H3" s="1567"/>
      <c r="I3" s="1567"/>
      <c r="J3" s="1567"/>
      <c r="K3" s="1567"/>
    </row>
    <row r="4" spans="1:11" ht="15.75">
      <c r="A4" s="458"/>
      <c r="B4" s="458"/>
      <c r="C4" s="458"/>
      <c r="D4" s="1567"/>
      <c r="E4" s="1567"/>
      <c r="F4" s="1567"/>
      <c r="G4" s="1567"/>
      <c r="H4" s="458"/>
      <c r="I4" s="458"/>
      <c r="J4" s="458"/>
      <c r="K4" s="458"/>
    </row>
    <row r="5" spans="1:11">
      <c r="A5" s="362"/>
      <c r="B5" s="362"/>
      <c r="C5" s="362"/>
      <c r="D5" s="362"/>
      <c r="E5" s="362"/>
      <c r="F5" s="362"/>
      <c r="G5" s="362"/>
      <c r="H5" s="362"/>
      <c r="I5" s="362"/>
      <c r="J5" s="362"/>
      <c r="K5" s="362"/>
    </row>
    <row r="6" spans="1:11">
      <c r="A6" s="362"/>
      <c r="B6" s="362"/>
      <c r="C6" s="362"/>
      <c r="D6" s="362"/>
      <c r="E6" s="362"/>
      <c r="F6" s="362"/>
      <c r="G6" s="362"/>
      <c r="H6" s="362"/>
      <c r="I6" s="362"/>
      <c r="J6" s="362"/>
      <c r="K6" s="362"/>
    </row>
    <row r="7" spans="1:11" ht="16.5" thickBot="1">
      <c r="A7" s="726"/>
      <c r="B7" s="727"/>
      <c r="C7" s="727"/>
      <c r="D7" s="727"/>
      <c r="E7" s="727"/>
      <c r="F7" s="727"/>
      <c r="G7" s="727"/>
      <c r="H7" s="727"/>
      <c r="I7" s="727"/>
      <c r="J7" s="727"/>
      <c r="K7" s="727"/>
    </row>
    <row r="8" spans="1:11" ht="47.25">
      <c r="A8" s="728" t="str">
        <f>"Reconciliation Revenue Requirement For Year 2022 Available May 25, 2023"</f>
        <v>Reconciliation Revenue Requirement For Year 2022 Available May 25, 2023</v>
      </c>
      <c r="B8" s="727"/>
      <c r="C8" s="727"/>
      <c r="D8" s="728" t="s">
        <v>1112</v>
      </c>
      <c r="E8" s="727"/>
      <c r="F8" s="727"/>
      <c r="G8" s="458"/>
      <c r="H8" s="728" t="s">
        <v>548</v>
      </c>
      <c r="I8" s="458"/>
      <c r="J8" s="458"/>
      <c r="K8" s="458"/>
    </row>
    <row r="9" spans="1:11" ht="15.75">
      <c r="A9" s="729" t="s">
        <v>114</v>
      </c>
      <c r="B9" s="727"/>
      <c r="C9" s="727"/>
      <c r="D9" s="729"/>
      <c r="E9" s="727"/>
      <c r="F9" s="727"/>
      <c r="G9" s="458"/>
      <c r="H9" s="730"/>
      <c r="I9" s="458"/>
      <c r="J9" s="458"/>
      <c r="K9" s="458"/>
    </row>
    <row r="10" spans="1:11" ht="16.5" thickBot="1">
      <c r="A10" s="804">
        <v>426317163.05882764</v>
      </c>
      <c r="B10" s="731" t="str">
        <f>"-"</f>
        <v>-</v>
      </c>
      <c r="C10" s="732"/>
      <c r="D10" s="804">
        <v>424385052.40682161</v>
      </c>
      <c r="E10" s="733"/>
      <c r="F10" s="734" t="str">
        <f>"="</f>
        <v>=</v>
      </c>
      <c r="G10" s="735"/>
      <c r="H10" s="736">
        <f>IF(A10=0,0,D10-A10)</f>
        <v>-1932110.6520060301</v>
      </c>
      <c r="I10" s="458"/>
      <c r="J10" s="458"/>
      <c r="K10" s="458"/>
    </row>
    <row r="11" spans="1:11" ht="15.75">
      <c r="A11" s="737"/>
      <c r="B11" s="738"/>
      <c r="C11" s="738"/>
      <c r="D11" s="737"/>
      <c r="E11" s="737"/>
      <c r="F11" s="738"/>
      <c r="G11" s="737"/>
      <c r="H11" s="458"/>
      <c r="I11" s="458"/>
      <c r="J11" s="458"/>
      <c r="K11" s="458"/>
    </row>
    <row r="12" spans="1:11" ht="16.5" thickBot="1">
      <c r="A12" s="739"/>
      <c r="B12" s="740"/>
      <c r="C12" s="740"/>
      <c r="D12" s="739"/>
      <c r="E12" s="739"/>
      <c r="F12" s="740"/>
      <c r="G12" s="739"/>
      <c r="H12" s="741"/>
      <c r="I12" s="741"/>
      <c r="J12" s="741"/>
      <c r="K12" s="741"/>
    </row>
    <row r="13" spans="1:11" ht="15.75">
      <c r="A13" s="742"/>
      <c r="B13" s="738"/>
      <c r="C13" s="738"/>
      <c r="D13" s="737"/>
      <c r="E13" s="737"/>
      <c r="F13" s="738"/>
      <c r="G13" s="737"/>
      <c r="H13" s="458"/>
      <c r="I13" s="458"/>
      <c r="J13" s="458"/>
      <c r="K13" s="458"/>
    </row>
    <row r="14" spans="1:11" ht="47.25">
      <c r="A14" s="743" t="s">
        <v>549</v>
      </c>
      <c r="B14" s="738"/>
      <c r="C14" s="738"/>
      <c r="D14" s="744" t="s">
        <v>550</v>
      </c>
      <c r="E14" s="737"/>
      <c r="F14" s="744" t="s">
        <v>551</v>
      </c>
      <c r="G14" s="745" t="s">
        <v>552</v>
      </c>
      <c r="H14" s="746" t="s">
        <v>553</v>
      </c>
      <c r="I14" s="744" t="s">
        <v>554</v>
      </c>
      <c r="J14" s="747"/>
      <c r="K14" s="744" t="s">
        <v>555</v>
      </c>
    </row>
    <row r="15" spans="1:11" ht="15.75">
      <c r="A15" s="743" t="s">
        <v>556</v>
      </c>
      <c r="B15" s="738"/>
      <c r="C15" s="738"/>
      <c r="D15" s="458"/>
      <c r="E15" s="748"/>
      <c r="F15" s="805">
        <v>4.239999999999999E-3</v>
      </c>
      <c r="G15" s="285"/>
      <c r="H15" s="458"/>
      <c r="I15" s="458"/>
      <c r="J15" s="458"/>
      <c r="K15" s="458"/>
    </row>
    <row r="16" spans="1:11" ht="15.75">
      <c r="A16" s="743"/>
      <c r="B16" s="738"/>
      <c r="C16" s="738"/>
      <c r="D16" s="458"/>
      <c r="E16" s="748"/>
      <c r="F16" s="748"/>
      <c r="G16" s="737"/>
      <c r="H16" s="458"/>
      <c r="I16" s="458"/>
      <c r="J16" s="458"/>
      <c r="K16" s="458"/>
    </row>
    <row r="17" spans="1:11" ht="15.75">
      <c r="A17" s="743" t="s">
        <v>1114</v>
      </c>
      <c r="B17" s="738"/>
      <c r="C17" s="738"/>
      <c r="D17" s="458"/>
      <c r="E17" s="748"/>
      <c r="F17" s="748"/>
      <c r="G17" s="737"/>
      <c r="H17" s="458"/>
      <c r="I17" s="458"/>
      <c r="J17" s="458"/>
      <c r="K17" s="458"/>
    </row>
    <row r="18" spans="1:11" ht="15.75">
      <c r="A18" s="749" t="s">
        <v>114</v>
      </c>
      <c r="B18" s="738"/>
      <c r="C18" s="738"/>
      <c r="D18" s="738"/>
      <c r="E18" s="738"/>
      <c r="F18" s="738" t="s">
        <v>114</v>
      </c>
      <c r="G18" s="458"/>
      <c r="H18" s="458"/>
      <c r="I18" s="458"/>
      <c r="J18" s="458"/>
      <c r="K18" s="458"/>
    </row>
    <row r="19" spans="1:11" ht="15.75">
      <c r="A19" s="750"/>
      <c r="B19" s="738"/>
      <c r="C19" s="738"/>
      <c r="D19" s="738"/>
      <c r="E19" s="738"/>
      <c r="F19" s="458"/>
      <c r="G19" s="458"/>
      <c r="H19" s="745"/>
      <c r="I19" s="738"/>
      <c r="J19" s="738"/>
      <c r="K19" s="738"/>
    </row>
    <row r="20" spans="1:11" ht="15.75">
      <c r="A20" s="750" t="s">
        <v>557</v>
      </c>
      <c r="B20" s="738"/>
      <c r="C20" s="738"/>
      <c r="D20" s="738"/>
      <c r="E20" s="738"/>
      <c r="F20" s="458"/>
      <c r="G20" s="458"/>
      <c r="H20" s="745" t="s">
        <v>558</v>
      </c>
      <c r="I20" s="738"/>
      <c r="J20" s="738"/>
      <c r="K20" s="738"/>
    </row>
    <row r="21" spans="1:11" ht="15.75">
      <c r="A21" s="727" t="s">
        <v>185</v>
      </c>
      <c r="B21" s="1356" t="str">
        <f>"Year "&amp;TCOS!L4-2</f>
        <v>Year 2022</v>
      </c>
      <c r="C21" s="727"/>
      <c r="D21" s="751">
        <f>H10/12</f>
        <v>-161009.2210005025</v>
      </c>
      <c r="E21" s="751"/>
      <c r="F21" s="752">
        <f>+F15</f>
        <v>4.239999999999999E-3</v>
      </c>
      <c r="G21" s="753">
        <v>12</v>
      </c>
      <c r="H21" s="751">
        <f>F21*D21*G21*-1</f>
        <v>8192.1491645055648</v>
      </c>
      <c r="I21" s="751"/>
      <c r="J21" s="751"/>
      <c r="K21" s="751">
        <f>(-H21+D21)*-1</f>
        <v>169201.37016500806</v>
      </c>
    </row>
    <row r="22" spans="1:11" ht="15.75">
      <c r="A22" s="727" t="s">
        <v>559</v>
      </c>
      <c r="B22" s="1356" t="str">
        <f>B21</f>
        <v>Year 2022</v>
      </c>
      <c r="C22" s="727"/>
      <c r="D22" s="751">
        <f>+D21</f>
        <v>-161009.2210005025</v>
      </c>
      <c r="E22" s="751"/>
      <c r="F22" s="752">
        <f>+F21</f>
        <v>4.239999999999999E-3</v>
      </c>
      <c r="G22" s="753">
        <f t="shared" ref="G22:G32" si="0">+G21-1</f>
        <v>11</v>
      </c>
      <c r="H22" s="751">
        <f t="shared" ref="H22:H32" si="1">F22*D22*G22*-1</f>
        <v>7509.470067463435</v>
      </c>
      <c r="I22" s="751"/>
      <c r="J22" s="751"/>
      <c r="K22" s="751">
        <f t="shared" ref="K22:K32" si="2">(-H22+D22)*-1</f>
        <v>168518.69106796593</v>
      </c>
    </row>
    <row r="23" spans="1:11" ht="15.75">
      <c r="A23" s="727" t="s">
        <v>186</v>
      </c>
      <c r="B23" s="1356" t="str">
        <f t="shared" ref="B23:B32" si="3">B22</f>
        <v>Year 2022</v>
      </c>
      <c r="C23" s="727"/>
      <c r="D23" s="751">
        <f t="shared" ref="D23:D32" si="4">+D22</f>
        <v>-161009.2210005025</v>
      </c>
      <c r="E23" s="751"/>
      <c r="F23" s="752">
        <f t="shared" ref="F23:F32" si="5">+F22</f>
        <v>4.239999999999999E-3</v>
      </c>
      <c r="G23" s="753">
        <f t="shared" si="0"/>
        <v>10</v>
      </c>
      <c r="H23" s="751">
        <f t="shared" si="1"/>
        <v>6826.7909704213052</v>
      </c>
      <c r="I23" s="751"/>
      <c r="J23" s="751"/>
      <c r="K23" s="751">
        <f t="shared" si="2"/>
        <v>167836.01197092381</v>
      </c>
    </row>
    <row r="24" spans="1:11" ht="15.75">
      <c r="A24" s="727" t="s">
        <v>187</v>
      </c>
      <c r="B24" s="1356" t="str">
        <f t="shared" si="3"/>
        <v>Year 2022</v>
      </c>
      <c r="C24" s="727"/>
      <c r="D24" s="751">
        <f t="shared" si="4"/>
        <v>-161009.2210005025</v>
      </c>
      <c r="E24" s="751"/>
      <c r="F24" s="752">
        <f t="shared" si="5"/>
        <v>4.239999999999999E-3</v>
      </c>
      <c r="G24" s="753">
        <f t="shared" si="0"/>
        <v>9</v>
      </c>
      <c r="H24" s="751">
        <f t="shared" si="1"/>
        <v>6144.1118733791745</v>
      </c>
      <c r="I24" s="751"/>
      <c r="J24" s="751"/>
      <c r="K24" s="751">
        <f t="shared" si="2"/>
        <v>167153.33287388168</v>
      </c>
    </row>
    <row r="25" spans="1:11" ht="15.75">
      <c r="A25" s="727" t="s">
        <v>188</v>
      </c>
      <c r="B25" s="1356" t="str">
        <f t="shared" si="3"/>
        <v>Year 2022</v>
      </c>
      <c r="C25" s="727"/>
      <c r="D25" s="751">
        <f t="shared" si="4"/>
        <v>-161009.2210005025</v>
      </c>
      <c r="E25" s="751"/>
      <c r="F25" s="752">
        <f t="shared" si="5"/>
        <v>4.239999999999999E-3</v>
      </c>
      <c r="G25" s="753">
        <f t="shared" si="0"/>
        <v>8</v>
      </c>
      <c r="H25" s="751">
        <f t="shared" si="1"/>
        <v>5461.4327763370438</v>
      </c>
      <c r="I25" s="751"/>
      <c r="J25" s="751"/>
      <c r="K25" s="751">
        <f t="shared" si="2"/>
        <v>166470.65377683955</v>
      </c>
    </row>
    <row r="26" spans="1:11" ht="15.75">
      <c r="A26" s="727" t="s">
        <v>382</v>
      </c>
      <c r="B26" s="1356" t="str">
        <f t="shared" si="3"/>
        <v>Year 2022</v>
      </c>
      <c r="C26" s="727"/>
      <c r="D26" s="751">
        <f t="shared" si="4"/>
        <v>-161009.2210005025</v>
      </c>
      <c r="E26" s="751"/>
      <c r="F26" s="752">
        <f t="shared" si="5"/>
        <v>4.239999999999999E-3</v>
      </c>
      <c r="G26" s="753">
        <f t="shared" si="0"/>
        <v>7</v>
      </c>
      <c r="H26" s="751">
        <f t="shared" si="1"/>
        <v>4778.7536792949131</v>
      </c>
      <c r="I26" s="751"/>
      <c r="J26" s="751"/>
      <c r="K26" s="751">
        <f t="shared" si="2"/>
        <v>165787.97467979742</v>
      </c>
    </row>
    <row r="27" spans="1:11" ht="15.75">
      <c r="A27" s="727" t="s">
        <v>189</v>
      </c>
      <c r="B27" s="1356" t="str">
        <f t="shared" si="3"/>
        <v>Year 2022</v>
      </c>
      <c r="C27" s="727"/>
      <c r="D27" s="751">
        <f t="shared" si="4"/>
        <v>-161009.2210005025</v>
      </c>
      <c r="E27" s="751"/>
      <c r="F27" s="752">
        <f t="shared" si="5"/>
        <v>4.239999999999999E-3</v>
      </c>
      <c r="G27" s="753">
        <f t="shared" si="0"/>
        <v>6</v>
      </c>
      <c r="H27" s="751">
        <f t="shared" si="1"/>
        <v>4096.0745822527824</v>
      </c>
      <c r="I27" s="751"/>
      <c r="J27" s="751"/>
      <c r="K27" s="751">
        <f t="shared" si="2"/>
        <v>165105.29558275529</v>
      </c>
    </row>
    <row r="28" spans="1:11" ht="15.75">
      <c r="A28" s="727" t="s">
        <v>190</v>
      </c>
      <c r="B28" s="1356" t="str">
        <f t="shared" si="3"/>
        <v>Year 2022</v>
      </c>
      <c r="C28" s="727"/>
      <c r="D28" s="751">
        <f t="shared" si="4"/>
        <v>-161009.2210005025</v>
      </c>
      <c r="E28" s="751"/>
      <c r="F28" s="752">
        <f t="shared" si="5"/>
        <v>4.239999999999999E-3</v>
      </c>
      <c r="G28" s="753">
        <f t="shared" si="0"/>
        <v>5</v>
      </c>
      <c r="H28" s="751">
        <f t="shared" si="1"/>
        <v>3413.3954852106526</v>
      </c>
      <c r="I28" s="751"/>
      <c r="J28" s="751"/>
      <c r="K28" s="751">
        <f t="shared" si="2"/>
        <v>164422.61648571314</v>
      </c>
    </row>
    <row r="29" spans="1:11" ht="15.75">
      <c r="A29" s="727" t="s">
        <v>192</v>
      </c>
      <c r="B29" s="1356" t="str">
        <f t="shared" si="3"/>
        <v>Year 2022</v>
      </c>
      <c r="C29" s="727"/>
      <c r="D29" s="751">
        <f t="shared" si="4"/>
        <v>-161009.2210005025</v>
      </c>
      <c r="E29" s="751"/>
      <c r="F29" s="752">
        <f t="shared" si="5"/>
        <v>4.239999999999999E-3</v>
      </c>
      <c r="G29" s="753">
        <f t="shared" si="0"/>
        <v>4</v>
      </c>
      <c r="H29" s="751">
        <f t="shared" si="1"/>
        <v>2730.7163881685219</v>
      </c>
      <c r="I29" s="751"/>
      <c r="J29" s="751"/>
      <c r="K29" s="751">
        <f t="shared" si="2"/>
        <v>163739.93738867101</v>
      </c>
    </row>
    <row r="30" spans="1:11" ht="15.75">
      <c r="A30" s="727" t="s">
        <v>560</v>
      </c>
      <c r="B30" s="1356" t="str">
        <f t="shared" si="3"/>
        <v>Year 2022</v>
      </c>
      <c r="C30" s="727"/>
      <c r="D30" s="751">
        <f t="shared" si="4"/>
        <v>-161009.2210005025</v>
      </c>
      <c r="E30" s="751"/>
      <c r="F30" s="752">
        <f t="shared" si="5"/>
        <v>4.239999999999999E-3</v>
      </c>
      <c r="G30" s="753">
        <f t="shared" si="0"/>
        <v>3</v>
      </c>
      <c r="H30" s="751">
        <f t="shared" si="1"/>
        <v>2048.0372911263912</v>
      </c>
      <c r="I30" s="751"/>
      <c r="J30" s="751"/>
      <c r="K30" s="751">
        <f t="shared" si="2"/>
        <v>163057.25829162888</v>
      </c>
    </row>
    <row r="31" spans="1:11" ht="15.75">
      <c r="A31" s="727" t="s">
        <v>561</v>
      </c>
      <c r="B31" s="1356" t="str">
        <f t="shared" si="3"/>
        <v>Year 2022</v>
      </c>
      <c r="C31" s="727"/>
      <c r="D31" s="751">
        <f t="shared" si="4"/>
        <v>-161009.2210005025</v>
      </c>
      <c r="E31" s="751"/>
      <c r="F31" s="752">
        <f t="shared" si="5"/>
        <v>4.239999999999999E-3</v>
      </c>
      <c r="G31" s="753">
        <f t="shared" si="0"/>
        <v>2</v>
      </c>
      <c r="H31" s="751">
        <f t="shared" si="1"/>
        <v>1365.358194084261</v>
      </c>
      <c r="I31" s="751"/>
      <c r="J31" s="751"/>
      <c r="K31" s="751">
        <f t="shared" si="2"/>
        <v>162374.57919458675</v>
      </c>
    </row>
    <row r="32" spans="1:11" ht="15.75">
      <c r="A32" s="727" t="s">
        <v>191</v>
      </c>
      <c r="B32" s="1356" t="str">
        <f t="shared" si="3"/>
        <v>Year 2022</v>
      </c>
      <c r="C32" s="727"/>
      <c r="D32" s="751">
        <f t="shared" si="4"/>
        <v>-161009.2210005025</v>
      </c>
      <c r="E32" s="751"/>
      <c r="F32" s="752">
        <f t="shared" si="5"/>
        <v>4.239999999999999E-3</v>
      </c>
      <c r="G32" s="753">
        <f t="shared" si="0"/>
        <v>1</v>
      </c>
      <c r="H32" s="754">
        <f t="shared" si="1"/>
        <v>682.67909704213048</v>
      </c>
      <c r="I32" s="751"/>
      <c r="J32" s="751"/>
      <c r="K32" s="751">
        <f t="shared" si="2"/>
        <v>161691.90009754463</v>
      </c>
    </row>
    <row r="33" spans="1:11" ht="15.75">
      <c r="A33" s="727"/>
      <c r="B33" s="1356"/>
      <c r="C33" s="727"/>
      <c r="D33" s="751"/>
      <c r="E33" s="751"/>
      <c r="F33" s="752"/>
      <c r="G33" s="727"/>
      <c r="H33" s="751">
        <f>SUM(H21:H32)</f>
        <v>53248.969569286171</v>
      </c>
      <c r="I33" s="751"/>
      <c r="J33" s="751"/>
      <c r="K33" s="755">
        <f>SUM(K21:K32)</f>
        <v>1985359.6215753159</v>
      </c>
    </row>
    <row r="34" spans="1:11" ht="15.75">
      <c r="A34" s="727"/>
      <c r="B34" s="1356"/>
      <c r="C34" s="727"/>
      <c r="D34" s="751"/>
      <c r="E34" s="751"/>
      <c r="F34" s="752"/>
      <c r="G34" s="727"/>
      <c r="H34" s="751"/>
      <c r="I34" s="751" t="s">
        <v>114</v>
      </c>
      <c r="J34" s="751"/>
      <c r="K34" s="458"/>
    </row>
    <row r="35" spans="1:11" ht="15.75">
      <c r="A35" s="727"/>
      <c r="B35" s="1356"/>
      <c r="C35" s="727"/>
      <c r="D35" s="737"/>
      <c r="E35" s="737"/>
      <c r="F35" s="752"/>
      <c r="G35" s="727"/>
      <c r="H35" s="756" t="s">
        <v>562</v>
      </c>
      <c r="I35" s="751"/>
      <c r="J35" s="751"/>
      <c r="K35" s="751"/>
    </row>
    <row r="36" spans="1:11" ht="15.75">
      <c r="A36" s="727" t="s">
        <v>563</v>
      </c>
      <c r="B36" s="1356" t="str">
        <f>"Year "&amp;TCOS!L4-1</f>
        <v>Year 2023</v>
      </c>
      <c r="C36" s="727"/>
      <c r="D36" s="737">
        <f>K33</f>
        <v>1985359.6215753159</v>
      </c>
      <c r="E36" s="737"/>
      <c r="F36" s="752">
        <f>+F32</f>
        <v>4.239999999999999E-3</v>
      </c>
      <c r="G36" s="753">
        <v>12</v>
      </c>
      <c r="H36" s="751">
        <f>+G36*F36*D36</f>
        <v>101015.09754575205</v>
      </c>
      <c r="I36" s="751"/>
      <c r="J36" s="751"/>
      <c r="K36" s="755">
        <f>+D36+H36</f>
        <v>2086374.719121068</v>
      </c>
    </row>
    <row r="37" spans="1:11" ht="15.75">
      <c r="A37" s="727"/>
      <c r="B37" s="1356"/>
      <c r="C37" s="727"/>
      <c r="D37" s="737"/>
      <c r="E37" s="737"/>
      <c r="F37" s="752"/>
      <c r="G37" s="727"/>
      <c r="H37" s="751"/>
      <c r="I37" s="751"/>
      <c r="J37" s="751"/>
      <c r="K37" s="751"/>
    </row>
    <row r="38" spans="1:11" ht="15.75">
      <c r="A38" s="757" t="s">
        <v>564</v>
      </c>
      <c r="B38" s="1356"/>
      <c r="C38" s="727"/>
      <c r="D38" s="751"/>
      <c r="E38" s="751"/>
      <c r="F38" s="752"/>
      <c r="G38" s="727"/>
      <c r="H38" s="756" t="s">
        <v>558</v>
      </c>
      <c r="I38" s="751"/>
      <c r="J38" s="751"/>
      <c r="K38" s="751"/>
    </row>
    <row r="39" spans="1:11" ht="15.75">
      <c r="A39" s="727" t="s">
        <v>185</v>
      </c>
      <c r="B39" s="1356" t="str">
        <f>"Year "&amp;TCOS!L4</f>
        <v>Year 2024</v>
      </c>
      <c r="C39" s="727"/>
      <c r="D39" s="737">
        <f>-K36</f>
        <v>-2086374.719121068</v>
      </c>
      <c r="E39" s="737"/>
      <c r="F39" s="752">
        <f>+F32</f>
        <v>4.239999999999999E-3</v>
      </c>
      <c r="G39" s="727"/>
      <c r="H39" s="751">
        <f xml:space="preserve"> -F39*D39</f>
        <v>8846.2288090733255</v>
      </c>
      <c r="I39" s="751">
        <f>PMT(F39,12,K$36)</f>
        <v>-178693.43438600274</v>
      </c>
      <c r="J39" s="751"/>
      <c r="K39" s="751">
        <f>(+D39+D39*F39-I39)*-1</f>
        <v>1916527.5135441385</v>
      </c>
    </row>
    <row r="40" spans="1:11" ht="15.75">
      <c r="A40" s="727" t="s">
        <v>559</v>
      </c>
      <c r="B40" s="1356" t="str">
        <f>+B39</f>
        <v>Year 2024</v>
      </c>
      <c r="C40" s="727"/>
      <c r="D40" s="737">
        <f>-K39</f>
        <v>-1916527.5135441385</v>
      </c>
      <c r="E40" s="737"/>
      <c r="F40" s="752">
        <f>+F39</f>
        <v>4.239999999999999E-3</v>
      </c>
      <c r="G40" s="727"/>
      <c r="H40" s="751">
        <f xml:space="preserve"> -F40*D40</f>
        <v>8126.0766574271456</v>
      </c>
      <c r="I40" s="751">
        <f>I39</f>
        <v>-178693.43438600274</v>
      </c>
      <c r="J40" s="751"/>
      <c r="K40" s="751">
        <f t="shared" ref="K40:K50" si="6">(+D40+D40*F40-I40)*-1</f>
        <v>1745960.1558155629</v>
      </c>
    </row>
    <row r="41" spans="1:11" ht="15.75">
      <c r="A41" s="727" t="s">
        <v>186</v>
      </c>
      <c r="B41" s="1356" t="str">
        <f>+B40</f>
        <v>Year 2024</v>
      </c>
      <c r="C41" s="727"/>
      <c r="D41" s="737">
        <f t="shared" ref="D41:D50" si="7">-K40</f>
        <v>-1745960.1558155629</v>
      </c>
      <c r="E41" s="737"/>
      <c r="F41" s="752">
        <f t="shared" ref="F41:F50" si="8">+F40</f>
        <v>4.239999999999999E-3</v>
      </c>
      <c r="G41" s="727"/>
      <c r="H41" s="751">
        <f t="shared" ref="H41:H50" si="9" xml:space="preserve"> -F41*D41</f>
        <v>7402.8710606579853</v>
      </c>
      <c r="I41" s="751">
        <f t="shared" ref="I41:I50" si="10">I40</f>
        <v>-178693.43438600274</v>
      </c>
      <c r="J41" s="751"/>
      <c r="K41" s="751">
        <f t="shared" si="6"/>
        <v>1574669.5924902181</v>
      </c>
    </row>
    <row r="42" spans="1:11" ht="15.75">
      <c r="A42" s="727" t="s">
        <v>187</v>
      </c>
      <c r="B42" s="1356" t="str">
        <f>+B41</f>
        <v>Year 2024</v>
      </c>
      <c r="C42" s="727"/>
      <c r="D42" s="737">
        <f t="shared" si="7"/>
        <v>-1574669.5924902181</v>
      </c>
      <c r="E42" s="737"/>
      <c r="F42" s="752">
        <f t="shared" si="8"/>
        <v>4.239999999999999E-3</v>
      </c>
      <c r="G42" s="727"/>
      <c r="H42" s="751">
        <f t="shared" si="9"/>
        <v>6676.5990721585231</v>
      </c>
      <c r="I42" s="751">
        <f t="shared" si="10"/>
        <v>-178693.43438600274</v>
      </c>
      <c r="J42" s="751"/>
      <c r="K42" s="751">
        <f t="shared" si="6"/>
        <v>1402652.7571763739</v>
      </c>
    </row>
    <row r="43" spans="1:11" ht="15.75">
      <c r="A43" s="727" t="s">
        <v>188</v>
      </c>
      <c r="B43" s="1356" t="str">
        <f>+B42</f>
        <v>Year 2024</v>
      </c>
      <c r="C43" s="727"/>
      <c r="D43" s="737">
        <f t="shared" si="7"/>
        <v>-1402652.7571763739</v>
      </c>
      <c r="E43" s="737"/>
      <c r="F43" s="752">
        <f t="shared" si="8"/>
        <v>4.239999999999999E-3</v>
      </c>
      <c r="G43" s="727"/>
      <c r="H43" s="751">
        <f t="shared" si="9"/>
        <v>5947.2476904278237</v>
      </c>
      <c r="I43" s="751">
        <f>I42</f>
        <v>-178693.43438600274</v>
      </c>
      <c r="J43" s="751"/>
      <c r="K43" s="751">
        <f t="shared" si="6"/>
        <v>1229906.5704807988</v>
      </c>
    </row>
    <row r="44" spans="1:11" ht="15.75">
      <c r="A44" s="727" t="s">
        <v>382</v>
      </c>
      <c r="B44" s="1356" t="str">
        <f>B43</f>
        <v>Year 2024</v>
      </c>
      <c r="C44" s="458"/>
      <c r="D44" s="737">
        <f t="shared" si="7"/>
        <v>-1229906.5704807988</v>
      </c>
      <c r="E44" s="737"/>
      <c r="F44" s="752">
        <f t="shared" si="8"/>
        <v>4.239999999999999E-3</v>
      </c>
      <c r="G44" s="727"/>
      <c r="H44" s="751">
        <f t="shared" si="9"/>
        <v>5214.8038588385862</v>
      </c>
      <c r="I44" s="751">
        <f t="shared" si="10"/>
        <v>-178693.43438600274</v>
      </c>
      <c r="J44" s="751"/>
      <c r="K44" s="751">
        <f t="shared" si="6"/>
        <v>1056427.9399536345</v>
      </c>
    </row>
    <row r="45" spans="1:11" ht="15.75">
      <c r="A45" s="727" t="s">
        <v>189</v>
      </c>
      <c r="B45" s="1356" t="str">
        <f t="shared" ref="B45:B50" si="11">+B44</f>
        <v>Year 2024</v>
      </c>
      <c r="C45" s="727"/>
      <c r="D45" s="737">
        <f t="shared" si="7"/>
        <v>-1056427.9399536345</v>
      </c>
      <c r="E45" s="737"/>
      <c r="F45" s="752">
        <f t="shared" si="8"/>
        <v>4.239999999999999E-3</v>
      </c>
      <c r="G45" s="727"/>
      <c r="H45" s="751">
        <f t="shared" si="9"/>
        <v>4479.2544654034091</v>
      </c>
      <c r="I45" s="751">
        <f t="shared" si="10"/>
        <v>-178693.43438600274</v>
      </c>
      <c r="J45" s="751"/>
      <c r="K45" s="751">
        <f t="shared" si="6"/>
        <v>882213.7600330353</v>
      </c>
    </row>
    <row r="46" spans="1:11" ht="15.75">
      <c r="A46" s="727" t="s">
        <v>190</v>
      </c>
      <c r="B46" s="1356" t="str">
        <f t="shared" si="11"/>
        <v>Year 2024</v>
      </c>
      <c r="C46" s="727"/>
      <c r="D46" s="737">
        <f t="shared" si="7"/>
        <v>-882213.7600330353</v>
      </c>
      <c r="E46" s="737"/>
      <c r="F46" s="752">
        <f t="shared" si="8"/>
        <v>4.239999999999999E-3</v>
      </c>
      <c r="G46" s="727"/>
      <c r="H46" s="751">
        <f t="shared" si="9"/>
        <v>3740.5863425400689</v>
      </c>
      <c r="I46" s="751">
        <f t="shared" si="10"/>
        <v>-178693.43438600274</v>
      </c>
      <c r="J46" s="751"/>
      <c r="K46" s="751">
        <f t="shared" si="6"/>
        <v>707260.91198957269</v>
      </c>
    </row>
    <row r="47" spans="1:11" ht="15.75">
      <c r="A47" s="727" t="s">
        <v>192</v>
      </c>
      <c r="B47" s="1356" t="str">
        <f t="shared" si="11"/>
        <v>Year 2024</v>
      </c>
      <c r="C47" s="727"/>
      <c r="D47" s="737">
        <f t="shared" si="7"/>
        <v>-707260.91198957269</v>
      </c>
      <c r="E47" s="737"/>
      <c r="F47" s="752">
        <f t="shared" si="8"/>
        <v>4.239999999999999E-3</v>
      </c>
      <c r="G47" s="727"/>
      <c r="H47" s="751">
        <f t="shared" si="9"/>
        <v>2998.7862668357875</v>
      </c>
      <c r="I47" s="751">
        <f>I46</f>
        <v>-178693.43438600274</v>
      </c>
      <c r="J47" s="751"/>
      <c r="K47" s="751">
        <f t="shared" si="6"/>
        <v>531566.26387040573</v>
      </c>
    </row>
    <row r="48" spans="1:11" ht="15.75">
      <c r="A48" s="727" t="s">
        <v>560</v>
      </c>
      <c r="B48" s="1356" t="str">
        <f t="shared" si="11"/>
        <v>Year 2024</v>
      </c>
      <c r="C48" s="727"/>
      <c r="D48" s="737">
        <f t="shared" si="7"/>
        <v>-531566.26387040573</v>
      </c>
      <c r="E48" s="737"/>
      <c r="F48" s="752">
        <f t="shared" si="8"/>
        <v>4.239999999999999E-3</v>
      </c>
      <c r="G48" s="727"/>
      <c r="H48" s="751">
        <f t="shared" si="9"/>
        <v>2253.8409588105196</v>
      </c>
      <c r="I48" s="751">
        <f t="shared" si="10"/>
        <v>-178693.43438600274</v>
      </c>
      <c r="J48" s="751"/>
      <c r="K48" s="751">
        <f t="shared" si="6"/>
        <v>355126.67044321354</v>
      </c>
    </row>
    <row r="49" spans="1:11" ht="15.75">
      <c r="A49" s="727" t="s">
        <v>561</v>
      </c>
      <c r="B49" s="1356" t="str">
        <f t="shared" si="11"/>
        <v>Year 2024</v>
      </c>
      <c r="C49" s="727"/>
      <c r="D49" s="737">
        <f t="shared" si="7"/>
        <v>-355126.67044321354</v>
      </c>
      <c r="E49" s="737"/>
      <c r="F49" s="752">
        <f t="shared" si="8"/>
        <v>4.239999999999999E-3</v>
      </c>
      <c r="G49" s="727"/>
      <c r="H49" s="751">
        <f t="shared" si="9"/>
        <v>1505.7370826792251</v>
      </c>
      <c r="I49" s="751">
        <f t="shared" si="10"/>
        <v>-178693.43438600274</v>
      </c>
      <c r="J49" s="751"/>
      <c r="K49" s="751">
        <f t="shared" si="6"/>
        <v>177938.97313989003</v>
      </c>
    </row>
    <row r="50" spans="1:11" ht="15.75">
      <c r="A50" s="727" t="s">
        <v>191</v>
      </c>
      <c r="B50" s="1356" t="str">
        <f t="shared" si="11"/>
        <v>Year 2024</v>
      </c>
      <c r="C50" s="727"/>
      <c r="D50" s="737">
        <f t="shared" si="7"/>
        <v>-177938.97313989003</v>
      </c>
      <c r="E50" s="737"/>
      <c r="F50" s="752">
        <f t="shared" si="8"/>
        <v>4.239999999999999E-3</v>
      </c>
      <c r="G50" s="727"/>
      <c r="H50" s="754">
        <f t="shared" si="9"/>
        <v>754.4612461131336</v>
      </c>
      <c r="I50" s="751">
        <f t="shared" si="10"/>
        <v>-178693.43438600274</v>
      </c>
      <c r="J50" s="751"/>
      <c r="K50" s="751">
        <f t="shared" si="6"/>
        <v>4.3655745685100555E-10</v>
      </c>
    </row>
    <row r="51" spans="1:11" ht="15.75">
      <c r="A51" s="727"/>
      <c r="B51" s="727"/>
      <c r="C51" s="727"/>
      <c r="D51" s="737"/>
      <c r="E51" s="737"/>
      <c r="F51" s="752"/>
      <c r="G51" s="727"/>
      <c r="H51" s="751">
        <f>SUM(H39:H50)</f>
        <v>57946.49351096552</v>
      </c>
      <c r="I51" s="751"/>
      <c r="J51" s="751"/>
      <c r="K51" s="751"/>
    </row>
    <row r="52" spans="1:11" ht="15">
      <c r="A52" s="458"/>
      <c r="B52" s="458"/>
      <c r="C52" s="458"/>
      <c r="D52" s="458"/>
      <c r="E52" s="458"/>
      <c r="F52" s="458"/>
      <c r="G52" s="458"/>
      <c r="H52" s="458"/>
      <c r="I52" s="758"/>
      <c r="J52" s="458"/>
      <c r="K52" s="458"/>
    </row>
    <row r="53" spans="1:11" ht="15.75">
      <c r="A53" s="727" t="s">
        <v>569</v>
      </c>
      <c r="B53" s="458"/>
      <c r="C53" s="458"/>
      <c r="D53" s="458"/>
      <c r="E53" s="458"/>
      <c r="F53" s="458"/>
      <c r="G53" s="458"/>
      <c r="H53" s="458"/>
      <c r="I53" s="759">
        <f>(SUM(I39:I50)*-1)</f>
        <v>2144321.2126320335</v>
      </c>
      <c r="J53" s="458"/>
      <c r="K53" s="458"/>
    </row>
    <row r="54" spans="1:11" ht="15.75">
      <c r="A54" s="727" t="s">
        <v>565</v>
      </c>
      <c r="B54" s="458"/>
      <c r="C54" s="458"/>
      <c r="D54" s="458"/>
      <c r="E54" s="458"/>
      <c r="F54" s="458"/>
      <c r="G54" s="458"/>
      <c r="H54" s="458"/>
      <c r="I54" s="760">
        <f>+H10</f>
        <v>-1932110.6520060301</v>
      </c>
      <c r="J54" s="458"/>
      <c r="K54" s="458"/>
    </row>
    <row r="55" spans="1:11" ht="15.75">
      <c r="A55" s="727" t="s">
        <v>566</v>
      </c>
      <c r="B55" s="458"/>
      <c r="C55" s="458"/>
      <c r="D55" s="458"/>
      <c r="E55" s="458"/>
      <c r="F55" s="458"/>
      <c r="G55" s="458"/>
      <c r="H55" s="458"/>
      <c r="I55" s="759">
        <f>(I53+I54)</f>
        <v>212210.56062600343</v>
      </c>
      <c r="J55" s="458"/>
      <c r="K55" s="458"/>
    </row>
    <row r="56" spans="1:11">
      <c r="A56" s="362"/>
      <c r="B56" s="362"/>
      <c r="C56" s="362"/>
      <c r="D56" s="362"/>
      <c r="E56" s="362"/>
      <c r="F56" s="362"/>
      <c r="G56" s="362"/>
      <c r="H56" s="362"/>
      <c r="I56" s="362"/>
      <c r="J56" s="362"/>
      <c r="K56" s="362"/>
    </row>
    <row r="57" spans="1:11" ht="126.75" customHeight="1">
      <c r="A57" s="1569" t="s">
        <v>570</v>
      </c>
      <c r="B57" s="1569"/>
      <c r="C57" s="1569"/>
      <c r="D57" s="1569"/>
      <c r="E57" s="761"/>
      <c r="F57" s="761"/>
      <c r="G57" s="761"/>
      <c r="H57" s="761"/>
      <c r="I57" s="761"/>
      <c r="J57" s="761"/>
      <c r="K57" s="761"/>
    </row>
  </sheetData>
  <mergeCells count="5">
    <mergeCell ref="A3:K3"/>
    <mergeCell ref="A1:K1"/>
    <mergeCell ref="A2:K2"/>
    <mergeCell ref="D4:G4"/>
    <mergeCell ref="A57:D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7"/>
  <sheetViews>
    <sheetView zoomScaleNormal="100" zoomScaleSheetLayoutView="100" workbookViewId="0">
      <selection activeCell="E33" sqref="E33"/>
    </sheetView>
  </sheetViews>
  <sheetFormatPr defaultRowHeight="12.75" customHeight="1"/>
  <cols>
    <col min="2" max="2" width="0.85546875" customWidth="1"/>
    <col min="3" max="3" width="41.5703125" customWidth="1"/>
    <col min="4" max="4" width="34.42578125" bestFit="1" customWidth="1"/>
    <col min="5" max="5" width="23.140625" customWidth="1"/>
    <col min="6" max="6" width="3.140625" customWidth="1"/>
    <col min="7" max="7" width="24.5703125" customWidth="1"/>
    <col min="8" max="8" width="2.85546875" customWidth="1"/>
    <col min="9" max="9" width="20.85546875" customWidth="1"/>
    <col min="10" max="12" width="9.140625" customWidth="1"/>
    <col min="16" max="18" width="9.140625" customWidth="1"/>
  </cols>
  <sheetData>
    <row r="1" spans="1:9" ht="15.75">
      <c r="A1" s="808"/>
      <c r="B1" s="29"/>
      <c r="C1" s="25"/>
      <c r="D1" s="25"/>
      <c r="E1" s="25"/>
      <c r="F1" s="25"/>
      <c r="G1" s="25"/>
      <c r="H1" s="25"/>
      <c r="I1" s="25"/>
    </row>
    <row r="2" spans="1:9" ht="15.75">
      <c r="A2" s="808"/>
      <c r="B2" s="29"/>
      <c r="C2" s="25"/>
      <c r="D2" s="25"/>
      <c r="E2" s="25"/>
      <c r="F2" s="25"/>
      <c r="G2" s="25"/>
      <c r="H2" s="25"/>
      <c r="I2" s="25"/>
    </row>
    <row r="3" spans="1:9" ht="15">
      <c r="A3" s="1460" t="s">
        <v>387</v>
      </c>
      <c r="B3" s="1460"/>
      <c r="C3" s="1460"/>
      <c r="D3" s="1460"/>
      <c r="E3" s="1460"/>
      <c r="F3" s="1460"/>
      <c r="G3" s="1460"/>
      <c r="H3" s="1460"/>
      <c r="I3" s="1460"/>
    </row>
    <row r="4" spans="1:9" ht="15">
      <c r="A4" s="1461" t="str">
        <f>"Cost of Service Formula Rate Using Actual/Projected FF1 Balances"</f>
        <v>Cost of Service Formula Rate Using Actual/Projected FF1 Balances</v>
      </c>
      <c r="B4" s="1461"/>
      <c r="C4" s="1461"/>
      <c r="D4" s="1461"/>
      <c r="E4" s="1461"/>
      <c r="F4" s="1461"/>
      <c r="G4" s="1461"/>
      <c r="H4" s="1461"/>
      <c r="I4" s="1461"/>
    </row>
    <row r="5" spans="1:9" ht="15">
      <c r="A5" s="1461" t="s">
        <v>471</v>
      </c>
      <c r="B5" s="1461"/>
      <c r="C5" s="1461"/>
      <c r="D5" s="1461"/>
      <c r="E5" s="1461"/>
      <c r="F5" s="1461"/>
      <c r="G5" s="1461"/>
      <c r="H5" s="1461"/>
      <c r="I5" s="1461"/>
    </row>
    <row r="6" spans="1:9" ht="15">
      <c r="A6" s="1472" t="str">
        <f>TCOS!F9</f>
        <v>Appalachian Power Company</v>
      </c>
      <c r="B6" s="1472"/>
      <c r="C6" s="1472"/>
      <c r="D6" s="1472"/>
      <c r="E6" s="1472"/>
      <c r="F6" s="1472"/>
      <c r="G6" s="1472"/>
      <c r="H6" s="1472"/>
      <c r="I6" s="1472"/>
    </row>
    <row r="7" spans="1:9">
      <c r="A7" s="25"/>
      <c r="B7" s="29"/>
      <c r="C7" s="27"/>
      <c r="D7" s="27"/>
      <c r="E7" s="25"/>
      <c r="F7" s="25"/>
      <c r="G7" s="25"/>
      <c r="H7" s="25"/>
      <c r="I7" s="25"/>
    </row>
    <row r="8" spans="1:9">
      <c r="A8" s="25"/>
      <c r="B8" s="29"/>
      <c r="C8" s="7" t="s">
        <v>162</v>
      </c>
      <c r="D8" s="7" t="s">
        <v>163</v>
      </c>
      <c r="E8" s="7" t="s">
        <v>164</v>
      </c>
      <c r="F8" s="25"/>
      <c r="G8" s="7" t="s">
        <v>165</v>
      </c>
      <c r="H8" s="25"/>
      <c r="I8" s="7" t="s">
        <v>84</v>
      </c>
    </row>
    <row r="9" spans="1:9">
      <c r="A9" s="81"/>
      <c r="B9" s="29"/>
      <c r="C9" s="25"/>
      <c r="D9" s="25"/>
      <c r="E9" s="25"/>
      <c r="F9" s="25"/>
      <c r="G9" s="25"/>
      <c r="H9" s="25"/>
      <c r="I9" s="13"/>
    </row>
    <row r="10" spans="1:9" ht="12.75" customHeight="1">
      <c r="A10" s="11" t="s">
        <v>169</v>
      </c>
      <c r="B10" s="29"/>
      <c r="C10" s="28"/>
      <c r="D10" s="28"/>
      <c r="E10" s="1470" t="str">
        <f>"Balance @ December 31, "&amp;TCOS!L4&amp;""</f>
        <v>Balance @ December 31, 2024</v>
      </c>
      <c r="F10" s="121"/>
      <c r="G10" s="1470" t="str">
        <f>"Balance @ December 31, "&amp;TCOS!L4-1&amp;""</f>
        <v>Balance @ December 31, 2023</v>
      </c>
      <c r="H10" s="121"/>
      <c r="I10" s="1473" t="str">
        <f>"Average Balance for "&amp;TCOS!L4&amp;""</f>
        <v>Average Balance for 2024</v>
      </c>
    </row>
    <row r="11" spans="1:9">
      <c r="A11" s="11" t="s">
        <v>106</v>
      </c>
      <c r="B11" s="10"/>
      <c r="C11" s="11" t="s">
        <v>167</v>
      </c>
      <c r="D11" s="11" t="s">
        <v>206</v>
      </c>
      <c r="E11" s="1471"/>
      <c r="F11" s="74"/>
      <c r="G11" s="1471"/>
      <c r="H11" s="187"/>
      <c r="I11" s="1471"/>
    </row>
    <row r="12" spans="1:9">
      <c r="A12" s="81"/>
      <c r="B12" s="29"/>
      <c r="C12" s="27"/>
      <c r="D12" s="27"/>
      <c r="E12" s="25"/>
      <c r="F12" s="25"/>
      <c r="G12" s="197"/>
      <c r="H12" s="25"/>
      <c r="I12" s="25"/>
    </row>
    <row r="13" spans="1:9">
      <c r="A13" s="81"/>
      <c r="B13" s="29"/>
      <c r="C13" s="27"/>
      <c r="D13" s="27"/>
      <c r="E13" s="25"/>
      <c r="F13" s="25"/>
      <c r="G13" s="25"/>
      <c r="H13" s="25"/>
      <c r="I13" s="25"/>
    </row>
    <row r="14" spans="1:9">
      <c r="A14" s="81"/>
      <c r="B14" s="29"/>
      <c r="C14" s="27"/>
      <c r="D14" s="27"/>
      <c r="E14" s="25"/>
      <c r="F14" s="25"/>
      <c r="G14" s="25"/>
      <c r="H14" s="25"/>
      <c r="I14" s="25"/>
    </row>
    <row r="15" spans="1:9" ht="15.75">
      <c r="A15" s="81">
        <v>1</v>
      </c>
      <c r="B15" s="29"/>
      <c r="C15" s="50" t="s">
        <v>509</v>
      </c>
      <c r="D15" s="50"/>
      <c r="E15" s="25"/>
      <c r="F15" s="25"/>
      <c r="G15" s="25"/>
      <c r="H15" s="25"/>
      <c r="I15" s="25"/>
    </row>
    <row r="16" spans="1:9" ht="15.75">
      <c r="A16" s="81"/>
      <c r="B16" s="29"/>
      <c r="C16" s="50"/>
      <c r="D16" s="50"/>
      <c r="E16" s="25"/>
      <c r="F16" s="21"/>
      <c r="G16" s="25"/>
      <c r="I16" s="25"/>
    </row>
    <row r="17" spans="1:9">
      <c r="A17" s="81">
        <f>+A15+1</f>
        <v>2</v>
      </c>
      <c r="B17" s="29"/>
      <c r="C17" s="52" t="s">
        <v>515</v>
      </c>
      <c r="D17" s="73" t="s">
        <v>517</v>
      </c>
      <c r="E17" s="1208">
        <v>205492207.17000461</v>
      </c>
      <c r="F17" s="1212"/>
      <c r="G17" s="1208">
        <v>214549578.24775749</v>
      </c>
      <c r="I17" s="118">
        <f>IF(G17="",0,(E17+G17)/2)</f>
        <v>210020892.70888105</v>
      </c>
    </row>
    <row r="18" spans="1:9">
      <c r="A18" s="81">
        <f>+A17+1</f>
        <v>3</v>
      </c>
      <c r="B18" s="29"/>
      <c r="C18" s="52" t="s">
        <v>519</v>
      </c>
      <c r="D18" s="256" t="str">
        <f>"WS B-1 - Actual Stmt. AF Ln. " &amp;'WS B-1 - Actual Stmt. AF'!A24&amp;" (Note 1)"</f>
        <v>WS B-1 - Actual Stmt. AF Ln. 4 (Note 1)</v>
      </c>
      <c r="E18" s="1208">
        <v>0</v>
      </c>
      <c r="F18" s="1212"/>
      <c r="G18" s="1208">
        <v>0</v>
      </c>
      <c r="I18" s="118">
        <f>IF(G18="",0,(E18+G18)/2)</f>
        <v>0</v>
      </c>
    </row>
    <row r="19" spans="1:9" ht="15">
      <c r="A19" s="81">
        <f>+A18+1</f>
        <v>4</v>
      </c>
      <c r="B19" s="29"/>
      <c r="C19" s="52" t="s">
        <v>520</v>
      </c>
      <c r="D19" s="256" t="str">
        <f>"WS B-1 - Actual Stmt. AF Ln. " &amp;'WS B-1 - Actual Stmt. AF'!A23&amp;" (Note 1)"</f>
        <v>WS B-1 - Actual Stmt. AF Ln. 3 (Note 1)</v>
      </c>
      <c r="E19" s="1211">
        <v>205492207.17000461</v>
      </c>
      <c r="F19" s="1212"/>
      <c r="G19" s="1211">
        <v>214549578.24775749</v>
      </c>
      <c r="H19" s="25"/>
      <c r="I19" s="174">
        <f>IF(G19="",0,(E19+G19)/2)</f>
        <v>210020892.70888105</v>
      </c>
    </row>
    <row r="20" spans="1:9">
      <c r="A20" s="81">
        <f>+A19+1</f>
        <v>5</v>
      </c>
      <c r="B20" s="29"/>
      <c r="C20" s="52" t="s">
        <v>516</v>
      </c>
      <c r="D20" s="122" t="str">
        <f>"Ln "&amp;A17&amp;" - ln "&amp;A18&amp;" - ln "&amp;A19&amp;""</f>
        <v>Ln 2 - ln 3 - ln 4</v>
      </c>
      <c r="E20" s="1366">
        <f>+E17-E18-E19</f>
        <v>0</v>
      </c>
      <c r="F20" s="1367"/>
      <c r="G20" s="1366">
        <f>+G17-G18-G19</f>
        <v>0</v>
      </c>
      <c r="H20" s="25"/>
      <c r="I20" s="118">
        <f>+I17-I18-I19</f>
        <v>0</v>
      </c>
    </row>
    <row r="21" spans="1:9">
      <c r="A21" s="81"/>
      <c r="B21" s="29"/>
      <c r="C21" s="52"/>
      <c r="D21" s="122"/>
      <c r="E21" s="1367"/>
      <c r="F21" s="1367"/>
      <c r="G21" s="1367"/>
      <c r="H21" s="25"/>
      <c r="I21" s="25"/>
    </row>
    <row r="22" spans="1:9">
      <c r="A22" s="81"/>
      <c r="B22" s="29"/>
      <c r="C22" s="52"/>
      <c r="D22" s="122"/>
      <c r="E22" s="1367"/>
      <c r="F22" s="1367"/>
      <c r="G22" s="1367"/>
      <c r="H22" s="25"/>
      <c r="I22" s="25"/>
    </row>
    <row r="23" spans="1:9" ht="15.75">
      <c r="A23" s="81">
        <f>+A20+1</f>
        <v>6</v>
      </c>
      <c r="B23" s="29"/>
      <c r="C23" s="50" t="s">
        <v>510</v>
      </c>
      <c r="D23" s="122"/>
      <c r="E23" s="1367"/>
      <c r="F23" s="1367"/>
      <c r="G23" s="1367"/>
      <c r="H23" s="25"/>
      <c r="I23" s="25"/>
    </row>
    <row r="24" spans="1:9">
      <c r="A24" s="81"/>
      <c r="B24" s="29"/>
      <c r="C24" s="52"/>
      <c r="D24" s="122"/>
      <c r="E24" s="1367"/>
      <c r="F24" s="1367"/>
      <c r="G24" s="1367"/>
      <c r="H24" s="25"/>
      <c r="I24" s="25"/>
    </row>
    <row r="25" spans="1:9">
      <c r="A25" s="81">
        <f>+A23+1</f>
        <v>7</v>
      </c>
      <c r="B25" s="29"/>
      <c r="C25" s="52" t="s">
        <v>515</v>
      </c>
      <c r="D25" s="73" t="s">
        <v>449</v>
      </c>
      <c r="E25" s="1208">
        <v>1992766094.0127668</v>
      </c>
      <c r="F25" s="1212"/>
      <c r="G25" s="1208">
        <v>2080600188.7125509</v>
      </c>
      <c r="I25" s="118">
        <f>IF(G25="",0,(E25+G25)/2)</f>
        <v>2036683141.362659</v>
      </c>
    </row>
    <row r="26" spans="1:9">
      <c r="A26" s="81">
        <f>+A25+1</f>
        <v>8</v>
      </c>
      <c r="B26" s="29"/>
      <c r="C26" s="52" t="s">
        <v>519</v>
      </c>
      <c r="D26" s="256" t="str">
        <f>"WS B-1 - Actual Stmt. AF Ln. " &amp;'WS B-1 - Actual Stmt. AF'!A72&amp;" (Note 1)"</f>
        <v>WS B-1 - Actual Stmt. AF Ln. 7 (Note 1)</v>
      </c>
      <c r="E26" s="1208">
        <v>10124113.549999999</v>
      </c>
      <c r="F26" s="1212"/>
      <c r="G26" s="1208">
        <v>10124113.549999999</v>
      </c>
      <c r="I26" s="118">
        <f>IF(G26="",0,(E26+G26)/2)</f>
        <v>10124113.549999999</v>
      </c>
    </row>
    <row r="27" spans="1:9" ht="15">
      <c r="A27" s="81">
        <f>+A26+1</f>
        <v>9</v>
      </c>
      <c r="B27" s="29"/>
      <c r="C27" s="52" t="s">
        <v>520</v>
      </c>
      <c r="D27" s="256" t="str">
        <f>"WS B-1 - Actual Stmt. AF Ln. " &amp;'WS B-1 - Actual Stmt. AF'!A71&amp;" (Note 1)"</f>
        <v>WS B-1 - Actual Stmt. AF Ln. 6 (Note 1)</v>
      </c>
      <c r="E27" s="1211">
        <v>1313676476.0184474</v>
      </c>
      <c r="F27" s="1212"/>
      <c r="G27" s="1211">
        <v>1387971306.3540211</v>
      </c>
      <c r="H27" s="25"/>
      <c r="I27" s="174">
        <f>IF(G27="",0,(E27+G27)/2)</f>
        <v>1350823891.1862342</v>
      </c>
    </row>
    <row r="28" spans="1:9">
      <c r="A28" s="81">
        <f>+A27+1</f>
        <v>10</v>
      </c>
      <c r="B28" s="29"/>
      <c r="C28" s="52" t="s">
        <v>516</v>
      </c>
      <c r="D28" s="122" t="str">
        <f>"Ln "&amp;A25&amp;" - ln "&amp;A26&amp;" - ln "&amp;A27&amp;""</f>
        <v>Ln 7 - ln 8 - ln 9</v>
      </c>
      <c r="E28" s="1366">
        <f>+E25-E26-E27</f>
        <v>668965504.44431949</v>
      </c>
      <c r="F28" s="1367"/>
      <c r="G28" s="1366">
        <f>+G25-G26-G27</f>
        <v>682504768.80852985</v>
      </c>
      <c r="H28" s="25"/>
      <c r="I28" s="118">
        <f>+I25-I26-I27</f>
        <v>675735136.62642479</v>
      </c>
    </row>
    <row r="29" spans="1:9">
      <c r="A29" s="81"/>
      <c r="B29" s="29"/>
      <c r="C29" s="52"/>
      <c r="D29" s="122"/>
      <c r="E29" s="1367"/>
      <c r="F29" s="1367"/>
      <c r="G29" s="1367"/>
      <c r="H29" s="25"/>
      <c r="I29" s="25"/>
    </row>
    <row r="30" spans="1:9">
      <c r="A30" s="81"/>
      <c r="B30" s="29"/>
      <c r="C30" s="52"/>
      <c r="D30" s="122"/>
      <c r="E30" s="1366"/>
      <c r="F30" s="1367"/>
      <c r="G30" s="1366"/>
      <c r="H30" s="25"/>
      <c r="I30" s="25"/>
    </row>
    <row r="31" spans="1:9" ht="15.75">
      <c r="A31" s="81">
        <f>+A28+1</f>
        <v>11</v>
      </c>
      <c r="B31" s="29"/>
      <c r="C31" s="50" t="s">
        <v>511</v>
      </c>
      <c r="D31" s="122"/>
      <c r="E31" s="1367"/>
      <c r="F31" s="1367"/>
      <c r="G31" s="1367"/>
      <c r="H31" s="25"/>
      <c r="I31" s="25"/>
    </row>
    <row r="32" spans="1:9" ht="15.75">
      <c r="A32" s="81"/>
      <c r="B32" s="29"/>
      <c r="C32" s="50"/>
      <c r="D32" s="122"/>
      <c r="E32" s="1367"/>
      <c r="F32" s="1367"/>
      <c r="G32" s="1367"/>
      <c r="H32" s="25"/>
      <c r="I32" s="25"/>
    </row>
    <row r="33" spans="1:9">
      <c r="A33" s="81">
        <f>+A31+1</f>
        <v>12</v>
      </c>
      <c r="B33" s="29"/>
      <c r="C33" s="52" t="s">
        <v>515</v>
      </c>
      <c r="D33" s="73" t="s">
        <v>518</v>
      </c>
      <c r="E33" s="1208">
        <v>357340658.45534873</v>
      </c>
      <c r="F33" s="1212"/>
      <c r="G33" s="1208">
        <v>369646674.64397156</v>
      </c>
      <c r="I33" s="118">
        <f>IF(G33="",0,(E33+G33)/2)</f>
        <v>363493666.54966015</v>
      </c>
    </row>
    <row r="34" spans="1:9">
      <c r="A34" s="81">
        <f>+A33+1</f>
        <v>13</v>
      </c>
      <c r="B34" s="29"/>
      <c r="C34" s="52" t="s">
        <v>519</v>
      </c>
      <c r="D34" s="256" t="str">
        <f>"WS B-1 - Actual Stmt. AF Ln. " &amp;'WS B-1 - Actual Stmt. AF'!A184&amp;" (Note 1)"</f>
        <v>WS B-1 - Actual Stmt. AF Ln. 13 (Note 1)</v>
      </c>
      <c r="E34" s="1208">
        <v>6102105.3100000005</v>
      </c>
      <c r="F34" s="1212"/>
      <c r="G34" s="1208">
        <v>6102105.3100000005</v>
      </c>
      <c r="I34" s="118">
        <f>IF(G34="",0,(E34+G34)/2)</f>
        <v>6102105.3100000005</v>
      </c>
    </row>
    <row r="35" spans="1:9" ht="15">
      <c r="A35" s="81">
        <f>+A34+1</f>
        <v>14</v>
      </c>
      <c r="B35" s="29"/>
      <c r="C35" s="52" t="s">
        <v>520</v>
      </c>
      <c r="D35" s="256" t="str">
        <f>"WS B-1 - Actual Stmt. AF Ln. " &amp;'WS B-1 - Actual Stmt. AF'!A183&amp;" (Note 1)"</f>
        <v>WS B-1 - Actual Stmt. AF Ln. 12 (Note 1)</v>
      </c>
      <c r="E35" s="1211">
        <v>313750038.54217696</v>
      </c>
      <c r="F35" s="1212"/>
      <c r="G35" s="1211">
        <v>325064659.85241348</v>
      </c>
      <c r="H35" s="25"/>
      <c r="I35" s="174">
        <f>IF(G35="",0,(E35+G35)/2)</f>
        <v>319407349.19729519</v>
      </c>
    </row>
    <row r="36" spans="1:9">
      <c r="A36" s="81">
        <f>+A35+1</f>
        <v>15</v>
      </c>
      <c r="B36" s="29"/>
      <c r="C36" s="52" t="s">
        <v>516</v>
      </c>
      <c r="D36" s="122" t="str">
        <f>"Ln "&amp;A33&amp;" - ln "&amp;A34&amp;" - ln "&amp;A35&amp;""</f>
        <v>Ln 12 - ln 13 - ln 14</v>
      </c>
      <c r="E36" s="1366">
        <f>+E33-E34-E35</f>
        <v>37488514.603171766</v>
      </c>
      <c r="F36" s="1367"/>
      <c r="G36" s="1366">
        <f>+G33-G34-G35</f>
        <v>38479909.481558084</v>
      </c>
      <c r="H36" s="25"/>
      <c r="I36" s="118">
        <f>+I33-I34-I35</f>
        <v>37984212.042364955</v>
      </c>
    </row>
    <row r="37" spans="1:9" ht="15.75">
      <c r="A37" s="81"/>
      <c r="B37" s="29"/>
      <c r="C37" s="50"/>
      <c r="D37" s="122"/>
      <c r="E37" s="1367"/>
      <c r="F37" s="1367"/>
      <c r="G37" s="1367"/>
      <c r="H37" s="25"/>
      <c r="I37" s="25"/>
    </row>
    <row r="38" spans="1:9">
      <c r="A38" s="81"/>
      <c r="B38" s="29"/>
      <c r="C38" s="52"/>
      <c r="D38" s="122"/>
      <c r="E38" s="1367"/>
      <c r="F38" s="1367"/>
      <c r="G38" s="1367"/>
      <c r="H38" s="25"/>
      <c r="I38" s="25"/>
    </row>
    <row r="39" spans="1:9" ht="15.75">
      <c r="A39" s="81">
        <f>+A36+1</f>
        <v>16</v>
      </c>
      <c r="B39" s="29"/>
      <c r="C39" s="50" t="s">
        <v>512</v>
      </c>
      <c r="D39" s="122"/>
      <c r="E39" s="1367"/>
      <c r="F39" s="1367"/>
      <c r="G39" s="1367"/>
      <c r="H39" s="25"/>
      <c r="I39" s="25"/>
    </row>
    <row r="40" spans="1:9">
      <c r="A40" s="81"/>
      <c r="B40" s="29"/>
      <c r="C40" s="52"/>
      <c r="D40" s="122"/>
      <c r="E40" s="1367"/>
      <c r="F40" s="1367"/>
      <c r="G40" s="1367"/>
      <c r="H40" s="25"/>
      <c r="I40" s="25"/>
    </row>
    <row r="41" spans="1:9">
      <c r="A41" s="81">
        <f>+A39+1</f>
        <v>17</v>
      </c>
      <c r="B41" s="29"/>
      <c r="C41" s="52" t="s">
        <v>515</v>
      </c>
      <c r="D41" s="73" t="s">
        <v>514</v>
      </c>
      <c r="E41" s="1208">
        <v>337092562.41500002</v>
      </c>
      <c r="F41" s="1212"/>
      <c r="G41" s="1208">
        <v>337672472.41500014</v>
      </c>
      <c r="I41" s="118">
        <f>IF(G41="",0,(E41+G41)/2)</f>
        <v>337382517.41500008</v>
      </c>
    </row>
    <row r="42" spans="1:9">
      <c r="A42" s="81">
        <f>+A41+1</f>
        <v>18</v>
      </c>
      <c r="B42" s="29"/>
      <c r="C42" s="52" t="s">
        <v>519</v>
      </c>
      <c r="D42" s="256" t="str">
        <f>"WS B-2 - Actual Stmt. AG Ln. " &amp;'WS B-2 - Actual Stmt. AG'!A110&amp;" (Note 1)"</f>
        <v>WS B-2 - Actual Stmt. AG Ln. 4 (Note 1)</v>
      </c>
      <c r="E42" s="1208">
        <v>89833621.909999996</v>
      </c>
      <c r="F42" s="1212"/>
      <c r="G42" s="1208">
        <v>89833621.909999996</v>
      </c>
      <c r="I42" s="118">
        <f>IF(G42="",0,(E42+G42)/2)</f>
        <v>89833621.909999996</v>
      </c>
    </row>
    <row r="43" spans="1:9" ht="15">
      <c r="A43" s="81">
        <f>+A42+1</f>
        <v>19</v>
      </c>
      <c r="B43" s="29"/>
      <c r="C43" s="52" t="s">
        <v>520</v>
      </c>
      <c r="D43" s="256" t="str">
        <f>"WS B-2 - Actual Stmt. AG Ln. " &amp;'WS B-2 - Actual Stmt. AG'!A109&amp;" (Note 1)"</f>
        <v>WS B-2 - Actual Stmt. AG Ln. 3 (Note 1)</v>
      </c>
      <c r="E43" s="1211">
        <v>178514478.3804698</v>
      </c>
      <c r="F43" s="1212"/>
      <c r="G43" s="1211">
        <v>174246076.90958077</v>
      </c>
      <c r="H43" s="25"/>
      <c r="I43" s="174">
        <f>IF(G43="",0,(E43+G43)/2)</f>
        <v>176380277.64502528</v>
      </c>
    </row>
    <row r="44" spans="1:9">
      <c r="A44" s="81">
        <f>+A43+1</f>
        <v>20</v>
      </c>
      <c r="B44" s="29"/>
      <c r="C44" s="52" t="s">
        <v>516</v>
      </c>
      <c r="D44" s="122" t="str">
        <f>"Ln "&amp;A41&amp;" - ln "&amp;A42&amp;" - ln "&amp;A43&amp;""</f>
        <v>Ln 17 - ln 18 - ln 19</v>
      </c>
      <c r="E44" s="1366">
        <f>+E41-E42-E43</f>
        <v>68744462.124530226</v>
      </c>
      <c r="F44" s="1367"/>
      <c r="G44" s="1366">
        <f>+G41-G42-G43</f>
        <v>73592773.595419377</v>
      </c>
      <c r="H44" s="25"/>
      <c r="I44" s="118">
        <f>+I41-I42-I43</f>
        <v>71168617.859974802</v>
      </c>
    </row>
    <row r="45" spans="1:9">
      <c r="A45" s="81"/>
      <c r="B45" s="29"/>
      <c r="C45" s="52"/>
      <c r="D45" s="122"/>
      <c r="E45" s="1367"/>
      <c r="F45" s="1367"/>
      <c r="G45" s="1367"/>
      <c r="H45" s="25"/>
      <c r="I45" s="25"/>
    </row>
    <row r="46" spans="1:9">
      <c r="A46" s="81"/>
      <c r="B46" s="29"/>
      <c r="C46" s="52"/>
      <c r="D46" s="122"/>
      <c r="E46" s="1367"/>
      <c r="F46" s="1367"/>
      <c r="G46" s="1367"/>
      <c r="H46" s="25"/>
      <c r="I46" s="25"/>
    </row>
    <row r="47" spans="1:9" ht="15.75">
      <c r="A47" s="81">
        <f>+A44+1</f>
        <v>21</v>
      </c>
      <c r="B47" s="29"/>
      <c r="C47" s="50" t="s">
        <v>513</v>
      </c>
      <c r="D47" s="122"/>
      <c r="E47" s="1367"/>
      <c r="F47" s="1367"/>
      <c r="G47" s="1367"/>
      <c r="H47" s="25"/>
      <c r="I47" s="25"/>
    </row>
    <row r="48" spans="1:9">
      <c r="A48" s="81"/>
      <c r="B48" s="29"/>
      <c r="C48" s="52"/>
      <c r="D48" s="122"/>
      <c r="E48" s="1367"/>
      <c r="F48" s="1367"/>
      <c r="G48" s="1367"/>
      <c r="H48" s="25"/>
      <c r="I48" s="25"/>
    </row>
    <row r="49" spans="1:9">
      <c r="A49" s="81">
        <f>+A47+1</f>
        <v>22</v>
      </c>
      <c r="B49" s="29"/>
      <c r="C49" s="52" t="s">
        <v>521</v>
      </c>
      <c r="D49" s="73" t="s">
        <v>470</v>
      </c>
      <c r="E49" s="1208">
        <v>268063.75</v>
      </c>
      <c r="F49" s="1212"/>
      <c r="G49" s="1208">
        <v>279778.75</v>
      </c>
      <c r="I49" s="118">
        <f>IF(G49="",0,(E49+G49)/2)</f>
        <v>273921.25</v>
      </c>
    </row>
    <row r="50" spans="1:9" ht="15">
      <c r="A50" s="81">
        <f>+A49+1</f>
        <v>23</v>
      </c>
      <c r="B50" s="29"/>
      <c r="C50" s="52" t="s">
        <v>522</v>
      </c>
      <c r="D50" s="256" t="s">
        <v>67</v>
      </c>
      <c r="E50" s="1211">
        <v>0</v>
      </c>
      <c r="F50" s="1212"/>
      <c r="G50" s="1211">
        <v>0</v>
      </c>
      <c r="I50" s="174">
        <f>IF(G50="",0,(E50+G50)/2)</f>
        <v>0</v>
      </c>
    </row>
    <row r="51" spans="1:9">
      <c r="A51" s="81">
        <f>+A50+1</f>
        <v>24</v>
      </c>
      <c r="B51" s="29"/>
      <c r="C51" s="52" t="s">
        <v>388</v>
      </c>
      <c r="D51" s="122" t="str">
        <f>"Ln "&amp;A49&amp;" - ln "&amp;A50&amp;""</f>
        <v>Ln 22 - ln 23</v>
      </c>
      <c r="E51" s="1366">
        <f>+E49-E50</f>
        <v>268063.75</v>
      </c>
      <c r="F51" s="1367"/>
      <c r="G51" s="1366">
        <f>+G49-G50</f>
        <v>279778.75</v>
      </c>
      <c r="I51" s="118">
        <f>+I49-I50</f>
        <v>273921.25</v>
      </c>
    </row>
    <row r="52" spans="1:9">
      <c r="A52" s="81">
        <f>+A51+1</f>
        <v>25</v>
      </c>
      <c r="B52" s="29"/>
      <c r="C52" s="52" t="s">
        <v>516</v>
      </c>
      <c r="D52" s="256" t="str">
        <f>"WS B-1 - Actual Stmt. AF Ln. " &amp;'WS B-1 - Actual Stmt. AF'!A197&amp;" (Note 1)"</f>
        <v>WS B-1 - Actual Stmt. AF Ln. 20 (Note 1)</v>
      </c>
      <c r="E52" s="1208">
        <v>2662</v>
      </c>
      <c r="F52" s="1212"/>
      <c r="G52" s="1208">
        <v>2662</v>
      </c>
      <c r="I52" s="118">
        <f>IF(G52="",0,(E52+G52)/2)</f>
        <v>2662</v>
      </c>
    </row>
    <row r="53" spans="1:9">
      <c r="A53" s="81"/>
      <c r="B53" s="29"/>
      <c r="C53" s="52"/>
      <c r="D53" s="52"/>
      <c r="E53" s="25"/>
      <c r="F53" s="25"/>
      <c r="G53" s="25"/>
      <c r="H53" s="25"/>
      <c r="I53" s="25"/>
    </row>
    <row r="54" spans="1:9">
      <c r="A54" s="71" t="s">
        <v>68</v>
      </c>
      <c r="B54" s="29"/>
      <c r="C54" s="1469" t="s">
        <v>822</v>
      </c>
      <c r="D54" s="1469"/>
      <c r="E54" s="1469"/>
      <c r="F54" s="1469"/>
      <c r="G54" s="1469"/>
      <c r="H54" s="1469"/>
      <c r="I54" s="1469"/>
    </row>
    <row r="55" spans="1:9">
      <c r="A55" s="71"/>
      <c r="B55" s="29"/>
      <c r="C55" s="1469"/>
      <c r="D55" s="1469"/>
      <c r="E55" s="1469"/>
      <c r="F55" s="1469"/>
      <c r="G55" s="1469"/>
      <c r="H55" s="1469"/>
      <c r="I55" s="1469"/>
    </row>
    <row r="56" spans="1:9">
      <c r="A56" s="81"/>
      <c r="B56" s="29"/>
      <c r="C56" s="52"/>
      <c r="D56" s="52"/>
      <c r="E56" s="25"/>
      <c r="F56" s="25"/>
      <c r="G56" s="25"/>
      <c r="H56" s="25"/>
      <c r="I56" s="25"/>
    </row>
    <row r="57" spans="1:9">
      <c r="A57" s="81" t="s">
        <v>69</v>
      </c>
      <c r="B57" s="29" t="s">
        <v>70</v>
      </c>
      <c r="C57" s="52"/>
      <c r="D57" s="52"/>
      <c r="E57" s="25"/>
      <c r="F57" s="25"/>
      <c r="G57" s="25"/>
      <c r="H57" s="25"/>
      <c r="I57" s="2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57"/>
  <sheetViews>
    <sheetView view="pageBreakPreview" zoomScale="60" zoomScaleNormal="100" workbookViewId="0">
      <selection activeCell="D10" sqref="D10"/>
    </sheetView>
  </sheetViews>
  <sheetFormatPr defaultRowHeight="12.75" customHeight="1"/>
  <cols>
    <col min="1" max="1" width="27" customWidth="1"/>
    <col min="4" max="4" width="27" customWidth="1"/>
    <col min="6" max="6" width="13.140625" customWidth="1"/>
    <col min="8" max="8" width="21.7109375" customWidth="1"/>
    <col min="9" max="9" width="17.7109375" customWidth="1"/>
    <col min="11" max="11" width="18.7109375" customWidth="1"/>
  </cols>
  <sheetData>
    <row r="1" spans="1:11" ht="15.75">
      <c r="A1" s="1568" t="s">
        <v>387</v>
      </c>
      <c r="B1" s="1568"/>
      <c r="C1" s="1568"/>
      <c r="D1" s="1568"/>
      <c r="E1" s="1568"/>
      <c r="F1" s="1568"/>
      <c r="G1" s="1568"/>
      <c r="H1" s="1568"/>
      <c r="I1" s="1568"/>
      <c r="J1" s="1568"/>
      <c r="K1" s="1568"/>
    </row>
    <row r="2" spans="1:11" ht="15.75">
      <c r="A2" s="1567" t="s">
        <v>567</v>
      </c>
      <c r="B2" s="1567"/>
      <c r="C2" s="1567"/>
      <c r="D2" s="1567"/>
      <c r="E2" s="1567"/>
      <c r="F2" s="1567"/>
      <c r="G2" s="1567"/>
      <c r="H2" s="1567"/>
      <c r="I2" s="1567"/>
      <c r="J2" s="1567"/>
      <c r="K2" s="1567"/>
    </row>
    <row r="3" spans="1:11" ht="15.75">
      <c r="A3" s="1567" t="s">
        <v>568</v>
      </c>
      <c r="B3" s="1567"/>
      <c r="C3" s="1567"/>
      <c r="D3" s="1567"/>
      <c r="E3" s="1567"/>
      <c r="F3" s="1567"/>
      <c r="G3" s="1567"/>
      <c r="H3" s="1567"/>
      <c r="I3" s="1567"/>
      <c r="J3" s="1567"/>
      <c r="K3" s="1567"/>
    </row>
    <row r="4" spans="1:11" ht="15.75">
      <c r="A4" s="458"/>
      <c r="B4" s="458"/>
      <c r="C4" s="458"/>
      <c r="D4" s="1567"/>
      <c r="E4" s="1567"/>
      <c r="F4" s="1567"/>
      <c r="G4" s="1567"/>
      <c r="H4" s="458"/>
      <c r="I4" s="458"/>
      <c r="J4" s="458"/>
      <c r="K4" s="458"/>
    </row>
    <row r="5" spans="1:11">
      <c r="A5" s="362"/>
      <c r="B5" s="362"/>
      <c r="C5" s="362"/>
      <c r="D5" s="362"/>
      <c r="E5" s="362"/>
      <c r="F5" s="362"/>
      <c r="G5" s="362"/>
      <c r="H5" s="362"/>
      <c r="I5" s="362"/>
      <c r="J5" s="362"/>
      <c r="K5" s="362"/>
    </row>
    <row r="6" spans="1:11">
      <c r="A6" s="362"/>
      <c r="B6" s="362"/>
      <c r="C6" s="362"/>
      <c r="D6" s="362"/>
      <c r="E6" s="362"/>
      <c r="F6" s="362"/>
      <c r="G6" s="362"/>
      <c r="H6" s="362"/>
      <c r="I6" s="362"/>
      <c r="J6" s="362"/>
      <c r="K6" s="362"/>
    </row>
    <row r="7" spans="1:11" ht="16.5" thickBot="1">
      <c r="A7" s="726"/>
      <c r="B7" s="727"/>
      <c r="C7" s="727"/>
      <c r="D7" s="727"/>
      <c r="E7" s="727"/>
      <c r="F7" s="727"/>
      <c r="G7" s="727"/>
      <c r="H7" s="727"/>
      <c r="I7" s="727"/>
      <c r="J7" s="727"/>
      <c r="K7" s="727"/>
    </row>
    <row r="8" spans="1:11" ht="47.25">
      <c r="A8" s="728" t="str">
        <f>'WS Q NITS'!A8</f>
        <v>Reconciliation Revenue Requirement For Year 2022 Available May 25, 2023</v>
      </c>
      <c r="B8" s="727"/>
      <c r="C8" s="727"/>
      <c r="D8" s="728" t="str">
        <f>'WS Q NITS'!D8</f>
        <v>2022 Forecasted Revenue Requirement For Year 2022</v>
      </c>
      <c r="E8" s="727"/>
      <c r="F8" s="727"/>
      <c r="G8" s="458"/>
      <c r="H8" s="728" t="s">
        <v>548</v>
      </c>
      <c r="I8" s="458"/>
      <c r="J8" s="458"/>
      <c r="K8" s="458"/>
    </row>
    <row r="9" spans="1:11" ht="15.75">
      <c r="A9" s="729" t="s">
        <v>114</v>
      </c>
      <c r="B9" s="727"/>
      <c r="C9" s="727"/>
      <c r="D9" s="729"/>
      <c r="E9" s="727"/>
      <c r="F9" s="727"/>
      <c r="G9" s="458"/>
      <c r="H9" s="730"/>
      <c r="I9" s="458"/>
      <c r="J9" s="458"/>
      <c r="K9" s="458"/>
    </row>
    <row r="10" spans="1:11" ht="16.5" thickBot="1">
      <c r="A10" s="804">
        <v>28087577.49320437</v>
      </c>
      <c r="B10" s="731" t="str">
        <f>"-"</f>
        <v>-</v>
      </c>
      <c r="C10" s="732"/>
      <c r="D10" s="804">
        <v>26695952.20963683</v>
      </c>
      <c r="E10" s="733"/>
      <c r="F10" s="734" t="str">
        <f>"="</f>
        <v>=</v>
      </c>
      <c r="G10" s="735"/>
      <c r="H10" s="736">
        <f>IF(A10=0,0,D10-A10)</f>
        <v>-1391625.2835675403</v>
      </c>
      <c r="I10" s="458"/>
      <c r="J10" s="458"/>
      <c r="K10" s="458"/>
    </row>
    <row r="11" spans="1:11" ht="15.75">
      <c r="A11" s="737"/>
      <c r="B11" s="738"/>
      <c r="C11" s="738"/>
      <c r="D11" s="737"/>
      <c r="E11" s="737"/>
      <c r="F11" s="738"/>
      <c r="G11" s="737"/>
      <c r="H11" s="458"/>
      <c r="I11" s="458"/>
      <c r="J11" s="458"/>
      <c r="K11" s="458"/>
    </row>
    <row r="12" spans="1:11" ht="16.5" thickBot="1">
      <c r="A12" s="739"/>
      <c r="B12" s="740"/>
      <c r="C12" s="740"/>
      <c r="D12" s="739"/>
      <c r="E12" s="739"/>
      <c r="F12" s="740"/>
      <c r="G12" s="739"/>
      <c r="H12" s="741"/>
      <c r="I12" s="741"/>
      <c r="J12" s="741"/>
      <c r="K12" s="741"/>
    </row>
    <row r="13" spans="1:11" ht="15.75">
      <c r="A13" s="742"/>
      <c r="B13" s="738"/>
      <c r="C13" s="738"/>
      <c r="D13" s="737"/>
      <c r="E13" s="737"/>
      <c r="F13" s="738"/>
      <c r="G13" s="737"/>
      <c r="H13" s="458"/>
      <c r="I13" s="458"/>
      <c r="J13" s="458"/>
      <c r="K13" s="458"/>
    </row>
    <row r="14" spans="1:11" ht="47.25">
      <c r="A14" s="743" t="s">
        <v>549</v>
      </c>
      <c r="B14" s="738"/>
      <c r="C14" s="738"/>
      <c r="D14" s="744" t="s">
        <v>550</v>
      </c>
      <c r="E14" s="737"/>
      <c r="F14" s="744" t="s">
        <v>551</v>
      </c>
      <c r="G14" s="745" t="s">
        <v>552</v>
      </c>
      <c r="H14" s="746" t="s">
        <v>553</v>
      </c>
      <c r="I14" s="744" t="s">
        <v>554</v>
      </c>
      <c r="J14" s="747"/>
      <c r="K14" s="744" t="s">
        <v>555</v>
      </c>
    </row>
    <row r="15" spans="1:11" ht="15.75">
      <c r="A15" s="743" t="s">
        <v>556</v>
      </c>
      <c r="B15" s="738"/>
      <c r="C15" s="738"/>
      <c r="D15" s="458"/>
      <c r="E15" s="748"/>
      <c r="F15" s="1146">
        <f>'WS Q NITS'!F15</f>
        <v>4.239999999999999E-3</v>
      </c>
      <c r="G15" s="285"/>
      <c r="H15" s="458"/>
      <c r="I15" s="458"/>
      <c r="J15" s="458"/>
      <c r="K15" s="458"/>
    </row>
    <row r="16" spans="1:11" ht="15.75">
      <c r="A16" s="743"/>
      <c r="B16" s="738"/>
      <c r="C16" s="738"/>
      <c r="D16" s="458"/>
      <c r="E16" s="748"/>
      <c r="F16" s="748"/>
      <c r="G16" s="737"/>
      <c r="H16" s="458"/>
      <c r="I16" s="458"/>
      <c r="J16" s="458"/>
      <c r="K16" s="458"/>
    </row>
    <row r="17" spans="1:11" ht="15.75">
      <c r="A17" s="743" t="str">
        <f>'WS Q NITS'!A17</f>
        <v>An over or under collection will be recovered prorata over 2022, held for 2023 and returned prorate over 2024</v>
      </c>
      <c r="B17" s="738"/>
      <c r="C17" s="738"/>
      <c r="D17" s="458"/>
      <c r="E17" s="748"/>
      <c r="F17" s="748"/>
      <c r="G17" s="737"/>
      <c r="H17" s="458"/>
      <c r="I17" s="458"/>
      <c r="J17" s="458"/>
      <c r="K17" s="458"/>
    </row>
    <row r="18" spans="1:11" ht="15.75">
      <c r="A18" s="749" t="s">
        <v>114</v>
      </c>
      <c r="B18" s="738"/>
      <c r="C18" s="738"/>
      <c r="D18" s="738"/>
      <c r="E18" s="738"/>
      <c r="F18" s="738" t="s">
        <v>114</v>
      </c>
      <c r="G18" s="458"/>
      <c r="H18" s="458"/>
      <c r="I18" s="458"/>
      <c r="J18" s="458"/>
      <c r="K18" s="458"/>
    </row>
    <row r="19" spans="1:11" ht="15.75">
      <c r="A19" s="750"/>
      <c r="B19" s="738"/>
      <c r="C19" s="738"/>
      <c r="D19" s="738"/>
      <c r="E19" s="738"/>
      <c r="F19" s="458"/>
      <c r="G19" s="458"/>
      <c r="H19" s="745"/>
      <c r="I19" s="738"/>
      <c r="J19" s="738"/>
      <c r="K19" s="738"/>
    </row>
    <row r="20" spans="1:11" ht="15.75">
      <c r="A20" s="750" t="s">
        <v>557</v>
      </c>
      <c r="B20" s="738"/>
      <c r="C20" s="738"/>
      <c r="D20" s="738"/>
      <c r="E20" s="738"/>
      <c r="F20" s="458"/>
      <c r="G20" s="458"/>
      <c r="H20" s="745" t="s">
        <v>558</v>
      </c>
      <c r="I20" s="738"/>
      <c r="J20" s="738"/>
      <c r="K20" s="738"/>
    </row>
    <row r="21" spans="1:11" ht="15.75">
      <c r="A21" s="727" t="s">
        <v>185</v>
      </c>
      <c r="B21" s="1356" t="str">
        <f>"Year "&amp;TCOS!L4-2</f>
        <v>Year 2022</v>
      </c>
      <c r="C21" s="727"/>
      <c r="D21" s="751">
        <f>H10/12</f>
        <v>-115968.77363062836</v>
      </c>
      <c r="E21" s="751"/>
      <c r="F21" s="752">
        <f>+F15</f>
        <v>4.239999999999999E-3</v>
      </c>
      <c r="G21" s="1213">
        <v>12</v>
      </c>
      <c r="H21" s="751">
        <f>F21*D21*G21*-1</f>
        <v>5900.4912023263696</v>
      </c>
      <c r="I21" s="751"/>
      <c r="J21" s="751"/>
      <c r="K21" s="751">
        <f>(-H21+D21)*-1</f>
        <v>121869.26483295474</v>
      </c>
    </row>
    <row r="22" spans="1:11" ht="15.75">
      <c r="A22" s="727" t="s">
        <v>559</v>
      </c>
      <c r="B22" s="1356" t="str">
        <f>B21</f>
        <v>Year 2022</v>
      </c>
      <c r="C22" s="727"/>
      <c r="D22" s="751">
        <f>+D21</f>
        <v>-115968.77363062836</v>
      </c>
      <c r="E22" s="751"/>
      <c r="F22" s="752">
        <f>+F21</f>
        <v>4.239999999999999E-3</v>
      </c>
      <c r="G22" s="1213">
        <f t="shared" ref="G22:G32" si="0">+G21-1</f>
        <v>11</v>
      </c>
      <c r="H22" s="751">
        <f t="shared" ref="H22:H32" si="1">F22*D22*G22*-1</f>
        <v>5408.7836021325056</v>
      </c>
      <c r="I22" s="751"/>
      <c r="J22" s="751"/>
      <c r="K22" s="751">
        <f t="shared" ref="K22:K32" si="2">(-H22+D22)*-1</f>
        <v>121377.55723276087</v>
      </c>
    </row>
    <row r="23" spans="1:11" ht="15.75">
      <c r="A23" s="727" t="s">
        <v>186</v>
      </c>
      <c r="B23" s="1356" t="str">
        <f t="shared" ref="B23:B32" si="3">B22</f>
        <v>Year 2022</v>
      </c>
      <c r="C23" s="727"/>
      <c r="D23" s="751">
        <f t="shared" ref="D23:D32" si="4">+D22</f>
        <v>-115968.77363062836</v>
      </c>
      <c r="E23" s="751"/>
      <c r="F23" s="752">
        <f t="shared" ref="F23:F32" si="5">+F22</f>
        <v>4.239999999999999E-3</v>
      </c>
      <c r="G23" s="1213">
        <f t="shared" si="0"/>
        <v>10</v>
      </c>
      <c r="H23" s="751">
        <f t="shared" si="1"/>
        <v>4917.0760019386416</v>
      </c>
      <c r="I23" s="751"/>
      <c r="J23" s="751"/>
      <c r="K23" s="751">
        <f t="shared" si="2"/>
        <v>120885.849632567</v>
      </c>
    </row>
    <row r="24" spans="1:11" ht="15.75">
      <c r="A24" s="727" t="s">
        <v>187</v>
      </c>
      <c r="B24" s="1356" t="str">
        <f t="shared" si="3"/>
        <v>Year 2022</v>
      </c>
      <c r="C24" s="727"/>
      <c r="D24" s="751">
        <f t="shared" si="4"/>
        <v>-115968.77363062836</v>
      </c>
      <c r="E24" s="751"/>
      <c r="F24" s="752">
        <f t="shared" si="5"/>
        <v>4.239999999999999E-3</v>
      </c>
      <c r="G24" s="1213">
        <f t="shared" si="0"/>
        <v>9</v>
      </c>
      <c r="H24" s="751">
        <f t="shared" si="1"/>
        <v>4425.3684017447777</v>
      </c>
      <c r="I24" s="751"/>
      <c r="J24" s="751"/>
      <c r="K24" s="751">
        <f t="shared" si="2"/>
        <v>120394.14203237314</v>
      </c>
    </row>
    <row r="25" spans="1:11" ht="15.75">
      <c r="A25" s="727" t="s">
        <v>188</v>
      </c>
      <c r="B25" s="1356" t="str">
        <f t="shared" si="3"/>
        <v>Year 2022</v>
      </c>
      <c r="C25" s="727"/>
      <c r="D25" s="751">
        <f t="shared" si="4"/>
        <v>-115968.77363062836</v>
      </c>
      <c r="E25" s="751"/>
      <c r="F25" s="752">
        <f t="shared" si="5"/>
        <v>4.239999999999999E-3</v>
      </c>
      <c r="G25" s="1213">
        <f t="shared" si="0"/>
        <v>8</v>
      </c>
      <c r="H25" s="751">
        <f t="shared" si="1"/>
        <v>3933.6608015509132</v>
      </c>
      <c r="I25" s="751"/>
      <c r="J25" s="751"/>
      <c r="K25" s="751">
        <f t="shared" si="2"/>
        <v>119902.43443217927</v>
      </c>
    </row>
    <row r="26" spans="1:11" ht="15.75">
      <c r="A26" s="727" t="s">
        <v>382</v>
      </c>
      <c r="B26" s="1356" t="str">
        <f t="shared" si="3"/>
        <v>Year 2022</v>
      </c>
      <c r="C26" s="727"/>
      <c r="D26" s="751">
        <f t="shared" si="4"/>
        <v>-115968.77363062836</v>
      </c>
      <c r="E26" s="751"/>
      <c r="F26" s="752">
        <f t="shared" si="5"/>
        <v>4.239999999999999E-3</v>
      </c>
      <c r="G26" s="1213">
        <f t="shared" si="0"/>
        <v>7</v>
      </c>
      <c r="H26" s="751">
        <f t="shared" si="1"/>
        <v>3441.9532013570492</v>
      </c>
      <c r="I26" s="751"/>
      <c r="J26" s="751"/>
      <c r="K26" s="751">
        <f t="shared" si="2"/>
        <v>119410.7268319854</v>
      </c>
    </row>
    <row r="27" spans="1:11" ht="15.75">
      <c r="A27" s="727" t="s">
        <v>189</v>
      </c>
      <c r="B27" s="1356" t="str">
        <f t="shared" si="3"/>
        <v>Year 2022</v>
      </c>
      <c r="C27" s="727"/>
      <c r="D27" s="751">
        <f t="shared" si="4"/>
        <v>-115968.77363062836</v>
      </c>
      <c r="E27" s="751"/>
      <c r="F27" s="752">
        <f t="shared" si="5"/>
        <v>4.239999999999999E-3</v>
      </c>
      <c r="G27" s="1213">
        <f t="shared" si="0"/>
        <v>6</v>
      </c>
      <c r="H27" s="751">
        <f t="shared" si="1"/>
        <v>2950.2456011631848</v>
      </c>
      <c r="I27" s="751"/>
      <c r="J27" s="751"/>
      <c r="K27" s="751">
        <f t="shared" si="2"/>
        <v>118919.01923179155</v>
      </c>
    </row>
    <row r="28" spans="1:11" ht="15.75">
      <c r="A28" s="727" t="s">
        <v>190</v>
      </c>
      <c r="B28" s="1356" t="str">
        <f t="shared" si="3"/>
        <v>Year 2022</v>
      </c>
      <c r="C28" s="727"/>
      <c r="D28" s="751">
        <f t="shared" si="4"/>
        <v>-115968.77363062836</v>
      </c>
      <c r="E28" s="751"/>
      <c r="F28" s="752">
        <f t="shared" si="5"/>
        <v>4.239999999999999E-3</v>
      </c>
      <c r="G28" s="1213">
        <f t="shared" si="0"/>
        <v>5</v>
      </c>
      <c r="H28" s="751">
        <f t="shared" si="1"/>
        <v>2458.5380009693208</v>
      </c>
      <c r="I28" s="751"/>
      <c r="J28" s="751"/>
      <c r="K28" s="751">
        <f t="shared" si="2"/>
        <v>118427.31163159768</v>
      </c>
    </row>
    <row r="29" spans="1:11" ht="15.75">
      <c r="A29" s="727" t="s">
        <v>192</v>
      </c>
      <c r="B29" s="1356" t="str">
        <f t="shared" si="3"/>
        <v>Year 2022</v>
      </c>
      <c r="C29" s="727"/>
      <c r="D29" s="751">
        <f t="shared" si="4"/>
        <v>-115968.77363062836</v>
      </c>
      <c r="E29" s="751"/>
      <c r="F29" s="752">
        <f t="shared" si="5"/>
        <v>4.239999999999999E-3</v>
      </c>
      <c r="G29" s="1213">
        <f t="shared" si="0"/>
        <v>4</v>
      </c>
      <c r="H29" s="751">
        <f t="shared" si="1"/>
        <v>1966.8304007754566</v>
      </c>
      <c r="I29" s="751"/>
      <c r="J29" s="751"/>
      <c r="K29" s="751">
        <f t="shared" si="2"/>
        <v>117935.60403140383</v>
      </c>
    </row>
    <row r="30" spans="1:11" ht="15.75">
      <c r="A30" s="727" t="s">
        <v>560</v>
      </c>
      <c r="B30" s="1356" t="str">
        <f t="shared" si="3"/>
        <v>Year 2022</v>
      </c>
      <c r="C30" s="727"/>
      <c r="D30" s="751">
        <f t="shared" si="4"/>
        <v>-115968.77363062836</v>
      </c>
      <c r="E30" s="751"/>
      <c r="F30" s="752">
        <f t="shared" si="5"/>
        <v>4.239999999999999E-3</v>
      </c>
      <c r="G30" s="1213">
        <f t="shared" si="0"/>
        <v>3</v>
      </c>
      <c r="H30" s="751">
        <f t="shared" si="1"/>
        <v>1475.1228005815924</v>
      </c>
      <c r="I30" s="751"/>
      <c r="J30" s="751"/>
      <c r="K30" s="751">
        <f t="shared" si="2"/>
        <v>117443.89643120996</v>
      </c>
    </row>
    <row r="31" spans="1:11" ht="15.75">
      <c r="A31" s="727" t="s">
        <v>561</v>
      </c>
      <c r="B31" s="1356" t="str">
        <f t="shared" si="3"/>
        <v>Year 2022</v>
      </c>
      <c r="C31" s="727"/>
      <c r="D31" s="751">
        <f t="shared" si="4"/>
        <v>-115968.77363062836</v>
      </c>
      <c r="E31" s="751"/>
      <c r="F31" s="752">
        <f t="shared" si="5"/>
        <v>4.239999999999999E-3</v>
      </c>
      <c r="G31" s="1213">
        <f t="shared" si="0"/>
        <v>2</v>
      </c>
      <c r="H31" s="751">
        <f t="shared" si="1"/>
        <v>983.41520038772831</v>
      </c>
      <c r="I31" s="751"/>
      <c r="J31" s="751"/>
      <c r="K31" s="751">
        <f t="shared" si="2"/>
        <v>116952.18883101609</v>
      </c>
    </row>
    <row r="32" spans="1:11" ht="15.75">
      <c r="A32" s="727" t="s">
        <v>191</v>
      </c>
      <c r="B32" s="1356" t="str">
        <f t="shared" si="3"/>
        <v>Year 2022</v>
      </c>
      <c r="C32" s="727"/>
      <c r="D32" s="751">
        <f t="shared" si="4"/>
        <v>-115968.77363062836</v>
      </c>
      <c r="E32" s="751"/>
      <c r="F32" s="752">
        <f t="shared" si="5"/>
        <v>4.239999999999999E-3</v>
      </c>
      <c r="G32" s="1213">
        <f t="shared" si="0"/>
        <v>1</v>
      </c>
      <c r="H32" s="754">
        <f t="shared" si="1"/>
        <v>491.70760019386415</v>
      </c>
      <c r="I32" s="751"/>
      <c r="J32" s="751"/>
      <c r="K32" s="751">
        <f t="shared" si="2"/>
        <v>116460.48123082223</v>
      </c>
    </row>
    <row r="33" spans="1:11" ht="15.75">
      <c r="A33" s="727"/>
      <c r="B33" s="1356"/>
      <c r="C33" s="727"/>
      <c r="D33" s="751"/>
      <c r="E33" s="751"/>
      <c r="F33" s="752"/>
      <c r="G33" s="738"/>
      <c r="H33" s="751">
        <f>SUM(H21:H32)</f>
        <v>38353.192815121402</v>
      </c>
      <c r="I33" s="751"/>
      <c r="J33" s="751"/>
      <c r="K33" s="755">
        <f>SUM(K21:K32)</f>
        <v>1429978.4763826618</v>
      </c>
    </row>
    <row r="34" spans="1:11" ht="15.75">
      <c r="A34" s="727"/>
      <c r="B34" s="1356"/>
      <c r="C34" s="727"/>
      <c r="D34" s="751"/>
      <c r="E34" s="751"/>
      <c r="F34" s="752"/>
      <c r="G34" s="738"/>
      <c r="H34" s="751"/>
      <c r="I34" s="751" t="s">
        <v>114</v>
      </c>
      <c r="J34" s="751"/>
      <c r="K34" s="458"/>
    </row>
    <row r="35" spans="1:11" ht="15.75">
      <c r="A35" s="727"/>
      <c r="B35" s="1356"/>
      <c r="C35" s="727"/>
      <c r="D35" s="737"/>
      <c r="E35" s="737"/>
      <c r="F35" s="752"/>
      <c r="G35" s="738"/>
      <c r="H35" s="756" t="s">
        <v>562</v>
      </c>
      <c r="I35" s="751"/>
      <c r="J35" s="751"/>
      <c r="K35" s="751"/>
    </row>
    <row r="36" spans="1:11" ht="15.75">
      <c r="A36" s="727" t="s">
        <v>563</v>
      </c>
      <c r="B36" s="1356" t="str">
        <f>"Year "&amp;TCOS!L4-1</f>
        <v>Year 2023</v>
      </c>
      <c r="C36" s="727"/>
      <c r="D36" s="737">
        <f>K33</f>
        <v>1429978.4763826618</v>
      </c>
      <c r="E36" s="737"/>
      <c r="F36" s="752">
        <f>+F32</f>
        <v>4.239999999999999E-3</v>
      </c>
      <c r="G36" s="1213">
        <v>12</v>
      </c>
      <c r="H36" s="751">
        <f>+G36*F36*D36</f>
        <v>72757.304878349823</v>
      </c>
      <c r="I36" s="751"/>
      <c r="J36" s="751"/>
      <c r="K36" s="755">
        <f>+D36+H36</f>
        <v>1502735.7812610117</v>
      </c>
    </row>
    <row r="37" spans="1:11" ht="15.75">
      <c r="A37" s="727"/>
      <c r="B37" s="1356"/>
      <c r="C37" s="727"/>
      <c r="D37" s="737"/>
      <c r="E37" s="737"/>
      <c r="F37" s="752"/>
      <c r="G37" s="738"/>
      <c r="H37" s="751"/>
      <c r="I37" s="751"/>
      <c r="J37" s="751"/>
      <c r="K37" s="751"/>
    </row>
    <row r="38" spans="1:11" ht="15.75">
      <c r="A38" s="757" t="s">
        <v>564</v>
      </c>
      <c r="B38" s="1356"/>
      <c r="C38" s="727"/>
      <c r="D38" s="751"/>
      <c r="E38" s="751"/>
      <c r="F38" s="752"/>
      <c r="G38" s="738"/>
      <c r="H38" s="756" t="s">
        <v>558</v>
      </c>
      <c r="I38" s="751"/>
      <c r="J38" s="751"/>
      <c r="K38" s="751"/>
    </row>
    <row r="39" spans="1:11" ht="15.75">
      <c r="A39" s="727" t="s">
        <v>185</v>
      </c>
      <c r="B39" s="1356" t="str">
        <f>"Year "&amp;TCOS!L4</f>
        <v>Year 2024</v>
      </c>
      <c r="C39" s="727"/>
      <c r="D39" s="737">
        <f>-K36</f>
        <v>-1502735.7812610117</v>
      </c>
      <c r="E39" s="737"/>
      <c r="F39" s="752">
        <f>+F32</f>
        <v>4.239999999999999E-3</v>
      </c>
      <c r="G39" s="738"/>
      <c r="H39" s="751">
        <f xml:space="preserve"> -F39*D39</f>
        <v>6371.5997125466884</v>
      </c>
      <c r="I39" s="751">
        <f>PMT(F39,12,K$36)</f>
        <v>-128706.03505078275</v>
      </c>
      <c r="J39" s="751"/>
      <c r="K39" s="751">
        <f>(+D39+D39*F39-I39)*-1</f>
        <v>1380401.3459227756</v>
      </c>
    </row>
    <row r="40" spans="1:11" ht="15.75">
      <c r="A40" s="727" t="s">
        <v>559</v>
      </c>
      <c r="B40" s="1356" t="str">
        <f>+B39</f>
        <v>Year 2024</v>
      </c>
      <c r="C40" s="727"/>
      <c r="D40" s="737">
        <f>-K39</f>
        <v>-1380401.3459227756</v>
      </c>
      <c r="E40" s="737"/>
      <c r="F40" s="752">
        <f>+F39</f>
        <v>4.239999999999999E-3</v>
      </c>
      <c r="G40" s="738"/>
      <c r="H40" s="751">
        <f xml:space="preserve"> -F40*D40</f>
        <v>5852.9017067125669</v>
      </c>
      <c r="I40" s="751">
        <f>I39</f>
        <v>-128706.03505078275</v>
      </c>
      <c r="J40" s="751"/>
      <c r="K40" s="751">
        <f t="shared" ref="K40:K50" si="6">(+D40+D40*F40-I40)*-1</f>
        <v>1257548.2125787053</v>
      </c>
    </row>
    <row r="41" spans="1:11" ht="15.75">
      <c r="A41" s="727" t="s">
        <v>186</v>
      </c>
      <c r="B41" s="1356" t="str">
        <f>+B40</f>
        <v>Year 2024</v>
      </c>
      <c r="C41" s="727"/>
      <c r="D41" s="737">
        <f t="shared" ref="D41:D50" si="7">-K40</f>
        <v>-1257548.2125787053</v>
      </c>
      <c r="E41" s="737"/>
      <c r="F41" s="752">
        <f t="shared" ref="F41:F50" si="8">+F40</f>
        <v>4.239999999999999E-3</v>
      </c>
      <c r="G41" s="738"/>
      <c r="H41" s="751">
        <f t="shared" ref="H41:H50" si="9" xml:space="preserve"> -F41*D41</f>
        <v>5332.0044213337087</v>
      </c>
      <c r="I41" s="751">
        <f t="shared" ref="I41:I50" si="10">I40</f>
        <v>-128706.03505078275</v>
      </c>
      <c r="J41" s="751"/>
      <c r="K41" s="751">
        <f t="shared" si="6"/>
        <v>1134174.1819492562</v>
      </c>
    </row>
    <row r="42" spans="1:11" ht="15.75">
      <c r="A42" s="727" t="s">
        <v>187</v>
      </c>
      <c r="B42" s="1356" t="str">
        <f>+B41</f>
        <v>Year 2024</v>
      </c>
      <c r="C42" s="727"/>
      <c r="D42" s="737">
        <f t="shared" si="7"/>
        <v>-1134174.1819492562</v>
      </c>
      <c r="E42" s="737"/>
      <c r="F42" s="752">
        <f t="shared" si="8"/>
        <v>4.239999999999999E-3</v>
      </c>
      <c r="G42" s="738"/>
      <c r="H42" s="751">
        <f t="shared" si="9"/>
        <v>4808.8985314648453</v>
      </c>
      <c r="I42" s="751">
        <f t="shared" si="10"/>
        <v>-128706.03505078275</v>
      </c>
      <c r="J42" s="751"/>
      <c r="K42" s="751">
        <f t="shared" si="6"/>
        <v>1010277.0454299384</v>
      </c>
    </row>
    <row r="43" spans="1:11" ht="15.75">
      <c r="A43" s="727" t="s">
        <v>188</v>
      </c>
      <c r="B43" s="1356" t="str">
        <f>+B42</f>
        <v>Year 2024</v>
      </c>
      <c r="C43" s="727"/>
      <c r="D43" s="737">
        <f t="shared" si="7"/>
        <v>-1010277.0454299384</v>
      </c>
      <c r="E43" s="737"/>
      <c r="F43" s="752">
        <f t="shared" si="8"/>
        <v>4.239999999999999E-3</v>
      </c>
      <c r="G43" s="738"/>
      <c r="H43" s="751">
        <f t="shared" si="9"/>
        <v>4283.5746726229372</v>
      </c>
      <c r="I43" s="751">
        <f>I42</f>
        <v>-128706.03505078275</v>
      </c>
      <c r="J43" s="751"/>
      <c r="K43" s="751">
        <f t="shared" si="6"/>
        <v>885854.58505177859</v>
      </c>
    </row>
    <row r="44" spans="1:11" ht="15.75">
      <c r="A44" s="727" t="s">
        <v>382</v>
      </c>
      <c r="B44" s="1356" t="str">
        <f>B43</f>
        <v>Year 2024</v>
      </c>
      <c r="C44" s="458"/>
      <c r="D44" s="737">
        <f t="shared" si="7"/>
        <v>-885854.58505177859</v>
      </c>
      <c r="E44" s="737"/>
      <c r="F44" s="752">
        <f t="shared" si="8"/>
        <v>4.239999999999999E-3</v>
      </c>
      <c r="G44" s="738"/>
      <c r="H44" s="751">
        <f t="shared" si="9"/>
        <v>3756.0234406195405</v>
      </c>
      <c r="I44" s="751">
        <f t="shared" si="10"/>
        <v>-128706.03505078275</v>
      </c>
      <c r="J44" s="751"/>
      <c r="K44" s="751">
        <f t="shared" si="6"/>
        <v>760904.57344161544</v>
      </c>
    </row>
    <row r="45" spans="1:11" ht="15.75">
      <c r="A45" s="727" t="s">
        <v>189</v>
      </c>
      <c r="B45" s="1356" t="str">
        <f t="shared" ref="B45:B50" si="11">+B44</f>
        <v>Year 2024</v>
      </c>
      <c r="C45" s="727"/>
      <c r="D45" s="737">
        <f t="shared" si="7"/>
        <v>-760904.57344161544</v>
      </c>
      <c r="E45" s="737"/>
      <c r="F45" s="752">
        <f t="shared" si="8"/>
        <v>4.239999999999999E-3</v>
      </c>
      <c r="G45" s="738"/>
      <c r="H45" s="751">
        <f t="shared" si="9"/>
        <v>3226.2353913924485</v>
      </c>
      <c r="I45" s="751">
        <f t="shared" si="10"/>
        <v>-128706.03505078275</v>
      </c>
      <c r="J45" s="751"/>
      <c r="K45" s="751">
        <f t="shared" si="6"/>
        <v>635424.77378222521</v>
      </c>
    </row>
    <row r="46" spans="1:11" ht="15.75">
      <c r="A46" s="727" t="s">
        <v>190</v>
      </c>
      <c r="B46" s="1356" t="str">
        <f t="shared" si="11"/>
        <v>Year 2024</v>
      </c>
      <c r="C46" s="727"/>
      <c r="D46" s="737">
        <f t="shared" si="7"/>
        <v>-635424.77378222521</v>
      </c>
      <c r="E46" s="737"/>
      <c r="F46" s="752">
        <f t="shared" si="8"/>
        <v>4.239999999999999E-3</v>
      </c>
      <c r="G46" s="738"/>
      <c r="H46" s="751">
        <f t="shared" si="9"/>
        <v>2694.2010408366341</v>
      </c>
      <c r="I46" s="751">
        <f t="shared" si="10"/>
        <v>-128706.03505078275</v>
      </c>
      <c r="J46" s="751"/>
      <c r="K46" s="751">
        <f t="shared" si="6"/>
        <v>509412.93977227912</v>
      </c>
    </row>
    <row r="47" spans="1:11" ht="15.75">
      <c r="A47" s="727" t="s">
        <v>192</v>
      </c>
      <c r="B47" s="1356" t="str">
        <f t="shared" si="11"/>
        <v>Year 2024</v>
      </c>
      <c r="C47" s="727"/>
      <c r="D47" s="737">
        <f t="shared" si="7"/>
        <v>-509412.93977227912</v>
      </c>
      <c r="E47" s="737"/>
      <c r="F47" s="752">
        <f t="shared" si="8"/>
        <v>4.239999999999999E-3</v>
      </c>
      <c r="G47" s="727"/>
      <c r="H47" s="751">
        <f t="shared" si="9"/>
        <v>2159.910864634463</v>
      </c>
      <c r="I47" s="751">
        <f>I46</f>
        <v>-128706.03505078275</v>
      </c>
      <c r="J47" s="751"/>
      <c r="K47" s="751">
        <f t="shared" si="6"/>
        <v>382866.81558613083</v>
      </c>
    </row>
    <row r="48" spans="1:11" ht="15.75">
      <c r="A48" s="727" t="s">
        <v>560</v>
      </c>
      <c r="B48" s="1356" t="str">
        <f t="shared" si="11"/>
        <v>Year 2024</v>
      </c>
      <c r="C48" s="727"/>
      <c r="D48" s="737">
        <f t="shared" si="7"/>
        <v>-382866.81558613083</v>
      </c>
      <c r="E48" s="737"/>
      <c r="F48" s="752">
        <f t="shared" si="8"/>
        <v>4.239999999999999E-3</v>
      </c>
      <c r="G48" s="727"/>
      <c r="H48" s="751">
        <f t="shared" si="9"/>
        <v>1623.3552980851944</v>
      </c>
      <c r="I48" s="751">
        <f t="shared" si="10"/>
        <v>-128706.03505078275</v>
      </c>
      <c r="J48" s="751"/>
      <c r="K48" s="751">
        <f t="shared" si="6"/>
        <v>255784.13583343328</v>
      </c>
    </row>
    <row r="49" spans="1:11" ht="15.75">
      <c r="A49" s="727" t="s">
        <v>561</v>
      </c>
      <c r="B49" s="1356" t="str">
        <f t="shared" si="11"/>
        <v>Year 2024</v>
      </c>
      <c r="C49" s="727"/>
      <c r="D49" s="737">
        <f t="shared" si="7"/>
        <v>-255784.13583343328</v>
      </c>
      <c r="E49" s="737"/>
      <c r="F49" s="752">
        <f t="shared" si="8"/>
        <v>4.239999999999999E-3</v>
      </c>
      <c r="G49" s="727"/>
      <c r="H49" s="751">
        <f t="shared" si="9"/>
        <v>1084.5247359337568</v>
      </c>
      <c r="I49" s="751">
        <f t="shared" si="10"/>
        <v>-128706.03505078275</v>
      </c>
      <c r="J49" s="751"/>
      <c r="K49" s="751">
        <f t="shared" si="6"/>
        <v>128162.62551858427</v>
      </c>
    </row>
    <row r="50" spans="1:11" ht="15.75">
      <c r="A50" s="727" t="s">
        <v>191</v>
      </c>
      <c r="B50" s="1356" t="str">
        <f t="shared" si="11"/>
        <v>Year 2024</v>
      </c>
      <c r="C50" s="727"/>
      <c r="D50" s="737">
        <f t="shared" si="7"/>
        <v>-128162.62551858427</v>
      </c>
      <c r="E50" s="737"/>
      <c r="F50" s="752">
        <f t="shared" si="8"/>
        <v>4.239999999999999E-3</v>
      </c>
      <c r="G50" s="727"/>
      <c r="H50" s="754">
        <f t="shared" si="9"/>
        <v>543.40953219879714</v>
      </c>
      <c r="I50" s="751">
        <f t="shared" si="10"/>
        <v>-128706.03505078275</v>
      </c>
      <c r="J50" s="751"/>
      <c r="K50" s="751">
        <f t="shared" si="6"/>
        <v>3.2014213502407074E-10</v>
      </c>
    </row>
    <row r="51" spans="1:11" ht="15.75">
      <c r="A51" s="727"/>
      <c r="B51" s="727"/>
      <c r="C51" s="727"/>
      <c r="D51" s="737"/>
      <c r="E51" s="737"/>
      <c r="F51" s="752"/>
      <c r="G51" s="727"/>
      <c r="H51" s="751">
        <f>SUM(H39:H50)</f>
        <v>41736.639348381585</v>
      </c>
      <c r="I51" s="751"/>
      <c r="J51" s="751"/>
      <c r="K51" s="751"/>
    </row>
    <row r="52" spans="1:11" ht="15">
      <c r="A52" s="458"/>
      <c r="B52" s="458"/>
      <c r="C52" s="458"/>
      <c r="D52" s="458"/>
      <c r="E52" s="458"/>
      <c r="F52" s="458"/>
      <c r="G52" s="458"/>
      <c r="H52" s="458"/>
      <c r="I52" s="758"/>
      <c r="J52" s="458"/>
      <c r="K52" s="458"/>
    </row>
    <row r="53" spans="1:11" ht="15.75">
      <c r="A53" s="727" t="s">
        <v>569</v>
      </c>
      <c r="B53" s="458"/>
      <c r="C53" s="458"/>
      <c r="D53" s="458"/>
      <c r="E53" s="458"/>
      <c r="F53" s="458"/>
      <c r="G53" s="458"/>
      <c r="H53" s="458"/>
      <c r="I53" s="759">
        <f>(SUM(I39:I50)*-1)</f>
        <v>1544472.4206093932</v>
      </c>
      <c r="J53" s="458"/>
      <c r="K53" s="458"/>
    </row>
    <row r="54" spans="1:11" ht="15.75">
      <c r="A54" s="727" t="s">
        <v>565</v>
      </c>
      <c r="B54" s="458"/>
      <c r="C54" s="458"/>
      <c r="D54" s="458"/>
      <c r="E54" s="458"/>
      <c r="F54" s="458"/>
      <c r="G54" s="458"/>
      <c r="H54" s="458"/>
      <c r="I54" s="760">
        <f>+H10</f>
        <v>-1391625.2835675403</v>
      </c>
      <c r="J54" s="458"/>
      <c r="K54" s="458"/>
    </row>
    <row r="55" spans="1:11" ht="15.75">
      <c r="A55" s="727" t="s">
        <v>566</v>
      </c>
      <c r="B55" s="458"/>
      <c r="C55" s="458"/>
      <c r="D55" s="458"/>
      <c r="E55" s="458"/>
      <c r="F55" s="458"/>
      <c r="G55" s="458"/>
      <c r="H55" s="458"/>
      <c r="I55" s="759">
        <f>(I53+I54)</f>
        <v>152847.13704185281</v>
      </c>
      <c r="J55" s="458"/>
      <c r="K55" s="458"/>
    </row>
    <row r="56" spans="1:11">
      <c r="A56" s="362"/>
      <c r="B56" s="362"/>
      <c r="C56" s="362"/>
      <c r="D56" s="362"/>
      <c r="E56" s="362"/>
      <c r="F56" s="362"/>
      <c r="G56" s="362"/>
      <c r="H56" s="362"/>
      <c r="I56" s="362"/>
      <c r="J56" s="362"/>
      <c r="K56" s="362"/>
    </row>
    <row r="57" spans="1:11" ht="109.5" customHeight="1">
      <c r="A57" s="1569" t="s">
        <v>570</v>
      </c>
      <c r="B57" s="1569"/>
      <c r="C57" s="1569"/>
      <c r="D57" s="1569"/>
      <c r="E57" s="761"/>
      <c r="F57" s="761"/>
      <c r="G57" s="761"/>
      <c r="H57" s="761"/>
      <c r="I57" s="761"/>
      <c r="J57" s="761"/>
      <c r="K57" s="761"/>
    </row>
  </sheetData>
  <mergeCells count="5">
    <mergeCell ref="A1:K1"/>
    <mergeCell ref="A2:K2"/>
    <mergeCell ref="A3:K3"/>
    <mergeCell ref="D4:G4"/>
    <mergeCell ref="A57:D57"/>
  </mergeCells>
  <pageMargins left="0.7" right="0.7" top="0.75" bottom="0.75" header="0.3" footer="0.3"/>
  <pageSetup scale="5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K57"/>
  <sheetViews>
    <sheetView view="pageBreakPreview" zoomScale="60" zoomScaleNormal="100" workbookViewId="0">
      <selection activeCell="D11" sqref="D11"/>
    </sheetView>
  </sheetViews>
  <sheetFormatPr defaultRowHeight="12.75" customHeight="1"/>
  <cols>
    <col min="1" max="1" width="26.5703125" customWidth="1"/>
    <col min="4" max="4" width="25.42578125" customWidth="1"/>
    <col min="6" max="6" width="17" customWidth="1"/>
    <col min="8" max="8" width="19.140625" customWidth="1"/>
    <col min="9" max="9" width="15.42578125" customWidth="1"/>
    <col min="11" max="11" width="22.28515625" customWidth="1"/>
  </cols>
  <sheetData>
    <row r="1" spans="1:11" ht="15.75">
      <c r="A1" s="1568" t="s">
        <v>387</v>
      </c>
      <c r="B1" s="1568"/>
      <c r="C1" s="1568"/>
      <c r="D1" s="1568"/>
      <c r="E1" s="1568"/>
      <c r="F1" s="1568"/>
      <c r="G1" s="1568"/>
      <c r="H1" s="1568"/>
      <c r="I1" s="1568"/>
      <c r="J1" s="1568"/>
      <c r="K1" s="1568"/>
    </row>
    <row r="2" spans="1:11" ht="15.75">
      <c r="A2" s="1567" t="s">
        <v>567</v>
      </c>
      <c r="B2" s="1567"/>
      <c r="C2" s="1567"/>
      <c r="D2" s="1567"/>
      <c r="E2" s="1567"/>
      <c r="F2" s="1567"/>
      <c r="G2" s="1567"/>
      <c r="H2" s="1567"/>
      <c r="I2" s="1567"/>
      <c r="J2" s="1567"/>
      <c r="K2" s="1567"/>
    </row>
    <row r="3" spans="1:11" ht="15.75">
      <c r="A3" s="1567" t="s">
        <v>568</v>
      </c>
      <c r="B3" s="1567"/>
      <c r="C3" s="1567"/>
      <c r="D3" s="1567"/>
      <c r="E3" s="1567"/>
      <c r="F3" s="1567"/>
      <c r="G3" s="1567"/>
      <c r="H3" s="1567"/>
      <c r="I3" s="1567"/>
      <c r="J3" s="1567"/>
      <c r="K3" s="1567"/>
    </row>
    <row r="4" spans="1:11" ht="15.75">
      <c r="A4" s="458"/>
      <c r="B4" s="458"/>
      <c r="C4" s="458"/>
      <c r="D4" s="1567"/>
      <c r="E4" s="1567"/>
      <c r="F4" s="1567"/>
      <c r="G4" s="1567"/>
      <c r="H4" s="458"/>
      <c r="I4" s="458"/>
      <c r="J4" s="458"/>
      <c r="K4" s="458"/>
    </row>
    <row r="5" spans="1:11">
      <c r="A5" s="362"/>
      <c r="B5" s="362"/>
      <c r="C5" s="362"/>
      <c r="D5" s="362"/>
      <c r="E5" s="362"/>
      <c r="F5" s="362"/>
      <c r="G5" s="362"/>
      <c r="H5" s="362"/>
      <c r="I5" s="362"/>
      <c r="J5" s="362"/>
      <c r="K5" s="362"/>
    </row>
    <row r="6" spans="1:11">
      <c r="A6" s="362"/>
      <c r="B6" s="362"/>
      <c r="C6" s="362"/>
      <c r="D6" s="362"/>
      <c r="E6" s="362"/>
      <c r="F6" s="362"/>
      <c r="G6" s="362"/>
      <c r="H6" s="362"/>
      <c r="I6" s="362"/>
      <c r="J6" s="362"/>
      <c r="K6" s="362"/>
    </row>
    <row r="7" spans="1:11" ht="16.5" thickBot="1">
      <c r="A7" s="726"/>
      <c r="B7" s="727"/>
      <c r="C7" s="727"/>
      <c r="D7" s="727"/>
      <c r="E7" s="727"/>
      <c r="F7" s="727"/>
      <c r="G7" s="727"/>
      <c r="H7" s="727"/>
      <c r="I7" s="727"/>
      <c r="J7" s="727"/>
      <c r="K7" s="727"/>
    </row>
    <row r="8" spans="1:11" ht="47.25">
      <c r="A8" s="728" t="str">
        <f>'WS Q NITS'!A8</f>
        <v>Reconciliation Revenue Requirement For Year 2022 Available May 25, 2023</v>
      </c>
      <c r="B8" s="727"/>
      <c r="C8" s="727"/>
      <c r="D8" s="728" t="s">
        <v>1113</v>
      </c>
      <c r="E8" s="727"/>
      <c r="F8" s="727"/>
      <c r="G8" s="458"/>
      <c r="H8" s="728" t="s">
        <v>548</v>
      </c>
      <c r="I8" s="458"/>
      <c r="J8" s="458"/>
      <c r="K8" s="458"/>
    </row>
    <row r="9" spans="1:11" ht="15.75">
      <c r="A9" s="729" t="s">
        <v>114</v>
      </c>
      <c r="B9" s="727"/>
      <c r="C9" s="727"/>
      <c r="D9" s="729"/>
      <c r="E9" s="727"/>
      <c r="F9" s="727"/>
      <c r="G9" s="458"/>
      <c r="H9" s="730"/>
      <c r="I9" s="458"/>
      <c r="J9" s="458"/>
      <c r="K9" s="458"/>
    </row>
    <row r="10" spans="1:11" ht="16.5" thickBot="1">
      <c r="A10" s="804">
        <v>2521845.3028713013</v>
      </c>
      <c r="B10" s="731" t="str">
        <f>"-"</f>
        <v>-</v>
      </c>
      <c r="C10" s="732"/>
      <c r="D10" s="804">
        <v>2431436.704035799</v>
      </c>
      <c r="E10" s="733"/>
      <c r="F10" s="734" t="str">
        <f>"="</f>
        <v>=</v>
      </c>
      <c r="G10" s="735"/>
      <c r="H10" s="736">
        <f>IF(A10=0,0,D10-A10)</f>
        <v>-90408.598835502286</v>
      </c>
      <c r="I10" s="458"/>
      <c r="J10" s="458"/>
      <c r="K10" s="458"/>
    </row>
    <row r="11" spans="1:11" ht="15.75">
      <c r="A11" s="737"/>
      <c r="B11" s="738"/>
      <c r="C11" s="738"/>
      <c r="D11" s="737"/>
      <c r="E11" s="737"/>
      <c r="F11" s="738"/>
      <c r="G11" s="737"/>
      <c r="H11" s="458"/>
      <c r="I11" s="458"/>
      <c r="J11" s="458"/>
      <c r="K11" s="458"/>
    </row>
    <row r="12" spans="1:11" ht="16.5" thickBot="1">
      <c r="A12" s="739"/>
      <c r="B12" s="740"/>
      <c r="C12" s="740"/>
      <c r="D12" s="739"/>
      <c r="E12" s="739"/>
      <c r="F12" s="740"/>
      <c r="G12" s="739"/>
      <c r="H12" s="741"/>
      <c r="I12" s="741"/>
      <c r="J12" s="741"/>
      <c r="K12" s="741"/>
    </row>
    <row r="13" spans="1:11" ht="15.75">
      <c r="A13" s="742"/>
      <c r="B13" s="738"/>
      <c r="C13" s="738"/>
      <c r="D13" s="737"/>
      <c r="E13" s="737"/>
      <c r="F13" s="738"/>
      <c r="G13" s="737"/>
      <c r="H13" s="458"/>
      <c r="I13" s="458"/>
      <c r="J13" s="458"/>
      <c r="K13" s="458"/>
    </row>
    <row r="14" spans="1:11" ht="31.5">
      <c r="A14" s="743" t="s">
        <v>549</v>
      </c>
      <c r="B14" s="738"/>
      <c r="C14" s="738"/>
      <c r="D14" s="744" t="s">
        <v>550</v>
      </c>
      <c r="E14" s="737"/>
      <c r="F14" s="744" t="s">
        <v>551</v>
      </c>
      <c r="G14" s="745" t="s">
        <v>552</v>
      </c>
      <c r="H14" s="746" t="s">
        <v>553</v>
      </c>
      <c r="I14" s="744" t="s">
        <v>554</v>
      </c>
      <c r="J14" s="747"/>
      <c r="K14" s="744" t="s">
        <v>555</v>
      </c>
    </row>
    <row r="15" spans="1:11" ht="15.75">
      <c r="A15" s="743" t="s">
        <v>556</v>
      </c>
      <c r="B15" s="738"/>
      <c r="C15" s="738"/>
      <c r="D15" s="458"/>
      <c r="E15" s="748"/>
      <c r="F15" s="1146">
        <f>'WS Q NITS'!F15</f>
        <v>4.239999999999999E-3</v>
      </c>
      <c r="G15" s="285"/>
      <c r="H15" s="458"/>
      <c r="I15" s="458"/>
      <c r="J15" s="458"/>
      <c r="K15" s="458"/>
    </row>
    <row r="16" spans="1:11" ht="15.75">
      <c r="A16" s="743"/>
      <c r="B16" s="738"/>
      <c r="C16" s="738"/>
      <c r="D16" s="458"/>
      <c r="E16" s="748"/>
      <c r="F16" s="748"/>
      <c r="G16" s="737"/>
      <c r="H16" s="458"/>
      <c r="I16" s="458"/>
      <c r="J16" s="458"/>
      <c r="K16" s="458"/>
    </row>
    <row r="17" spans="1:11" ht="15.75">
      <c r="A17" s="743" t="str">
        <f>'WS Q NITS'!A17</f>
        <v>An over or under collection will be recovered prorata over 2022, held for 2023 and returned prorate over 2024</v>
      </c>
      <c r="B17" s="738"/>
      <c r="C17" s="738"/>
      <c r="D17" s="458"/>
      <c r="E17" s="748"/>
      <c r="F17" s="748"/>
      <c r="G17" s="737"/>
      <c r="H17" s="458"/>
      <c r="I17" s="458"/>
      <c r="J17" s="458"/>
      <c r="K17" s="458"/>
    </row>
    <row r="18" spans="1:11" ht="15.75">
      <c r="A18" s="749" t="s">
        <v>114</v>
      </c>
      <c r="B18" s="738"/>
      <c r="C18" s="738"/>
      <c r="D18" s="738"/>
      <c r="E18" s="738"/>
      <c r="F18" s="738" t="s">
        <v>114</v>
      </c>
      <c r="G18" s="458"/>
      <c r="H18" s="458"/>
      <c r="I18" s="458"/>
      <c r="J18" s="458"/>
      <c r="K18" s="458"/>
    </row>
    <row r="19" spans="1:11" ht="15.75">
      <c r="A19" s="750"/>
      <c r="B19" s="738"/>
      <c r="C19" s="738"/>
      <c r="D19" s="738"/>
      <c r="E19" s="738"/>
      <c r="F19" s="458"/>
      <c r="G19" s="458"/>
      <c r="H19" s="745"/>
      <c r="I19" s="738"/>
      <c r="J19" s="738"/>
      <c r="K19" s="738"/>
    </row>
    <row r="20" spans="1:11" ht="15.75">
      <c r="A20" s="750" t="s">
        <v>557</v>
      </c>
      <c r="B20" s="738"/>
      <c r="C20" s="738"/>
      <c r="D20" s="738"/>
      <c r="E20" s="738"/>
      <c r="F20" s="458"/>
      <c r="G20" s="458"/>
      <c r="H20" s="745" t="s">
        <v>558</v>
      </c>
      <c r="I20" s="738"/>
      <c r="J20" s="738"/>
      <c r="K20" s="738"/>
    </row>
    <row r="21" spans="1:11" ht="15.75">
      <c r="A21" s="727" t="s">
        <v>185</v>
      </c>
      <c r="B21" s="1356" t="str">
        <f>"Year "&amp;TCOS!L4-2</f>
        <v>Year 2022</v>
      </c>
      <c r="C21" s="727"/>
      <c r="D21" s="751">
        <f>H10/12</f>
        <v>-7534.0499029585235</v>
      </c>
      <c r="E21" s="751"/>
      <c r="F21" s="752">
        <f>+F15</f>
        <v>4.239999999999999E-3</v>
      </c>
      <c r="G21" s="1213">
        <v>12</v>
      </c>
      <c r="H21" s="751">
        <f>F21*D21*G21*-1</f>
        <v>383.33245906252961</v>
      </c>
      <c r="I21" s="751"/>
      <c r="J21" s="751"/>
      <c r="K21" s="751">
        <f>(-H21+D21)*-1</f>
        <v>7917.3823620210533</v>
      </c>
    </row>
    <row r="22" spans="1:11" ht="15.75">
      <c r="A22" s="727" t="s">
        <v>559</v>
      </c>
      <c r="B22" s="1356" t="str">
        <f>B21</f>
        <v>Year 2022</v>
      </c>
      <c r="C22" s="727"/>
      <c r="D22" s="751">
        <f>+D21</f>
        <v>-7534.0499029585235</v>
      </c>
      <c r="E22" s="751"/>
      <c r="F22" s="752">
        <f>+F21</f>
        <v>4.239999999999999E-3</v>
      </c>
      <c r="G22" s="1213">
        <f t="shared" ref="G22:G32" si="0">+G21-1</f>
        <v>11</v>
      </c>
      <c r="H22" s="751">
        <f t="shared" ref="H22:H32" si="1">F22*D22*G22*-1</f>
        <v>351.38808747398548</v>
      </c>
      <c r="I22" s="751"/>
      <c r="J22" s="751"/>
      <c r="K22" s="751">
        <f t="shared" ref="K22:K32" si="2">(-H22+D22)*-1</f>
        <v>7885.4379904325087</v>
      </c>
    </row>
    <row r="23" spans="1:11" ht="15.75">
      <c r="A23" s="727" t="s">
        <v>186</v>
      </c>
      <c r="B23" s="1356" t="str">
        <f t="shared" ref="B23:B32" si="3">B22</f>
        <v>Year 2022</v>
      </c>
      <c r="C23" s="727"/>
      <c r="D23" s="751">
        <f t="shared" ref="D23:D32" si="4">+D22</f>
        <v>-7534.0499029585235</v>
      </c>
      <c r="E23" s="751"/>
      <c r="F23" s="752">
        <f t="shared" ref="F23:F32" si="5">+F22</f>
        <v>4.239999999999999E-3</v>
      </c>
      <c r="G23" s="1213">
        <f t="shared" si="0"/>
        <v>10</v>
      </c>
      <c r="H23" s="751">
        <f t="shared" si="1"/>
        <v>319.44371588544135</v>
      </c>
      <c r="I23" s="751"/>
      <c r="J23" s="751"/>
      <c r="K23" s="751">
        <f t="shared" si="2"/>
        <v>7853.4936188439651</v>
      </c>
    </row>
    <row r="24" spans="1:11" ht="15.75">
      <c r="A24" s="727" t="s">
        <v>187</v>
      </c>
      <c r="B24" s="1356" t="str">
        <f t="shared" si="3"/>
        <v>Year 2022</v>
      </c>
      <c r="C24" s="727"/>
      <c r="D24" s="751">
        <f t="shared" si="4"/>
        <v>-7534.0499029585235</v>
      </c>
      <c r="E24" s="751"/>
      <c r="F24" s="752">
        <f t="shared" si="5"/>
        <v>4.239999999999999E-3</v>
      </c>
      <c r="G24" s="1213">
        <f t="shared" si="0"/>
        <v>9</v>
      </c>
      <c r="H24" s="751">
        <f t="shared" si="1"/>
        <v>287.49934429689722</v>
      </c>
      <c r="I24" s="751"/>
      <c r="J24" s="751"/>
      <c r="K24" s="751">
        <f t="shared" si="2"/>
        <v>7821.5492472554206</v>
      </c>
    </row>
    <row r="25" spans="1:11" ht="15.75">
      <c r="A25" s="727" t="s">
        <v>188</v>
      </c>
      <c r="B25" s="1356" t="str">
        <f t="shared" si="3"/>
        <v>Year 2022</v>
      </c>
      <c r="C25" s="727"/>
      <c r="D25" s="751">
        <f t="shared" si="4"/>
        <v>-7534.0499029585235</v>
      </c>
      <c r="E25" s="751"/>
      <c r="F25" s="752">
        <f t="shared" si="5"/>
        <v>4.239999999999999E-3</v>
      </c>
      <c r="G25" s="1213">
        <f t="shared" si="0"/>
        <v>8</v>
      </c>
      <c r="H25" s="751">
        <f t="shared" si="1"/>
        <v>255.55497270835306</v>
      </c>
      <c r="I25" s="751"/>
      <c r="J25" s="751"/>
      <c r="K25" s="751">
        <f t="shared" si="2"/>
        <v>7789.604875666877</v>
      </c>
    </row>
    <row r="26" spans="1:11" ht="15.75">
      <c r="A26" s="727" t="s">
        <v>382</v>
      </c>
      <c r="B26" s="1356" t="str">
        <f t="shared" si="3"/>
        <v>Year 2022</v>
      </c>
      <c r="C26" s="727"/>
      <c r="D26" s="751">
        <f t="shared" si="4"/>
        <v>-7534.0499029585235</v>
      </c>
      <c r="E26" s="751"/>
      <c r="F26" s="752">
        <f t="shared" si="5"/>
        <v>4.239999999999999E-3</v>
      </c>
      <c r="G26" s="1213">
        <f t="shared" si="0"/>
        <v>7</v>
      </c>
      <c r="H26" s="751">
        <f t="shared" si="1"/>
        <v>223.61060111980893</v>
      </c>
      <c r="I26" s="751"/>
      <c r="J26" s="751"/>
      <c r="K26" s="751">
        <f t="shared" si="2"/>
        <v>7757.6605040783325</v>
      </c>
    </row>
    <row r="27" spans="1:11" ht="15.75">
      <c r="A27" s="727" t="s">
        <v>189</v>
      </c>
      <c r="B27" s="1356" t="str">
        <f t="shared" si="3"/>
        <v>Year 2022</v>
      </c>
      <c r="C27" s="727"/>
      <c r="D27" s="751">
        <f t="shared" si="4"/>
        <v>-7534.0499029585235</v>
      </c>
      <c r="E27" s="751"/>
      <c r="F27" s="752">
        <f t="shared" si="5"/>
        <v>4.239999999999999E-3</v>
      </c>
      <c r="G27" s="1213">
        <f t="shared" si="0"/>
        <v>6</v>
      </c>
      <c r="H27" s="751">
        <f t="shared" si="1"/>
        <v>191.6662295312648</v>
      </c>
      <c r="I27" s="751"/>
      <c r="J27" s="751"/>
      <c r="K27" s="751">
        <f t="shared" si="2"/>
        <v>7725.7161324897879</v>
      </c>
    </row>
    <row r="28" spans="1:11" ht="15.75">
      <c r="A28" s="727" t="s">
        <v>190</v>
      </c>
      <c r="B28" s="1356" t="str">
        <f t="shared" si="3"/>
        <v>Year 2022</v>
      </c>
      <c r="C28" s="727"/>
      <c r="D28" s="751">
        <f t="shared" si="4"/>
        <v>-7534.0499029585235</v>
      </c>
      <c r="E28" s="751"/>
      <c r="F28" s="752">
        <f t="shared" si="5"/>
        <v>4.239999999999999E-3</v>
      </c>
      <c r="G28" s="1213">
        <f t="shared" si="0"/>
        <v>5</v>
      </c>
      <c r="H28" s="751">
        <f t="shared" si="1"/>
        <v>159.72185794272067</v>
      </c>
      <c r="I28" s="751"/>
      <c r="J28" s="751"/>
      <c r="K28" s="751">
        <f t="shared" si="2"/>
        <v>7693.7717609012443</v>
      </c>
    </row>
    <row r="29" spans="1:11" ht="15.75">
      <c r="A29" s="727" t="s">
        <v>192</v>
      </c>
      <c r="B29" s="1356" t="str">
        <f t="shared" si="3"/>
        <v>Year 2022</v>
      </c>
      <c r="C29" s="727"/>
      <c r="D29" s="751">
        <f t="shared" si="4"/>
        <v>-7534.0499029585235</v>
      </c>
      <c r="E29" s="751"/>
      <c r="F29" s="752">
        <f t="shared" si="5"/>
        <v>4.239999999999999E-3</v>
      </c>
      <c r="G29" s="1213">
        <f t="shared" si="0"/>
        <v>4</v>
      </c>
      <c r="H29" s="751">
        <f t="shared" si="1"/>
        <v>127.77748635417653</v>
      </c>
      <c r="I29" s="751"/>
      <c r="J29" s="751"/>
      <c r="K29" s="751">
        <f t="shared" si="2"/>
        <v>7661.8273893126998</v>
      </c>
    </row>
    <row r="30" spans="1:11" ht="15.75">
      <c r="A30" s="727" t="s">
        <v>560</v>
      </c>
      <c r="B30" s="1356" t="str">
        <f t="shared" si="3"/>
        <v>Year 2022</v>
      </c>
      <c r="C30" s="727"/>
      <c r="D30" s="751">
        <f t="shared" si="4"/>
        <v>-7534.0499029585235</v>
      </c>
      <c r="E30" s="751"/>
      <c r="F30" s="752">
        <f t="shared" si="5"/>
        <v>4.239999999999999E-3</v>
      </c>
      <c r="G30" s="1213">
        <f t="shared" si="0"/>
        <v>3</v>
      </c>
      <c r="H30" s="751">
        <f t="shared" si="1"/>
        <v>95.833114765632402</v>
      </c>
      <c r="I30" s="751"/>
      <c r="J30" s="751"/>
      <c r="K30" s="751">
        <f t="shared" si="2"/>
        <v>7629.8830177241562</v>
      </c>
    </row>
    <row r="31" spans="1:11" ht="15.75">
      <c r="A31" s="727" t="s">
        <v>561</v>
      </c>
      <c r="B31" s="1356" t="str">
        <f t="shared" si="3"/>
        <v>Year 2022</v>
      </c>
      <c r="C31" s="727"/>
      <c r="D31" s="751">
        <f t="shared" si="4"/>
        <v>-7534.0499029585235</v>
      </c>
      <c r="E31" s="751"/>
      <c r="F31" s="752">
        <f t="shared" si="5"/>
        <v>4.239999999999999E-3</v>
      </c>
      <c r="G31" s="1213">
        <f t="shared" si="0"/>
        <v>2</v>
      </c>
      <c r="H31" s="751">
        <f t="shared" si="1"/>
        <v>63.888743177088266</v>
      </c>
      <c r="I31" s="751"/>
      <c r="J31" s="751"/>
      <c r="K31" s="751">
        <f t="shared" si="2"/>
        <v>7597.9386461356116</v>
      </c>
    </row>
    <row r="32" spans="1:11" ht="15.75">
      <c r="A32" s="727" t="s">
        <v>191</v>
      </c>
      <c r="B32" s="1356" t="str">
        <f t="shared" si="3"/>
        <v>Year 2022</v>
      </c>
      <c r="C32" s="727"/>
      <c r="D32" s="751">
        <f t="shared" si="4"/>
        <v>-7534.0499029585235</v>
      </c>
      <c r="E32" s="751"/>
      <c r="F32" s="752">
        <f t="shared" si="5"/>
        <v>4.239999999999999E-3</v>
      </c>
      <c r="G32" s="1213">
        <f t="shared" si="0"/>
        <v>1</v>
      </c>
      <c r="H32" s="754">
        <f t="shared" si="1"/>
        <v>31.944371588544133</v>
      </c>
      <c r="I32" s="751"/>
      <c r="J32" s="751"/>
      <c r="K32" s="751">
        <f t="shared" si="2"/>
        <v>7565.994274547068</v>
      </c>
    </row>
    <row r="33" spans="1:11" ht="15.75">
      <c r="A33" s="727"/>
      <c r="B33" s="1356"/>
      <c r="C33" s="727"/>
      <c r="D33" s="751"/>
      <c r="E33" s="751"/>
      <c r="F33" s="752"/>
      <c r="G33" s="738"/>
      <c r="H33" s="751">
        <f>SUM(H21:H32)</f>
        <v>2491.6609839064427</v>
      </c>
      <c r="I33" s="751"/>
      <c r="J33" s="751"/>
      <c r="K33" s="755">
        <f>SUM(K21:K32)</f>
        <v>92900.259819408733</v>
      </c>
    </row>
    <row r="34" spans="1:11" ht="15.75">
      <c r="A34" s="727"/>
      <c r="B34" s="1356"/>
      <c r="C34" s="727"/>
      <c r="D34" s="751"/>
      <c r="E34" s="751"/>
      <c r="F34" s="752"/>
      <c r="G34" s="738"/>
      <c r="H34" s="751"/>
      <c r="I34" s="751" t="s">
        <v>114</v>
      </c>
      <c r="J34" s="751"/>
      <c r="K34" s="458"/>
    </row>
    <row r="35" spans="1:11" ht="15.75">
      <c r="A35" s="727"/>
      <c r="B35" s="1356"/>
      <c r="C35" s="727"/>
      <c r="D35" s="737"/>
      <c r="E35" s="737"/>
      <c r="F35" s="752"/>
      <c r="G35" s="738"/>
      <c r="H35" s="756" t="s">
        <v>562</v>
      </c>
      <c r="I35" s="751"/>
      <c r="J35" s="751"/>
      <c r="K35" s="751"/>
    </row>
    <row r="36" spans="1:11" ht="15.75">
      <c r="A36" s="727" t="s">
        <v>563</v>
      </c>
      <c r="B36" s="1356" t="str">
        <f>"Year "&amp;TCOS!L4-1</f>
        <v>Year 2023</v>
      </c>
      <c r="C36" s="727"/>
      <c r="D36" s="737">
        <f>K33</f>
        <v>92900.259819408733</v>
      </c>
      <c r="E36" s="737"/>
      <c r="F36" s="752">
        <f>+F32</f>
        <v>4.239999999999999E-3</v>
      </c>
      <c r="G36" s="1213">
        <v>12</v>
      </c>
      <c r="H36" s="751">
        <f>+G36*F36*D36</f>
        <v>4726.765219611515</v>
      </c>
      <c r="I36" s="751"/>
      <c r="J36" s="751"/>
      <c r="K36" s="755">
        <f>+D36+H36</f>
        <v>97627.025039020242</v>
      </c>
    </row>
    <row r="37" spans="1:11" ht="15.75">
      <c r="A37" s="727"/>
      <c r="B37" s="1356"/>
      <c r="C37" s="727"/>
      <c r="D37" s="737"/>
      <c r="E37" s="737"/>
      <c r="F37" s="752"/>
      <c r="G37" s="727"/>
      <c r="H37" s="751"/>
      <c r="I37" s="751"/>
      <c r="J37" s="751"/>
      <c r="K37" s="751"/>
    </row>
    <row r="38" spans="1:11" ht="15.75">
      <c r="A38" s="757" t="s">
        <v>564</v>
      </c>
      <c r="B38" s="1356"/>
      <c r="C38" s="727"/>
      <c r="D38" s="751"/>
      <c r="E38" s="751"/>
      <c r="F38" s="752"/>
      <c r="G38" s="727"/>
      <c r="H38" s="756" t="s">
        <v>558</v>
      </c>
      <c r="I38" s="751"/>
      <c r="J38" s="751"/>
      <c r="K38" s="751"/>
    </row>
    <row r="39" spans="1:11" ht="15.75">
      <c r="A39" s="727" t="s">
        <v>185</v>
      </c>
      <c r="B39" s="1356" t="str">
        <f>"Year "&amp;TCOS!L4</f>
        <v>Year 2024</v>
      </c>
      <c r="C39" s="727"/>
      <c r="D39" s="737">
        <f>-K36</f>
        <v>-97627.025039020242</v>
      </c>
      <c r="E39" s="737"/>
      <c r="F39" s="752">
        <f>+F32</f>
        <v>4.239999999999999E-3</v>
      </c>
      <c r="G39" s="727"/>
      <c r="H39" s="751">
        <f xml:space="preserve"> -F39*D39</f>
        <v>413.93858616544571</v>
      </c>
      <c r="I39" s="751">
        <f>PMT(F39,12,K$36)</f>
        <v>-8361.5413057056394</v>
      </c>
      <c r="J39" s="751"/>
      <c r="K39" s="751">
        <f>(+D39+D39*F39-I39)*-1</f>
        <v>89679.422319480043</v>
      </c>
    </row>
    <row r="40" spans="1:11" ht="15.75">
      <c r="A40" s="727" t="s">
        <v>559</v>
      </c>
      <c r="B40" s="1356" t="str">
        <f>+B39</f>
        <v>Year 2024</v>
      </c>
      <c r="C40" s="727"/>
      <c r="D40" s="737">
        <f>-K39</f>
        <v>-89679.422319480043</v>
      </c>
      <c r="E40" s="737"/>
      <c r="F40" s="752">
        <f>+F39</f>
        <v>4.239999999999999E-3</v>
      </c>
      <c r="G40" s="727"/>
      <c r="H40" s="751">
        <f xml:space="preserve"> -F40*D40</f>
        <v>380.24075063459532</v>
      </c>
      <c r="I40" s="751">
        <f>I39</f>
        <v>-8361.5413057056394</v>
      </c>
      <c r="J40" s="751"/>
      <c r="K40" s="751">
        <f t="shared" ref="K40:K50" si="6">(+D40+D40*F40-I40)*-1</f>
        <v>81698.121764408992</v>
      </c>
    </row>
    <row r="41" spans="1:11" ht="15.75">
      <c r="A41" s="727" t="s">
        <v>186</v>
      </c>
      <c r="B41" s="1356" t="str">
        <f>+B40</f>
        <v>Year 2024</v>
      </c>
      <c r="C41" s="727"/>
      <c r="D41" s="737">
        <f t="shared" ref="D41:D50" si="7">-K40</f>
        <v>-81698.121764408992</v>
      </c>
      <c r="E41" s="737"/>
      <c r="F41" s="752">
        <f t="shared" ref="F41:F50" si="8">+F40</f>
        <v>4.239999999999999E-3</v>
      </c>
      <c r="G41" s="727"/>
      <c r="H41" s="751">
        <f t="shared" ref="H41:H50" si="9" xml:space="preserve"> -F41*D41</f>
        <v>346.40003628109406</v>
      </c>
      <c r="I41" s="751">
        <f t="shared" ref="I41:I50" si="10">I40</f>
        <v>-8361.5413057056394</v>
      </c>
      <c r="J41" s="751"/>
      <c r="K41" s="751">
        <f t="shared" si="6"/>
        <v>73682.98049498444</v>
      </c>
    </row>
    <row r="42" spans="1:11" ht="15.75">
      <c r="A42" s="727" t="s">
        <v>187</v>
      </c>
      <c r="B42" s="1356" t="str">
        <f>+B41</f>
        <v>Year 2024</v>
      </c>
      <c r="C42" s="727"/>
      <c r="D42" s="737">
        <f t="shared" si="7"/>
        <v>-73682.98049498444</v>
      </c>
      <c r="E42" s="737"/>
      <c r="F42" s="752">
        <f t="shared" si="8"/>
        <v>4.239999999999999E-3</v>
      </c>
      <c r="G42" s="727"/>
      <c r="H42" s="751">
        <f t="shared" si="9"/>
        <v>312.41583729873395</v>
      </c>
      <c r="I42" s="751">
        <f t="shared" si="10"/>
        <v>-8361.5413057056394</v>
      </c>
      <c r="J42" s="751"/>
      <c r="K42" s="751">
        <f t="shared" si="6"/>
        <v>65633.855026577527</v>
      </c>
    </row>
    <row r="43" spans="1:11" ht="15.75">
      <c r="A43" s="727" t="s">
        <v>188</v>
      </c>
      <c r="B43" s="1356" t="str">
        <f>+B42</f>
        <v>Year 2024</v>
      </c>
      <c r="C43" s="727"/>
      <c r="D43" s="737">
        <f t="shared" si="7"/>
        <v>-65633.855026577527</v>
      </c>
      <c r="E43" s="737"/>
      <c r="F43" s="752">
        <f t="shared" si="8"/>
        <v>4.239999999999999E-3</v>
      </c>
      <c r="G43" s="727"/>
      <c r="H43" s="751">
        <f t="shared" si="9"/>
        <v>278.28754531268862</v>
      </c>
      <c r="I43" s="751">
        <f>I42</f>
        <v>-8361.5413057056394</v>
      </c>
      <c r="J43" s="751"/>
      <c r="K43" s="751">
        <f t="shared" si="6"/>
        <v>57550.601266184574</v>
      </c>
    </row>
    <row r="44" spans="1:11" ht="15.75">
      <c r="A44" s="727" t="s">
        <v>382</v>
      </c>
      <c r="B44" s="1356" t="str">
        <f>B43</f>
        <v>Year 2024</v>
      </c>
      <c r="C44" s="458"/>
      <c r="D44" s="737">
        <f t="shared" si="7"/>
        <v>-57550.601266184574</v>
      </c>
      <c r="E44" s="737"/>
      <c r="F44" s="752">
        <f t="shared" si="8"/>
        <v>4.239999999999999E-3</v>
      </c>
      <c r="G44" s="727"/>
      <c r="H44" s="751">
        <f t="shared" si="9"/>
        <v>244.01454936862254</v>
      </c>
      <c r="I44" s="751">
        <f t="shared" si="10"/>
        <v>-8361.5413057056394</v>
      </c>
      <c r="J44" s="751"/>
      <c r="K44" s="751">
        <f t="shared" si="6"/>
        <v>49433.07450984756</v>
      </c>
    </row>
    <row r="45" spans="1:11" ht="15.75">
      <c r="A45" s="727" t="s">
        <v>189</v>
      </c>
      <c r="B45" s="1356" t="str">
        <f t="shared" ref="B45:B50" si="11">+B44</f>
        <v>Year 2024</v>
      </c>
      <c r="C45" s="727"/>
      <c r="D45" s="737">
        <f t="shared" si="7"/>
        <v>-49433.07450984756</v>
      </c>
      <c r="E45" s="737"/>
      <c r="F45" s="752">
        <f t="shared" si="8"/>
        <v>4.239999999999999E-3</v>
      </c>
      <c r="G45" s="727"/>
      <c r="H45" s="751">
        <f t="shared" si="9"/>
        <v>209.59623592175362</v>
      </c>
      <c r="I45" s="751">
        <f t="shared" si="10"/>
        <v>-8361.5413057056394</v>
      </c>
      <c r="J45" s="751"/>
      <c r="K45" s="751">
        <f t="shared" si="6"/>
        <v>41281.129440063669</v>
      </c>
    </row>
    <row r="46" spans="1:11" ht="15.75">
      <c r="A46" s="727" t="s">
        <v>190</v>
      </c>
      <c r="B46" s="1356" t="str">
        <f t="shared" si="11"/>
        <v>Year 2024</v>
      </c>
      <c r="C46" s="727"/>
      <c r="D46" s="737">
        <f t="shared" si="7"/>
        <v>-41281.129440063669</v>
      </c>
      <c r="E46" s="737"/>
      <c r="F46" s="752">
        <f t="shared" si="8"/>
        <v>4.239999999999999E-3</v>
      </c>
      <c r="G46" s="727"/>
      <c r="H46" s="751">
        <f t="shared" si="9"/>
        <v>175.03198882586992</v>
      </c>
      <c r="I46" s="751">
        <f t="shared" si="10"/>
        <v>-8361.5413057056394</v>
      </c>
      <c r="J46" s="751"/>
      <c r="K46" s="751">
        <f t="shared" si="6"/>
        <v>33094.620123183893</v>
      </c>
    </row>
    <row r="47" spans="1:11" ht="15.75">
      <c r="A47" s="727" t="s">
        <v>192</v>
      </c>
      <c r="B47" s="1356" t="str">
        <f t="shared" si="11"/>
        <v>Year 2024</v>
      </c>
      <c r="C47" s="727"/>
      <c r="D47" s="737">
        <f t="shared" si="7"/>
        <v>-33094.620123183893</v>
      </c>
      <c r="E47" s="737"/>
      <c r="F47" s="752">
        <f t="shared" si="8"/>
        <v>4.239999999999999E-3</v>
      </c>
      <c r="G47" s="727"/>
      <c r="H47" s="751">
        <f t="shared" si="9"/>
        <v>140.32118932229966</v>
      </c>
      <c r="I47" s="751">
        <f>I46</f>
        <v>-8361.5413057056394</v>
      </c>
      <c r="J47" s="751"/>
      <c r="K47" s="751">
        <f t="shared" si="6"/>
        <v>24873.400006800552</v>
      </c>
    </row>
    <row r="48" spans="1:11" ht="15.75">
      <c r="A48" s="727" t="s">
        <v>560</v>
      </c>
      <c r="B48" s="1356" t="str">
        <f t="shared" si="11"/>
        <v>Year 2024</v>
      </c>
      <c r="C48" s="727"/>
      <c r="D48" s="737">
        <f t="shared" si="7"/>
        <v>-24873.400006800552</v>
      </c>
      <c r="E48" s="737"/>
      <c r="F48" s="752">
        <f t="shared" si="8"/>
        <v>4.239999999999999E-3</v>
      </c>
      <c r="G48" s="727"/>
      <c r="H48" s="751">
        <f t="shared" si="9"/>
        <v>105.46321602883431</v>
      </c>
      <c r="I48" s="751">
        <f t="shared" si="10"/>
        <v>-8361.5413057056394</v>
      </c>
      <c r="J48" s="751"/>
      <c r="K48" s="751">
        <f t="shared" si="6"/>
        <v>16617.321917123747</v>
      </c>
    </row>
    <row r="49" spans="1:11" ht="15.75">
      <c r="A49" s="727" t="s">
        <v>561</v>
      </c>
      <c r="B49" s="1356" t="str">
        <f t="shared" si="11"/>
        <v>Year 2024</v>
      </c>
      <c r="C49" s="727"/>
      <c r="D49" s="737">
        <f t="shared" si="7"/>
        <v>-16617.321917123747</v>
      </c>
      <c r="E49" s="737"/>
      <c r="F49" s="752">
        <f t="shared" si="8"/>
        <v>4.239999999999999E-3</v>
      </c>
      <c r="G49" s="727"/>
      <c r="H49" s="751">
        <f t="shared" si="9"/>
        <v>70.457444928604673</v>
      </c>
      <c r="I49" s="751">
        <f t="shared" si="10"/>
        <v>-8361.5413057056394</v>
      </c>
      <c r="J49" s="751"/>
      <c r="K49" s="751">
        <f t="shared" si="6"/>
        <v>8326.2380563467123</v>
      </c>
    </row>
    <row r="50" spans="1:11" ht="15.75">
      <c r="A50" s="727" t="s">
        <v>191</v>
      </c>
      <c r="B50" s="1356" t="str">
        <f t="shared" si="11"/>
        <v>Year 2024</v>
      </c>
      <c r="C50" s="727"/>
      <c r="D50" s="737">
        <f t="shared" si="7"/>
        <v>-8326.2380563467123</v>
      </c>
      <c r="E50" s="737"/>
      <c r="F50" s="752">
        <f t="shared" si="8"/>
        <v>4.239999999999999E-3</v>
      </c>
      <c r="G50" s="727"/>
      <c r="H50" s="754">
        <f t="shared" si="9"/>
        <v>35.303249358910051</v>
      </c>
      <c r="I50" s="751">
        <f t="shared" si="10"/>
        <v>-8361.5413057056394</v>
      </c>
      <c r="J50" s="751"/>
      <c r="K50" s="751">
        <f t="shared" si="6"/>
        <v>-1.6370904631912708E-11</v>
      </c>
    </row>
    <row r="51" spans="1:11" ht="15.75">
      <c r="A51" s="727"/>
      <c r="B51" s="727"/>
      <c r="C51" s="727"/>
      <c r="D51" s="737"/>
      <c r="E51" s="737"/>
      <c r="F51" s="752"/>
      <c r="G51" s="727"/>
      <c r="H51" s="751">
        <f>SUM(H39:H50)</f>
        <v>2711.4706294474522</v>
      </c>
      <c r="I51" s="751"/>
      <c r="J51" s="751"/>
      <c r="K51" s="751"/>
    </row>
    <row r="52" spans="1:11" ht="15">
      <c r="A52" s="458"/>
      <c r="B52" s="458"/>
      <c r="C52" s="458"/>
      <c r="D52" s="458"/>
      <c r="E52" s="458"/>
      <c r="F52" s="458"/>
      <c r="G52" s="458"/>
      <c r="H52" s="458"/>
      <c r="I52" s="758"/>
      <c r="J52" s="458"/>
      <c r="K52" s="458"/>
    </row>
    <row r="53" spans="1:11" ht="15.75">
      <c r="A53" s="727" t="s">
        <v>569</v>
      </c>
      <c r="B53" s="458"/>
      <c r="C53" s="458"/>
      <c r="D53" s="458"/>
      <c r="E53" s="458"/>
      <c r="F53" s="458"/>
      <c r="G53" s="458"/>
      <c r="H53" s="458"/>
      <c r="I53" s="759">
        <f>(SUM(I39:I50)*-1)</f>
        <v>100338.4956684677</v>
      </c>
      <c r="J53" s="458"/>
      <c r="K53" s="458"/>
    </row>
    <row r="54" spans="1:11" ht="15.75">
      <c r="A54" s="727" t="s">
        <v>565</v>
      </c>
      <c r="B54" s="458"/>
      <c r="C54" s="458"/>
      <c r="D54" s="458"/>
      <c r="E54" s="458"/>
      <c r="F54" s="458"/>
      <c r="G54" s="458"/>
      <c r="H54" s="458"/>
      <c r="I54" s="760">
        <f>+H10</f>
        <v>-90408.598835502286</v>
      </c>
      <c r="J54" s="458"/>
      <c r="K54" s="458"/>
    </row>
    <row r="55" spans="1:11" ht="15.75">
      <c r="A55" s="727" t="s">
        <v>566</v>
      </c>
      <c r="B55" s="458"/>
      <c r="C55" s="458"/>
      <c r="D55" s="458"/>
      <c r="E55" s="458"/>
      <c r="F55" s="458"/>
      <c r="G55" s="458"/>
      <c r="H55" s="458"/>
      <c r="I55" s="759">
        <f>(I53+I54)</f>
        <v>9929.8968329654163</v>
      </c>
      <c r="J55" s="458"/>
      <c r="K55" s="458"/>
    </row>
    <row r="56" spans="1:11">
      <c r="A56" s="362"/>
      <c r="B56" s="362"/>
      <c r="C56" s="362"/>
      <c r="D56" s="362"/>
      <c r="E56" s="362"/>
      <c r="F56" s="362"/>
      <c r="G56" s="362"/>
      <c r="H56" s="362"/>
      <c r="I56" s="362"/>
      <c r="J56" s="362"/>
      <c r="K56" s="362"/>
    </row>
    <row r="57" spans="1:11" ht="64.5" customHeight="1">
      <c r="A57" s="1569" t="s">
        <v>570</v>
      </c>
      <c r="B57" s="1569"/>
      <c r="C57" s="1569"/>
      <c r="D57" s="1569"/>
      <c r="E57" s="761"/>
      <c r="F57" s="761"/>
      <c r="G57" s="761"/>
      <c r="H57" s="761"/>
      <c r="I57" s="761"/>
      <c r="J57" s="761"/>
      <c r="K57" s="761"/>
    </row>
  </sheetData>
  <mergeCells count="5">
    <mergeCell ref="A1:K1"/>
    <mergeCell ref="A2:K2"/>
    <mergeCell ref="A3:K3"/>
    <mergeCell ref="D4:G4"/>
    <mergeCell ref="A57:D57"/>
  </mergeCell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J183" sqref="J183"/>
    </sheetView>
  </sheetViews>
  <sheetFormatPr defaultRowHeight="12.75" customHeight="1"/>
  <cols>
    <col min="1" max="1" width="7.7109375" bestFit="1" customWidth="1"/>
    <col min="2" max="2" width="57.7109375" bestFit="1" customWidth="1"/>
    <col min="3" max="4" width="14.85546875" customWidth="1"/>
    <col min="5" max="6" width="14.28515625" customWidth="1"/>
    <col min="7" max="7" width="15.28515625" bestFit="1" customWidth="1"/>
    <col min="8" max="8" width="2.7109375" customWidth="1"/>
    <col min="9" max="9" width="15.140625" customWidth="1"/>
    <col min="10" max="10" width="15" bestFit="1" customWidth="1"/>
    <col min="11" max="11" width="13.5703125" bestFit="1" customWidth="1"/>
    <col min="12" max="12" width="2.42578125" customWidth="1"/>
    <col min="13" max="13" width="15.28515625" bestFit="1" customWidth="1"/>
    <col min="14" max="14" width="15" bestFit="1" customWidth="1"/>
    <col min="15" max="15" width="13.5703125" bestFit="1" customWidth="1"/>
    <col min="16" max="16" width="2.7109375" customWidth="1"/>
    <col min="17" max="17" width="13.140625" bestFit="1" customWidth="1"/>
    <col min="18" max="18" width="15" bestFit="1" customWidth="1"/>
    <col min="19" max="19" width="13.5703125" bestFit="1" customWidth="1"/>
  </cols>
  <sheetData>
    <row r="1" spans="1:19">
      <c r="A1" s="953"/>
      <c r="B1" s="1018" t="str">
        <f>TCOS!F9</f>
        <v>Appalachian Power Company</v>
      </c>
      <c r="C1" s="933"/>
      <c r="D1" s="933"/>
      <c r="E1" s="933"/>
      <c r="F1" s="933"/>
      <c r="G1" s="934"/>
      <c r="H1" s="934"/>
      <c r="I1" s="934"/>
      <c r="J1" s="934"/>
      <c r="K1" s="934"/>
      <c r="L1" s="934"/>
      <c r="M1" s="933"/>
      <c r="N1" s="933"/>
      <c r="O1" s="933"/>
      <c r="P1" s="933"/>
      <c r="Q1" s="933"/>
      <c r="R1" s="933"/>
      <c r="S1" s="934"/>
    </row>
    <row r="2" spans="1:19">
      <c r="A2" s="953"/>
      <c r="B2" s="932" t="s">
        <v>824</v>
      </c>
      <c r="C2" s="933"/>
      <c r="D2" s="933"/>
      <c r="E2" s="933"/>
      <c r="F2" s="933"/>
      <c r="G2" s="934"/>
      <c r="H2" s="934"/>
      <c r="I2" s="934"/>
      <c r="J2" s="934"/>
      <c r="K2" s="934"/>
      <c r="L2" s="934"/>
      <c r="M2" s="933"/>
      <c r="N2" s="933"/>
      <c r="O2" s="933"/>
      <c r="P2" s="933"/>
      <c r="Q2" s="933"/>
      <c r="R2" s="933"/>
      <c r="S2" s="934"/>
    </row>
    <row r="3" spans="1:19">
      <c r="A3" s="953"/>
      <c r="B3" s="973" t="str">
        <f>"PERIOD ENDED DECEMBER 31, "&amp;TCOS!L4</f>
        <v>PERIOD ENDED DECEMBER 31, 2024</v>
      </c>
      <c r="C3" s="933"/>
      <c r="D3" s="933"/>
      <c r="E3" s="933"/>
      <c r="F3" s="933"/>
      <c r="G3" s="933"/>
      <c r="H3" s="933"/>
      <c r="I3" s="933"/>
      <c r="J3" s="933"/>
      <c r="K3" s="933"/>
      <c r="L3" s="933"/>
      <c r="M3" s="933"/>
      <c r="N3" s="933"/>
      <c r="O3" s="933"/>
      <c r="P3" s="933"/>
      <c r="Q3" s="933"/>
      <c r="R3" s="933"/>
      <c r="S3" s="933"/>
    </row>
    <row r="4" spans="1:19">
      <c r="A4" s="953"/>
      <c r="B4" s="933"/>
      <c r="C4" s="933"/>
      <c r="D4" s="933"/>
      <c r="E4" s="933"/>
      <c r="F4" s="933"/>
      <c r="G4" s="861" t="s">
        <v>700</v>
      </c>
      <c r="H4" s="861"/>
      <c r="I4" s="861"/>
      <c r="J4" s="861"/>
      <c r="K4" s="861"/>
      <c r="L4" s="861"/>
      <c r="M4" s="933"/>
      <c r="N4" s="933"/>
      <c r="O4" s="933"/>
      <c r="P4" s="933"/>
      <c r="Q4" s="933"/>
      <c r="R4" s="933"/>
      <c r="S4" s="933"/>
    </row>
    <row r="5" spans="1:19">
      <c r="A5" s="953"/>
      <c r="B5" s="935"/>
      <c r="C5" s="933"/>
      <c r="D5" s="933"/>
      <c r="E5" s="933"/>
      <c r="F5" s="933"/>
      <c r="G5" s="933"/>
      <c r="H5" s="933"/>
      <c r="I5" s="933"/>
      <c r="J5" s="933"/>
      <c r="K5" s="933"/>
      <c r="L5" s="933"/>
      <c r="M5" s="933"/>
      <c r="N5" s="933"/>
      <c r="O5" s="933"/>
      <c r="P5" s="933"/>
      <c r="Q5" s="933"/>
      <c r="R5" s="933"/>
      <c r="S5" s="933"/>
    </row>
    <row r="6" spans="1:19">
      <c r="A6" s="953"/>
      <c r="B6" s="933"/>
      <c r="C6" s="933"/>
      <c r="D6" s="933"/>
      <c r="E6" s="933"/>
      <c r="F6" s="933"/>
      <c r="G6" s="933"/>
      <c r="H6" s="933"/>
      <c r="I6" s="933"/>
      <c r="J6" s="933"/>
      <c r="K6" s="933"/>
      <c r="L6" s="933"/>
      <c r="M6" s="933"/>
      <c r="N6" s="933"/>
      <c r="O6" s="933"/>
      <c r="P6" s="933"/>
      <c r="Q6" s="933"/>
      <c r="R6" s="933"/>
      <c r="S6" s="933"/>
    </row>
    <row r="7" spans="1:19">
      <c r="A7" s="953"/>
      <c r="B7" s="933"/>
      <c r="C7" s="933"/>
      <c r="D7" s="933"/>
      <c r="E7" s="933"/>
      <c r="F7" s="933"/>
      <c r="G7" s="933"/>
      <c r="H7" s="933"/>
      <c r="I7" s="933"/>
      <c r="J7" s="933"/>
      <c r="K7" s="933"/>
      <c r="L7" s="933"/>
      <c r="M7" s="933"/>
      <c r="N7" s="933"/>
      <c r="O7" s="933"/>
      <c r="P7" s="933"/>
      <c r="Q7" s="933"/>
      <c r="R7" s="933"/>
      <c r="S7" s="933"/>
    </row>
    <row r="8" spans="1:19">
      <c r="A8" s="953"/>
      <c r="B8" s="936" t="s">
        <v>701</v>
      </c>
      <c r="C8" s="936" t="s">
        <v>702</v>
      </c>
      <c r="D8" s="936" t="s">
        <v>703</v>
      </c>
      <c r="E8" s="936" t="s">
        <v>704</v>
      </c>
      <c r="F8" s="936" t="s">
        <v>705</v>
      </c>
      <c r="G8" s="936" t="s">
        <v>706</v>
      </c>
      <c r="H8" s="936"/>
      <c r="I8" s="936" t="s">
        <v>707</v>
      </c>
      <c r="J8" s="936" t="s">
        <v>708</v>
      </c>
      <c r="K8" s="936" t="s">
        <v>709</v>
      </c>
      <c r="L8" s="936"/>
      <c r="M8" s="936" t="s">
        <v>710</v>
      </c>
      <c r="N8" s="936" t="s">
        <v>711</v>
      </c>
      <c r="O8" s="936" t="s">
        <v>712</v>
      </c>
      <c r="P8" s="933"/>
      <c r="Q8" s="936" t="s">
        <v>713</v>
      </c>
      <c r="R8" s="936" t="s">
        <v>714</v>
      </c>
      <c r="S8" s="936" t="s">
        <v>715</v>
      </c>
    </row>
    <row r="9" spans="1:19">
      <c r="A9" s="953"/>
      <c r="B9" s="933"/>
      <c r="C9" s="933"/>
      <c r="D9" s="933"/>
      <c r="E9" s="933"/>
      <c r="F9" s="933"/>
      <c r="G9" s="933"/>
      <c r="H9" s="933"/>
      <c r="I9" s="933"/>
      <c r="J9" s="933"/>
      <c r="K9" s="933"/>
      <c r="L9" s="933"/>
      <c r="M9" s="933"/>
      <c r="N9" s="933"/>
      <c r="O9" s="933"/>
      <c r="P9" s="933"/>
      <c r="Q9" s="933"/>
      <c r="R9" s="933"/>
      <c r="S9" s="933"/>
    </row>
    <row r="10" spans="1:19">
      <c r="A10" s="953"/>
      <c r="B10" s="933"/>
      <c r="C10" s="937" t="s">
        <v>716</v>
      </c>
      <c r="D10" s="937"/>
      <c r="E10" s="938" t="s">
        <v>717</v>
      </c>
      <c r="F10" s="937"/>
      <c r="G10" s="19" t="s">
        <v>718</v>
      </c>
      <c r="H10" s="19"/>
      <c r="I10" s="939" t="s">
        <v>719</v>
      </c>
      <c r="J10" s="937"/>
      <c r="K10" s="937"/>
      <c r="L10" s="19"/>
      <c r="M10" s="939" t="str">
        <f>"FUNCTIONALIZATION 12/31/"&amp;TCOS!L4-1</f>
        <v>FUNCTIONALIZATION 12/31/2023</v>
      </c>
      <c r="N10" s="937"/>
      <c r="O10" s="937"/>
      <c r="P10" s="933"/>
      <c r="Q10" s="939" t="str">
        <f>"FUNCTIONALIZATION 12/31/"&amp;TCOS!L4</f>
        <v>FUNCTIONALIZATION 12/31/2024</v>
      </c>
      <c r="R10" s="937"/>
      <c r="S10" s="937"/>
    </row>
    <row r="11" spans="1:19">
      <c r="A11" s="953"/>
      <c r="B11" s="933"/>
      <c r="C11" s="941"/>
      <c r="D11" s="941"/>
      <c r="E11" s="933"/>
      <c r="F11" s="933"/>
      <c r="G11" s="19" t="s">
        <v>720</v>
      </c>
      <c r="H11" s="19"/>
      <c r="I11" s="941"/>
      <c r="J11" s="941"/>
      <c r="K11" s="941"/>
      <c r="L11" s="19"/>
      <c r="M11" s="941"/>
      <c r="N11" s="941"/>
      <c r="O11" s="941"/>
      <c r="P11" s="933"/>
      <c r="Q11" s="941"/>
      <c r="R11" s="941"/>
      <c r="S11" s="941"/>
    </row>
    <row r="12" spans="1:19">
      <c r="A12" s="953"/>
      <c r="B12" s="933"/>
      <c r="C12" s="19" t="s">
        <v>721</v>
      </c>
      <c r="D12" s="19" t="s">
        <v>721</v>
      </c>
      <c r="E12" s="19" t="s">
        <v>721</v>
      </c>
      <c r="F12" s="19" t="s">
        <v>721</v>
      </c>
      <c r="G12" s="19" t="s">
        <v>722</v>
      </c>
      <c r="H12" s="19"/>
      <c r="I12" s="933"/>
      <c r="J12" s="933"/>
      <c r="K12" s="933"/>
      <c r="L12" s="19"/>
      <c r="M12" s="933"/>
      <c r="N12" s="933"/>
      <c r="O12" s="933"/>
      <c r="P12" s="933"/>
      <c r="Q12" s="933"/>
      <c r="R12" s="933"/>
      <c r="S12" s="933"/>
    </row>
    <row r="13" spans="1:19">
      <c r="A13" s="953"/>
      <c r="B13" s="936" t="s">
        <v>723</v>
      </c>
      <c r="C13" s="936" t="str">
        <f>"OF 12-31-"&amp;TCOS!L4-1</f>
        <v>OF 12-31-2023</v>
      </c>
      <c r="D13" s="936" t="str">
        <f>"OF 12-31-"&amp;TCOS!L4</f>
        <v>OF 12-31-2024</v>
      </c>
      <c r="E13" s="936" t="str">
        <f>"OF 12-31-"&amp;TCOS!L4-1</f>
        <v>OF 12-31-2023</v>
      </c>
      <c r="F13" s="936" t="str">
        <f>"OF 12-31-"&amp;TCOS!L4</f>
        <v>OF 12-31-2024</v>
      </c>
      <c r="G13" s="936" t="s">
        <v>724</v>
      </c>
      <c r="H13" s="936"/>
      <c r="I13" s="936" t="s">
        <v>725</v>
      </c>
      <c r="J13" s="936" t="s">
        <v>726</v>
      </c>
      <c r="K13" s="936" t="s">
        <v>727</v>
      </c>
      <c r="L13" s="936"/>
      <c r="M13" s="936" t="s">
        <v>725</v>
      </c>
      <c r="N13" s="936" t="s">
        <v>726</v>
      </c>
      <c r="O13" s="936" t="s">
        <v>727</v>
      </c>
      <c r="P13" s="933"/>
      <c r="Q13" s="936" t="s">
        <v>725</v>
      </c>
      <c r="R13" s="936" t="s">
        <v>726</v>
      </c>
      <c r="S13" s="936" t="s">
        <v>727</v>
      </c>
    </row>
    <row r="14" spans="1:19">
      <c r="A14" s="953"/>
      <c r="B14" s="933"/>
      <c r="C14" s="933"/>
      <c r="D14" s="933"/>
      <c r="E14" s="933"/>
      <c r="F14" s="933"/>
      <c r="G14" s="933"/>
      <c r="H14" s="933"/>
      <c r="I14" s="933"/>
      <c r="J14" s="933"/>
      <c r="K14" s="933"/>
      <c r="L14" s="933"/>
      <c r="M14" s="933"/>
      <c r="N14" s="933"/>
      <c r="O14" s="933"/>
      <c r="P14" s="933"/>
      <c r="Q14" s="933"/>
      <c r="R14" s="933"/>
      <c r="S14" s="933"/>
    </row>
    <row r="15" spans="1:19">
      <c r="A15" s="972">
        <v>1</v>
      </c>
      <c r="B15" s="768" t="s">
        <v>728</v>
      </c>
      <c r="C15" s="943"/>
      <c r="D15" s="943"/>
      <c r="E15" s="943"/>
      <c r="F15" s="944"/>
      <c r="G15" s="943"/>
      <c r="H15" s="943"/>
      <c r="I15" s="943"/>
      <c r="J15" s="943"/>
      <c r="K15" s="943"/>
      <c r="L15" s="943"/>
      <c r="M15" s="943"/>
      <c r="N15" s="943"/>
      <c r="O15" s="943"/>
      <c r="P15" s="943"/>
      <c r="Q15" s="943"/>
      <c r="R15" s="943"/>
      <c r="S15" s="943"/>
    </row>
    <row r="16" spans="1:19">
      <c r="A16" s="972">
        <v>2.0099999999999998</v>
      </c>
      <c r="B16" s="768"/>
      <c r="C16" s="943"/>
      <c r="D16" s="943"/>
      <c r="E16" s="943"/>
      <c r="F16" s="943"/>
      <c r="G16" s="943"/>
      <c r="H16" s="943"/>
      <c r="I16" s="943"/>
      <c r="J16" s="943"/>
      <c r="K16" s="943"/>
      <c r="L16" s="943"/>
      <c r="M16" s="943"/>
      <c r="N16" s="943"/>
      <c r="O16" s="943"/>
      <c r="P16" s="943"/>
      <c r="Q16" s="943"/>
      <c r="R16" s="943"/>
      <c r="S16" s="943"/>
    </row>
    <row r="17" spans="1:19">
      <c r="A17" s="972">
        <v>2.02</v>
      </c>
      <c r="B17" s="768"/>
      <c r="C17" s="943">
        <f>SUM(M17:O17)</f>
        <v>0</v>
      </c>
      <c r="D17" s="943">
        <f>SUM(Q17:S17)</f>
        <v>0</v>
      </c>
      <c r="E17" s="943"/>
      <c r="F17" s="943"/>
      <c r="G17" s="943">
        <f>ROUND(SUM(C17:F17)/2,0)</f>
        <v>0</v>
      </c>
      <c r="H17" s="943"/>
      <c r="I17" s="943">
        <f>(M17+Q17)/2</f>
        <v>0</v>
      </c>
      <c r="J17" s="943">
        <f>(N17+R17)/2</f>
        <v>0</v>
      </c>
      <c r="K17" s="943">
        <f>(O17+S17)/2</f>
        <v>0</v>
      </c>
      <c r="L17" s="943"/>
      <c r="M17" s="768">
        <v>0</v>
      </c>
      <c r="N17" s="768"/>
      <c r="O17" s="768"/>
      <c r="P17" s="943"/>
      <c r="Q17" s="768">
        <v>0</v>
      </c>
      <c r="R17" s="768"/>
      <c r="S17" s="768"/>
    </row>
    <row r="18" spans="1:19">
      <c r="A18" s="972">
        <v>2.0299999999999998</v>
      </c>
      <c r="B18" s="768"/>
      <c r="C18" s="943"/>
      <c r="D18" s="943"/>
      <c r="E18" s="943"/>
      <c r="F18" s="943"/>
      <c r="G18" s="943"/>
      <c r="H18" s="943"/>
      <c r="I18" s="943"/>
      <c r="J18" s="943"/>
      <c r="K18" s="943"/>
      <c r="L18" s="943"/>
      <c r="M18" s="943"/>
      <c r="N18" s="943"/>
      <c r="O18" s="943"/>
      <c r="P18" s="943"/>
      <c r="Q18" s="943"/>
      <c r="R18" s="943"/>
      <c r="S18" s="943"/>
    </row>
    <row r="19" spans="1:19">
      <c r="A19" s="972">
        <v>2.04</v>
      </c>
      <c r="B19" s="768"/>
      <c r="C19" s="943">
        <v>0</v>
      </c>
      <c r="D19" s="943">
        <v>0</v>
      </c>
      <c r="E19" s="943">
        <f t="shared" ref="E19:F21" si="0">-C19</f>
        <v>0</v>
      </c>
      <c r="F19" s="943">
        <f t="shared" si="0"/>
        <v>0</v>
      </c>
      <c r="G19" s="943">
        <f>ROUND(SUM(C19:F19)/2,0)</f>
        <v>0</v>
      </c>
      <c r="H19" s="943"/>
      <c r="I19" s="943"/>
      <c r="J19" s="943"/>
      <c r="K19" s="943"/>
      <c r="L19" s="943"/>
      <c r="M19" s="943"/>
      <c r="N19" s="943"/>
      <c r="O19" s="943"/>
      <c r="P19" s="943"/>
      <c r="Q19" s="943"/>
      <c r="R19" s="943"/>
      <c r="S19" s="943"/>
    </row>
    <row r="20" spans="1:19">
      <c r="A20" s="972">
        <v>2.0499999999999998</v>
      </c>
      <c r="B20" s="768"/>
      <c r="C20" s="943">
        <v>0</v>
      </c>
      <c r="D20" s="943">
        <v>0</v>
      </c>
      <c r="E20" s="943">
        <f t="shared" si="0"/>
        <v>0</v>
      </c>
      <c r="F20" s="943">
        <f t="shared" si="0"/>
        <v>0</v>
      </c>
      <c r="G20" s="943">
        <f>ROUND(SUM(C20:F20)/2,0)</f>
        <v>0</v>
      </c>
      <c r="H20" s="943"/>
      <c r="I20" s="943"/>
      <c r="J20" s="943"/>
      <c r="K20" s="943"/>
      <c r="L20" s="943"/>
      <c r="M20" s="943"/>
      <c r="N20" s="943"/>
      <c r="O20" s="943"/>
      <c r="P20" s="943"/>
      <c r="Q20" s="943"/>
      <c r="R20" s="943"/>
      <c r="S20" s="943"/>
    </row>
    <row r="21" spans="1:19">
      <c r="A21" s="972">
        <v>2.06</v>
      </c>
      <c r="B21" s="768"/>
      <c r="C21" s="943">
        <v>0</v>
      </c>
      <c r="D21" s="943">
        <v>0</v>
      </c>
      <c r="E21" s="943">
        <f t="shared" si="0"/>
        <v>0</v>
      </c>
      <c r="F21" s="943">
        <f t="shared" si="0"/>
        <v>0</v>
      </c>
      <c r="G21" s="943">
        <f>ROUND(SUM(C21:F21)/2,0)</f>
        <v>0</v>
      </c>
      <c r="H21" s="943"/>
      <c r="I21" s="943"/>
      <c r="J21" s="943"/>
      <c r="K21" s="943"/>
      <c r="L21" s="943"/>
      <c r="M21" s="943"/>
      <c r="N21" s="943"/>
      <c r="O21" s="943"/>
      <c r="P21" s="943"/>
      <c r="Q21" s="943"/>
      <c r="R21" s="943"/>
      <c r="S21" s="943"/>
    </row>
    <row r="22" spans="1:19">
      <c r="A22" s="968"/>
      <c r="B22" s="933"/>
      <c r="C22" s="943"/>
      <c r="D22" s="943"/>
      <c r="E22" s="943"/>
      <c r="F22" s="943"/>
      <c r="G22" s="943"/>
      <c r="H22" s="943"/>
      <c r="I22" s="943"/>
      <c r="J22" s="943"/>
      <c r="K22" s="943"/>
      <c r="L22" s="943"/>
      <c r="M22" s="943"/>
      <c r="N22" s="943"/>
      <c r="O22" s="943"/>
      <c r="P22" s="943"/>
      <c r="Q22" s="943"/>
      <c r="R22" s="943"/>
      <c r="S22" s="943"/>
    </row>
    <row r="23" spans="1:19" ht="13.5" thickBot="1">
      <c r="A23" s="954">
        <v>3</v>
      </c>
      <c r="B23" s="204" t="s">
        <v>729</v>
      </c>
      <c r="C23" s="946">
        <f>SUM(C17:C22)</f>
        <v>0</v>
      </c>
      <c r="D23" s="946">
        <f>SUM(D17:D22)</f>
        <v>0</v>
      </c>
      <c r="E23" s="946">
        <f>SUM(E17:E22)</f>
        <v>0</v>
      </c>
      <c r="F23" s="946">
        <f>SUM(F17:F22)</f>
        <v>0</v>
      </c>
      <c r="G23" s="946">
        <f>SUM(G17:G22)</f>
        <v>0</v>
      </c>
      <c r="H23" s="943"/>
      <c r="I23" s="946">
        <f>SUM(I17:I22)</f>
        <v>0</v>
      </c>
      <c r="J23" s="946">
        <f>SUM(J17:J22)</f>
        <v>0</v>
      </c>
      <c r="K23" s="946">
        <f>SUM(K17:K22)</f>
        <v>0</v>
      </c>
      <c r="L23" s="943"/>
      <c r="M23" s="946">
        <f>SUM(M17:M22)</f>
        <v>0</v>
      </c>
      <c r="N23" s="946">
        <f>SUM(N17:N22)</f>
        <v>0</v>
      </c>
      <c r="O23" s="946">
        <f>SUM(O17:O22)</f>
        <v>0</v>
      </c>
      <c r="P23" s="943"/>
      <c r="Q23" s="946">
        <f>SUM(Q17:Q22)</f>
        <v>0</v>
      </c>
      <c r="R23" s="946">
        <f>SUM(R17:R22)</f>
        <v>0</v>
      </c>
      <c r="S23" s="946">
        <f>SUM(S17:S22)</f>
        <v>0</v>
      </c>
    </row>
    <row r="24" spans="1:19" ht="13.5" thickTop="1">
      <c r="A24" s="954">
        <f>A23+1</f>
        <v>4</v>
      </c>
      <c r="B24" s="1019" t="s">
        <v>747</v>
      </c>
      <c r="C24" s="966">
        <v>0</v>
      </c>
      <c r="D24" s="966">
        <v>0</v>
      </c>
      <c r="E24" s="966">
        <v>0</v>
      </c>
      <c r="F24" s="966">
        <v>0</v>
      </c>
      <c r="G24" s="966">
        <v>0</v>
      </c>
      <c r="H24" s="967"/>
      <c r="I24" s="966">
        <v>0</v>
      </c>
      <c r="J24" s="966">
        <v>0</v>
      </c>
      <c r="K24" s="966">
        <v>0</v>
      </c>
      <c r="L24" s="967"/>
      <c r="M24" s="966">
        <v>0</v>
      </c>
      <c r="N24" s="966">
        <v>0</v>
      </c>
      <c r="O24" s="966">
        <v>0</v>
      </c>
      <c r="P24" s="967"/>
      <c r="Q24" s="966">
        <v>0</v>
      </c>
      <c r="R24" s="966">
        <v>0</v>
      </c>
      <c r="S24" s="966">
        <v>0</v>
      </c>
    </row>
    <row r="25" spans="1:19">
      <c r="A25" s="954"/>
      <c r="B25" s="933"/>
      <c r="C25" s="943"/>
      <c r="D25" s="943"/>
      <c r="E25" s="943"/>
      <c r="F25" s="943"/>
      <c r="G25" s="943"/>
      <c r="H25" s="943"/>
      <c r="I25" s="943"/>
      <c r="J25" s="943"/>
      <c r="K25" s="943"/>
      <c r="L25" s="943"/>
      <c r="M25" s="943"/>
      <c r="N25" s="943"/>
      <c r="O25" s="943"/>
      <c r="P25" s="943"/>
      <c r="Q25" s="943"/>
      <c r="R25" s="943"/>
      <c r="S25" s="943"/>
    </row>
    <row r="26" spans="1:19">
      <c r="A26" s="954">
        <v>5</v>
      </c>
      <c r="B26" s="934" t="s">
        <v>730</v>
      </c>
      <c r="C26" s="943"/>
      <c r="D26" s="943"/>
      <c r="E26" s="943"/>
      <c r="F26" s="943"/>
      <c r="G26" s="943"/>
      <c r="H26" s="943"/>
      <c r="I26" s="943"/>
      <c r="J26" s="943"/>
      <c r="K26" s="943"/>
      <c r="L26" s="943"/>
      <c r="M26" s="943"/>
      <c r="N26" s="943"/>
      <c r="O26" s="943"/>
      <c r="P26" s="943"/>
      <c r="Q26" s="943"/>
      <c r="R26" s="943"/>
      <c r="S26" s="943"/>
    </row>
    <row r="27" spans="1:19">
      <c r="A27" s="969"/>
      <c r="B27" s="933"/>
      <c r="C27" s="943"/>
      <c r="D27" s="943"/>
      <c r="E27" s="943"/>
      <c r="F27" s="943"/>
      <c r="G27" s="943"/>
      <c r="H27" s="943"/>
      <c r="I27" s="943"/>
      <c r="J27" s="943"/>
      <c r="K27" s="943"/>
      <c r="L27" s="943"/>
      <c r="M27" s="943"/>
      <c r="N27" s="943"/>
      <c r="O27" s="943"/>
      <c r="P27" s="943"/>
      <c r="Q27" s="943"/>
      <c r="R27" s="943"/>
      <c r="S27" s="943"/>
    </row>
    <row r="28" spans="1:19">
      <c r="A28" s="972">
        <v>5.01</v>
      </c>
      <c r="B28" s="768"/>
      <c r="C28" s="943">
        <f t="shared" ref="C28:C64" si="1">SUM(M28:O28)</f>
        <v>0</v>
      </c>
      <c r="D28" s="943">
        <f t="shared" ref="D28:D64" si="2">SUM(Q28:S28)</f>
        <v>0</v>
      </c>
      <c r="E28" s="943"/>
      <c r="F28" s="943"/>
      <c r="G28" s="943">
        <f t="shared" ref="G28:G50" si="3">ROUND(SUM(C28:F28)/2,0)</f>
        <v>0</v>
      </c>
      <c r="H28" s="943"/>
      <c r="I28" s="943">
        <f t="shared" ref="I28:K65" si="4">(M28+Q28)/2</f>
        <v>0</v>
      </c>
      <c r="J28" s="943">
        <f t="shared" si="4"/>
        <v>0</v>
      </c>
      <c r="K28" s="943">
        <f t="shared" si="4"/>
        <v>0</v>
      </c>
      <c r="L28" s="943"/>
      <c r="M28" s="768">
        <v>0</v>
      </c>
      <c r="N28" s="768"/>
      <c r="O28" s="768"/>
      <c r="P28" s="943"/>
      <c r="Q28" s="768"/>
      <c r="R28" s="768"/>
      <c r="S28" s="768"/>
    </row>
    <row r="29" spans="1:19">
      <c r="A29" s="972">
        <f>A28+0.01</f>
        <v>5.0199999999999996</v>
      </c>
      <c r="B29" s="768"/>
      <c r="C29" s="943">
        <f>SUM(M29:O29)</f>
        <v>0</v>
      </c>
      <c r="D29" s="943">
        <f>SUM(Q29:S29)</f>
        <v>0</v>
      </c>
      <c r="E29" s="943"/>
      <c r="F29" s="943"/>
      <c r="G29" s="943">
        <f t="shared" si="3"/>
        <v>0</v>
      </c>
      <c r="H29" s="943"/>
      <c r="I29" s="943">
        <f t="shared" si="4"/>
        <v>0</v>
      </c>
      <c r="J29" s="943">
        <f t="shared" si="4"/>
        <v>0</v>
      </c>
      <c r="K29" s="943">
        <f t="shared" si="4"/>
        <v>0</v>
      </c>
      <c r="L29" s="943"/>
      <c r="M29" s="768"/>
      <c r="N29" s="768"/>
      <c r="O29" s="768"/>
      <c r="P29" s="943"/>
      <c r="Q29" s="768"/>
      <c r="R29" s="768"/>
      <c r="S29" s="768"/>
    </row>
    <row r="30" spans="1:19">
      <c r="A30" s="972">
        <f t="shared" ref="A30:A68" si="5">A29+0.01</f>
        <v>5.0299999999999994</v>
      </c>
      <c r="B30" s="768"/>
      <c r="C30" s="943">
        <f t="shared" si="1"/>
        <v>0</v>
      </c>
      <c r="D30" s="943">
        <f t="shared" si="2"/>
        <v>0</v>
      </c>
      <c r="E30" s="943"/>
      <c r="F30" s="943"/>
      <c r="G30" s="943">
        <f t="shared" si="3"/>
        <v>0</v>
      </c>
      <c r="H30" s="943"/>
      <c r="I30" s="943">
        <f t="shared" si="4"/>
        <v>0</v>
      </c>
      <c r="J30" s="943">
        <f t="shared" si="4"/>
        <v>0</v>
      </c>
      <c r="K30" s="943">
        <f t="shared" si="4"/>
        <v>0</v>
      </c>
      <c r="L30" s="943"/>
      <c r="M30" s="1006"/>
      <c r="N30" s="1006"/>
      <c r="O30" s="768"/>
      <c r="P30" s="943"/>
      <c r="Q30" s="1006"/>
      <c r="R30" s="1006"/>
      <c r="S30" s="768"/>
    </row>
    <row r="31" spans="1:19">
      <c r="A31" s="972">
        <f t="shared" si="5"/>
        <v>5.0399999999999991</v>
      </c>
      <c r="B31" s="768"/>
      <c r="C31" s="943">
        <f>SUM(M31:O31)</f>
        <v>0</v>
      </c>
      <c r="D31" s="943">
        <f>SUM(Q31:S31)</f>
        <v>0</v>
      </c>
      <c r="E31" s="943"/>
      <c r="F31" s="943"/>
      <c r="G31" s="943">
        <f t="shared" si="3"/>
        <v>0</v>
      </c>
      <c r="H31" s="943"/>
      <c r="I31" s="943">
        <f t="shared" si="4"/>
        <v>0</v>
      </c>
      <c r="J31" s="943">
        <f t="shared" si="4"/>
        <v>0</v>
      </c>
      <c r="K31" s="943">
        <f t="shared" si="4"/>
        <v>0</v>
      </c>
      <c r="L31" s="943"/>
      <c r="M31" s="768"/>
      <c r="N31" s="768"/>
      <c r="O31" s="768"/>
      <c r="P31" s="943"/>
      <c r="Q31" s="768"/>
      <c r="R31" s="768"/>
      <c r="S31" s="768"/>
    </row>
    <row r="32" spans="1:19">
      <c r="A32" s="972">
        <f t="shared" si="5"/>
        <v>5.0499999999999989</v>
      </c>
      <c r="B32" s="768"/>
      <c r="C32" s="943">
        <f t="shared" si="1"/>
        <v>0</v>
      </c>
      <c r="D32" s="943">
        <f t="shared" si="2"/>
        <v>0</v>
      </c>
      <c r="E32" s="943"/>
      <c r="F32" s="943"/>
      <c r="G32" s="943">
        <f t="shared" si="3"/>
        <v>0</v>
      </c>
      <c r="H32" s="943"/>
      <c r="I32" s="943">
        <f t="shared" si="4"/>
        <v>0</v>
      </c>
      <c r="J32" s="943">
        <f t="shared" si="4"/>
        <v>0</v>
      </c>
      <c r="K32" s="943">
        <f t="shared" si="4"/>
        <v>0</v>
      </c>
      <c r="L32" s="943"/>
      <c r="M32" s="768"/>
      <c r="N32" s="768"/>
      <c r="O32" s="768"/>
      <c r="P32" s="943"/>
      <c r="Q32" s="768"/>
      <c r="R32" s="768"/>
      <c r="S32" s="768"/>
    </row>
    <row r="33" spans="1:19">
      <c r="A33" s="972">
        <f t="shared" si="5"/>
        <v>5.0599999999999987</v>
      </c>
      <c r="B33" s="768"/>
      <c r="C33" s="943">
        <f t="shared" ref="C33:C39" si="6">SUM(M33:O33)</f>
        <v>0</v>
      </c>
      <c r="D33" s="943">
        <f t="shared" ref="D33:D39" si="7">SUM(Q33:S33)</f>
        <v>0</v>
      </c>
      <c r="E33" s="943"/>
      <c r="F33" s="943"/>
      <c r="G33" s="943">
        <f t="shared" si="3"/>
        <v>0</v>
      </c>
      <c r="H33" s="943"/>
      <c r="I33" s="943">
        <f t="shared" si="4"/>
        <v>0</v>
      </c>
      <c r="J33" s="943">
        <f t="shared" si="4"/>
        <v>0</v>
      </c>
      <c r="K33" s="943">
        <f t="shared" si="4"/>
        <v>0</v>
      </c>
      <c r="L33" s="943"/>
      <c r="M33" s="768"/>
      <c r="N33" s="768"/>
      <c r="O33" s="768"/>
      <c r="P33" s="943"/>
      <c r="Q33" s="768"/>
      <c r="R33" s="768"/>
      <c r="S33" s="768"/>
    </row>
    <row r="34" spans="1:19">
      <c r="A34" s="972">
        <f t="shared" si="5"/>
        <v>5.0699999999999985</v>
      </c>
      <c r="B34" s="768"/>
      <c r="C34" s="948">
        <f t="shared" si="6"/>
        <v>0</v>
      </c>
      <c r="D34" s="948">
        <f t="shared" si="7"/>
        <v>0</v>
      </c>
      <c r="E34" s="948"/>
      <c r="F34" s="948"/>
      <c r="G34" s="948">
        <f t="shared" si="3"/>
        <v>0</v>
      </c>
      <c r="H34" s="948"/>
      <c r="I34" s="948">
        <f t="shared" si="4"/>
        <v>0</v>
      </c>
      <c r="J34" s="948">
        <f t="shared" si="4"/>
        <v>0</v>
      </c>
      <c r="K34" s="948">
        <f t="shared" si="4"/>
        <v>0</v>
      </c>
      <c r="L34" s="948"/>
      <c r="M34" s="768"/>
      <c r="N34" s="1006"/>
      <c r="O34" s="768"/>
      <c r="P34" s="943"/>
      <c r="Q34" s="1006"/>
      <c r="R34" s="1006"/>
      <c r="S34" s="768"/>
    </row>
    <row r="35" spans="1:19">
      <c r="A35" s="972">
        <f t="shared" si="5"/>
        <v>5.0799999999999983</v>
      </c>
      <c r="B35" s="768"/>
      <c r="C35" s="948">
        <f t="shared" si="6"/>
        <v>0</v>
      </c>
      <c r="D35" s="948">
        <f t="shared" si="7"/>
        <v>0</v>
      </c>
      <c r="E35" s="948"/>
      <c r="F35" s="948"/>
      <c r="G35" s="948">
        <f t="shared" si="3"/>
        <v>0</v>
      </c>
      <c r="H35" s="948"/>
      <c r="I35" s="948">
        <f t="shared" si="4"/>
        <v>0</v>
      </c>
      <c r="J35" s="948">
        <f t="shared" si="4"/>
        <v>0</v>
      </c>
      <c r="K35" s="948">
        <f t="shared" si="4"/>
        <v>0</v>
      </c>
      <c r="L35" s="948"/>
      <c r="M35" s="768"/>
      <c r="N35" s="768"/>
      <c r="O35" s="768"/>
      <c r="P35" s="948"/>
      <c r="Q35" s="768"/>
      <c r="R35" s="768"/>
      <c r="S35" s="768"/>
    </row>
    <row r="36" spans="1:19">
      <c r="A36" s="972">
        <f t="shared" si="5"/>
        <v>5.0899999999999981</v>
      </c>
      <c r="B36" s="768"/>
      <c r="C36" s="943">
        <f>SUM(M36:O36)</f>
        <v>0</v>
      </c>
      <c r="D36" s="943">
        <f t="shared" si="7"/>
        <v>0</v>
      </c>
      <c r="E36" s="943"/>
      <c r="F36" s="943"/>
      <c r="G36" s="943">
        <f>ROUND(SUM(C36:F36)/2,0)</f>
        <v>0</v>
      </c>
      <c r="H36" s="943"/>
      <c r="I36" s="943">
        <f t="shared" si="4"/>
        <v>0</v>
      </c>
      <c r="J36" s="943">
        <f t="shared" si="4"/>
        <v>0</v>
      </c>
      <c r="K36" s="943">
        <f t="shared" si="4"/>
        <v>0</v>
      </c>
      <c r="L36" s="943"/>
      <c r="M36" s="768"/>
      <c r="N36" s="768"/>
      <c r="O36" s="768"/>
      <c r="P36" s="943"/>
      <c r="Q36" s="768"/>
      <c r="R36" s="768"/>
      <c r="S36" s="768"/>
    </row>
    <row r="37" spans="1:19">
      <c r="A37" s="972">
        <f t="shared" si="5"/>
        <v>5.0999999999999979</v>
      </c>
      <c r="B37" s="768"/>
      <c r="C37" s="943">
        <f t="shared" si="6"/>
        <v>0</v>
      </c>
      <c r="D37" s="943">
        <f t="shared" si="7"/>
        <v>0</v>
      </c>
      <c r="E37" s="943"/>
      <c r="F37" s="943"/>
      <c r="G37" s="943">
        <f t="shared" si="3"/>
        <v>0</v>
      </c>
      <c r="H37" s="943"/>
      <c r="I37" s="943">
        <f t="shared" si="4"/>
        <v>0</v>
      </c>
      <c r="J37" s="943">
        <f t="shared" si="4"/>
        <v>0</v>
      </c>
      <c r="K37" s="943">
        <f t="shared" si="4"/>
        <v>0</v>
      </c>
      <c r="L37" s="943"/>
      <c r="M37" s="768"/>
      <c r="N37" s="768"/>
      <c r="O37" s="768"/>
      <c r="P37" s="943"/>
      <c r="Q37" s="768"/>
      <c r="R37" s="768"/>
      <c r="S37" s="768"/>
    </row>
    <row r="38" spans="1:19" hidden="1">
      <c r="A38" s="972">
        <f t="shared" si="5"/>
        <v>5.1099999999999977</v>
      </c>
      <c r="B38" s="768"/>
      <c r="C38" s="943">
        <f t="shared" si="6"/>
        <v>0</v>
      </c>
      <c r="D38" s="943">
        <f t="shared" si="7"/>
        <v>0</v>
      </c>
      <c r="E38" s="943"/>
      <c r="F38" s="943"/>
      <c r="G38" s="943">
        <f t="shared" si="3"/>
        <v>0</v>
      </c>
      <c r="H38" s="943"/>
      <c r="I38" s="943">
        <f t="shared" si="4"/>
        <v>0</v>
      </c>
      <c r="J38" s="943">
        <f t="shared" si="4"/>
        <v>0</v>
      </c>
      <c r="K38" s="943">
        <f t="shared" si="4"/>
        <v>0</v>
      </c>
      <c r="L38" s="943"/>
      <c r="M38" s="768"/>
      <c r="N38" s="768"/>
      <c r="O38" s="768"/>
      <c r="P38" s="943"/>
      <c r="Q38" s="768"/>
      <c r="R38" s="768"/>
      <c r="S38" s="768"/>
    </row>
    <row r="39" spans="1:19" hidden="1">
      <c r="A39" s="972">
        <f t="shared" si="5"/>
        <v>5.1199999999999974</v>
      </c>
      <c r="B39" s="768"/>
      <c r="C39" s="943">
        <f t="shared" si="6"/>
        <v>0</v>
      </c>
      <c r="D39" s="943">
        <f t="shared" si="7"/>
        <v>0</v>
      </c>
      <c r="E39" s="943"/>
      <c r="F39" s="943"/>
      <c r="G39" s="943">
        <f t="shared" si="3"/>
        <v>0</v>
      </c>
      <c r="H39" s="943"/>
      <c r="I39" s="943">
        <f t="shared" si="4"/>
        <v>0</v>
      </c>
      <c r="J39" s="943">
        <f t="shared" si="4"/>
        <v>0</v>
      </c>
      <c r="K39" s="943">
        <f t="shared" si="4"/>
        <v>0</v>
      </c>
      <c r="L39" s="943"/>
      <c r="M39" s="768"/>
      <c r="N39" s="768"/>
      <c r="O39" s="768"/>
      <c r="P39" s="943"/>
      <c r="Q39" s="768"/>
      <c r="R39" s="768"/>
      <c r="S39" s="768"/>
    </row>
    <row r="40" spans="1:19" hidden="1">
      <c r="A40" s="972">
        <f t="shared" si="5"/>
        <v>5.1299999999999972</v>
      </c>
      <c r="B40" s="768"/>
      <c r="C40" s="943">
        <f t="shared" si="1"/>
        <v>0</v>
      </c>
      <c r="D40" s="943">
        <f t="shared" si="2"/>
        <v>0</v>
      </c>
      <c r="E40" s="943"/>
      <c r="F40" s="943"/>
      <c r="G40" s="943">
        <f t="shared" si="3"/>
        <v>0</v>
      </c>
      <c r="H40" s="943"/>
      <c r="I40" s="943">
        <f t="shared" si="4"/>
        <v>0</v>
      </c>
      <c r="J40" s="943">
        <f t="shared" si="4"/>
        <v>0</v>
      </c>
      <c r="K40" s="943">
        <f t="shared" si="4"/>
        <v>0</v>
      </c>
      <c r="L40" s="943"/>
      <c r="M40" s="768"/>
      <c r="N40" s="768"/>
      <c r="O40" s="768"/>
      <c r="P40" s="943"/>
      <c r="Q40" s="768"/>
      <c r="R40" s="768"/>
      <c r="S40" s="768"/>
    </row>
    <row r="41" spans="1:19" hidden="1">
      <c r="A41" s="972">
        <f t="shared" si="5"/>
        <v>5.139999999999997</v>
      </c>
      <c r="B41" s="768"/>
      <c r="C41" s="943">
        <f t="shared" si="1"/>
        <v>0</v>
      </c>
      <c r="D41" s="943">
        <f t="shared" si="2"/>
        <v>0</v>
      </c>
      <c r="E41" s="943"/>
      <c r="F41" s="943"/>
      <c r="G41" s="943">
        <f t="shared" si="3"/>
        <v>0</v>
      </c>
      <c r="H41" s="943"/>
      <c r="I41" s="943">
        <f t="shared" si="4"/>
        <v>0</v>
      </c>
      <c r="J41" s="943">
        <f t="shared" si="4"/>
        <v>0</v>
      </c>
      <c r="K41" s="943">
        <f t="shared" si="4"/>
        <v>0</v>
      </c>
      <c r="L41" s="943"/>
      <c r="M41" s="768"/>
      <c r="N41" s="768"/>
      <c r="O41" s="768"/>
      <c r="P41" s="943"/>
      <c r="Q41" s="768"/>
      <c r="R41" s="768"/>
      <c r="S41" s="768"/>
    </row>
    <row r="42" spans="1:19" hidden="1">
      <c r="A42" s="972">
        <f t="shared" si="5"/>
        <v>5.1499999999999968</v>
      </c>
      <c r="B42" s="768"/>
      <c r="C42" s="943">
        <f t="shared" si="1"/>
        <v>0</v>
      </c>
      <c r="D42" s="943">
        <f t="shared" si="2"/>
        <v>0</v>
      </c>
      <c r="E42" s="943"/>
      <c r="F42" s="943"/>
      <c r="G42" s="943">
        <f t="shared" si="3"/>
        <v>0</v>
      </c>
      <c r="H42" s="943"/>
      <c r="I42" s="943">
        <f t="shared" si="4"/>
        <v>0</v>
      </c>
      <c r="J42" s="943">
        <f t="shared" si="4"/>
        <v>0</v>
      </c>
      <c r="K42" s="943">
        <f t="shared" si="4"/>
        <v>0</v>
      </c>
      <c r="L42" s="943"/>
      <c r="M42" s="768"/>
      <c r="N42" s="768"/>
      <c r="O42" s="768"/>
      <c r="P42" s="943"/>
      <c r="Q42" s="768"/>
      <c r="R42" s="768"/>
      <c r="S42" s="768"/>
    </row>
    <row r="43" spans="1:19" hidden="1">
      <c r="A43" s="972">
        <f t="shared" si="5"/>
        <v>5.1599999999999966</v>
      </c>
      <c r="B43" s="768"/>
      <c r="C43" s="943">
        <f t="shared" si="1"/>
        <v>0</v>
      </c>
      <c r="D43" s="943">
        <f t="shared" si="2"/>
        <v>0</v>
      </c>
      <c r="E43" s="943"/>
      <c r="F43" s="943"/>
      <c r="G43" s="943">
        <f t="shared" si="3"/>
        <v>0</v>
      </c>
      <c r="H43" s="943"/>
      <c r="I43" s="943">
        <f t="shared" si="4"/>
        <v>0</v>
      </c>
      <c r="J43" s="943">
        <f t="shared" si="4"/>
        <v>0</v>
      </c>
      <c r="K43" s="943">
        <f t="shared" si="4"/>
        <v>0</v>
      </c>
      <c r="L43" s="943"/>
      <c r="M43" s="768"/>
      <c r="N43" s="768"/>
      <c r="O43" s="768"/>
      <c r="P43" s="943"/>
      <c r="Q43" s="768"/>
      <c r="R43" s="768"/>
      <c r="S43" s="768"/>
    </row>
    <row r="44" spans="1:19" hidden="1">
      <c r="A44" s="972">
        <f t="shared" si="5"/>
        <v>5.1699999999999964</v>
      </c>
      <c r="B44" s="768"/>
      <c r="C44" s="943">
        <f t="shared" si="1"/>
        <v>0</v>
      </c>
      <c r="D44" s="943">
        <f t="shared" si="2"/>
        <v>0</v>
      </c>
      <c r="E44" s="943"/>
      <c r="F44" s="943"/>
      <c r="G44" s="943">
        <f t="shared" si="3"/>
        <v>0</v>
      </c>
      <c r="H44" s="943"/>
      <c r="I44" s="943">
        <f t="shared" si="4"/>
        <v>0</v>
      </c>
      <c r="J44" s="943">
        <f t="shared" si="4"/>
        <v>0</v>
      </c>
      <c r="K44" s="943">
        <f t="shared" si="4"/>
        <v>0</v>
      </c>
      <c r="L44" s="943"/>
      <c r="M44" s="768"/>
      <c r="N44" s="768"/>
      <c r="O44" s="768"/>
      <c r="P44" s="943"/>
      <c r="Q44" s="768"/>
      <c r="R44" s="768"/>
      <c r="S44" s="768"/>
    </row>
    <row r="45" spans="1:19" hidden="1">
      <c r="A45" s="972">
        <f t="shared" si="5"/>
        <v>5.1799999999999962</v>
      </c>
      <c r="B45" s="768"/>
      <c r="C45" s="943">
        <f t="shared" si="1"/>
        <v>0</v>
      </c>
      <c r="D45" s="943">
        <f t="shared" si="2"/>
        <v>0</v>
      </c>
      <c r="E45" s="943"/>
      <c r="F45" s="943"/>
      <c r="G45" s="943">
        <f t="shared" si="3"/>
        <v>0</v>
      </c>
      <c r="H45" s="943"/>
      <c r="I45" s="943">
        <f t="shared" si="4"/>
        <v>0</v>
      </c>
      <c r="J45" s="943">
        <f t="shared" si="4"/>
        <v>0</v>
      </c>
      <c r="K45" s="943">
        <f t="shared" si="4"/>
        <v>0</v>
      </c>
      <c r="L45" s="943"/>
      <c r="M45" s="768"/>
      <c r="N45" s="768"/>
      <c r="O45" s="768"/>
      <c r="P45" s="943"/>
      <c r="Q45" s="768"/>
      <c r="R45" s="768"/>
      <c r="S45" s="768"/>
    </row>
    <row r="46" spans="1:19" hidden="1">
      <c r="A46" s="972">
        <f t="shared" si="5"/>
        <v>5.1899999999999959</v>
      </c>
      <c r="B46" s="768"/>
      <c r="C46" s="943">
        <f t="shared" si="1"/>
        <v>0</v>
      </c>
      <c r="D46" s="943">
        <f t="shared" si="2"/>
        <v>0</v>
      </c>
      <c r="E46" s="943"/>
      <c r="F46" s="943"/>
      <c r="G46" s="943">
        <f t="shared" si="3"/>
        <v>0</v>
      </c>
      <c r="H46" s="943"/>
      <c r="I46" s="943">
        <f t="shared" si="4"/>
        <v>0</v>
      </c>
      <c r="J46" s="943">
        <f t="shared" si="4"/>
        <v>0</v>
      </c>
      <c r="K46" s="943">
        <f t="shared" si="4"/>
        <v>0</v>
      </c>
      <c r="L46" s="943"/>
      <c r="M46" s="768"/>
      <c r="N46" s="768"/>
      <c r="O46" s="768"/>
      <c r="P46" s="943"/>
      <c r="Q46" s="768"/>
      <c r="R46" s="768"/>
      <c r="S46" s="768"/>
    </row>
    <row r="47" spans="1:19" hidden="1">
      <c r="A47" s="972">
        <f t="shared" si="5"/>
        <v>5.1999999999999957</v>
      </c>
      <c r="B47" s="768"/>
      <c r="C47" s="943">
        <f t="shared" si="1"/>
        <v>0</v>
      </c>
      <c r="D47" s="943">
        <f t="shared" si="2"/>
        <v>0</v>
      </c>
      <c r="E47" s="943"/>
      <c r="F47" s="943"/>
      <c r="G47" s="943">
        <f t="shared" si="3"/>
        <v>0</v>
      </c>
      <c r="H47" s="943"/>
      <c r="I47" s="943">
        <f t="shared" si="4"/>
        <v>0</v>
      </c>
      <c r="J47" s="943">
        <f t="shared" si="4"/>
        <v>0</v>
      </c>
      <c r="K47" s="943">
        <f t="shared" si="4"/>
        <v>0</v>
      </c>
      <c r="L47" s="943"/>
      <c r="M47" s="768"/>
      <c r="N47" s="768"/>
      <c r="O47" s="768"/>
      <c r="P47" s="943"/>
      <c r="Q47" s="768"/>
      <c r="R47" s="768"/>
      <c r="S47" s="768"/>
    </row>
    <row r="48" spans="1:19" hidden="1">
      <c r="A48" s="972">
        <f t="shared" si="5"/>
        <v>5.2099999999999955</v>
      </c>
      <c r="B48" s="768"/>
      <c r="C48" s="943">
        <f t="shared" si="1"/>
        <v>0</v>
      </c>
      <c r="D48" s="943">
        <f t="shared" si="2"/>
        <v>0</v>
      </c>
      <c r="E48" s="943"/>
      <c r="F48" s="943"/>
      <c r="G48" s="943">
        <f t="shared" si="3"/>
        <v>0</v>
      </c>
      <c r="H48" s="943"/>
      <c r="I48" s="943">
        <f t="shared" si="4"/>
        <v>0</v>
      </c>
      <c r="J48" s="943">
        <f t="shared" si="4"/>
        <v>0</v>
      </c>
      <c r="K48" s="943">
        <f t="shared" si="4"/>
        <v>0</v>
      </c>
      <c r="L48" s="943"/>
      <c r="M48" s="768"/>
      <c r="N48" s="768"/>
      <c r="O48" s="768"/>
      <c r="P48" s="943"/>
      <c r="Q48" s="768"/>
      <c r="R48" s="768"/>
      <c r="S48" s="768"/>
    </row>
    <row r="49" spans="1:19" hidden="1">
      <c r="A49" s="972">
        <f t="shared" si="5"/>
        <v>5.2199999999999953</v>
      </c>
      <c r="B49" s="768"/>
      <c r="C49" s="943">
        <f t="shared" ref="C49:C55" si="8">SUM(M49:O49)</f>
        <v>0</v>
      </c>
      <c r="D49" s="943">
        <f t="shared" ref="D49:D55" si="9">SUM(Q49:S49)</f>
        <v>0</v>
      </c>
      <c r="E49" s="943"/>
      <c r="F49" s="943"/>
      <c r="G49" s="943">
        <f t="shared" si="3"/>
        <v>0</v>
      </c>
      <c r="H49" s="943"/>
      <c r="I49" s="943">
        <f t="shared" si="4"/>
        <v>0</v>
      </c>
      <c r="J49" s="943">
        <f t="shared" si="4"/>
        <v>0</v>
      </c>
      <c r="K49" s="943">
        <f t="shared" si="4"/>
        <v>0</v>
      </c>
      <c r="L49" s="943"/>
      <c r="M49" s="768"/>
      <c r="N49" s="768"/>
      <c r="O49" s="768"/>
      <c r="P49" s="943"/>
      <c r="Q49" s="768"/>
      <c r="R49" s="768"/>
      <c r="S49" s="768"/>
    </row>
    <row r="50" spans="1:19" hidden="1">
      <c r="A50" s="972">
        <f t="shared" si="5"/>
        <v>5.2299999999999951</v>
      </c>
      <c r="B50" s="768"/>
      <c r="C50" s="943">
        <f t="shared" si="8"/>
        <v>0</v>
      </c>
      <c r="D50" s="943">
        <f t="shared" si="9"/>
        <v>0</v>
      </c>
      <c r="E50" s="943"/>
      <c r="F50" s="943"/>
      <c r="G50" s="943">
        <f t="shared" si="3"/>
        <v>0</v>
      </c>
      <c r="H50" s="943"/>
      <c r="I50" s="943">
        <f t="shared" si="4"/>
        <v>0</v>
      </c>
      <c r="J50" s="943">
        <f t="shared" si="4"/>
        <v>0</v>
      </c>
      <c r="K50" s="943">
        <f t="shared" si="4"/>
        <v>0</v>
      </c>
      <c r="L50" s="943"/>
      <c r="M50" s="768"/>
      <c r="N50" s="768"/>
      <c r="O50" s="768"/>
      <c r="P50" s="943"/>
      <c r="Q50" s="768"/>
      <c r="R50" s="768"/>
      <c r="S50" s="768"/>
    </row>
    <row r="51" spans="1:19" hidden="1">
      <c r="A51" s="972">
        <f t="shared" si="5"/>
        <v>5.2399999999999949</v>
      </c>
      <c r="B51" s="768"/>
      <c r="C51" s="943">
        <f t="shared" si="8"/>
        <v>0</v>
      </c>
      <c r="D51" s="943">
        <f t="shared" si="9"/>
        <v>0</v>
      </c>
      <c r="E51" s="943"/>
      <c r="F51" s="943"/>
      <c r="G51" s="943">
        <f>ROUND(SUM(C51:F51)/2,0)</f>
        <v>0</v>
      </c>
      <c r="H51" s="943"/>
      <c r="I51" s="943">
        <f t="shared" si="4"/>
        <v>0</v>
      </c>
      <c r="J51" s="943">
        <f t="shared" si="4"/>
        <v>0</v>
      </c>
      <c r="K51" s="943">
        <f t="shared" si="4"/>
        <v>0</v>
      </c>
      <c r="L51" s="943"/>
      <c r="M51" s="768"/>
      <c r="N51" s="768"/>
      <c r="O51" s="768"/>
      <c r="P51" s="943"/>
      <c r="Q51" s="768"/>
      <c r="R51" s="768"/>
      <c r="S51" s="768"/>
    </row>
    <row r="52" spans="1:19" hidden="1">
      <c r="A52" s="972">
        <f t="shared" si="5"/>
        <v>5.2499999999999947</v>
      </c>
      <c r="B52" s="768"/>
      <c r="C52" s="943">
        <f t="shared" si="8"/>
        <v>0</v>
      </c>
      <c r="D52" s="943">
        <f t="shared" si="9"/>
        <v>0</v>
      </c>
      <c r="E52" s="943"/>
      <c r="F52" s="943"/>
      <c r="G52" s="943">
        <f>ROUND(SUM(C52:F52)/2,0)</f>
        <v>0</v>
      </c>
      <c r="H52" s="943"/>
      <c r="I52" s="943">
        <f t="shared" si="4"/>
        <v>0</v>
      </c>
      <c r="J52" s="943">
        <f t="shared" si="4"/>
        <v>0</v>
      </c>
      <c r="K52" s="943">
        <f t="shared" si="4"/>
        <v>0</v>
      </c>
      <c r="L52" s="943"/>
      <c r="M52" s="768"/>
      <c r="N52" s="768"/>
      <c r="O52" s="768"/>
      <c r="P52" s="943"/>
      <c r="Q52" s="768"/>
      <c r="R52" s="768"/>
      <c r="S52" s="768"/>
    </row>
    <row r="53" spans="1:19" hidden="1">
      <c r="A53" s="972">
        <f t="shared" si="5"/>
        <v>5.2599999999999945</v>
      </c>
      <c r="B53" s="768"/>
      <c r="C53" s="943">
        <f t="shared" si="8"/>
        <v>0</v>
      </c>
      <c r="D53" s="943">
        <f t="shared" si="9"/>
        <v>0</v>
      </c>
      <c r="E53" s="943"/>
      <c r="F53" s="943"/>
      <c r="G53" s="943">
        <f>ROUND(SUM(C53:F53)/2,0)</f>
        <v>0</v>
      </c>
      <c r="H53" s="943"/>
      <c r="I53" s="943">
        <f t="shared" si="4"/>
        <v>0</v>
      </c>
      <c r="J53" s="943">
        <f t="shared" si="4"/>
        <v>0</v>
      </c>
      <c r="K53" s="943">
        <f t="shared" si="4"/>
        <v>0</v>
      </c>
      <c r="L53" s="943"/>
      <c r="M53" s="768"/>
      <c r="N53" s="768"/>
      <c r="O53" s="768"/>
      <c r="P53" s="943"/>
      <c r="Q53" s="768"/>
      <c r="R53" s="768"/>
      <c r="S53" s="768"/>
    </row>
    <row r="54" spans="1:19" hidden="1">
      <c r="A54" s="972">
        <f t="shared" si="5"/>
        <v>5.2699999999999942</v>
      </c>
      <c r="B54" s="768"/>
      <c r="C54" s="943">
        <f t="shared" si="8"/>
        <v>0</v>
      </c>
      <c r="D54" s="943">
        <f t="shared" si="9"/>
        <v>0</v>
      </c>
      <c r="E54" s="943"/>
      <c r="F54" s="943"/>
      <c r="G54" s="943">
        <f>ROUND(SUM(C54:F54)/2,0)</f>
        <v>0</v>
      </c>
      <c r="H54" s="943"/>
      <c r="I54" s="943">
        <f t="shared" si="4"/>
        <v>0</v>
      </c>
      <c r="J54" s="943">
        <f t="shared" si="4"/>
        <v>0</v>
      </c>
      <c r="K54" s="943">
        <f t="shared" si="4"/>
        <v>0</v>
      </c>
      <c r="L54" s="943"/>
      <c r="M54" s="768"/>
      <c r="N54" s="768"/>
      <c r="O54" s="768"/>
      <c r="P54" s="943"/>
      <c r="Q54" s="768"/>
      <c r="R54" s="768"/>
      <c r="S54" s="768"/>
    </row>
    <row r="55" spans="1:19" hidden="1">
      <c r="A55" s="972">
        <f t="shared" si="5"/>
        <v>5.279999999999994</v>
      </c>
      <c r="B55" s="768"/>
      <c r="C55" s="943">
        <f t="shared" si="8"/>
        <v>0</v>
      </c>
      <c r="D55" s="943">
        <f t="shared" si="9"/>
        <v>0</v>
      </c>
      <c r="E55" s="943"/>
      <c r="F55" s="943"/>
      <c r="G55" s="943">
        <f>ROUND(SUM(C55:F55)/2,0)</f>
        <v>0</v>
      </c>
      <c r="H55" s="943"/>
      <c r="I55" s="943">
        <f t="shared" si="4"/>
        <v>0</v>
      </c>
      <c r="J55" s="943">
        <f t="shared" si="4"/>
        <v>0</v>
      </c>
      <c r="K55" s="943">
        <f t="shared" si="4"/>
        <v>0</v>
      </c>
      <c r="L55" s="943"/>
      <c r="M55" s="768"/>
      <c r="N55" s="768"/>
      <c r="O55" s="768"/>
      <c r="P55" s="943"/>
      <c r="Q55" s="768"/>
      <c r="R55" s="768"/>
      <c r="S55" s="768"/>
    </row>
    <row r="56" spans="1:19" hidden="1">
      <c r="A56" s="972">
        <f t="shared" si="5"/>
        <v>5.2899999999999938</v>
      </c>
      <c r="B56" s="768"/>
      <c r="C56" s="943">
        <f t="shared" si="1"/>
        <v>0</v>
      </c>
      <c r="D56" s="943">
        <f t="shared" si="2"/>
        <v>0</v>
      </c>
      <c r="E56" s="943"/>
      <c r="F56" s="943"/>
      <c r="G56" s="943">
        <f t="shared" ref="G56:G68" si="10">ROUND(SUM(C56:F56)/2,0)</f>
        <v>0</v>
      </c>
      <c r="H56" s="943"/>
      <c r="I56" s="943">
        <f t="shared" si="4"/>
        <v>0</v>
      </c>
      <c r="J56" s="943">
        <f t="shared" si="4"/>
        <v>0</v>
      </c>
      <c r="K56" s="943">
        <f t="shared" si="4"/>
        <v>0</v>
      </c>
      <c r="L56" s="943"/>
      <c r="M56" s="768"/>
      <c r="N56" s="768"/>
      <c r="O56" s="768"/>
      <c r="P56" s="943"/>
      <c r="Q56" s="768"/>
      <c r="R56" s="768"/>
      <c r="S56" s="768"/>
    </row>
    <row r="57" spans="1:19" hidden="1">
      <c r="A57" s="972">
        <f t="shared" si="5"/>
        <v>5.2999999999999936</v>
      </c>
      <c r="B57" s="768"/>
      <c r="C57" s="943">
        <f t="shared" si="1"/>
        <v>0</v>
      </c>
      <c r="D57" s="943">
        <f t="shared" si="2"/>
        <v>0</v>
      </c>
      <c r="E57" s="943"/>
      <c r="F57" s="943"/>
      <c r="G57" s="943">
        <f t="shared" si="10"/>
        <v>0</v>
      </c>
      <c r="H57" s="943"/>
      <c r="I57" s="943">
        <f t="shared" si="4"/>
        <v>0</v>
      </c>
      <c r="J57" s="943">
        <f t="shared" si="4"/>
        <v>0</v>
      </c>
      <c r="K57" s="943">
        <f t="shared" si="4"/>
        <v>0</v>
      </c>
      <c r="L57" s="943"/>
      <c r="M57" s="768"/>
      <c r="N57" s="768"/>
      <c r="O57" s="768"/>
      <c r="P57" s="943"/>
      <c r="Q57" s="768"/>
      <c r="R57" s="768"/>
      <c r="S57" s="768"/>
    </row>
    <row r="58" spans="1:19" hidden="1">
      <c r="A58" s="972">
        <f t="shared" si="5"/>
        <v>5.3099999999999934</v>
      </c>
      <c r="B58" s="768"/>
      <c r="C58" s="943">
        <f>SUM(M58:O58)</f>
        <v>0</v>
      </c>
      <c r="D58" s="943">
        <f>SUM(Q58:S58)</f>
        <v>0</v>
      </c>
      <c r="E58" s="943"/>
      <c r="F58" s="943"/>
      <c r="G58" s="943">
        <f>ROUND(SUM(C58:F58)/2,0)</f>
        <v>0</v>
      </c>
      <c r="H58" s="943"/>
      <c r="I58" s="943">
        <f t="shared" si="4"/>
        <v>0</v>
      </c>
      <c r="J58" s="943">
        <f t="shared" si="4"/>
        <v>0</v>
      </c>
      <c r="K58" s="943">
        <f t="shared" si="4"/>
        <v>0</v>
      </c>
      <c r="L58" s="943"/>
      <c r="M58" s="768"/>
      <c r="N58" s="768"/>
      <c r="O58" s="768"/>
      <c r="P58" s="943"/>
      <c r="Q58" s="768"/>
      <c r="R58" s="768"/>
      <c r="S58" s="768"/>
    </row>
    <row r="59" spans="1:19" hidden="1">
      <c r="A59" s="972">
        <f t="shared" si="5"/>
        <v>5.3199999999999932</v>
      </c>
      <c r="B59" s="768"/>
      <c r="C59" s="943">
        <f t="shared" si="1"/>
        <v>0</v>
      </c>
      <c r="D59" s="943">
        <f t="shared" si="2"/>
        <v>0</v>
      </c>
      <c r="E59" s="943"/>
      <c r="F59" s="943"/>
      <c r="G59" s="943">
        <f t="shared" si="10"/>
        <v>0</v>
      </c>
      <c r="H59" s="943"/>
      <c r="I59" s="943">
        <f t="shared" si="4"/>
        <v>0</v>
      </c>
      <c r="J59" s="943">
        <f t="shared" si="4"/>
        <v>0</v>
      </c>
      <c r="K59" s="943">
        <f t="shared" si="4"/>
        <v>0</v>
      </c>
      <c r="L59" s="943"/>
      <c r="M59" s="768"/>
      <c r="N59" s="768"/>
      <c r="O59" s="768"/>
      <c r="P59" s="943"/>
      <c r="Q59" s="768"/>
      <c r="R59" s="768"/>
      <c r="S59" s="768"/>
    </row>
    <row r="60" spans="1:19" hidden="1">
      <c r="A60" s="972">
        <f t="shared" si="5"/>
        <v>5.329999999999993</v>
      </c>
      <c r="B60" s="768"/>
      <c r="C60" s="943">
        <f t="shared" si="1"/>
        <v>0</v>
      </c>
      <c r="D60" s="943">
        <f t="shared" si="2"/>
        <v>0</v>
      </c>
      <c r="E60" s="943"/>
      <c r="F60" s="943"/>
      <c r="G60" s="943">
        <f t="shared" si="10"/>
        <v>0</v>
      </c>
      <c r="H60" s="943"/>
      <c r="I60" s="943">
        <f t="shared" si="4"/>
        <v>0</v>
      </c>
      <c r="J60" s="943">
        <f t="shared" si="4"/>
        <v>0</v>
      </c>
      <c r="K60" s="943">
        <f t="shared" si="4"/>
        <v>0</v>
      </c>
      <c r="L60" s="943"/>
      <c r="M60" s="768"/>
      <c r="N60" s="768"/>
      <c r="O60" s="768"/>
      <c r="P60" s="943"/>
      <c r="Q60" s="768"/>
      <c r="R60" s="768"/>
      <c r="S60" s="768"/>
    </row>
    <row r="61" spans="1:19" hidden="1">
      <c r="A61" s="972">
        <f t="shared" si="5"/>
        <v>5.3399999999999928</v>
      </c>
      <c r="B61" s="768"/>
      <c r="C61" s="948">
        <f>SUM(M61:O61)</f>
        <v>0</v>
      </c>
      <c r="D61" s="948">
        <f>SUM(Q61:S61)</f>
        <v>0</v>
      </c>
      <c r="E61" s="948"/>
      <c r="F61" s="948"/>
      <c r="G61" s="948">
        <f>ROUND(SUM(C61:F61)/2,0)</f>
        <v>0</v>
      </c>
      <c r="H61" s="948"/>
      <c r="I61" s="948">
        <f t="shared" si="4"/>
        <v>0</v>
      </c>
      <c r="J61" s="948">
        <f t="shared" si="4"/>
        <v>0</v>
      </c>
      <c r="K61" s="948">
        <f t="shared" si="4"/>
        <v>0</v>
      </c>
      <c r="L61" s="948"/>
      <c r="M61" s="768"/>
      <c r="N61" s="768"/>
      <c r="O61" s="768"/>
      <c r="P61" s="948"/>
      <c r="Q61" s="768"/>
      <c r="R61" s="768"/>
      <c r="S61" s="768"/>
    </row>
    <row r="62" spans="1:19" hidden="1">
      <c r="A62" s="972">
        <f t="shared" si="5"/>
        <v>5.3499999999999925</v>
      </c>
      <c r="B62" s="768"/>
      <c r="C62" s="948">
        <f t="shared" si="1"/>
        <v>0</v>
      </c>
      <c r="D62" s="948">
        <f t="shared" si="2"/>
        <v>0</v>
      </c>
      <c r="E62" s="948"/>
      <c r="F62" s="948"/>
      <c r="G62" s="948">
        <f t="shared" si="10"/>
        <v>0</v>
      </c>
      <c r="H62" s="948"/>
      <c r="I62" s="948">
        <f t="shared" si="4"/>
        <v>0</v>
      </c>
      <c r="J62" s="948">
        <f t="shared" si="4"/>
        <v>0</v>
      </c>
      <c r="K62" s="948">
        <f t="shared" si="4"/>
        <v>0</v>
      </c>
      <c r="L62" s="948"/>
      <c r="M62" s="768"/>
      <c r="N62" s="768"/>
      <c r="O62" s="768"/>
      <c r="P62" s="948"/>
      <c r="Q62" s="768"/>
      <c r="R62" s="768"/>
      <c r="S62" s="768"/>
    </row>
    <row r="63" spans="1:19" hidden="1">
      <c r="A63" s="972">
        <f t="shared" si="5"/>
        <v>5.3599999999999923</v>
      </c>
      <c r="B63" s="768"/>
      <c r="C63" s="943">
        <f t="shared" si="1"/>
        <v>0</v>
      </c>
      <c r="D63" s="943">
        <f t="shared" si="2"/>
        <v>0</v>
      </c>
      <c r="E63" s="943"/>
      <c r="F63" s="943"/>
      <c r="G63" s="943">
        <f t="shared" si="10"/>
        <v>0</v>
      </c>
      <c r="H63" s="943"/>
      <c r="I63" s="943">
        <f t="shared" si="4"/>
        <v>0</v>
      </c>
      <c r="J63" s="943">
        <f t="shared" si="4"/>
        <v>0</v>
      </c>
      <c r="K63" s="943">
        <f t="shared" si="4"/>
        <v>0</v>
      </c>
      <c r="L63" s="943"/>
      <c r="M63" s="768"/>
      <c r="N63" s="768"/>
      <c r="O63" s="768"/>
      <c r="P63" s="943"/>
      <c r="Q63" s="768"/>
      <c r="R63" s="768"/>
      <c r="S63" s="768"/>
    </row>
    <row r="64" spans="1:19">
      <c r="A64" s="972">
        <f t="shared" si="5"/>
        <v>5.3699999999999921</v>
      </c>
      <c r="B64" s="768"/>
      <c r="C64" s="943">
        <f t="shared" si="1"/>
        <v>0</v>
      </c>
      <c r="D64" s="943">
        <f t="shared" si="2"/>
        <v>0</v>
      </c>
      <c r="E64" s="943"/>
      <c r="F64" s="943"/>
      <c r="G64" s="943">
        <f t="shared" si="10"/>
        <v>0</v>
      </c>
      <c r="H64" s="943"/>
      <c r="I64" s="943">
        <f t="shared" si="4"/>
        <v>0</v>
      </c>
      <c r="J64" s="943">
        <f t="shared" si="4"/>
        <v>0</v>
      </c>
      <c r="K64" s="943">
        <f t="shared" si="4"/>
        <v>0</v>
      </c>
      <c r="L64" s="943"/>
      <c r="M64" s="768"/>
      <c r="N64" s="768"/>
      <c r="O64" s="768"/>
      <c r="P64" s="943"/>
      <c r="Q64" s="768"/>
      <c r="R64" s="768"/>
      <c r="S64" s="768"/>
    </row>
    <row r="65" spans="1:19">
      <c r="A65" s="972">
        <f t="shared" si="5"/>
        <v>5.3799999999999919</v>
      </c>
      <c r="B65" s="768"/>
      <c r="C65" s="943">
        <f>SUM(M65:O65)</f>
        <v>0</v>
      </c>
      <c r="D65" s="943">
        <f>SUM(Q65:S65)</f>
        <v>0</v>
      </c>
      <c r="E65" s="943"/>
      <c r="F65" s="943"/>
      <c r="G65" s="943">
        <f>ROUND(SUM(C65:F65)/2,0)</f>
        <v>0</v>
      </c>
      <c r="H65" s="943"/>
      <c r="I65" s="943">
        <f t="shared" si="4"/>
        <v>0</v>
      </c>
      <c r="J65" s="943">
        <f t="shared" si="4"/>
        <v>0</v>
      </c>
      <c r="K65" s="943">
        <f t="shared" si="4"/>
        <v>0</v>
      </c>
      <c r="L65" s="943"/>
      <c r="M65" s="768"/>
      <c r="N65" s="768"/>
      <c r="O65" s="768"/>
      <c r="P65" s="943"/>
      <c r="Q65" s="768"/>
      <c r="R65" s="768"/>
      <c r="S65" s="768"/>
    </row>
    <row r="66" spans="1:19">
      <c r="A66" s="972">
        <f t="shared" si="5"/>
        <v>5.3899999999999917</v>
      </c>
      <c r="B66" s="768"/>
      <c r="C66" s="768"/>
      <c r="D66" s="768"/>
      <c r="E66" s="943">
        <f t="shared" ref="E66:F68" si="11">-C66</f>
        <v>0</v>
      </c>
      <c r="F66" s="943">
        <f t="shared" si="11"/>
        <v>0</v>
      </c>
      <c r="G66" s="943">
        <f t="shared" si="10"/>
        <v>0</v>
      </c>
      <c r="H66" s="943"/>
      <c r="I66" s="943"/>
      <c r="J66" s="943"/>
      <c r="K66" s="943"/>
      <c r="L66" s="943"/>
      <c r="M66" s="943"/>
      <c r="N66" s="943"/>
      <c r="O66" s="943"/>
      <c r="P66" s="943"/>
      <c r="Q66" s="943"/>
      <c r="R66" s="943"/>
      <c r="S66" s="943"/>
    </row>
    <row r="67" spans="1:19">
      <c r="A67" s="972">
        <f t="shared" si="5"/>
        <v>5.3999999999999915</v>
      </c>
      <c r="B67" s="768"/>
      <c r="C67" s="768"/>
      <c r="D67" s="768"/>
      <c r="E67" s="943">
        <f t="shared" si="11"/>
        <v>0</v>
      </c>
      <c r="F67" s="943">
        <f t="shared" si="11"/>
        <v>0</v>
      </c>
      <c r="G67" s="943">
        <f t="shared" si="10"/>
        <v>0</v>
      </c>
      <c r="H67" s="943"/>
      <c r="I67" s="943"/>
      <c r="J67" s="943"/>
      <c r="K67" s="943"/>
      <c r="L67" s="943"/>
      <c r="M67" s="943"/>
      <c r="N67" s="943"/>
      <c r="O67" s="943"/>
      <c r="P67" s="943"/>
      <c r="Q67" s="943"/>
      <c r="R67" s="943"/>
      <c r="S67" s="943"/>
    </row>
    <row r="68" spans="1:19">
      <c r="A68" s="972">
        <f t="shared" si="5"/>
        <v>5.4099999999999913</v>
      </c>
      <c r="B68" s="768"/>
      <c r="C68" s="768"/>
      <c r="D68" s="768"/>
      <c r="E68" s="943">
        <f t="shared" si="11"/>
        <v>0</v>
      </c>
      <c r="F68" s="943">
        <f t="shared" si="11"/>
        <v>0</v>
      </c>
      <c r="G68" s="943">
        <f t="shared" si="10"/>
        <v>0</v>
      </c>
      <c r="H68" s="943"/>
      <c r="I68" s="943"/>
      <c r="J68" s="943"/>
      <c r="K68" s="943"/>
      <c r="L68" s="943"/>
      <c r="M68" s="943"/>
      <c r="N68" s="943"/>
      <c r="O68" s="943"/>
      <c r="P68" s="943"/>
      <c r="Q68" s="943"/>
      <c r="R68" s="943"/>
      <c r="S68" s="943"/>
    </row>
    <row r="70" spans="1:19">
      <c r="A70" s="954"/>
      <c r="B70" s="933"/>
      <c r="C70" s="943"/>
      <c r="D70" s="943"/>
      <c r="E70" s="943"/>
      <c r="F70" s="943"/>
      <c r="G70" s="943"/>
      <c r="H70" s="943"/>
      <c r="I70" s="943"/>
      <c r="J70" s="943"/>
      <c r="K70" s="943"/>
      <c r="L70" s="943"/>
      <c r="M70" s="943"/>
      <c r="N70" s="943"/>
      <c r="O70" s="943"/>
      <c r="P70" s="943"/>
      <c r="Q70" s="943"/>
      <c r="R70" s="943"/>
      <c r="S70" s="943"/>
    </row>
    <row r="71" spans="1:19" ht="13.5" thickBot="1">
      <c r="A71" s="954">
        <v>6</v>
      </c>
      <c r="B71" s="934" t="s">
        <v>731</v>
      </c>
      <c r="C71" s="946">
        <f>SUM(C28:C70)</f>
        <v>0</v>
      </c>
      <c r="D71" s="946">
        <f>SUM(D28:D70)</f>
        <v>0</v>
      </c>
      <c r="E71" s="946">
        <f>SUM(E28:E70)</f>
        <v>0</v>
      </c>
      <c r="F71" s="946">
        <f>SUM(F28:F70)</f>
        <v>0</v>
      </c>
      <c r="G71" s="946">
        <f>SUM(G28:G70)</f>
        <v>0</v>
      </c>
      <c r="H71" s="943"/>
      <c r="I71" s="946">
        <f>SUM(I28:I70)</f>
        <v>0</v>
      </c>
      <c r="J71" s="946">
        <f>SUM(J28:J70)</f>
        <v>0</v>
      </c>
      <c r="K71" s="946">
        <f>SUM(K28:K70)</f>
        <v>0</v>
      </c>
      <c r="L71" s="943"/>
      <c r="M71" s="946">
        <f>SUM(M28:M70)</f>
        <v>0</v>
      </c>
      <c r="N71" s="946">
        <f>SUM(N28:N70)</f>
        <v>0</v>
      </c>
      <c r="O71" s="946">
        <f>SUM(O28:O70)</f>
        <v>0</v>
      </c>
      <c r="P71" s="943"/>
      <c r="Q71" s="946">
        <f>SUM(Q28:Q70)</f>
        <v>0</v>
      </c>
      <c r="R71" s="946">
        <f>SUM(R28:R70)</f>
        <v>0</v>
      </c>
      <c r="S71" s="946">
        <f>SUM(S28:S70)</f>
        <v>0</v>
      </c>
    </row>
    <row r="72" spans="1:19" ht="13.5" thickTop="1">
      <c r="A72" s="954">
        <f>A71+1</f>
        <v>7</v>
      </c>
      <c r="B72" s="1019" t="s">
        <v>744</v>
      </c>
      <c r="C72" s="947">
        <f>SUM(C34,C35,C61,C62)</f>
        <v>0</v>
      </c>
      <c r="D72" s="947">
        <f>SUM(D34,D35,D61,D62)</f>
        <v>0</v>
      </c>
      <c r="E72" s="947">
        <f>SUM(E34,E35,E61,E62)</f>
        <v>0</v>
      </c>
      <c r="F72" s="947">
        <f>SUM(F34,F35,F61,F62)</f>
        <v>0</v>
      </c>
      <c r="G72" s="947">
        <f>SUM(G34,G35,G61,G62)</f>
        <v>0</v>
      </c>
      <c r="H72" s="943"/>
      <c r="I72" s="947">
        <f>SUM(I34,I35,I61,I62)</f>
        <v>0</v>
      </c>
      <c r="J72" s="947">
        <f>SUM(J34,J35,J61,J62)</f>
        <v>0</v>
      </c>
      <c r="K72" s="947">
        <f>SUM(K34,K35,K61,K62)</f>
        <v>0</v>
      </c>
      <c r="L72" s="947"/>
      <c r="M72" s="947">
        <f>SUM(M34,M35,M61,M62)</f>
        <v>0</v>
      </c>
      <c r="N72" s="947">
        <f>SUM(N34,N35,N61,N62)</f>
        <v>0</v>
      </c>
      <c r="O72" s="947">
        <f>SUM(O34,O35,O61,O62)</f>
        <v>0</v>
      </c>
      <c r="P72" s="943"/>
      <c r="Q72" s="947">
        <f>SUM(Q34,Q35,Q61,Q62)</f>
        <v>0</v>
      </c>
      <c r="R72" s="947">
        <f>SUM(R34,R35,R61,R62)</f>
        <v>0</v>
      </c>
      <c r="S72" s="947">
        <f>SUM(S34,S35,S61,S62)</f>
        <v>0</v>
      </c>
    </row>
    <row r="73" spans="1:19">
      <c r="A73" s="954"/>
      <c r="B73" s="934"/>
      <c r="C73" s="943"/>
      <c r="D73" s="949"/>
      <c r="E73" s="943"/>
      <c r="F73" s="943"/>
      <c r="G73" s="943"/>
      <c r="H73" s="943"/>
      <c r="I73" s="943"/>
      <c r="J73" s="943"/>
      <c r="K73" s="943"/>
      <c r="L73" s="943"/>
      <c r="M73" s="943"/>
      <c r="N73" s="943"/>
      <c r="O73" s="943"/>
      <c r="P73" s="943"/>
      <c r="Q73" s="943"/>
      <c r="R73" s="943"/>
      <c r="S73" s="943"/>
    </row>
    <row r="74" spans="1:19">
      <c r="A74" s="954">
        <v>8</v>
      </c>
      <c r="B74" s="204" t="s">
        <v>732</v>
      </c>
      <c r="C74" s="943" t="s">
        <v>114</v>
      </c>
      <c r="D74" s="943"/>
      <c r="E74" s="943"/>
      <c r="F74" s="943"/>
      <c r="G74" s="943"/>
      <c r="H74" s="943"/>
      <c r="I74" s="943"/>
      <c r="J74" s="943"/>
      <c r="K74" s="943"/>
      <c r="L74" s="943"/>
      <c r="M74" s="943"/>
      <c r="N74" s="943"/>
      <c r="O74" s="943"/>
      <c r="P74" s="943"/>
      <c r="Q74" s="943"/>
      <c r="R74" s="943"/>
      <c r="S74" s="943"/>
    </row>
    <row r="75" spans="1:19">
      <c r="A75" s="954"/>
      <c r="B75" s="933"/>
      <c r="C75" s="943"/>
      <c r="D75" s="943"/>
      <c r="E75" s="943"/>
      <c r="F75" s="943"/>
      <c r="G75" s="943"/>
      <c r="H75" s="943"/>
      <c r="I75" s="943"/>
      <c r="J75" s="943"/>
      <c r="K75" s="943"/>
      <c r="L75" s="943"/>
      <c r="M75" s="943"/>
      <c r="N75" s="943"/>
      <c r="O75" s="943"/>
      <c r="P75" s="943"/>
      <c r="Q75" s="943"/>
      <c r="R75" s="943"/>
      <c r="S75" s="943"/>
    </row>
    <row r="76" spans="1:19">
      <c r="A76" s="972">
        <v>9.01</v>
      </c>
      <c r="B76" s="768"/>
      <c r="C76" s="943">
        <f>SUM(M76:O76)</f>
        <v>0</v>
      </c>
      <c r="D76" s="943">
        <f t="shared" ref="D76:D139" si="12">SUM(Q76:S76)</f>
        <v>0</v>
      </c>
      <c r="E76" s="943"/>
      <c r="F76" s="943"/>
      <c r="G76" s="943">
        <f t="shared" ref="G76:G130" si="13">ROUND(SUM(C76:F76)/2,0)</f>
        <v>0</v>
      </c>
      <c r="H76" s="943"/>
      <c r="I76" s="943">
        <f>(M76+Q76)/2</f>
        <v>0</v>
      </c>
      <c r="J76" s="943">
        <f>(N76+R76)/2</f>
        <v>0</v>
      </c>
      <c r="K76" s="943">
        <f>(O76+S76)/2</f>
        <v>0</v>
      </c>
      <c r="L76" s="943"/>
      <c r="M76" s="768"/>
      <c r="N76" s="768"/>
      <c r="O76" s="768"/>
      <c r="P76" s="943"/>
      <c r="Q76" s="768"/>
      <c r="R76" s="768"/>
      <c r="S76" s="768"/>
    </row>
    <row r="77" spans="1:19">
      <c r="A77" s="972">
        <f>A76+0.01</f>
        <v>9.02</v>
      </c>
      <c r="B77" s="768"/>
      <c r="C77" s="943">
        <f t="shared" ref="C77:C140" si="14">SUM(M77:O77)</f>
        <v>0</v>
      </c>
      <c r="D77" s="943">
        <f t="shared" si="12"/>
        <v>0</v>
      </c>
      <c r="E77" s="943"/>
      <c r="F77" s="943"/>
      <c r="G77" s="943">
        <f>ROUND(SUM(C77:F77)/2,0)</f>
        <v>0</v>
      </c>
      <c r="H77" s="943"/>
      <c r="I77" s="943">
        <f t="shared" ref="I77:K136" si="15">(M77+Q77)/2</f>
        <v>0</v>
      </c>
      <c r="J77" s="943">
        <f t="shared" si="15"/>
        <v>0</v>
      </c>
      <c r="K77" s="943">
        <f t="shared" si="15"/>
        <v>0</v>
      </c>
      <c r="L77" s="943"/>
      <c r="M77" s="768"/>
      <c r="N77" s="768"/>
      <c r="O77" s="768"/>
      <c r="P77" s="943"/>
      <c r="Q77" s="768"/>
      <c r="R77" s="768"/>
      <c r="S77" s="768"/>
    </row>
    <row r="78" spans="1:19">
      <c r="A78" s="972">
        <f t="shared" ref="A78:A141" si="16">A77+0.01</f>
        <v>9.0299999999999994</v>
      </c>
      <c r="B78" s="768"/>
      <c r="C78" s="943">
        <f t="shared" si="14"/>
        <v>0</v>
      </c>
      <c r="D78" s="943">
        <f t="shared" si="12"/>
        <v>0</v>
      </c>
      <c r="E78" s="943"/>
      <c r="F78" s="943"/>
      <c r="G78" s="943">
        <f t="shared" si="13"/>
        <v>0</v>
      </c>
      <c r="H78" s="943"/>
      <c r="I78" s="943">
        <f t="shared" si="15"/>
        <v>0</v>
      </c>
      <c r="J78" s="943">
        <f t="shared" si="15"/>
        <v>0</v>
      </c>
      <c r="K78" s="943">
        <f t="shared" si="15"/>
        <v>0</v>
      </c>
      <c r="L78" s="943"/>
      <c r="M78" s="768"/>
      <c r="N78" s="768"/>
      <c r="O78" s="768"/>
      <c r="P78" s="943"/>
      <c r="Q78" s="768"/>
      <c r="R78" s="768"/>
      <c r="S78" s="768"/>
    </row>
    <row r="79" spans="1:19">
      <c r="A79" s="972">
        <f t="shared" si="16"/>
        <v>9.0399999999999991</v>
      </c>
      <c r="B79" s="768"/>
      <c r="C79" s="943">
        <f t="shared" si="14"/>
        <v>0</v>
      </c>
      <c r="D79" s="943">
        <f t="shared" si="12"/>
        <v>0</v>
      </c>
      <c r="E79" s="943"/>
      <c r="F79" s="943"/>
      <c r="G79" s="943">
        <f t="shared" si="13"/>
        <v>0</v>
      </c>
      <c r="H79" s="943"/>
      <c r="I79" s="943">
        <f t="shared" si="15"/>
        <v>0</v>
      </c>
      <c r="J79" s="943">
        <f t="shared" si="15"/>
        <v>0</v>
      </c>
      <c r="K79" s="943">
        <f t="shared" si="15"/>
        <v>0</v>
      </c>
      <c r="L79" s="943"/>
      <c r="M79" s="768"/>
      <c r="N79" s="768"/>
      <c r="O79" s="768"/>
      <c r="P79" s="943"/>
      <c r="Q79" s="768"/>
      <c r="R79" s="768"/>
      <c r="S79" s="768"/>
    </row>
    <row r="80" spans="1:19">
      <c r="A80" s="972">
        <f t="shared" si="16"/>
        <v>9.0499999999999989</v>
      </c>
      <c r="B80" s="768"/>
      <c r="C80" s="943">
        <f t="shared" si="14"/>
        <v>0</v>
      </c>
      <c r="D80" s="943">
        <f t="shared" si="12"/>
        <v>0</v>
      </c>
      <c r="E80" s="943"/>
      <c r="F80" s="943"/>
      <c r="G80" s="943">
        <f t="shared" si="13"/>
        <v>0</v>
      </c>
      <c r="H80" s="943"/>
      <c r="I80" s="943">
        <f t="shared" si="15"/>
        <v>0</v>
      </c>
      <c r="J80" s="943">
        <f t="shared" si="15"/>
        <v>0</v>
      </c>
      <c r="K80" s="943">
        <f t="shared" si="15"/>
        <v>0</v>
      </c>
      <c r="L80" s="943"/>
      <c r="M80" s="768"/>
      <c r="N80" s="768"/>
      <c r="O80" s="768"/>
      <c r="P80" s="943"/>
      <c r="Q80" s="768"/>
      <c r="R80" s="768"/>
      <c r="S80" s="768"/>
    </row>
    <row r="81" spans="1:19">
      <c r="A81" s="972">
        <f t="shared" si="16"/>
        <v>9.0599999999999987</v>
      </c>
      <c r="B81" s="768"/>
      <c r="C81" s="943">
        <f t="shared" si="14"/>
        <v>0</v>
      </c>
      <c r="D81" s="943">
        <f t="shared" si="12"/>
        <v>0</v>
      </c>
      <c r="E81" s="943"/>
      <c r="F81" s="943"/>
      <c r="G81" s="943">
        <f t="shared" si="13"/>
        <v>0</v>
      </c>
      <c r="H81" s="943"/>
      <c r="I81" s="943">
        <f t="shared" si="15"/>
        <v>0</v>
      </c>
      <c r="J81" s="943">
        <f t="shared" si="15"/>
        <v>0</v>
      </c>
      <c r="K81" s="943">
        <f t="shared" si="15"/>
        <v>0</v>
      </c>
      <c r="L81" s="943"/>
      <c r="M81" s="768"/>
      <c r="N81" s="768"/>
      <c r="O81" s="768"/>
      <c r="P81" s="943"/>
      <c r="Q81" s="768"/>
      <c r="R81" s="768"/>
      <c r="S81" s="768"/>
    </row>
    <row r="82" spans="1:19">
      <c r="A82" s="972">
        <f t="shared" si="16"/>
        <v>9.0699999999999985</v>
      </c>
      <c r="B82" s="768"/>
      <c r="C82" s="943">
        <f t="shared" si="14"/>
        <v>0</v>
      </c>
      <c r="D82" s="943">
        <f t="shared" si="12"/>
        <v>0</v>
      </c>
      <c r="E82" s="943"/>
      <c r="F82" s="943"/>
      <c r="G82" s="943">
        <f>ROUND(SUM(C82:F82)/2,0)</f>
        <v>0</v>
      </c>
      <c r="H82" s="943"/>
      <c r="I82" s="943">
        <f t="shared" si="15"/>
        <v>0</v>
      </c>
      <c r="J82" s="943">
        <f t="shared" si="15"/>
        <v>0</v>
      </c>
      <c r="K82" s="943">
        <f t="shared" si="15"/>
        <v>0</v>
      </c>
      <c r="L82" s="943"/>
      <c r="M82" s="768"/>
      <c r="N82" s="768"/>
      <c r="O82" s="768"/>
      <c r="P82" s="943"/>
      <c r="Q82" s="768"/>
      <c r="R82" s="768"/>
      <c r="S82" s="768"/>
    </row>
    <row r="83" spans="1:19">
      <c r="A83" s="972">
        <f t="shared" si="16"/>
        <v>9.0799999999999983</v>
      </c>
      <c r="B83" s="768"/>
      <c r="C83" s="943">
        <f t="shared" si="14"/>
        <v>0</v>
      </c>
      <c r="D83" s="943">
        <f t="shared" si="12"/>
        <v>0</v>
      </c>
      <c r="E83" s="943"/>
      <c r="F83" s="943"/>
      <c r="G83" s="943">
        <f>ROUND(SUM(C83:F83)/2,0)</f>
        <v>0</v>
      </c>
      <c r="H83" s="943"/>
      <c r="I83" s="943">
        <f t="shared" si="15"/>
        <v>0</v>
      </c>
      <c r="J83" s="943">
        <f t="shared" si="15"/>
        <v>0</v>
      </c>
      <c r="K83" s="943">
        <f t="shared" si="15"/>
        <v>0</v>
      </c>
      <c r="L83" s="943"/>
      <c r="M83" s="768"/>
      <c r="N83" s="768"/>
      <c r="O83" s="768"/>
      <c r="P83" s="943"/>
      <c r="Q83" s="768"/>
      <c r="R83" s="768"/>
      <c r="S83" s="768"/>
    </row>
    <row r="84" spans="1:19">
      <c r="A84" s="972">
        <f t="shared" si="16"/>
        <v>9.0899999999999981</v>
      </c>
      <c r="B84" s="768"/>
      <c r="C84" s="943">
        <f t="shared" si="14"/>
        <v>0</v>
      </c>
      <c r="D84" s="943">
        <f t="shared" si="12"/>
        <v>0</v>
      </c>
      <c r="E84" s="943"/>
      <c r="F84" s="943"/>
      <c r="G84" s="943">
        <f t="shared" si="13"/>
        <v>0</v>
      </c>
      <c r="H84" s="943"/>
      <c r="I84" s="943">
        <f t="shared" si="15"/>
        <v>0</v>
      </c>
      <c r="J84" s="943">
        <f t="shared" si="15"/>
        <v>0</v>
      </c>
      <c r="K84" s="943">
        <f t="shared" si="15"/>
        <v>0</v>
      </c>
      <c r="L84" s="943"/>
      <c r="M84" s="768"/>
      <c r="N84" s="768"/>
      <c r="O84" s="768"/>
      <c r="P84" s="943"/>
      <c r="Q84" s="768"/>
      <c r="R84" s="768"/>
      <c r="S84" s="768"/>
    </row>
    <row r="85" spans="1:19">
      <c r="A85" s="972">
        <f t="shared" si="16"/>
        <v>9.0999999999999979</v>
      </c>
      <c r="B85" s="768"/>
      <c r="C85" s="943">
        <f t="shared" si="14"/>
        <v>0</v>
      </c>
      <c r="D85" s="943">
        <f t="shared" si="12"/>
        <v>0</v>
      </c>
      <c r="E85" s="943"/>
      <c r="F85" s="943"/>
      <c r="G85" s="943">
        <f>ROUND(SUM(C85:F85)/2,0)</f>
        <v>0</v>
      </c>
      <c r="H85" s="943"/>
      <c r="I85" s="943">
        <f t="shared" si="15"/>
        <v>0</v>
      </c>
      <c r="J85" s="943">
        <f t="shared" si="15"/>
        <v>0</v>
      </c>
      <c r="K85" s="943">
        <f t="shared" si="15"/>
        <v>0</v>
      </c>
      <c r="L85" s="943"/>
      <c r="M85" s="768"/>
      <c r="N85" s="768"/>
      <c r="O85" s="768"/>
      <c r="P85" s="943"/>
      <c r="Q85" s="768"/>
      <c r="R85" s="768"/>
      <c r="S85" s="768"/>
    </row>
    <row r="86" spans="1:19" hidden="1">
      <c r="A86" s="972">
        <f t="shared" si="16"/>
        <v>9.1099999999999977</v>
      </c>
      <c r="B86" s="768"/>
      <c r="C86" s="943">
        <f t="shared" si="14"/>
        <v>0</v>
      </c>
      <c r="D86" s="943">
        <f t="shared" si="12"/>
        <v>0</v>
      </c>
      <c r="E86" s="943"/>
      <c r="F86" s="943"/>
      <c r="G86" s="943">
        <f>ROUND(SUM(C86:F86)/2,0)</f>
        <v>0</v>
      </c>
      <c r="H86" s="943"/>
      <c r="I86" s="943">
        <f t="shared" si="15"/>
        <v>0</v>
      </c>
      <c r="J86" s="943">
        <f t="shared" si="15"/>
        <v>0</v>
      </c>
      <c r="K86" s="943">
        <f t="shared" si="15"/>
        <v>0</v>
      </c>
      <c r="L86" s="943"/>
      <c r="M86" s="768"/>
      <c r="N86" s="768"/>
      <c r="O86" s="768"/>
      <c r="P86" s="943"/>
      <c r="Q86" s="768"/>
      <c r="R86" s="768"/>
      <c r="S86" s="768"/>
    </row>
    <row r="87" spans="1:19" hidden="1">
      <c r="A87" s="972">
        <f t="shared" si="16"/>
        <v>9.1199999999999974</v>
      </c>
      <c r="B87" s="768"/>
      <c r="C87" s="943">
        <f t="shared" si="14"/>
        <v>0</v>
      </c>
      <c r="D87" s="943">
        <f t="shared" si="12"/>
        <v>0</v>
      </c>
      <c r="E87" s="943"/>
      <c r="F87" s="943"/>
      <c r="G87" s="943">
        <f t="shared" si="13"/>
        <v>0</v>
      </c>
      <c r="H87" s="943"/>
      <c r="I87" s="943">
        <f t="shared" si="15"/>
        <v>0</v>
      </c>
      <c r="J87" s="943">
        <f t="shared" si="15"/>
        <v>0</v>
      </c>
      <c r="K87" s="943">
        <f t="shared" si="15"/>
        <v>0</v>
      </c>
      <c r="L87" s="943"/>
      <c r="M87" s="768"/>
      <c r="N87" s="768"/>
      <c r="O87" s="768"/>
      <c r="P87" s="943"/>
      <c r="Q87" s="768"/>
      <c r="R87" s="768"/>
      <c r="S87" s="768"/>
    </row>
    <row r="88" spans="1:19" hidden="1">
      <c r="A88" s="972">
        <f t="shared" si="16"/>
        <v>9.1299999999999972</v>
      </c>
      <c r="B88" s="768"/>
      <c r="C88" s="943">
        <f t="shared" si="14"/>
        <v>0</v>
      </c>
      <c r="D88" s="943">
        <f t="shared" si="12"/>
        <v>0</v>
      </c>
      <c r="E88" s="943"/>
      <c r="F88" s="943"/>
      <c r="G88" s="943">
        <f t="shared" si="13"/>
        <v>0</v>
      </c>
      <c r="H88" s="943"/>
      <c r="I88" s="943">
        <f t="shared" si="15"/>
        <v>0</v>
      </c>
      <c r="J88" s="943">
        <f t="shared" si="15"/>
        <v>0</v>
      </c>
      <c r="K88" s="943">
        <f t="shared" si="15"/>
        <v>0</v>
      </c>
      <c r="L88" s="943"/>
      <c r="M88" s="768"/>
      <c r="N88" s="768"/>
      <c r="O88" s="768"/>
      <c r="P88" s="943"/>
      <c r="Q88" s="768"/>
      <c r="R88" s="768"/>
      <c r="S88" s="768"/>
    </row>
    <row r="89" spans="1:19" hidden="1">
      <c r="A89" s="972">
        <f t="shared" si="16"/>
        <v>9.139999999999997</v>
      </c>
      <c r="B89" s="768"/>
      <c r="C89" s="943">
        <f t="shared" si="14"/>
        <v>0</v>
      </c>
      <c r="D89" s="943">
        <f t="shared" si="12"/>
        <v>0</v>
      </c>
      <c r="E89" s="943"/>
      <c r="F89" s="943"/>
      <c r="G89" s="943">
        <f t="shared" si="13"/>
        <v>0</v>
      </c>
      <c r="H89" s="943"/>
      <c r="I89" s="943">
        <f t="shared" si="15"/>
        <v>0</v>
      </c>
      <c r="J89" s="943">
        <f t="shared" si="15"/>
        <v>0</v>
      </c>
      <c r="K89" s="943">
        <f t="shared" si="15"/>
        <v>0</v>
      </c>
      <c r="L89" s="943"/>
      <c r="M89" s="768"/>
      <c r="N89" s="768"/>
      <c r="O89" s="768"/>
      <c r="P89" s="943"/>
      <c r="Q89" s="768"/>
      <c r="R89" s="768"/>
      <c r="S89" s="768"/>
    </row>
    <row r="90" spans="1:19" hidden="1">
      <c r="A90" s="972">
        <f t="shared" si="16"/>
        <v>9.1499999999999968</v>
      </c>
      <c r="B90" s="768"/>
      <c r="C90" s="943">
        <f t="shared" si="14"/>
        <v>0</v>
      </c>
      <c r="D90" s="943">
        <f t="shared" si="12"/>
        <v>0</v>
      </c>
      <c r="E90" s="943"/>
      <c r="F90" s="943"/>
      <c r="G90" s="943">
        <f t="shared" si="13"/>
        <v>0</v>
      </c>
      <c r="H90" s="943"/>
      <c r="I90" s="943">
        <f t="shared" si="15"/>
        <v>0</v>
      </c>
      <c r="J90" s="943">
        <f t="shared" si="15"/>
        <v>0</v>
      </c>
      <c r="K90" s="943">
        <f t="shared" si="15"/>
        <v>0</v>
      </c>
      <c r="L90" s="943"/>
      <c r="M90" s="768"/>
      <c r="N90" s="768"/>
      <c r="O90" s="768"/>
      <c r="P90" s="943"/>
      <c r="Q90" s="768"/>
      <c r="R90" s="768"/>
      <c r="S90" s="768"/>
    </row>
    <row r="91" spans="1:19" hidden="1">
      <c r="A91" s="972">
        <f t="shared" si="16"/>
        <v>9.1599999999999966</v>
      </c>
      <c r="B91" s="768"/>
      <c r="C91" s="943">
        <f t="shared" si="14"/>
        <v>0</v>
      </c>
      <c r="D91" s="943">
        <f t="shared" si="12"/>
        <v>0</v>
      </c>
      <c r="E91" s="943"/>
      <c r="F91" s="943"/>
      <c r="G91" s="943">
        <f t="shared" si="13"/>
        <v>0</v>
      </c>
      <c r="H91" s="943"/>
      <c r="I91" s="943">
        <f t="shared" si="15"/>
        <v>0</v>
      </c>
      <c r="J91" s="943">
        <f t="shared" si="15"/>
        <v>0</v>
      </c>
      <c r="K91" s="943">
        <f t="shared" si="15"/>
        <v>0</v>
      </c>
      <c r="L91" s="943"/>
      <c r="M91" s="768"/>
      <c r="N91" s="768"/>
      <c r="O91" s="768"/>
      <c r="P91" s="943"/>
      <c r="Q91" s="768"/>
      <c r="R91" s="768"/>
      <c r="S91" s="768"/>
    </row>
    <row r="92" spans="1:19" hidden="1">
      <c r="A92" s="972">
        <f t="shared" si="16"/>
        <v>9.1699999999999964</v>
      </c>
      <c r="B92" s="768"/>
      <c r="C92" s="943">
        <f t="shared" si="14"/>
        <v>0</v>
      </c>
      <c r="D92" s="943">
        <f t="shared" si="12"/>
        <v>0</v>
      </c>
      <c r="E92" s="943"/>
      <c r="F92" s="943"/>
      <c r="G92" s="943">
        <f t="shared" si="13"/>
        <v>0</v>
      </c>
      <c r="H92" s="943"/>
      <c r="I92" s="943">
        <f t="shared" si="15"/>
        <v>0</v>
      </c>
      <c r="J92" s="943">
        <f t="shared" si="15"/>
        <v>0</v>
      </c>
      <c r="K92" s="943">
        <f t="shared" si="15"/>
        <v>0</v>
      </c>
      <c r="L92" s="943"/>
      <c r="M92" s="768"/>
      <c r="N92" s="768"/>
      <c r="O92" s="768"/>
      <c r="P92" s="943"/>
      <c r="Q92" s="768"/>
      <c r="R92" s="768"/>
      <c r="S92" s="768"/>
    </row>
    <row r="93" spans="1:19" hidden="1">
      <c r="A93" s="972">
        <f t="shared" si="16"/>
        <v>9.1799999999999962</v>
      </c>
      <c r="B93" s="768"/>
      <c r="C93" s="943">
        <f t="shared" si="14"/>
        <v>0</v>
      </c>
      <c r="D93" s="943">
        <f t="shared" si="12"/>
        <v>0</v>
      </c>
      <c r="E93" s="943"/>
      <c r="F93" s="943"/>
      <c r="G93" s="943">
        <f t="shared" si="13"/>
        <v>0</v>
      </c>
      <c r="H93" s="943"/>
      <c r="I93" s="943">
        <f t="shared" si="15"/>
        <v>0</v>
      </c>
      <c r="J93" s="943">
        <f t="shared" si="15"/>
        <v>0</v>
      </c>
      <c r="K93" s="943">
        <f t="shared" si="15"/>
        <v>0</v>
      </c>
      <c r="L93" s="943"/>
      <c r="M93" s="768"/>
      <c r="N93" s="768"/>
      <c r="O93" s="768"/>
      <c r="P93" s="943"/>
      <c r="Q93" s="768"/>
      <c r="R93" s="768"/>
      <c r="S93" s="768"/>
    </row>
    <row r="94" spans="1:19" hidden="1">
      <c r="A94" s="972">
        <f t="shared" si="16"/>
        <v>9.1899999999999959</v>
      </c>
      <c r="B94" s="768"/>
      <c r="C94" s="943">
        <f t="shared" si="14"/>
        <v>0</v>
      </c>
      <c r="D94" s="943">
        <f t="shared" si="12"/>
        <v>0</v>
      </c>
      <c r="E94" s="943"/>
      <c r="F94" s="943"/>
      <c r="G94" s="943">
        <f t="shared" si="13"/>
        <v>0</v>
      </c>
      <c r="H94" s="943"/>
      <c r="I94" s="943">
        <f t="shared" si="15"/>
        <v>0</v>
      </c>
      <c r="J94" s="943">
        <f t="shared" si="15"/>
        <v>0</v>
      </c>
      <c r="K94" s="943">
        <f t="shared" si="15"/>
        <v>0</v>
      </c>
      <c r="L94" s="943"/>
      <c r="M94" s="768"/>
      <c r="N94" s="768"/>
      <c r="O94" s="768"/>
      <c r="P94" s="943"/>
      <c r="Q94" s="768"/>
      <c r="R94" s="768"/>
      <c r="S94" s="768"/>
    </row>
    <row r="95" spans="1:19" hidden="1">
      <c r="A95" s="972">
        <f t="shared" si="16"/>
        <v>9.1999999999999957</v>
      </c>
      <c r="B95" s="768"/>
      <c r="C95" s="943">
        <f t="shared" si="14"/>
        <v>0</v>
      </c>
      <c r="D95" s="943">
        <f t="shared" si="12"/>
        <v>0</v>
      </c>
      <c r="E95" s="943"/>
      <c r="F95" s="943"/>
      <c r="G95" s="943">
        <f t="shared" si="13"/>
        <v>0</v>
      </c>
      <c r="H95" s="943"/>
      <c r="I95" s="943">
        <f t="shared" si="15"/>
        <v>0</v>
      </c>
      <c r="J95" s="943">
        <f t="shared" si="15"/>
        <v>0</v>
      </c>
      <c r="K95" s="943">
        <f t="shared" si="15"/>
        <v>0</v>
      </c>
      <c r="L95" s="943"/>
      <c r="M95" s="768"/>
      <c r="N95" s="768"/>
      <c r="O95" s="768"/>
      <c r="P95" s="943"/>
      <c r="Q95" s="768"/>
      <c r="R95" s="768"/>
      <c r="S95" s="768"/>
    </row>
    <row r="96" spans="1:19" hidden="1">
      <c r="A96" s="972">
        <f t="shared" si="16"/>
        <v>9.2099999999999955</v>
      </c>
      <c r="B96" s="768"/>
      <c r="C96" s="943">
        <f t="shared" si="14"/>
        <v>0</v>
      </c>
      <c r="D96" s="943">
        <f t="shared" si="12"/>
        <v>0</v>
      </c>
      <c r="E96" s="943"/>
      <c r="F96" s="943"/>
      <c r="G96" s="943">
        <f t="shared" si="13"/>
        <v>0</v>
      </c>
      <c r="H96" s="943"/>
      <c r="I96" s="943">
        <f t="shared" si="15"/>
        <v>0</v>
      </c>
      <c r="J96" s="943">
        <f t="shared" si="15"/>
        <v>0</v>
      </c>
      <c r="K96" s="943">
        <f t="shared" si="15"/>
        <v>0</v>
      </c>
      <c r="L96" s="943"/>
      <c r="M96" s="768"/>
      <c r="N96" s="768"/>
      <c r="O96" s="768"/>
      <c r="P96" s="943"/>
      <c r="Q96" s="768"/>
      <c r="R96" s="768"/>
      <c r="S96" s="768"/>
    </row>
    <row r="97" spans="1:19" hidden="1">
      <c r="A97" s="972">
        <f t="shared" si="16"/>
        <v>9.2199999999999953</v>
      </c>
      <c r="B97" s="768"/>
      <c r="C97" s="943">
        <f t="shared" si="14"/>
        <v>0</v>
      </c>
      <c r="D97" s="943">
        <f t="shared" si="12"/>
        <v>0</v>
      </c>
      <c r="E97" s="943"/>
      <c r="F97" s="943"/>
      <c r="G97" s="943">
        <f t="shared" si="13"/>
        <v>0</v>
      </c>
      <c r="H97" s="943"/>
      <c r="I97" s="943">
        <f t="shared" si="15"/>
        <v>0</v>
      </c>
      <c r="J97" s="943">
        <f t="shared" si="15"/>
        <v>0</v>
      </c>
      <c r="K97" s="943">
        <f t="shared" si="15"/>
        <v>0</v>
      </c>
      <c r="L97" s="943"/>
      <c r="M97" s="768"/>
      <c r="N97" s="768"/>
      <c r="O97" s="768"/>
      <c r="P97" s="943"/>
      <c r="Q97" s="768"/>
      <c r="R97" s="768"/>
      <c r="S97" s="768"/>
    </row>
    <row r="98" spans="1:19" hidden="1">
      <c r="A98" s="972">
        <f t="shared" si="16"/>
        <v>9.2299999999999951</v>
      </c>
      <c r="B98" s="768"/>
      <c r="C98" s="943">
        <f t="shared" si="14"/>
        <v>0</v>
      </c>
      <c r="D98" s="943">
        <f t="shared" si="12"/>
        <v>0</v>
      </c>
      <c r="E98" s="943"/>
      <c r="F98" s="943"/>
      <c r="G98" s="943">
        <f t="shared" si="13"/>
        <v>0</v>
      </c>
      <c r="H98" s="943"/>
      <c r="I98" s="943">
        <f t="shared" si="15"/>
        <v>0</v>
      </c>
      <c r="J98" s="943">
        <f t="shared" si="15"/>
        <v>0</v>
      </c>
      <c r="K98" s="943">
        <f t="shared" si="15"/>
        <v>0</v>
      </c>
      <c r="L98" s="943"/>
      <c r="M98" s="768"/>
      <c r="N98" s="768"/>
      <c r="O98" s="768"/>
      <c r="P98" s="943"/>
      <c r="Q98" s="768"/>
      <c r="R98" s="768"/>
      <c r="S98" s="768"/>
    </row>
    <row r="99" spans="1:19" hidden="1">
      <c r="A99" s="972">
        <f t="shared" si="16"/>
        <v>9.2399999999999949</v>
      </c>
      <c r="B99" s="768"/>
      <c r="C99" s="943">
        <f t="shared" si="14"/>
        <v>0</v>
      </c>
      <c r="D99" s="943">
        <f t="shared" si="12"/>
        <v>0</v>
      </c>
      <c r="E99" s="943"/>
      <c r="F99" s="943"/>
      <c r="G99" s="943">
        <f t="shared" si="13"/>
        <v>0</v>
      </c>
      <c r="H99" s="943"/>
      <c r="I99" s="943">
        <f t="shared" si="15"/>
        <v>0</v>
      </c>
      <c r="J99" s="943">
        <f t="shared" si="15"/>
        <v>0</v>
      </c>
      <c r="K99" s="943">
        <f t="shared" si="15"/>
        <v>0</v>
      </c>
      <c r="L99" s="943"/>
      <c r="M99" s="768"/>
      <c r="N99" s="768"/>
      <c r="O99" s="768"/>
      <c r="P99" s="943"/>
      <c r="Q99" s="768"/>
      <c r="R99" s="768"/>
      <c r="S99" s="768"/>
    </row>
    <row r="100" spans="1:19" hidden="1">
      <c r="A100" s="972">
        <f t="shared" si="16"/>
        <v>9.2499999999999947</v>
      </c>
      <c r="B100" s="768"/>
      <c r="C100" s="943">
        <f t="shared" si="14"/>
        <v>0</v>
      </c>
      <c r="D100" s="943">
        <f t="shared" si="12"/>
        <v>0</v>
      </c>
      <c r="E100" s="943"/>
      <c r="F100" s="943"/>
      <c r="G100" s="943">
        <f>ROUND(SUM(C100:F100)/2,0)</f>
        <v>0</v>
      </c>
      <c r="H100" s="943"/>
      <c r="I100" s="943">
        <f t="shared" si="15"/>
        <v>0</v>
      </c>
      <c r="J100" s="943">
        <f t="shared" si="15"/>
        <v>0</v>
      </c>
      <c r="K100" s="943">
        <f t="shared" si="15"/>
        <v>0</v>
      </c>
      <c r="L100" s="943"/>
      <c r="M100" s="768"/>
      <c r="N100" s="768"/>
      <c r="O100" s="768"/>
      <c r="P100" s="943"/>
      <c r="Q100" s="768"/>
      <c r="R100" s="768"/>
      <c r="S100" s="768"/>
    </row>
    <row r="101" spans="1:19" hidden="1">
      <c r="A101" s="972">
        <f t="shared" si="16"/>
        <v>9.2599999999999945</v>
      </c>
      <c r="B101" s="768"/>
      <c r="C101" s="943">
        <f t="shared" si="14"/>
        <v>0</v>
      </c>
      <c r="D101" s="943">
        <f t="shared" si="12"/>
        <v>0</v>
      </c>
      <c r="E101" s="943"/>
      <c r="F101" s="943"/>
      <c r="G101" s="943">
        <f t="shared" si="13"/>
        <v>0</v>
      </c>
      <c r="H101" s="943"/>
      <c r="I101" s="943">
        <f t="shared" si="15"/>
        <v>0</v>
      </c>
      <c r="J101" s="943">
        <f t="shared" si="15"/>
        <v>0</v>
      </c>
      <c r="K101" s="943">
        <f t="shared" si="15"/>
        <v>0</v>
      </c>
      <c r="L101" s="943"/>
      <c r="M101" s="768"/>
      <c r="N101" s="768"/>
      <c r="O101" s="768"/>
      <c r="P101" s="943"/>
      <c r="Q101" s="768"/>
      <c r="R101" s="768"/>
      <c r="S101" s="768"/>
    </row>
    <row r="102" spans="1:19" hidden="1">
      <c r="A102" s="972">
        <f t="shared" si="16"/>
        <v>9.2699999999999942</v>
      </c>
      <c r="B102" s="768"/>
      <c r="C102" s="943">
        <f t="shared" si="14"/>
        <v>0</v>
      </c>
      <c r="D102" s="943">
        <f t="shared" si="12"/>
        <v>0</v>
      </c>
      <c r="E102" s="943"/>
      <c r="F102" s="943"/>
      <c r="G102" s="943">
        <f t="shared" si="13"/>
        <v>0</v>
      </c>
      <c r="H102" s="943"/>
      <c r="I102" s="943">
        <f t="shared" si="15"/>
        <v>0</v>
      </c>
      <c r="J102" s="943">
        <f t="shared" si="15"/>
        <v>0</v>
      </c>
      <c r="K102" s="943">
        <f t="shared" si="15"/>
        <v>0</v>
      </c>
      <c r="L102" s="943"/>
      <c r="M102" s="768"/>
      <c r="N102" s="768"/>
      <c r="O102" s="768"/>
      <c r="P102" s="943"/>
      <c r="Q102" s="768"/>
      <c r="R102" s="768"/>
      <c r="S102" s="768"/>
    </row>
    <row r="103" spans="1:19" hidden="1">
      <c r="A103" s="972">
        <f t="shared" si="16"/>
        <v>9.279999999999994</v>
      </c>
      <c r="B103" s="768"/>
      <c r="C103" s="943">
        <f t="shared" si="14"/>
        <v>0</v>
      </c>
      <c r="D103" s="943">
        <f t="shared" si="12"/>
        <v>0</v>
      </c>
      <c r="E103" s="943"/>
      <c r="F103" s="943"/>
      <c r="G103" s="943">
        <f>ROUND(SUM(C103:F103)/2,0)</f>
        <v>0</v>
      </c>
      <c r="H103" s="943"/>
      <c r="I103" s="943">
        <f t="shared" si="15"/>
        <v>0</v>
      </c>
      <c r="J103" s="943">
        <f t="shared" si="15"/>
        <v>0</v>
      </c>
      <c r="K103" s="943">
        <f t="shared" si="15"/>
        <v>0</v>
      </c>
      <c r="L103" s="943"/>
      <c r="M103" s="768"/>
      <c r="N103" s="768"/>
      <c r="O103" s="768"/>
      <c r="P103" s="943"/>
      <c r="Q103" s="768"/>
      <c r="R103" s="768"/>
      <c r="S103" s="768"/>
    </row>
    <row r="104" spans="1:19" hidden="1">
      <c r="A104" s="972">
        <f t="shared" si="16"/>
        <v>9.2899999999999938</v>
      </c>
      <c r="B104" s="768"/>
      <c r="C104" s="943">
        <f t="shared" si="14"/>
        <v>0</v>
      </c>
      <c r="D104" s="943">
        <f t="shared" si="12"/>
        <v>0</v>
      </c>
      <c r="E104" s="943"/>
      <c r="F104" s="943"/>
      <c r="G104" s="943">
        <f t="shared" si="13"/>
        <v>0</v>
      </c>
      <c r="H104" s="943"/>
      <c r="I104" s="943">
        <f t="shared" si="15"/>
        <v>0</v>
      </c>
      <c r="J104" s="943">
        <f t="shared" si="15"/>
        <v>0</v>
      </c>
      <c r="K104" s="943">
        <f t="shared" si="15"/>
        <v>0</v>
      </c>
      <c r="L104" s="943"/>
      <c r="M104" s="768"/>
      <c r="N104" s="768"/>
      <c r="O104" s="768"/>
      <c r="P104" s="943"/>
      <c r="Q104" s="768"/>
      <c r="R104" s="768"/>
      <c r="S104" s="768"/>
    </row>
    <row r="105" spans="1:19" hidden="1">
      <c r="A105" s="972">
        <f t="shared" si="16"/>
        <v>9.2999999999999936</v>
      </c>
      <c r="B105" s="768"/>
      <c r="C105" s="943">
        <f t="shared" si="14"/>
        <v>0</v>
      </c>
      <c r="D105" s="943">
        <f t="shared" si="12"/>
        <v>0</v>
      </c>
      <c r="E105" s="943"/>
      <c r="F105" s="943"/>
      <c r="G105" s="943">
        <f t="shared" si="13"/>
        <v>0</v>
      </c>
      <c r="H105" s="943"/>
      <c r="I105" s="943">
        <f t="shared" si="15"/>
        <v>0</v>
      </c>
      <c r="J105" s="943">
        <f t="shared" si="15"/>
        <v>0</v>
      </c>
      <c r="K105" s="943">
        <f t="shared" si="15"/>
        <v>0</v>
      </c>
      <c r="L105" s="943"/>
      <c r="M105" s="768"/>
      <c r="N105" s="768"/>
      <c r="O105" s="768"/>
      <c r="P105" s="943"/>
      <c r="Q105" s="768"/>
      <c r="R105" s="768"/>
      <c r="S105" s="768"/>
    </row>
    <row r="106" spans="1:19" hidden="1">
      <c r="A106" s="972">
        <f t="shared" si="16"/>
        <v>9.3099999999999934</v>
      </c>
      <c r="B106" s="768"/>
      <c r="C106" s="948">
        <f t="shared" si="14"/>
        <v>0</v>
      </c>
      <c r="D106" s="948">
        <f t="shared" si="12"/>
        <v>0</v>
      </c>
      <c r="E106" s="948"/>
      <c r="F106" s="948"/>
      <c r="G106" s="948">
        <f t="shared" si="13"/>
        <v>0</v>
      </c>
      <c r="H106" s="948"/>
      <c r="I106" s="948">
        <f t="shared" si="15"/>
        <v>0</v>
      </c>
      <c r="J106" s="948">
        <f t="shared" si="15"/>
        <v>0</v>
      </c>
      <c r="K106" s="948">
        <f t="shared" si="15"/>
        <v>0</v>
      </c>
      <c r="L106" s="948"/>
      <c r="M106" s="768"/>
      <c r="N106" s="768"/>
      <c r="O106" s="768"/>
      <c r="P106" s="948"/>
      <c r="Q106" s="768"/>
      <c r="R106" s="768"/>
      <c r="S106" s="768"/>
    </row>
    <row r="107" spans="1:19" hidden="1">
      <c r="A107" s="972">
        <f t="shared" si="16"/>
        <v>9.3199999999999932</v>
      </c>
      <c r="B107" s="768"/>
      <c r="C107" s="943">
        <f t="shared" si="14"/>
        <v>0</v>
      </c>
      <c r="D107" s="943">
        <f t="shared" si="12"/>
        <v>0</v>
      </c>
      <c r="E107" s="943"/>
      <c r="F107" s="943"/>
      <c r="G107" s="943">
        <f t="shared" si="13"/>
        <v>0</v>
      </c>
      <c r="H107" s="943"/>
      <c r="I107" s="943">
        <f t="shared" si="15"/>
        <v>0</v>
      </c>
      <c r="J107" s="943">
        <f t="shared" si="15"/>
        <v>0</v>
      </c>
      <c r="K107" s="943">
        <f t="shared" si="15"/>
        <v>0</v>
      </c>
      <c r="L107" s="943"/>
      <c r="M107" s="768"/>
      <c r="N107" s="768"/>
      <c r="O107" s="768"/>
      <c r="P107" s="943"/>
      <c r="Q107" s="768"/>
      <c r="R107" s="768"/>
      <c r="S107" s="768"/>
    </row>
    <row r="108" spans="1:19" hidden="1">
      <c r="A108" s="972">
        <f t="shared" si="16"/>
        <v>9.329999999999993</v>
      </c>
      <c r="B108" s="768"/>
      <c r="C108" s="943">
        <f t="shared" si="14"/>
        <v>0</v>
      </c>
      <c r="D108" s="943">
        <f t="shared" si="12"/>
        <v>0</v>
      </c>
      <c r="E108" s="943"/>
      <c r="F108" s="943"/>
      <c r="G108" s="943">
        <f t="shared" si="13"/>
        <v>0</v>
      </c>
      <c r="H108" s="943"/>
      <c r="I108" s="943">
        <f t="shared" si="15"/>
        <v>0</v>
      </c>
      <c r="J108" s="943">
        <f t="shared" si="15"/>
        <v>0</v>
      </c>
      <c r="K108" s="943">
        <f t="shared" si="15"/>
        <v>0</v>
      </c>
      <c r="L108" s="943"/>
      <c r="M108" s="768"/>
      <c r="N108" s="768"/>
      <c r="O108" s="768"/>
      <c r="P108" s="943"/>
      <c r="Q108" s="768"/>
      <c r="R108" s="768"/>
      <c r="S108" s="768"/>
    </row>
    <row r="109" spans="1:19" hidden="1">
      <c r="A109" s="972">
        <f t="shared" si="16"/>
        <v>9.3399999999999928</v>
      </c>
      <c r="B109" s="768"/>
      <c r="C109" s="943">
        <f t="shared" si="14"/>
        <v>0</v>
      </c>
      <c r="D109" s="943">
        <f t="shared" si="12"/>
        <v>0</v>
      </c>
      <c r="E109" s="943"/>
      <c r="F109" s="943"/>
      <c r="G109" s="943">
        <f t="shared" si="13"/>
        <v>0</v>
      </c>
      <c r="H109" s="943"/>
      <c r="I109" s="943">
        <f t="shared" si="15"/>
        <v>0</v>
      </c>
      <c r="J109" s="943">
        <f t="shared" si="15"/>
        <v>0</v>
      </c>
      <c r="K109" s="943">
        <f t="shared" si="15"/>
        <v>0</v>
      </c>
      <c r="L109" s="943"/>
      <c r="M109" s="768"/>
      <c r="N109" s="768"/>
      <c r="O109" s="768"/>
      <c r="P109" s="943"/>
      <c r="Q109" s="768"/>
      <c r="R109" s="768"/>
      <c r="S109" s="768"/>
    </row>
    <row r="110" spans="1:19" hidden="1">
      <c r="A110" s="972">
        <f t="shared" si="16"/>
        <v>9.3499999999999925</v>
      </c>
      <c r="B110" s="768"/>
      <c r="C110" s="943">
        <f t="shared" si="14"/>
        <v>0</v>
      </c>
      <c r="D110" s="943">
        <f t="shared" si="12"/>
        <v>0</v>
      </c>
      <c r="E110" s="943"/>
      <c r="F110" s="943"/>
      <c r="G110" s="943">
        <f t="shared" si="13"/>
        <v>0</v>
      </c>
      <c r="H110" s="943"/>
      <c r="I110" s="943">
        <f t="shared" si="15"/>
        <v>0</v>
      </c>
      <c r="J110" s="943">
        <f t="shared" si="15"/>
        <v>0</v>
      </c>
      <c r="K110" s="943">
        <f t="shared" si="15"/>
        <v>0</v>
      </c>
      <c r="L110" s="943"/>
      <c r="M110" s="768"/>
      <c r="N110" s="768"/>
      <c r="O110" s="768"/>
      <c r="P110" s="943"/>
      <c r="Q110" s="768"/>
      <c r="R110" s="768"/>
      <c r="S110" s="768"/>
    </row>
    <row r="111" spans="1:19" hidden="1">
      <c r="A111" s="972">
        <f t="shared" si="16"/>
        <v>9.3599999999999923</v>
      </c>
      <c r="B111" s="768"/>
      <c r="C111" s="943">
        <f t="shared" si="14"/>
        <v>0</v>
      </c>
      <c r="D111" s="943">
        <f t="shared" si="12"/>
        <v>0</v>
      </c>
      <c r="E111" s="943"/>
      <c r="F111" s="943"/>
      <c r="G111" s="943">
        <f t="shared" si="13"/>
        <v>0</v>
      </c>
      <c r="H111" s="943"/>
      <c r="I111" s="943">
        <f t="shared" si="15"/>
        <v>0</v>
      </c>
      <c r="J111" s="943">
        <f t="shared" si="15"/>
        <v>0</v>
      </c>
      <c r="K111" s="943">
        <f t="shared" si="15"/>
        <v>0</v>
      </c>
      <c r="L111" s="943"/>
      <c r="M111" s="768"/>
      <c r="N111" s="768"/>
      <c r="O111" s="768"/>
      <c r="P111" s="943"/>
      <c r="Q111" s="768"/>
      <c r="R111" s="768"/>
      <c r="S111" s="768"/>
    </row>
    <row r="112" spans="1:19" hidden="1">
      <c r="A112" s="972">
        <f t="shared" si="16"/>
        <v>9.3699999999999921</v>
      </c>
      <c r="B112" s="768"/>
      <c r="C112" s="943">
        <f t="shared" si="14"/>
        <v>0</v>
      </c>
      <c r="D112" s="943">
        <f t="shared" si="12"/>
        <v>0</v>
      </c>
      <c r="E112" s="943"/>
      <c r="F112" s="943"/>
      <c r="G112" s="943">
        <f t="shared" si="13"/>
        <v>0</v>
      </c>
      <c r="H112" s="943"/>
      <c r="I112" s="943">
        <f t="shared" si="15"/>
        <v>0</v>
      </c>
      <c r="J112" s="943">
        <f t="shared" si="15"/>
        <v>0</v>
      </c>
      <c r="K112" s="943">
        <f t="shared" si="15"/>
        <v>0</v>
      </c>
      <c r="L112" s="943"/>
      <c r="M112" s="768"/>
      <c r="N112" s="768"/>
      <c r="O112" s="768"/>
      <c r="P112" s="943"/>
      <c r="Q112" s="768"/>
      <c r="R112" s="768"/>
      <c r="S112" s="768"/>
    </row>
    <row r="113" spans="1:19" hidden="1">
      <c r="A113" s="972">
        <f t="shared" si="16"/>
        <v>9.3799999999999919</v>
      </c>
      <c r="B113" s="768"/>
      <c r="C113" s="943">
        <f t="shared" si="14"/>
        <v>0</v>
      </c>
      <c r="D113" s="943">
        <f t="shared" si="12"/>
        <v>0</v>
      </c>
      <c r="E113" s="943"/>
      <c r="F113" s="943"/>
      <c r="G113" s="943">
        <f t="shared" si="13"/>
        <v>0</v>
      </c>
      <c r="H113" s="943"/>
      <c r="I113" s="943">
        <f t="shared" si="15"/>
        <v>0</v>
      </c>
      <c r="J113" s="943">
        <f t="shared" si="15"/>
        <v>0</v>
      </c>
      <c r="K113" s="943">
        <f t="shared" si="15"/>
        <v>0</v>
      </c>
      <c r="L113" s="943"/>
      <c r="M113" s="768"/>
      <c r="N113" s="768"/>
      <c r="O113" s="768"/>
      <c r="P113" s="943"/>
      <c r="Q113" s="768"/>
      <c r="R113" s="768"/>
      <c r="S113" s="768"/>
    </row>
    <row r="114" spans="1:19" hidden="1">
      <c r="A114" s="972">
        <f t="shared" si="16"/>
        <v>9.3899999999999917</v>
      </c>
      <c r="B114" s="768"/>
      <c r="C114" s="943">
        <f t="shared" si="14"/>
        <v>0</v>
      </c>
      <c r="D114" s="943">
        <f t="shared" si="12"/>
        <v>0</v>
      </c>
      <c r="E114" s="943"/>
      <c r="F114" s="943"/>
      <c r="G114" s="943">
        <f t="shared" si="13"/>
        <v>0</v>
      </c>
      <c r="H114" s="943"/>
      <c r="I114" s="943">
        <f t="shared" si="15"/>
        <v>0</v>
      </c>
      <c r="J114" s="943">
        <f t="shared" si="15"/>
        <v>0</v>
      </c>
      <c r="K114" s="943">
        <f t="shared" si="15"/>
        <v>0</v>
      </c>
      <c r="L114" s="943"/>
      <c r="M114" s="768"/>
      <c r="N114" s="768"/>
      <c r="O114" s="768"/>
      <c r="P114" s="943"/>
      <c r="Q114" s="768"/>
      <c r="R114" s="768"/>
      <c r="S114" s="768"/>
    </row>
    <row r="115" spans="1:19" hidden="1">
      <c r="A115" s="972">
        <f t="shared" si="16"/>
        <v>9.3999999999999915</v>
      </c>
      <c r="B115" s="768"/>
      <c r="C115" s="943">
        <f t="shared" si="14"/>
        <v>0</v>
      </c>
      <c r="D115" s="943">
        <f t="shared" si="12"/>
        <v>0</v>
      </c>
      <c r="E115" s="943"/>
      <c r="F115" s="943"/>
      <c r="G115" s="943">
        <f t="shared" si="13"/>
        <v>0</v>
      </c>
      <c r="H115" s="943"/>
      <c r="I115" s="943">
        <f t="shared" si="15"/>
        <v>0</v>
      </c>
      <c r="J115" s="943">
        <f t="shared" si="15"/>
        <v>0</v>
      </c>
      <c r="K115" s="943">
        <f t="shared" si="15"/>
        <v>0</v>
      </c>
      <c r="L115" s="943"/>
      <c r="M115" s="768"/>
      <c r="N115" s="768"/>
      <c r="O115" s="768"/>
      <c r="P115" s="943"/>
      <c r="Q115" s="768"/>
      <c r="R115" s="768"/>
      <c r="S115" s="768"/>
    </row>
    <row r="116" spans="1:19" hidden="1">
      <c r="A116" s="972">
        <f t="shared" si="16"/>
        <v>9.4099999999999913</v>
      </c>
      <c r="B116" s="768"/>
      <c r="C116" s="943">
        <f t="shared" si="14"/>
        <v>0</v>
      </c>
      <c r="D116" s="943">
        <f t="shared" si="12"/>
        <v>0</v>
      </c>
      <c r="E116" s="943"/>
      <c r="F116" s="943"/>
      <c r="G116" s="943">
        <f t="shared" si="13"/>
        <v>0</v>
      </c>
      <c r="H116" s="943"/>
      <c r="I116" s="943">
        <f t="shared" si="15"/>
        <v>0</v>
      </c>
      <c r="J116" s="943">
        <f t="shared" si="15"/>
        <v>0</v>
      </c>
      <c r="K116" s="943">
        <f t="shared" si="15"/>
        <v>0</v>
      </c>
      <c r="L116" s="943"/>
      <c r="M116" s="768"/>
      <c r="N116" s="768"/>
      <c r="O116" s="768"/>
      <c r="P116" s="943"/>
      <c r="Q116" s="768"/>
      <c r="R116" s="768"/>
      <c r="S116" s="768"/>
    </row>
    <row r="117" spans="1:19" hidden="1">
      <c r="A117" s="972">
        <f t="shared" si="16"/>
        <v>9.419999999999991</v>
      </c>
      <c r="B117" s="768"/>
      <c r="C117" s="943">
        <f t="shared" si="14"/>
        <v>0</v>
      </c>
      <c r="D117" s="943">
        <f t="shared" si="12"/>
        <v>0</v>
      </c>
      <c r="E117" s="943"/>
      <c r="F117" s="943"/>
      <c r="G117" s="943">
        <f t="shared" si="13"/>
        <v>0</v>
      </c>
      <c r="H117" s="943"/>
      <c r="I117" s="943">
        <f t="shared" si="15"/>
        <v>0</v>
      </c>
      <c r="J117" s="943">
        <f t="shared" si="15"/>
        <v>0</v>
      </c>
      <c r="K117" s="943">
        <f t="shared" si="15"/>
        <v>0</v>
      </c>
      <c r="L117" s="943"/>
      <c r="M117" s="768"/>
      <c r="N117" s="768"/>
      <c r="O117" s="768"/>
      <c r="P117" s="943"/>
      <c r="Q117" s="768"/>
      <c r="R117" s="768"/>
      <c r="S117" s="768"/>
    </row>
    <row r="118" spans="1:19" hidden="1">
      <c r="A118" s="972">
        <f t="shared" si="16"/>
        <v>9.4299999999999908</v>
      </c>
      <c r="B118" s="768"/>
      <c r="C118" s="943">
        <f t="shared" si="14"/>
        <v>0</v>
      </c>
      <c r="D118" s="943">
        <f t="shared" si="12"/>
        <v>0</v>
      </c>
      <c r="E118" s="943"/>
      <c r="F118" s="943"/>
      <c r="G118" s="943">
        <f t="shared" si="13"/>
        <v>0</v>
      </c>
      <c r="H118" s="943"/>
      <c r="I118" s="943">
        <f t="shared" si="15"/>
        <v>0</v>
      </c>
      <c r="J118" s="943">
        <f t="shared" si="15"/>
        <v>0</v>
      </c>
      <c r="K118" s="943">
        <f t="shared" si="15"/>
        <v>0</v>
      </c>
      <c r="L118" s="943"/>
      <c r="M118" s="768"/>
      <c r="N118" s="768"/>
      <c r="O118" s="768"/>
      <c r="P118" s="943"/>
      <c r="Q118" s="768"/>
      <c r="R118" s="768"/>
      <c r="S118" s="768"/>
    </row>
    <row r="119" spans="1:19" hidden="1">
      <c r="A119" s="972">
        <f t="shared" si="16"/>
        <v>9.4399999999999906</v>
      </c>
      <c r="B119" s="768"/>
      <c r="C119" s="943">
        <f t="shared" si="14"/>
        <v>0</v>
      </c>
      <c r="D119" s="943">
        <f t="shared" si="12"/>
        <v>0</v>
      </c>
      <c r="E119" s="943"/>
      <c r="F119" s="943"/>
      <c r="G119" s="943">
        <f t="shared" si="13"/>
        <v>0</v>
      </c>
      <c r="H119" s="943"/>
      <c r="I119" s="943">
        <f t="shared" si="15"/>
        <v>0</v>
      </c>
      <c r="J119" s="943">
        <f t="shared" si="15"/>
        <v>0</v>
      </c>
      <c r="K119" s="943">
        <f t="shared" si="15"/>
        <v>0</v>
      </c>
      <c r="L119" s="943"/>
      <c r="M119" s="768"/>
      <c r="N119" s="768"/>
      <c r="O119" s="768"/>
      <c r="P119" s="943"/>
      <c r="Q119" s="768"/>
      <c r="R119" s="768"/>
      <c r="S119" s="768"/>
    </row>
    <row r="120" spans="1:19" hidden="1">
      <c r="A120" s="972">
        <f t="shared" si="16"/>
        <v>9.4499999999999904</v>
      </c>
      <c r="B120" s="768"/>
      <c r="C120" s="943">
        <f t="shared" si="14"/>
        <v>0</v>
      </c>
      <c r="D120" s="943">
        <f t="shared" si="12"/>
        <v>0</v>
      </c>
      <c r="E120" s="943"/>
      <c r="F120" s="943"/>
      <c r="G120" s="943">
        <f t="shared" si="13"/>
        <v>0</v>
      </c>
      <c r="H120" s="943"/>
      <c r="I120" s="943">
        <f t="shared" si="15"/>
        <v>0</v>
      </c>
      <c r="J120" s="943">
        <f t="shared" si="15"/>
        <v>0</v>
      </c>
      <c r="K120" s="943">
        <f t="shared" si="15"/>
        <v>0</v>
      </c>
      <c r="L120" s="943"/>
      <c r="M120" s="768"/>
      <c r="N120" s="768"/>
      <c r="O120" s="768"/>
      <c r="P120" s="943"/>
      <c r="Q120" s="768"/>
      <c r="R120" s="768"/>
      <c r="S120" s="768"/>
    </row>
    <row r="121" spans="1:19" hidden="1">
      <c r="A121" s="972">
        <f t="shared" si="16"/>
        <v>9.4599999999999902</v>
      </c>
      <c r="B121" s="768"/>
      <c r="C121" s="943">
        <f t="shared" si="14"/>
        <v>0</v>
      </c>
      <c r="D121" s="943">
        <f t="shared" si="12"/>
        <v>0</v>
      </c>
      <c r="E121" s="943"/>
      <c r="F121" s="943"/>
      <c r="G121" s="943">
        <f t="shared" si="13"/>
        <v>0</v>
      </c>
      <c r="H121" s="943"/>
      <c r="I121" s="943">
        <f t="shared" si="15"/>
        <v>0</v>
      </c>
      <c r="J121" s="943">
        <f t="shared" si="15"/>
        <v>0</v>
      </c>
      <c r="K121" s="943">
        <f t="shared" si="15"/>
        <v>0</v>
      </c>
      <c r="L121" s="943"/>
      <c r="M121" s="768"/>
      <c r="N121" s="768"/>
      <c r="O121" s="768"/>
      <c r="P121" s="943"/>
      <c r="Q121" s="768"/>
      <c r="R121" s="768"/>
      <c r="S121" s="768"/>
    </row>
    <row r="122" spans="1:19" hidden="1">
      <c r="A122" s="972">
        <f t="shared" si="16"/>
        <v>9.46999999999999</v>
      </c>
      <c r="B122" s="768"/>
      <c r="C122" s="943">
        <f t="shared" si="14"/>
        <v>0</v>
      </c>
      <c r="D122" s="943">
        <f t="shared" si="12"/>
        <v>0</v>
      </c>
      <c r="E122" s="943"/>
      <c r="F122" s="943"/>
      <c r="G122" s="943">
        <f t="shared" si="13"/>
        <v>0</v>
      </c>
      <c r="H122" s="943"/>
      <c r="I122" s="943">
        <f t="shared" si="15"/>
        <v>0</v>
      </c>
      <c r="J122" s="943">
        <f t="shared" si="15"/>
        <v>0</v>
      </c>
      <c r="K122" s="943">
        <f t="shared" si="15"/>
        <v>0</v>
      </c>
      <c r="L122" s="943"/>
      <c r="M122" s="768"/>
      <c r="N122" s="768"/>
      <c r="O122" s="768"/>
      <c r="P122" s="943"/>
      <c r="Q122" s="768"/>
      <c r="R122" s="768"/>
      <c r="S122" s="768"/>
    </row>
    <row r="123" spans="1:19" hidden="1">
      <c r="A123" s="972">
        <f t="shared" si="16"/>
        <v>9.4799999999999898</v>
      </c>
      <c r="B123" s="768"/>
      <c r="C123" s="943">
        <f t="shared" si="14"/>
        <v>0</v>
      </c>
      <c r="D123" s="943">
        <f t="shared" si="12"/>
        <v>0</v>
      </c>
      <c r="E123" s="943"/>
      <c r="F123" s="943"/>
      <c r="G123" s="943">
        <f t="shared" si="13"/>
        <v>0</v>
      </c>
      <c r="H123" s="943"/>
      <c r="I123" s="943">
        <f t="shared" si="15"/>
        <v>0</v>
      </c>
      <c r="J123" s="943">
        <f t="shared" si="15"/>
        <v>0</v>
      </c>
      <c r="K123" s="943">
        <f t="shared" si="15"/>
        <v>0</v>
      </c>
      <c r="L123" s="943"/>
      <c r="M123" s="768"/>
      <c r="N123" s="768"/>
      <c r="O123" s="768"/>
      <c r="P123" s="943"/>
      <c r="Q123" s="768"/>
      <c r="R123" s="768"/>
      <c r="S123" s="768"/>
    </row>
    <row r="124" spans="1:19" hidden="1">
      <c r="A124" s="972">
        <f t="shared" si="16"/>
        <v>9.4899999999999896</v>
      </c>
      <c r="B124" s="768"/>
      <c r="C124" s="943">
        <f t="shared" si="14"/>
        <v>0</v>
      </c>
      <c r="D124" s="943">
        <f t="shared" si="12"/>
        <v>0</v>
      </c>
      <c r="E124" s="943"/>
      <c r="F124" s="943"/>
      <c r="G124" s="943">
        <f t="shared" si="13"/>
        <v>0</v>
      </c>
      <c r="H124" s="943"/>
      <c r="I124" s="943">
        <f t="shared" si="15"/>
        <v>0</v>
      </c>
      <c r="J124" s="943">
        <f t="shared" si="15"/>
        <v>0</v>
      </c>
      <c r="K124" s="943">
        <f t="shared" si="15"/>
        <v>0</v>
      </c>
      <c r="L124" s="943"/>
      <c r="M124" s="768"/>
      <c r="N124" s="768"/>
      <c r="O124" s="768"/>
      <c r="P124" s="943"/>
      <c r="Q124" s="768"/>
      <c r="R124" s="768"/>
      <c r="S124" s="768"/>
    </row>
    <row r="125" spans="1:19" hidden="1">
      <c r="A125" s="972">
        <f t="shared" si="16"/>
        <v>9.4999999999999893</v>
      </c>
      <c r="B125" s="768"/>
      <c r="C125" s="943">
        <f t="shared" si="14"/>
        <v>0</v>
      </c>
      <c r="D125" s="943">
        <f t="shared" si="12"/>
        <v>0</v>
      </c>
      <c r="E125" s="943"/>
      <c r="F125" s="943"/>
      <c r="G125" s="943">
        <f t="shared" si="13"/>
        <v>0</v>
      </c>
      <c r="H125" s="943"/>
      <c r="I125" s="943">
        <f t="shared" si="15"/>
        <v>0</v>
      </c>
      <c r="J125" s="943">
        <f t="shared" si="15"/>
        <v>0</v>
      </c>
      <c r="K125" s="943">
        <f t="shared" si="15"/>
        <v>0</v>
      </c>
      <c r="L125" s="943"/>
      <c r="M125" s="768"/>
      <c r="N125" s="768"/>
      <c r="O125" s="768"/>
      <c r="P125" s="943"/>
      <c r="Q125" s="768"/>
      <c r="R125" s="768"/>
      <c r="S125" s="768"/>
    </row>
    <row r="126" spans="1:19" hidden="1">
      <c r="A126" s="972">
        <f t="shared" si="16"/>
        <v>9.5099999999999891</v>
      </c>
      <c r="B126" s="768"/>
      <c r="C126" s="943">
        <f t="shared" si="14"/>
        <v>0</v>
      </c>
      <c r="D126" s="943">
        <f t="shared" si="12"/>
        <v>0</v>
      </c>
      <c r="E126" s="943"/>
      <c r="F126" s="943"/>
      <c r="G126" s="943">
        <f t="shared" si="13"/>
        <v>0</v>
      </c>
      <c r="H126" s="943"/>
      <c r="I126" s="943">
        <f t="shared" si="15"/>
        <v>0</v>
      </c>
      <c r="J126" s="943">
        <f t="shared" si="15"/>
        <v>0</v>
      </c>
      <c r="K126" s="943">
        <f t="shared" si="15"/>
        <v>0</v>
      </c>
      <c r="L126" s="943"/>
      <c r="M126" s="768"/>
      <c r="N126" s="768"/>
      <c r="O126" s="768"/>
      <c r="P126" s="943"/>
      <c r="Q126" s="768"/>
      <c r="R126" s="768"/>
      <c r="S126" s="768"/>
    </row>
    <row r="127" spans="1:19" hidden="1">
      <c r="A127" s="972">
        <f t="shared" si="16"/>
        <v>9.5199999999999889</v>
      </c>
      <c r="B127" s="768"/>
      <c r="C127" s="943">
        <f t="shared" si="14"/>
        <v>0</v>
      </c>
      <c r="D127" s="943">
        <f t="shared" si="12"/>
        <v>0</v>
      </c>
      <c r="E127" s="943"/>
      <c r="F127" s="943"/>
      <c r="G127" s="943">
        <f t="shared" si="13"/>
        <v>0</v>
      </c>
      <c r="H127" s="943"/>
      <c r="I127" s="943">
        <f t="shared" si="15"/>
        <v>0</v>
      </c>
      <c r="J127" s="943">
        <f t="shared" si="15"/>
        <v>0</v>
      </c>
      <c r="K127" s="943">
        <f t="shared" si="15"/>
        <v>0</v>
      </c>
      <c r="L127" s="943"/>
      <c r="M127" s="768"/>
      <c r="N127" s="768"/>
      <c r="O127" s="768"/>
      <c r="P127" s="943"/>
      <c r="Q127" s="768"/>
      <c r="R127" s="768"/>
      <c r="S127" s="768"/>
    </row>
    <row r="128" spans="1:19" hidden="1">
      <c r="A128" s="972">
        <f t="shared" si="16"/>
        <v>9.5299999999999887</v>
      </c>
      <c r="B128" s="768"/>
      <c r="C128" s="943">
        <f t="shared" si="14"/>
        <v>0</v>
      </c>
      <c r="D128" s="943">
        <f t="shared" si="12"/>
        <v>0</v>
      </c>
      <c r="E128" s="943"/>
      <c r="F128" s="943"/>
      <c r="G128" s="943">
        <f t="shared" si="13"/>
        <v>0</v>
      </c>
      <c r="H128" s="943"/>
      <c r="I128" s="943">
        <f t="shared" si="15"/>
        <v>0</v>
      </c>
      <c r="J128" s="943">
        <f t="shared" si="15"/>
        <v>0</v>
      </c>
      <c r="K128" s="943">
        <f t="shared" si="15"/>
        <v>0</v>
      </c>
      <c r="L128" s="943"/>
      <c r="M128" s="768"/>
      <c r="N128" s="768"/>
      <c r="O128" s="768"/>
      <c r="P128" s="943"/>
      <c r="Q128" s="768"/>
      <c r="R128" s="768"/>
      <c r="S128" s="768"/>
    </row>
    <row r="129" spans="1:19" hidden="1">
      <c r="A129" s="972">
        <f t="shared" si="16"/>
        <v>9.5399999999999885</v>
      </c>
      <c r="B129" s="768"/>
      <c r="C129" s="943">
        <f t="shared" si="14"/>
        <v>0</v>
      </c>
      <c r="D129" s="943">
        <f t="shared" si="12"/>
        <v>0</v>
      </c>
      <c r="E129" s="943"/>
      <c r="F129" s="943"/>
      <c r="G129" s="943">
        <f t="shared" si="13"/>
        <v>0</v>
      </c>
      <c r="H129" s="943"/>
      <c r="I129" s="943">
        <f t="shared" si="15"/>
        <v>0</v>
      </c>
      <c r="J129" s="943">
        <f t="shared" si="15"/>
        <v>0</v>
      </c>
      <c r="K129" s="943">
        <f t="shared" si="15"/>
        <v>0</v>
      </c>
      <c r="L129" s="943"/>
      <c r="M129" s="768"/>
      <c r="N129" s="768"/>
      <c r="O129" s="768"/>
      <c r="P129" s="943"/>
      <c r="Q129" s="768"/>
      <c r="R129" s="768"/>
      <c r="S129" s="768"/>
    </row>
    <row r="130" spans="1:19" hidden="1">
      <c r="A130" s="972">
        <f t="shared" si="16"/>
        <v>9.5499999999999883</v>
      </c>
      <c r="B130" s="768"/>
      <c r="C130" s="943">
        <f t="shared" si="14"/>
        <v>0</v>
      </c>
      <c r="D130" s="943">
        <f t="shared" si="12"/>
        <v>0</v>
      </c>
      <c r="E130" s="943"/>
      <c r="F130" s="943"/>
      <c r="G130" s="943">
        <f t="shared" si="13"/>
        <v>0</v>
      </c>
      <c r="H130" s="943"/>
      <c r="I130" s="943">
        <f t="shared" si="15"/>
        <v>0</v>
      </c>
      <c r="J130" s="943">
        <f t="shared" si="15"/>
        <v>0</v>
      </c>
      <c r="K130" s="943">
        <f t="shared" si="15"/>
        <v>0</v>
      </c>
      <c r="L130" s="943"/>
      <c r="M130" s="768"/>
      <c r="N130" s="768"/>
      <c r="O130" s="768"/>
      <c r="P130" s="943"/>
      <c r="Q130" s="768"/>
      <c r="R130" s="768"/>
      <c r="S130" s="768"/>
    </row>
    <row r="131" spans="1:19" hidden="1">
      <c r="A131" s="972">
        <f t="shared" si="16"/>
        <v>9.5599999999999881</v>
      </c>
      <c r="B131" s="768"/>
      <c r="C131" s="943">
        <f t="shared" si="14"/>
        <v>0</v>
      </c>
      <c r="D131" s="943">
        <f t="shared" si="12"/>
        <v>0</v>
      </c>
      <c r="E131" s="943"/>
      <c r="F131" s="943"/>
      <c r="G131" s="943">
        <f>ROUND(SUM(C131:F131)/2,0)</f>
        <v>0</v>
      </c>
      <c r="H131" s="943"/>
      <c r="I131" s="943">
        <f t="shared" si="15"/>
        <v>0</v>
      </c>
      <c r="J131" s="943">
        <f t="shared" si="15"/>
        <v>0</v>
      </c>
      <c r="K131" s="943">
        <f t="shared" si="15"/>
        <v>0</v>
      </c>
      <c r="L131" s="943"/>
      <c r="M131" s="768"/>
      <c r="N131" s="768"/>
      <c r="O131" s="768"/>
      <c r="P131" s="943"/>
      <c r="Q131" s="768"/>
      <c r="R131" s="768"/>
      <c r="S131" s="768"/>
    </row>
    <row r="132" spans="1:19" hidden="1">
      <c r="A132" s="972">
        <f t="shared" si="16"/>
        <v>9.5699999999999878</v>
      </c>
      <c r="B132" s="768"/>
      <c r="C132" s="943">
        <f t="shared" si="14"/>
        <v>0</v>
      </c>
      <c r="D132" s="943">
        <f t="shared" si="12"/>
        <v>0</v>
      </c>
      <c r="E132" s="943"/>
      <c r="F132" s="943"/>
      <c r="G132" s="943">
        <f>ROUND(SUM(C132:F132)/2,0)</f>
        <v>0</v>
      </c>
      <c r="H132" s="943"/>
      <c r="I132" s="943">
        <f t="shared" si="15"/>
        <v>0</v>
      </c>
      <c r="J132" s="943">
        <f t="shared" si="15"/>
        <v>0</v>
      </c>
      <c r="K132" s="943">
        <f t="shared" si="15"/>
        <v>0</v>
      </c>
      <c r="L132" s="943"/>
      <c r="M132" s="768"/>
      <c r="N132" s="768"/>
      <c r="O132" s="768"/>
      <c r="P132" s="943"/>
      <c r="Q132" s="768"/>
      <c r="R132" s="768"/>
      <c r="S132" s="768"/>
    </row>
    <row r="133" spans="1:19" hidden="1">
      <c r="A133" s="972">
        <f t="shared" si="16"/>
        <v>9.5799999999999876</v>
      </c>
      <c r="B133" s="768"/>
      <c r="C133" s="943">
        <f t="shared" si="14"/>
        <v>0</v>
      </c>
      <c r="D133" s="943">
        <f t="shared" si="12"/>
        <v>0</v>
      </c>
      <c r="E133" s="943"/>
      <c r="F133" s="943"/>
      <c r="G133" s="943">
        <f>ROUND(SUM(C133:F133)/2,0)</f>
        <v>0</v>
      </c>
      <c r="H133" s="943"/>
      <c r="I133" s="943">
        <f t="shared" si="15"/>
        <v>0</v>
      </c>
      <c r="J133" s="943">
        <f t="shared" si="15"/>
        <v>0</v>
      </c>
      <c r="K133" s="943">
        <f t="shared" si="15"/>
        <v>0</v>
      </c>
      <c r="L133" s="943"/>
      <c r="M133" s="768"/>
      <c r="N133" s="768"/>
      <c r="O133" s="768"/>
      <c r="P133" s="943"/>
      <c r="Q133" s="768"/>
      <c r="R133" s="768"/>
      <c r="S133" s="768"/>
    </row>
    <row r="134" spans="1:19" hidden="1">
      <c r="A134" s="972">
        <f t="shared" si="16"/>
        <v>9.5899999999999874</v>
      </c>
      <c r="B134" s="768"/>
      <c r="C134" s="943">
        <f t="shared" si="14"/>
        <v>0</v>
      </c>
      <c r="D134" s="943">
        <f t="shared" si="12"/>
        <v>0</v>
      </c>
      <c r="E134" s="943"/>
      <c r="F134" s="943"/>
      <c r="G134" s="943">
        <f t="shared" ref="G134:G174" si="17">ROUND(SUM(C134:F134)/2,0)</f>
        <v>0</v>
      </c>
      <c r="H134" s="943"/>
      <c r="I134" s="943">
        <f t="shared" si="15"/>
        <v>0</v>
      </c>
      <c r="J134" s="943">
        <f t="shared" si="15"/>
        <v>0</v>
      </c>
      <c r="K134" s="943">
        <f t="shared" si="15"/>
        <v>0</v>
      </c>
      <c r="L134" s="943"/>
      <c r="M134" s="768"/>
      <c r="N134" s="768"/>
      <c r="O134" s="768"/>
      <c r="P134" s="943"/>
      <c r="Q134" s="768"/>
      <c r="R134" s="768"/>
      <c r="S134" s="768"/>
    </row>
    <row r="135" spans="1:19" hidden="1">
      <c r="A135" s="972">
        <f t="shared" si="16"/>
        <v>9.5999999999999872</v>
      </c>
      <c r="B135" s="768"/>
      <c r="C135" s="943">
        <f t="shared" si="14"/>
        <v>0</v>
      </c>
      <c r="D135" s="943">
        <f t="shared" si="12"/>
        <v>0</v>
      </c>
      <c r="E135" s="943"/>
      <c r="F135" s="943"/>
      <c r="G135" s="943">
        <f t="shared" si="17"/>
        <v>0</v>
      </c>
      <c r="H135" s="943"/>
      <c r="I135" s="943">
        <f t="shared" si="15"/>
        <v>0</v>
      </c>
      <c r="J135" s="943">
        <f t="shared" si="15"/>
        <v>0</v>
      </c>
      <c r="K135" s="943">
        <f t="shared" si="15"/>
        <v>0</v>
      </c>
      <c r="L135" s="943"/>
      <c r="M135" s="768"/>
      <c r="N135" s="768"/>
      <c r="O135" s="768"/>
      <c r="P135" s="943"/>
      <c r="Q135" s="768"/>
      <c r="R135" s="768"/>
      <c r="S135" s="768"/>
    </row>
    <row r="136" spans="1:19" hidden="1">
      <c r="A136" s="972">
        <f t="shared" si="16"/>
        <v>9.609999999999987</v>
      </c>
      <c r="B136" s="768"/>
      <c r="C136" s="943">
        <f t="shared" si="14"/>
        <v>0</v>
      </c>
      <c r="D136" s="943">
        <f t="shared" si="12"/>
        <v>0</v>
      </c>
      <c r="E136" s="943"/>
      <c r="F136" s="943"/>
      <c r="G136" s="943">
        <f t="shared" si="17"/>
        <v>0</v>
      </c>
      <c r="H136" s="943"/>
      <c r="I136" s="943">
        <f t="shared" si="15"/>
        <v>0</v>
      </c>
      <c r="J136" s="943">
        <f t="shared" si="15"/>
        <v>0</v>
      </c>
      <c r="K136" s="943">
        <f t="shared" si="15"/>
        <v>0</v>
      </c>
      <c r="L136" s="943"/>
      <c r="M136" s="768"/>
      <c r="N136" s="768"/>
      <c r="O136" s="768"/>
      <c r="P136" s="943"/>
      <c r="Q136" s="768"/>
      <c r="R136" s="768"/>
      <c r="S136" s="768"/>
    </row>
    <row r="137" spans="1:19" hidden="1">
      <c r="A137" s="972">
        <f t="shared" si="16"/>
        <v>9.6199999999999868</v>
      </c>
      <c r="B137" s="768"/>
      <c r="C137" s="943">
        <f t="shared" si="14"/>
        <v>0</v>
      </c>
      <c r="D137" s="943">
        <f t="shared" si="12"/>
        <v>0</v>
      </c>
      <c r="E137" s="943"/>
      <c r="F137" s="943"/>
      <c r="G137" s="943">
        <f t="shared" si="17"/>
        <v>0</v>
      </c>
      <c r="H137" s="943"/>
      <c r="I137" s="943">
        <f t="shared" ref="I137:K157" si="18">(M137+Q137)/2</f>
        <v>0</v>
      </c>
      <c r="J137" s="943">
        <f t="shared" si="18"/>
        <v>0</v>
      </c>
      <c r="K137" s="943">
        <f t="shared" si="18"/>
        <v>0</v>
      </c>
      <c r="L137" s="943"/>
      <c r="M137" s="768"/>
      <c r="N137" s="768"/>
      <c r="O137" s="768"/>
      <c r="P137" s="943"/>
      <c r="Q137" s="768"/>
      <c r="R137" s="768"/>
      <c r="S137" s="768"/>
    </row>
    <row r="138" spans="1:19" hidden="1">
      <c r="A138" s="972">
        <f t="shared" si="16"/>
        <v>9.6299999999999866</v>
      </c>
      <c r="B138" s="768"/>
      <c r="C138" s="943">
        <f t="shared" si="14"/>
        <v>0</v>
      </c>
      <c r="D138" s="943">
        <f t="shared" si="12"/>
        <v>0</v>
      </c>
      <c r="E138" s="943"/>
      <c r="F138" s="943"/>
      <c r="G138" s="943">
        <f t="shared" si="17"/>
        <v>0</v>
      </c>
      <c r="H138" s="943"/>
      <c r="I138" s="943">
        <f t="shared" si="18"/>
        <v>0</v>
      </c>
      <c r="J138" s="943">
        <f t="shared" si="18"/>
        <v>0</v>
      </c>
      <c r="K138" s="943">
        <f t="shared" si="18"/>
        <v>0</v>
      </c>
      <c r="L138" s="943"/>
      <c r="M138" s="768"/>
      <c r="N138" s="768"/>
      <c r="O138" s="768"/>
      <c r="P138" s="943"/>
      <c r="Q138" s="768"/>
      <c r="R138" s="768"/>
      <c r="S138" s="768"/>
    </row>
    <row r="139" spans="1:19" hidden="1">
      <c r="A139" s="972">
        <f t="shared" si="16"/>
        <v>9.6399999999999864</v>
      </c>
      <c r="B139" s="768"/>
      <c r="C139" s="948">
        <f t="shared" si="14"/>
        <v>0</v>
      </c>
      <c r="D139" s="948">
        <f t="shared" si="12"/>
        <v>0</v>
      </c>
      <c r="E139" s="948"/>
      <c r="F139" s="948"/>
      <c r="G139" s="948">
        <f t="shared" si="17"/>
        <v>0</v>
      </c>
      <c r="H139" s="948"/>
      <c r="I139" s="948">
        <f t="shared" si="18"/>
        <v>0</v>
      </c>
      <c r="J139" s="948">
        <f t="shared" si="18"/>
        <v>0</v>
      </c>
      <c r="K139" s="948">
        <f t="shared" si="18"/>
        <v>0</v>
      </c>
      <c r="L139" s="948"/>
      <c r="M139" s="768"/>
      <c r="N139" s="768"/>
      <c r="O139" s="768"/>
      <c r="P139" s="948"/>
      <c r="Q139" s="768"/>
      <c r="R139" s="768"/>
      <c r="S139" s="768"/>
    </row>
    <row r="140" spans="1:19" hidden="1">
      <c r="A140" s="972">
        <f>A139+0.01</f>
        <v>9.6499999999999861</v>
      </c>
      <c r="B140" s="768"/>
      <c r="C140" s="943">
        <f t="shared" si="14"/>
        <v>0</v>
      </c>
      <c r="D140" s="943">
        <f t="shared" ref="D140:D168" si="19">SUM(Q140:S140)</f>
        <v>0</v>
      </c>
      <c r="E140" s="943"/>
      <c r="F140" s="943"/>
      <c r="G140" s="943">
        <f t="shared" si="17"/>
        <v>0</v>
      </c>
      <c r="H140" s="943"/>
      <c r="I140" s="943">
        <f t="shared" si="18"/>
        <v>0</v>
      </c>
      <c r="J140" s="943">
        <f t="shared" si="18"/>
        <v>0</v>
      </c>
      <c r="K140" s="943">
        <f t="shared" si="18"/>
        <v>0</v>
      </c>
      <c r="L140" s="943"/>
      <c r="M140" s="768"/>
      <c r="N140" s="768"/>
      <c r="O140" s="768"/>
      <c r="P140" s="943"/>
      <c r="Q140" s="768"/>
      <c r="R140" s="768"/>
      <c r="S140" s="768"/>
    </row>
    <row r="141" spans="1:19" hidden="1">
      <c r="A141" s="972">
        <f t="shared" si="16"/>
        <v>9.6599999999999859</v>
      </c>
      <c r="B141" s="768"/>
      <c r="C141" s="943">
        <f t="shared" ref="C141:C168" si="20">SUM(M141:O141)</f>
        <v>0</v>
      </c>
      <c r="D141" s="943">
        <f t="shared" si="19"/>
        <v>0</v>
      </c>
      <c r="E141" s="943"/>
      <c r="F141" s="943"/>
      <c r="G141" s="943">
        <f t="shared" si="17"/>
        <v>0</v>
      </c>
      <c r="H141" s="943"/>
      <c r="I141" s="943">
        <f t="shared" si="18"/>
        <v>0</v>
      </c>
      <c r="J141" s="943">
        <f t="shared" si="18"/>
        <v>0</v>
      </c>
      <c r="K141" s="943">
        <f t="shared" si="18"/>
        <v>0</v>
      </c>
      <c r="L141" s="943"/>
      <c r="M141" s="768"/>
      <c r="N141" s="768"/>
      <c r="O141" s="768"/>
      <c r="P141" s="943"/>
      <c r="Q141" s="768"/>
      <c r="R141" s="768"/>
      <c r="S141" s="768"/>
    </row>
    <row r="142" spans="1:19" hidden="1">
      <c r="A142" s="972">
        <f t="shared" ref="A142:A174" si="21">A141+0.01</f>
        <v>9.6699999999999857</v>
      </c>
      <c r="B142" s="768"/>
      <c r="C142" s="943">
        <f t="shared" si="20"/>
        <v>0</v>
      </c>
      <c r="D142" s="943">
        <f t="shared" si="19"/>
        <v>0</v>
      </c>
      <c r="E142" s="943"/>
      <c r="F142" s="943"/>
      <c r="G142" s="943">
        <f t="shared" si="17"/>
        <v>0</v>
      </c>
      <c r="H142" s="943"/>
      <c r="I142" s="943">
        <f t="shared" si="18"/>
        <v>0</v>
      </c>
      <c r="J142" s="943">
        <f t="shared" si="18"/>
        <v>0</v>
      </c>
      <c r="K142" s="943">
        <f t="shared" si="18"/>
        <v>0</v>
      </c>
      <c r="L142" s="943"/>
      <c r="M142" s="768"/>
      <c r="N142" s="768"/>
      <c r="O142" s="768"/>
      <c r="P142" s="943"/>
      <c r="Q142" s="768"/>
      <c r="R142" s="768"/>
      <c r="S142" s="768"/>
    </row>
    <row r="143" spans="1:19" hidden="1">
      <c r="A143" s="972">
        <f t="shared" si="21"/>
        <v>9.6799999999999855</v>
      </c>
      <c r="B143" s="768"/>
      <c r="C143" s="943">
        <f t="shared" si="20"/>
        <v>0</v>
      </c>
      <c r="D143" s="943">
        <f t="shared" si="19"/>
        <v>0</v>
      </c>
      <c r="E143" s="943"/>
      <c r="F143" s="943"/>
      <c r="G143" s="943">
        <f t="shared" si="17"/>
        <v>0</v>
      </c>
      <c r="H143" s="943"/>
      <c r="I143" s="943">
        <f t="shared" si="18"/>
        <v>0</v>
      </c>
      <c r="J143" s="943">
        <f t="shared" si="18"/>
        <v>0</v>
      </c>
      <c r="K143" s="943">
        <f t="shared" si="18"/>
        <v>0</v>
      </c>
      <c r="L143" s="943"/>
      <c r="M143" s="768"/>
      <c r="N143" s="768"/>
      <c r="O143" s="768"/>
      <c r="P143" s="943"/>
      <c r="Q143" s="768"/>
      <c r="R143" s="768"/>
      <c r="S143" s="768"/>
    </row>
    <row r="144" spans="1:19" hidden="1">
      <c r="A144" s="972">
        <f t="shared" si="21"/>
        <v>9.6899999999999853</v>
      </c>
      <c r="B144" s="768"/>
      <c r="C144" s="943">
        <f t="shared" si="20"/>
        <v>0</v>
      </c>
      <c r="D144" s="943">
        <f t="shared" si="19"/>
        <v>0</v>
      </c>
      <c r="E144" s="943"/>
      <c r="F144" s="943"/>
      <c r="G144" s="943">
        <f t="shared" si="17"/>
        <v>0</v>
      </c>
      <c r="H144" s="943"/>
      <c r="I144" s="943">
        <f t="shared" si="18"/>
        <v>0</v>
      </c>
      <c r="J144" s="943">
        <f t="shared" si="18"/>
        <v>0</v>
      </c>
      <c r="K144" s="943">
        <f t="shared" si="18"/>
        <v>0</v>
      </c>
      <c r="L144" s="943"/>
      <c r="M144" s="768"/>
      <c r="N144" s="768"/>
      <c r="O144" s="768"/>
      <c r="P144" s="943"/>
      <c r="Q144" s="768"/>
      <c r="R144" s="768"/>
      <c r="S144" s="768"/>
    </row>
    <row r="145" spans="1:19" hidden="1">
      <c r="A145" s="972">
        <f t="shared" si="21"/>
        <v>9.6999999999999851</v>
      </c>
      <c r="B145" s="768"/>
      <c r="C145" s="943">
        <f>SUM(M145:O145)</f>
        <v>0</v>
      </c>
      <c r="D145" s="943">
        <f t="shared" si="19"/>
        <v>0</v>
      </c>
      <c r="E145" s="943"/>
      <c r="F145" s="943"/>
      <c r="G145" s="943">
        <f t="shared" si="17"/>
        <v>0</v>
      </c>
      <c r="H145" s="943"/>
      <c r="I145" s="943">
        <f t="shared" si="18"/>
        <v>0</v>
      </c>
      <c r="J145" s="943">
        <f t="shared" si="18"/>
        <v>0</v>
      </c>
      <c r="K145" s="943">
        <f t="shared" si="18"/>
        <v>0</v>
      </c>
      <c r="L145" s="943"/>
      <c r="M145" s="768"/>
      <c r="N145" s="768"/>
      <c r="O145" s="768"/>
      <c r="P145" s="943"/>
      <c r="Q145" s="768"/>
      <c r="R145" s="768"/>
      <c r="S145" s="768"/>
    </row>
    <row r="146" spans="1:19" hidden="1">
      <c r="A146" s="972">
        <f t="shared" si="21"/>
        <v>9.7099999999999849</v>
      </c>
      <c r="B146" s="768"/>
      <c r="C146" s="943">
        <f t="shared" si="20"/>
        <v>0</v>
      </c>
      <c r="D146" s="943">
        <f t="shared" si="19"/>
        <v>0</v>
      </c>
      <c r="E146" s="943"/>
      <c r="F146" s="943"/>
      <c r="G146" s="943">
        <f t="shared" si="17"/>
        <v>0</v>
      </c>
      <c r="H146" s="943"/>
      <c r="I146" s="943">
        <f t="shared" si="18"/>
        <v>0</v>
      </c>
      <c r="J146" s="943">
        <f t="shared" si="18"/>
        <v>0</v>
      </c>
      <c r="K146" s="943">
        <f t="shared" si="18"/>
        <v>0</v>
      </c>
      <c r="L146" s="943"/>
      <c r="M146" s="768"/>
      <c r="N146" s="768"/>
      <c r="O146" s="768"/>
      <c r="P146" s="943"/>
      <c r="Q146" s="768"/>
      <c r="R146" s="768"/>
      <c r="S146" s="768"/>
    </row>
    <row r="147" spans="1:19" hidden="1">
      <c r="A147" s="972">
        <f t="shared" si="21"/>
        <v>9.7199999999999847</v>
      </c>
      <c r="B147" s="768"/>
      <c r="C147" s="943">
        <f>SUM(M147:O147)</f>
        <v>0</v>
      </c>
      <c r="D147" s="943">
        <f t="shared" si="19"/>
        <v>0</v>
      </c>
      <c r="E147" s="943"/>
      <c r="F147" s="943"/>
      <c r="G147" s="943">
        <f t="shared" si="17"/>
        <v>0</v>
      </c>
      <c r="H147" s="943"/>
      <c r="I147" s="943">
        <f t="shared" si="18"/>
        <v>0</v>
      </c>
      <c r="J147" s="943">
        <f t="shared" si="18"/>
        <v>0</v>
      </c>
      <c r="K147" s="943">
        <f t="shared" si="18"/>
        <v>0</v>
      </c>
      <c r="L147" s="943"/>
      <c r="M147" s="768"/>
      <c r="N147" s="768"/>
      <c r="O147" s="768"/>
      <c r="P147" s="943"/>
      <c r="Q147" s="768"/>
      <c r="R147" s="768"/>
      <c r="S147" s="768"/>
    </row>
    <row r="148" spans="1:19" hidden="1">
      <c r="A148" s="972">
        <f t="shared" si="21"/>
        <v>9.7299999999999844</v>
      </c>
      <c r="B148" s="768"/>
      <c r="C148" s="943">
        <f>SUM(M148:O148)</f>
        <v>0</v>
      </c>
      <c r="D148" s="943">
        <f t="shared" si="19"/>
        <v>0</v>
      </c>
      <c r="E148" s="943"/>
      <c r="F148" s="943"/>
      <c r="G148" s="943">
        <f t="shared" si="17"/>
        <v>0</v>
      </c>
      <c r="H148" s="943"/>
      <c r="I148" s="943">
        <f t="shared" si="18"/>
        <v>0</v>
      </c>
      <c r="J148" s="943">
        <f t="shared" si="18"/>
        <v>0</v>
      </c>
      <c r="K148" s="943">
        <f t="shared" si="18"/>
        <v>0</v>
      </c>
      <c r="L148" s="943"/>
      <c r="M148" s="768"/>
      <c r="N148" s="768"/>
      <c r="O148" s="768"/>
      <c r="P148" s="943"/>
      <c r="Q148" s="768"/>
      <c r="R148" s="768"/>
      <c r="S148" s="768"/>
    </row>
    <row r="149" spans="1:19" hidden="1">
      <c r="A149" s="972">
        <f t="shared" si="21"/>
        <v>9.7399999999999842</v>
      </c>
      <c r="B149" s="768"/>
      <c r="C149" s="943">
        <f>SUM(M149:O149)</f>
        <v>0</v>
      </c>
      <c r="D149" s="943">
        <f t="shared" si="19"/>
        <v>0</v>
      </c>
      <c r="E149" s="943"/>
      <c r="F149" s="943"/>
      <c r="G149" s="943">
        <f t="shared" si="17"/>
        <v>0</v>
      </c>
      <c r="H149" s="943"/>
      <c r="I149" s="943">
        <f t="shared" si="18"/>
        <v>0</v>
      </c>
      <c r="J149" s="943">
        <f t="shared" si="18"/>
        <v>0</v>
      </c>
      <c r="K149" s="943">
        <f t="shared" si="18"/>
        <v>0</v>
      </c>
      <c r="L149" s="943"/>
      <c r="M149" s="768"/>
      <c r="N149" s="768"/>
      <c r="O149" s="768"/>
      <c r="P149" s="943"/>
      <c r="Q149" s="768"/>
      <c r="R149" s="768"/>
      <c r="S149" s="768"/>
    </row>
    <row r="150" spans="1:19" hidden="1">
      <c r="A150" s="972">
        <f t="shared" si="21"/>
        <v>9.749999999999984</v>
      </c>
      <c r="B150" s="768"/>
      <c r="C150" s="943">
        <f>SUM(M150:O150)</f>
        <v>0</v>
      </c>
      <c r="D150" s="943">
        <f t="shared" si="19"/>
        <v>0</v>
      </c>
      <c r="E150" s="943"/>
      <c r="F150" s="943"/>
      <c r="G150" s="943">
        <f t="shared" si="17"/>
        <v>0</v>
      </c>
      <c r="H150" s="943"/>
      <c r="I150" s="943">
        <f t="shared" si="18"/>
        <v>0</v>
      </c>
      <c r="J150" s="943">
        <f t="shared" si="18"/>
        <v>0</v>
      </c>
      <c r="K150" s="943">
        <f t="shared" si="18"/>
        <v>0</v>
      </c>
      <c r="L150" s="943"/>
      <c r="M150" s="768"/>
      <c r="N150" s="768"/>
      <c r="O150" s="768"/>
      <c r="P150" s="943"/>
      <c r="Q150" s="768"/>
      <c r="R150" s="768"/>
      <c r="S150" s="768"/>
    </row>
    <row r="151" spans="1:19" hidden="1">
      <c r="A151" s="972">
        <f t="shared" si="21"/>
        <v>9.7599999999999838</v>
      </c>
      <c r="B151" s="768"/>
      <c r="C151" s="943">
        <f t="shared" si="20"/>
        <v>0</v>
      </c>
      <c r="D151" s="943">
        <f t="shared" si="19"/>
        <v>0</v>
      </c>
      <c r="E151" s="943"/>
      <c r="F151" s="943"/>
      <c r="G151" s="943">
        <f t="shared" si="17"/>
        <v>0</v>
      </c>
      <c r="H151" s="943"/>
      <c r="I151" s="943">
        <f t="shared" si="18"/>
        <v>0</v>
      </c>
      <c r="J151" s="943">
        <f t="shared" si="18"/>
        <v>0</v>
      </c>
      <c r="K151" s="943">
        <f t="shared" si="18"/>
        <v>0</v>
      </c>
      <c r="L151" s="943"/>
      <c r="M151" s="768"/>
      <c r="N151" s="768"/>
      <c r="O151" s="768"/>
      <c r="P151" s="943"/>
      <c r="Q151" s="768"/>
      <c r="R151" s="768"/>
      <c r="S151" s="768"/>
    </row>
    <row r="152" spans="1:19" hidden="1">
      <c r="A152" s="972">
        <f t="shared" si="21"/>
        <v>9.7699999999999836</v>
      </c>
      <c r="B152" s="768"/>
      <c r="C152" s="943">
        <f t="shared" si="20"/>
        <v>0</v>
      </c>
      <c r="D152" s="943">
        <f t="shared" si="19"/>
        <v>0</v>
      </c>
      <c r="E152" s="943"/>
      <c r="F152" s="943"/>
      <c r="G152" s="943">
        <f t="shared" si="17"/>
        <v>0</v>
      </c>
      <c r="H152" s="943"/>
      <c r="I152" s="943">
        <f t="shared" si="18"/>
        <v>0</v>
      </c>
      <c r="J152" s="943">
        <f t="shared" si="18"/>
        <v>0</v>
      </c>
      <c r="K152" s="943">
        <f t="shared" si="18"/>
        <v>0</v>
      </c>
      <c r="L152" s="943"/>
      <c r="M152" s="768"/>
      <c r="N152" s="768"/>
      <c r="O152" s="768"/>
      <c r="P152" s="943"/>
      <c r="Q152" s="768"/>
      <c r="R152" s="768"/>
      <c r="S152" s="768"/>
    </row>
    <row r="153" spans="1:19" hidden="1">
      <c r="A153" s="972">
        <f t="shared" si="21"/>
        <v>9.7799999999999834</v>
      </c>
      <c r="B153" s="768"/>
      <c r="C153" s="943">
        <f t="shared" si="20"/>
        <v>0</v>
      </c>
      <c r="D153" s="943">
        <f t="shared" si="19"/>
        <v>0</v>
      </c>
      <c r="E153" s="943"/>
      <c r="F153" s="943"/>
      <c r="G153" s="943">
        <f t="shared" si="17"/>
        <v>0</v>
      </c>
      <c r="H153" s="943"/>
      <c r="I153" s="943">
        <f t="shared" si="18"/>
        <v>0</v>
      </c>
      <c r="J153" s="943">
        <f t="shared" si="18"/>
        <v>0</v>
      </c>
      <c r="K153" s="943">
        <f t="shared" si="18"/>
        <v>0</v>
      </c>
      <c r="L153" s="943"/>
      <c r="M153" s="768"/>
      <c r="N153" s="768"/>
      <c r="O153" s="768"/>
      <c r="P153" s="943"/>
      <c r="Q153" s="768"/>
      <c r="R153" s="768"/>
      <c r="S153" s="768"/>
    </row>
    <row r="154" spans="1:19" hidden="1">
      <c r="A154" s="972">
        <f t="shared" si="21"/>
        <v>9.7899999999999832</v>
      </c>
      <c r="B154" s="768"/>
      <c r="C154" s="943">
        <f t="shared" si="20"/>
        <v>0</v>
      </c>
      <c r="D154" s="943">
        <f t="shared" si="19"/>
        <v>0</v>
      </c>
      <c r="E154" s="943"/>
      <c r="F154" s="943"/>
      <c r="G154" s="943">
        <f t="shared" si="17"/>
        <v>0</v>
      </c>
      <c r="H154" s="943"/>
      <c r="I154" s="943">
        <f t="shared" si="18"/>
        <v>0</v>
      </c>
      <c r="J154" s="943">
        <f t="shared" si="18"/>
        <v>0</v>
      </c>
      <c r="K154" s="943">
        <f t="shared" si="18"/>
        <v>0</v>
      </c>
      <c r="L154" s="943"/>
      <c r="M154" s="768"/>
      <c r="N154" s="768"/>
      <c r="O154" s="768"/>
      <c r="P154" s="943"/>
      <c r="Q154" s="768"/>
      <c r="R154" s="768"/>
      <c r="S154" s="768"/>
    </row>
    <row r="155" spans="1:19" hidden="1">
      <c r="A155" s="972">
        <f t="shared" si="21"/>
        <v>9.7999999999999829</v>
      </c>
      <c r="B155" s="768"/>
      <c r="C155" s="943">
        <f t="shared" si="20"/>
        <v>0</v>
      </c>
      <c r="D155" s="943">
        <f t="shared" si="19"/>
        <v>0</v>
      </c>
      <c r="E155" s="943"/>
      <c r="F155" s="943"/>
      <c r="G155" s="943">
        <f t="shared" si="17"/>
        <v>0</v>
      </c>
      <c r="H155" s="943"/>
      <c r="I155" s="943">
        <f t="shared" si="18"/>
        <v>0</v>
      </c>
      <c r="J155" s="943">
        <f t="shared" si="18"/>
        <v>0</v>
      </c>
      <c r="K155" s="943">
        <f t="shared" si="18"/>
        <v>0</v>
      </c>
      <c r="L155" s="943"/>
      <c r="M155" s="768"/>
      <c r="N155" s="768"/>
      <c r="O155" s="768"/>
      <c r="P155" s="943"/>
      <c r="Q155" s="768"/>
      <c r="R155" s="768"/>
      <c r="S155" s="768"/>
    </row>
    <row r="156" spans="1:19" hidden="1">
      <c r="A156" s="972">
        <f t="shared" si="21"/>
        <v>9.8099999999999827</v>
      </c>
      <c r="B156" s="768"/>
      <c r="C156" s="943">
        <f t="shared" si="20"/>
        <v>0</v>
      </c>
      <c r="D156" s="943">
        <f t="shared" si="19"/>
        <v>0</v>
      </c>
      <c r="E156" s="943"/>
      <c r="F156" s="943"/>
      <c r="G156" s="943">
        <f t="shared" si="17"/>
        <v>0</v>
      </c>
      <c r="H156" s="943"/>
      <c r="I156" s="943">
        <f t="shared" si="18"/>
        <v>0</v>
      </c>
      <c r="J156" s="943">
        <f t="shared" si="18"/>
        <v>0</v>
      </c>
      <c r="K156" s="943">
        <f t="shared" si="18"/>
        <v>0</v>
      </c>
      <c r="L156" s="943"/>
      <c r="M156" s="768"/>
      <c r="N156" s="768"/>
      <c r="O156" s="768"/>
      <c r="P156" s="943"/>
      <c r="Q156" s="768"/>
      <c r="R156" s="768"/>
      <c r="S156" s="768"/>
    </row>
    <row r="157" spans="1:19" hidden="1">
      <c r="A157" s="972">
        <f t="shared" si="21"/>
        <v>9.8199999999999825</v>
      </c>
      <c r="B157" s="768"/>
      <c r="C157" s="943">
        <f t="shared" si="20"/>
        <v>0</v>
      </c>
      <c r="D157" s="943">
        <f t="shared" si="19"/>
        <v>0</v>
      </c>
      <c r="E157" s="943"/>
      <c r="F157" s="943"/>
      <c r="G157" s="943">
        <f t="shared" si="17"/>
        <v>0</v>
      </c>
      <c r="H157" s="943"/>
      <c r="I157" s="943">
        <f t="shared" si="18"/>
        <v>0</v>
      </c>
      <c r="J157" s="943">
        <f t="shared" si="18"/>
        <v>0</v>
      </c>
      <c r="K157" s="943">
        <f t="shared" si="18"/>
        <v>0</v>
      </c>
      <c r="L157" s="943"/>
      <c r="M157" s="768"/>
      <c r="N157" s="768"/>
      <c r="O157" s="768"/>
      <c r="P157" s="943"/>
      <c r="Q157" s="768"/>
      <c r="R157" s="768"/>
      <c r="S157" s="768"/>
    </row>
    <row r="158" spans="1:19" hidden="1">
      <c r="A158" s="972">
        <f t="shared" si="21"/>
        <v>9.8299999999999823</v>
      </c>
      <c r="B158" s="768"/>
      <c r="C158" s="943">
        <f>SUM(M158:O158)</f>
        <v>0</v>
      </c>
      <c r="D158" s="943">
        <f t="shared" si="19"/>
        <v>0</v>
      </c>
      <c r="E158" s="943"/>
      <c r="F158" s="943"/>
      <c r="G158" s="943">
        <f t="shared" si="17"/>
        <v>0</v>
      </c>
      <c r="H158" s="943"/>
      <c r="I158" s="943">
        <f t="shared" ref="I158:K168" si="22">(M158+Q158)/2</f>
        <v>0</v>
      </c>
      <c r="J158" s="943">
        <f t="shared" si="22"/>
        <v>0</v>
      </c>
      <c r="K158" s="943">
        <f t="shared" si="22"/>
        <v>0</v>
      </c>
      <c r="L158" s="943"/>
      <c r="M158" s="768"/>
      <c r="N158" s="768"/>
      <c r="O158" s="768"/>
      <c r="P158" s="943"/>
      <c r="Q158" s="768"/>
      <c r="R158" s="768"/>
      <c r="S158" s="768"/>
    </row>
    <row r="159" spans="1:19" hidden="1">
      <c r="A159" s="972">
        <f t="shared" si="21"/>
        <v>9.8399999999999821</v>
      </c>
      <c r="B159" s="768"/>
      <c r="C159" s="943">
        <f>SUM(M159:O159)</f>
        <v>0</v>
      </c>
      <c r="D159" s="943">
        <f t="shared" si="19"/>
        <v>0</v>
      </c>
      <c r="E159" s="943"/>
      <c r="F159" s="943"/>
      <c r="G159" s="943">
        <f t="shared" si="17"/>
        <v>0</v>
      </c>
      <c r="H159" s="943"/>
      <c r="I159" s="943">
        <f t="shared" si="22"/>
        <v>0</v>
      </c>
      <c r="J159" s="943">
        <f t="shared" si="22"/>
        <v>0</v>
      </c>
      <c r="K159" s="943">
        <f t="shared" si="22"/>
        <v>0</v>
      </c>
      <c r="L159" s="943"/>
      <c r="M159" s="768"/>
      <c r="N159" s="768"/>
      <c r="O159" s="768"/>
      <c r="P159" s="943"/>
      <c r="Q159" s="768"/>
      <c r="R159" s="768"/>
      <c r="S159" s="768"/>
    </row>
    <row r="160" spans="1:19" hidden="1">
      <c r="A160" s="972">
        <f t="shared" si="21"/>
        <v>9.8499999999999819</v>
      </c>
      <c r="B160" s="768"/>
      <c r="C160" s="943">
        <f>SUM(M160:O160)</f>
        <v>0</v>
      </c>
      <c r="D160" s="943">
        <f t="shared" si="19"/>
        <v>0</v>
      </c>
      <c r="E160" s="943"/>
      <c r="F160" s="943"/>
      <c r="G160" s="943">
        <f t="shared" si="17"/>
        <v>0</v>
      </c>
      <c r="H160" s="943"/>
      <c r="I160" s="943">
        <f t="shared" si="22"/>
        <v>0</v>
      </c>
      <c r="J160" s="943">
        <f t="shared" si="22"/>
        <v>0</v>
      </c>
      <c r="K160" s="943">
        <f t="shared" si="22"/>
        <v>0</v>
      </c>
      <c r="L160" s="943"/>
      <c r="M160" s="768"/>
      <c r="N160" s="768"/>
      <c r="O160" s="768"/>
      <c r="P160" s="943"/>
      <c r="Q160" s="768"/>
      <c r="R160" s="768"/>
      <c r="S160" s="768"/>
    </row>
    <row r="161" spans="1:19" hidden="1">
      <c r="A161" s="972">
        <f t="shared" si="21"/>
        <v>9.8599999999999817</v>
      </c>
      <c r="B161" s="768"/>
      <c r="C161" s="943">
        <f>SUM(M161:O161)</f>
        <v>0</v>
      </c>
      <c r="D161" s="943">
        <f t="shared" si="19"/>
        <v>0</v>
      </c>
      <c r="E161" s="943"/>
      <c r="F161" s="943"/>
      <c r="G161" s="943">
        <f t="shared" si="17"/>
        <v>0</v>
      </c>
      <c r="H161" s="943"/>
      <c r="I161" s="943">
        <f t="shared" si="22"/>
        <v>0</v>
      </c>
      <c r="J161" s="943">
        <f t="shared" si="22"/>
        <v>0</v>
      </c>
      <c r="K161" s="943">
        <f t="shared" si="22"/>
        <v>0</v>
      </c>
      <c r="L161" s="943"/>
      <c r="M161" s="768"/>
      <c r="N161" s="768"/>
      <c r="O161" s="768"/>
      <c r="P161" s="943"/>
      <c r="Q161" s="768"/>
      <c r="R161" s="768"/>
      <c r="S161" s="768"/>
    </row>
    <row r="162" spans="1:19" hidden="1">
      <c r="A162" s="972">
        <f t="shared" si="21"/>
        <v>9.8699999999999815</v>
      </c>
      <c r="B162" s="768"/>
      <c r="C162" s="943">
        <f t="shared" si="20"/>
        <v>0</v>
      </c>
      <c r="D162" s="943">
        <f t="shared" si="19"/>
        <v>0</v>
      </c>
      <c r="E162" s="943"/>
      <c r="F162" s="943"/>
      <c r="G162" s="943">
        <f t="shared" si="17"/>
        <v>0</v>
      </c>
      <c r="H162" s="943"/>
      <c r="I162" s="943">
        <f t="shared" si="22"/>
        <v>0</v>
      </c>
      <c r="J162" s="943">
        <f t="shared" si="22"/>
        <v>0</v>
      </c>
      <c r="K162" s="943">
        <f t="shared" si="22"/>
        <v>0</v>
      </c>
      <c r="L162" s="943"/>
      <c r="M162" s="768"/>
      <c r="N162" s="768"/>
      <c r="O162" s="768"/>
      <c r="P162" s="943"/>
      <c r="Q162" s="768"/>
      <c r="R162" s="768"/>
      <c r="S162" s="768"/>
    </row>
    <row r="163" spans="1:19" hidden="1">
      <c r="A163" s="972">
        <f t="shared" si="21"/>
        <v>9.8799999999999812</v>
      </c>
      <c r="B163" s="768"/>
      <c r="C163" s="943">
        <f t="shared" si="20"/>
        <v>0</v>
      </c>
      <c r="D163" s="943">
        <f t="shared" si="19"/>
        <v>0</v>
      </c>
      <c r="E163" s="943"/>
      <c r="F163" s="943"/>
      <c r="G163" s="943">
        <f t="shared" si="17"/>
        <v>0</v>
      </c>
      <c r="H163" s="943"/>
      <c r="I163" s="943">
        <f t="shared" si="22"/>
        <v>0</v>
      </c>
      <c r="J163" s="943">
        <f t="shared" si="22"/>
        <v>0</v>
      </c>
      <c r="K163" s="943">
        <f t="shared" si="22"/>
        <v>0</v>
      </c>
      <c r="L163" s="943"/>
      <c r="M163" s="768"/>
      <c r="N163" s="768"/>
      <c r="O163" s="768"/>
      <c r="P163" s="943"/>
      <c r="Q163" s="768"/>
      <c r="R163" s="768"/>
      <c r="S163" s="768"/>
    </row>
    <row r="164" spans="1:19" hidden="1">
      <c r="A164" s="972">
        <f t="shared" si="21"/>
        <v>9.889999999999981</v>
      </c>
      <c r="B164" s="768"/>
      <c r="C164" s="943">
        <f t="shared" si="20"/>
        <v>0</v>
      </c>
      <c r="D164" s="943">
        <f t="shared" si="19"/>
        <v>0</v>
      </c>
      <c r="E164" s="943"/>
      <c r="F164" s="943"/>
      <c r="G164" s="943">
        <f t="shared" si="17"/>
        <v>0</v>
      </c>
      <c r="H164" s="943"/>
      <c r="I164" s="943">
        <f t="shared" si="22"/>
        <v>0</v>
      </c>
      <c r="J164" s="943">
        <f t="shared" si="22"/>
        <v>0</v>
      </c>
      <c r="K164" s="943">
        <f t="shared" si="22"/>
        <v>0</v>
      </c>
      <c r="L164" s="943"/>
      <c r="M164" s="768"/>
      <c r="N164" s="768"/>
      <c r="O164" s="768"/>
      <c r="P164" s="943"/>
      <c r="Q164" s="768"/>
      <c r="R164" s="768"/>
      <c r="S164" s="768"/>
    </row>
    <row r="165" spans="1:19" hidden="1">
      <c r="A165" s="972">
        <f t="shared" si="21"/>
        <v>9.8999999999999808</v>
      </c>
      <c r="B165" s="768"/>
      <c r="C165" s="943">
        <f t="shared" si="20"/>
        <v>0</v>
      </c>
      <c r="D165" s="943">
        <f t="shared" si="19"/>
        <v>0</v>
      </c>
      <c r="E165" s="943"/>
      <c r="F165" s="943"/>
      <c r="G165" s="943">
        <f t="shared" si="17"/>
        <v>0</v>
      </c>
      <c r="H165" s="943"/>
      <c r="I165" s="943">
        <f t="shared" si="22"/>
        <v>0</v>
      </c>
      <c r="J165" s="943">
        <f t="shared" si="22"/>
        <v>0</v>
      </c>
      <c r="K165" s="943">
        <f t="shared" si="22"/>
        <v>0</v>
      </c>
      <c r="L165" s="943"/>
      <c r="M165" s="768"/>
      <c r="N165" s="768"/>
      <c r="O165" s="768"/>
      <c r="P165" s="943"/>
      <c r="Q165" s="768"/>
      <c r="R165" s="768"/>
      <c r="S165" s="768"/>
    </row>
    <row r="166" spans="1:19" hidden="1">
      <c r="A166" s="972">
        <f t="shared" si="21"/>
        <v>9.9099999999999806</v>
      </c>
      <c r="B166" s="768"/>
      <c r="C166" s="943">
        <f t="shared" si="20"/>
        <v>0</v>
      </c>
      <c r="D166" s="943">
        <f t="shared" si="19"/>
        <v>0</v>
      </c>
      <c r="E166" s="943"/>
      <c r="F166" s="943"/>
      <c r="G166" s="943">
        <f>ROUND(SUM(C166:F166)/2,0)</f>
        <v>0</v>
      </c>
      <c r="H166" s="943"/>
      <c r="I166" s="943">
        <f t="shared" si="22"/>
        <v>0</v>
      </c>
      <c r="J166" s="943">
        <f t="shared" si="22"/>
        <v>0</v>
      </c>
      <c r="K166" s="943">
        <f t="shared" si="22"/>
        <v>0</v>
      </c>
      <c r="L166" s="943"/>
      <c r="M166" s="768"/>
      <c r="N166" s="768"/>
      <c r="O166" s="768"/>
      <c r="P166" s="943"/>
      <c r="Q166" s="768"/>
      <c r="R166" s="768"/>
      <c r="S166" s="768"/>
    </row>
    <row r="167" spans="1:19" hidden="1">
      <c r="A167" s="972">
        <f t="shared" si="21"/>
        <v>9.9199999999999804</v>
      </c>
      <c r="B167" s="768"/>
      <c r="C167" s="943">
        <f t="shared" si="20"/>
        <v>0</v>
      </c>
      <c r="D167" s="943">
        <f t="shared" si="19"/>
        <v>0</v>
      </c>
      <c r="E167" s="943"/>
      <c r="F167" s="943"/>
      <c r="G167" s="943">
        <f t="shared" si="17"/>
        <v>0</v>
      </c>
      <c r="H167" s="943"/>
      <c r="I167" s="943">
        <f t="shared" si="22"/>
        <v>0</v>
      </c>
      <c r="J167" s="943">
        <f t="shared" si="22"/>
        <v>0</v>
      </c>
      <c r="K167" s="943">
        <f t="shared" si="22"/>
        <v>0</v>
      </c>
      <c r="L167" s="943"/>
      <c r="M167" s="768"/>
      <c r="N167" s="768"/>
      <c r="O167" s="768"/>
      <c r="P167" s="943"/>
      <c r="Q167" s="768"/>
      <c r="R167" s="768"/>
      <c r="S167" s="768"/>
    </row>
    <row r="168" spans="1:19">
      <c r="A168" s="972">
        <f t="shared" si="21"/>
        <v>9.9299999999999802</v>
      </c>
      <c r="B168" s="768"/>
      <c r="C168" s="943">
        <f t="shared" si="20"/>
        <v>0</v>
      </c>
      <c r="D168" s="943">
        <f t="shared" si="19"/>
        <v>0</v>
      </c>
      <c r="E168" s="943"/>
      <c r="F168" s="943"/>
      <c r="G168" s="943">
        <f t="shared" si="17"/>
        <v>0</v>
      </c>
      <c r="H168" s="943"/>
      <c r="I168" s="943">
        <f t="shared" si="22"/>
        <v>0</v>
      </c>
      <c r="J168" s="943">
        <f t="shared" si="22"/>
        <v>0</v>
      </c>
      <c r="K168" s="943">
        <f t="shared" si="22"/>
        <v>0</v>
      </c>
      <c r="L168" s="943"/>
      <c r="M168" s="768"/>
      <c r="N168" s="768"/>
      <c r="O168" s="768"/>
      <c r="P168" s="943"/>
      <c r="Q168" s="768"/>
      <c r="R168" s="768"/>
      <c r="S168" s="768"/>
    </row>
    <row r="169" spans="1:19">
      <c r="A169" s="972">
        <f t="shared" si="21"/>
        <v>9.93999999999998</v>
      </c>
      <c r="B169" s="768"/>
      <c r="C169" s="768"/>
      <c r="D169" s="768"/>
      <c r="E169" s="943">
        <f t="shared" ref="E169:F174" si="23">-C169</f>
        <v>0</v>
      </c>
      <c r="F169" s="943">
        <f t="shared" si="23"/>
        <v>0</v>
      </c>
      <c r="G169" s="943">
        <f t="shared" si="17"/>
        <v>0</v>
      </c>
      <c r="H169" s="943"/>
      <c r="I169" s="943"/>
      <c r="J169" s="943"/>
      <c r="K169" s="943"/>
      <c r="L169" s="943"/>
      <c r="M169" s="943"/>
      <c r="N169" s="943"/>
      <c r="O169" s="943"/>
      <c r="P169" s="943"/>
      <c r="Q169" s="943"/>
      <c r="R169" s="943"/>
      <c r="S169" s="943"/>
    </row>
    <row r="170" spans="1:19">
      <c r="A170" s="972">
        <f t="shared" si="21"/>
        <v>9.9499999999999797</v>
      </c>
      <c r="B170" s="768"/>
      <c r="C170" s="768"/>
      <c r="D170" s="768"/>
      <c r="E170" s="943">
        <f t="shared" si="23"/>
        <v>0</v>
      </c>
      <c r="F170" s="943">
        <f t="shared" si="23"/>
        <v>0</v>
      </c>
      <c r="G170" s="943">
        <f t="shared" si="17"/>
        <v>0</v>
      </c>
      <c r="H170" s="943"/>
      <c r="I170" s="943"/>
      <c r="J170" s="943"/>
      <c r="K170" s="943"/>
      <c r="L170" s="943"/>
      <c r="M170" s="943"/>
      <c r="N170" s="943"/>
      <c r="O170" s="943"/>
      <c r="P170" s="943"/>
      <c r="Q170" s="943"/>
      <c r="R170" s="943"/>
      <c r="S170" s="943"/>
    </row>
    <row r="171" spans="1:19">
      <c r="A171" s="972">
        <f t="shared" si="21"/>
        <v>9.9599999999999795</v>
      </c>
      <c r="B171" s="768"/>
      <c r="C171" s="768"/>
      <c r="D171" s="768"/>
      <c r="E171" s="943">
        <f t="shared" si="23"/>
        <v>0</v>
      </c>
      <c r="F171" s="943">
        <f t="shared" si="23"/>
        <v>0</v>
      </c>
      <c r="G171" s="943">
        <f t="shared" si="17"/>
        <v>0</v>
      </c>
      <c r="H171" s="943"/>
      <c r="I171" s="943"/>
      <c r="J171" s="943"/>
      <c r="K171" s="943"/>
      <c r="L171" s="943"/>
      <c r="M171" s="943"/>
      <c r="N171" s="943"/>
      <c r="O171" s="943"/>
      <c r="P171" s="943"/>
      <c r="Q171" s="943"/>
      <c r="R171" s="943"/>
      <c r="S171" s="943"/>
    </row>
    <row r="172" spans="1:19">
      <c r="A172" s="972">
        <f t="shared" si="21"/>
        <v>9.9699999999999793</v>
      </c>
      <c r="B172" s="768"/>
      <c r="C172" s="768"/>
      <c r="D172" s="768"/>
      <c r="E172" s="943">
        <f>-C172</f>
        <v>0</v>
      </c>
      <c r="F172" s="943">
        <f>-D172</f>
        <v>0</v>
      </c>
      <c r="G172" s="943">
        <f t="shared" si="17"/>
        <v>0</v>
      </c>
      <c r="H172" s="943"/>
      <c r="I172" s="943"/>
      <c r="J172" s="943"/>
      <c r="K172" s="943"/>
      <c r="L172" s="943"/>
      <c r="M172" s="943"/>
      <c r="N172" s="943"/>
      <c r="O172" s="943"/>
      <c r="P172" s="943"/>
      <c r="Q172" s="943"/>
      <c r="R172" s="943"/>
      <c r="S172" s="943"/>
    </row>
    <row r="173" spans="1:19">
      <c r="A173" s="972">
        <f t="shared" si="21"/>
        <v>9.9799999999999791</v>
      </c>
      <c r="B173" s="768"/>
      <c r="C173" s="768"/>
      <c r="D173" s="768"/>
      <c r="E173" s="943">
        <f>-C173</f>
        <v>0</v>
      </c>
      <c r="F173" s="943">
        <f>-D173</f>
        <v>0</v>
      </c>
      <c r="G173" s="943">
        <f t="shared" si="17"/>
        <v>0</v>
      </c>
      <c r="H173" s="943"/>
      <c r="I173" s="943"/>
      <c r="J173" s="943"/>
      <c r="K173" s="943"/>
      <c r="L173" s="943"/>
      <c r="M173" s="943"/>
      <c r="N173" s="943"/>
      <c r="O173" s="943"/>
      <c r="P173" s="943"/>
      <c r="Q173" s="943"/>
      <c r="R173" s="943"/>
      <c r="S173" s="943"/>
    </row>
    <row r="174" spans="1:19">
      <c r="A174" s="972">
        <f t="shared" si="21"/>
        <v>9.9899999999999789</v>
      </c>
      <c r="B174" s="768"/>
      <c r="C174" s="768"/>
      <c r="D174" s="768"/>
      <c r="E174" s="943">
        <f t="shared" si="23"/>
        <v>0</v>
      </c>
      <c r="F174" s="943">
        <f t="shared" si="23"/>
        <v>0</v>
      </c>
      <c r="G174" s="943">
        <f t="shared" si="17"/>
        <v>0</v>
      </c>
      <c r="H174" s="943"/>
      <c r="I174" s="943"/>
      <c r="J174" s="943"/>
      <c r="K174" s="943"/>
      <c r="L174" s="943"/>
      <c r="M174" s="943"/>
      <c r="N174" s="943"/>
      <c r="O174" s="943"/>
      <c r="P174" s="943"/>
      <c r="Q174" s="943"/>
      <c r="R174" s="943"/>
      <c r="S174" s="943"/>
    </row>
    <row r="175" spans="1:19">
      <c r="A175" s="954"/>
      <c r="B175" s="933"/>
      <c r="C175" s="943"/>
      <c r="D175" s="943"/>
      <c r="E175" s="943"/>
      <c r="F175" s="943"/>
      <c r="G175" s="943"/>
      <c r="H175" s="943"/>
      <c r="I175" s="943"/>
      <c r="J175" s="943"/>
      <c r="K175" s="943"/>
      <c r="L175" s="943"/>
      <c r="M175" s="943"/>
      <c r="N175" s="943"/>
      <c r="O175" s="943"/>
      <c r="P175" s="943"/>
      <c r="Q175" s="943"/>
      <c r="R175" s="943"/>
      <c r="S175" s="943"/>
    </row>
    <row r="176" spans="1:19">
      <c r="A176" s="954"/>
      <c r="B176" s="933"/>
      <c r="C176" s="943"/>
      <c r="D176" s="943"/>
      <c r="E176" s="943"/>
      <c r="F176" s="943"/>
      <c r="G176" s="943"/>
      <c r="H176" s="943"/>
      <c r="I176" s="943"/>
      <c r="J176" s="943"/>
      <c r="K176" s="943"/>
      <c r="L176" s="943"/>
      <c r="M176" s="943"/>
      <c r="N176" s="943"/>
      <c r="O176" s="943"/>
      <c r="P176" s="943"/>
      <c r="Q176" s="943"/>
      <c r="R176" s="943"/>
      <c r="S176" s="943"/>
    </row>
    <row r="177" spans="1:19" ht="13.5" thickBot="1">
      <c r="A177" s="954">
        <v>10</v>
      </c>
      <c r="B177" s="934"/>
      <c r="C177" s="946">
        <f>SUM(C76:C176)</f>
        <v>0</v>
      </c>
      <c r="D177" s="946">
        <f>SUM(D76:D176)</f>
        <v>0</v>
      </c>
      <c r="E177" s="946">
        <f>SUM(E76:E176)</f>
        <v>0</v>
      </c>
      <c r="F177" s="946">
        <f>SUM(F76:F176)</f>
        <v>0</v>
      </c>
      <c r="G177" s="946">
        <f>SUM(G76:G176)</f>
        <v>0</v>
      </c>
      <c r="H177" s="950"/>
      <c r="I177" s="946">
        <f>SUM(I76:I176)</f>
        <v>0</v>
      </c>
      <c r="J177" s="946">
        <f>SUM(J76:J176)</f>
        <v>0</v>
      </c>
      <c r="K177" s="946">
        <f>SUM(K76:K176)</f>
        <v>0</v>
      </c>
      <c r="L177" s="950"/>
      <c r="M177" s="946">
        <f>SUM(M76:M176)</f>
        <v>0</v>
      </c>
      <c r="N177" s="946">
        <f>SUM(N76:N176)</f>
        <v>0</v>
      </c>
      <c r="O177" s="946">
        <f>SUM(O76:O176)</f>
        <v>0</v>
      </c>
      <c r="P177" s="950"/>
      <c r="Q177" s="946">
        <f>SUM(Q76:Q176)</f>
        <v>0</v>
      </c>
      <c r="R177" s="946">
        <f>SUM(R76:R176)</f>
        <v>0</v>
      </c>
      <c r="S177" s="946">
        <f>SUM(S76:S176)</f>
        <v>0</v>
      </c>
    </row>
    <row r="178" spans="1:19" ht="13.5" thickTop="1">
      <c r="A178" s="954"/>
      <c r="B178" s="933"/>
      <c r="C178" s="947"/>
      <c r="D178" s="947"/>
      <c r="E178" s="947"/>
      <c r="F178" s="947"/>
      <c r="G178" s="947"/>
      <c r="H178" s="943"/>
      <c r="I178" s="947"/>
      <c r="J178" s="947"/>
      <c r="K178" s="947"/>
      <c r="L178" s="943"/>
      <c r="M178" s="947"/>
      <c r="N178" s="947"/>
      <c r="O178" s="947"/>
      <c r="P178" s="943"/>
      <c r="Q178" s="947"/>
      <c r="R178" s="947"/>
      <c r="S178" s="947"/>
    </row>
    <row r="179" spans="1:19">
      <c r="A179" s="954"/>
      <c r="B179" s="933"/>
      <c r="C179" s="943"/>
      <c r="D179" s="943"/>
      <c r="E179" s="943"/>
      <c r="F179" s="943"/>
      <c r="G179" s="943"/>
      <c r="H179" s="943"/>
      <c r="I179" s="943"/>
      <c r="J179" s="943"/>
      <c r="K179" s="943"/>
      <c r="L179" s="943"/>
      <c r="M179" s="943"/>
      <c r="N179" s="943"/>
      <c r="O179" s="943"/>
      <c r="P179" s="943"/>
      <c r="Q179" s="943"/>
      <c r="R179" s="943"/>
      <c r="S179" s="943"/>
    </row>
    <row r="180" spans="1:19">
      <c r="A180" s="954">
        <f>+A177+1</f>
        <v>11</v>
      </c>
      <c r="B180" s="204" t="s">
        <v>733</v>
      </c>
      <c r="C180" s="943">
        <f>SUM(M180:O180)</f>
        <v>0</v>
      </c>
      <c r="D180" s="943">
        <f>SUM(Q180:S180)</f>
        <v>0</v>
      </c>
      <c r="E180" s="943"/>
      <c r="F180" s="943"/>
      <c r="G180" s="943">
        <f>ROUND(SUM(C180:F180)/2,0)</f>
        <v>0</v>
      </c>
      <c r="H180" s="943"/>
      <c r="I180" s="943">
        <f>(M180+Q180)/2</f>
        <v>0</v>
      </c>
      <c r="J180" s="943">
        <f>(N180+R180)/2</f>
        <v>0</v>
      </c>
      <c r="K180" s="943">
        <f>(O180+S180)/2</f>
        <v>0</v>
      </c>
      <c r="L180" s="943"/>
      <c r="M180" s="768"/>
      <c r="N180" s="768"/>
      <c r="O180" s="768"/>
      <c r="P180" s="943"/>
      <c r="Q180" s="768"/>
      <c r="R180" s="768"/>
      <c r="S180" s="768"/>
    </row>
    <row r="181" spans="1:19">
      <c r="A181" s="972">
        <f>A180+0.01</f>
        <v>11.01</v>
      </c>
      <c r="B181" s="768"/>
      <c r="C181" s="768"/>
      <c r="D181" s="768"/>
      <c r="E181" s="943">
        <f>-C181</f>
        <v>0</v>
      </c>
      <c r="F181" s="943">
        <f>-D181</f>
        <v>0</v>
      </c>
      <c r="G181" s="943">
        <f>ROUND(SUM(C181:F181)/2,0)</f>
        <v>0</v>
      </c>
      <c r="H181" s="943"/>
      <c r="I181" s="943"/>
      <c r="J181" s="943"/>
      <c r="K181" s="943"/>
      <c r="L181" s="943"/>
      <c r="M181" s="943"/>
      <c r="N181" s="943"/>
      <c r="O181" s="943"/>
      <c r="P181" s="943"/>
      <c r="Q181" s="943"/>
      <c r="R181" s="943"/>
      <c r="S181" s="943"/>
    </row>
    <row r="182" spans="1:19">
      <c r="A182" s="954"/>
      <c r="B182" s="933"/>
      <c r="C182" s="943"/>
      <c r="D182" s="943"/>
      <c r="E182" s="943"/>
      <c r="F182" s="943"/>
      <c r="G182" s="943"/>
      <c r="H182" s="943"/>
      <c r="I182" s="943"/>
      <c r="J182" s="943"/>
      <c r="K182" s="943"/>
      <c r="L182" s="943"/>
      <c r="M182" s="943"/>
      <c r="N182" s="943"/>
      <c r="O182" s="943"/>
      <c r="P182" s="943"/>
      <c r="Q182" s="943"/>
      <c r="R182" s="943"/>
      <c r="S182" s="943"/>
    </row>
    <row r="183" spans="1:19" ht="13.5" thickBot="1">
      <c r="A183" s="954">
        <f>+A180+1</f>
        <v>12</v>
      </c>
      <c r="B183" s="858" t="s">
        <v>734</v>
      </c>
      <c r="C183" s="946">
        <f>SUM(C177:C182)</f>
        <v>0</v>
      </c>
      <c r="D183" s="946">
        <f>SUM(D177:D182)</f>
        <v>0</v>
      </c>
      <c r="E183" s="946">
        <f>SUM(E177:E182)</f>
        <v>0</v>
      </c>
      <c r="F183" s="946">
        <f>SUM(F177:F182)</f>
        <v>0</v>
      </c>
      <c r="G183" s="946">
        <f>SUM(G177:G182)</f>
        <v>0</v>
      </c>
      <c r="H183" s="943"/>
      <c r="I183" s="946">
        <f>SUM(I177:I182)</f>
        <v>0</v>
      </c>
      <c r="J183" s="946">
        <f>SUM(J177:J182)</f>
        <v>0</v>
      </c>
      <c r="K183" s="946">
        <f>SUM(K177:K182)</f>
        <v>0</v>
      </c>
      <c r="L183" s="943"/>
      <c r="M183" s="951">
        <f>SUM(M177:M182)</f>
        <v>0</v>
      </c>
      <c r="N183" s="951">
        <f>SUM(N177:N182)</f>
        <v>0</v>
      </c>
      <c r="O183" s="951">
        <f>SUM(O177:O182)</f>
        <v>0</v>
      </c>
      <c r="P183" s="943"/>
      <c r="Q183" s="946">
        <f>SUM(Q177:Q182)</f>
        <v>0</v>
      </c>
      <c r="R183" s="946">
        <f>SUM(R177:R182)</f>
        <v>0</v>
      </c>
      <c r="S183" s="946">
        <f>SUM(S177:S182)</f>
        <v>0</v>
      </c>
    </row>
    <row r="184" spans="1:19" ht="13.5" thickTop="1">
      <c r="A184" s="954">
        <f>A183+1</f>
        <v>13</v>
      </c>
      <c r="B184" s="1019" t="s">
        <v>745</v>
      </c>
      <c r="C184" s="947">
        <f>C106+C139</f>
        <v>0</v>
      </c>
      <c r="D184" s="947">
        <f>D106+D139</f>
        <v>0</v>
      </c>
      <c r="E184" s="947">
        <f>E106+E139</f>
        <v>0</v>
      </c>
      <c r="F184" s="947">
        <f>F106+F139</f>
        <v>0</v>
      </c>
      <c r="G184" s="947">
        <f>G106+G139</f>
        <v>0</v>
      </c>
      <c r="H184" s="943"/>
      <c r="I184" s="947">
        <f>I106+I139</f>
        <v>0</v>
      </c>
      <c r="J184" s="947">
        <f>J106+J139</f>
        <v>0</v>
      </c>
      <c r="K184" s="947">
        <f>K106+K139</f>
        <v>0</v>
      </c>
      <c r="L184" s="943"/>
      <c r="M184" s="947">
        <f>M106+M139</f>
        <v>0</v>
      </c>
      <c r="N184" s="947">
        <f>N106+N139</f>
        <v>0</v>
      </c>
      <c r="O184" s="947">
        <f>O106+O139</f>
        <v>0</v>
      </c>
      <c r="P184" s="943"/>
      <c r="Q184" s="947">
        <f>Q106+Q139</f>
        <v>0</v>
      </c>
      <c r="R184" s="947">
        <f>R106+R139</f>
        <v>0</v>
      </c>
      <c r="S184" s="947">
        <f>S106+S139</f>
        <v>0</v>
      </c>
    </row>
    <row r="185" spans="1:19">
      <c r="A185" s="954"/>
      <c r="B185" s="933"/>
      <c r="C185" s="949"/>
      <c r="D185" s="949"/>
      <c r="E185" s="943"/>
      <c r="F185" s="943"/>
      <c r="G185" s="943"/>
      <c r="H185" s="943"/>
      <c r="I185" s="943"/>
      <c r="J185" s="943"/>
      <c r="K185" s="943"/>
      <c r="L185" s="943"/>
      <c r="M185" s="943"/>
      <c r="N185" s="943"/>
      <c r="O185" s="943"/>
      <c r="P185" s="943"/>
      <c r="Q185" s="943"/>
      <c r="R185" s="943"/>
      <c r="S185" s="943"/>
    </row>
    <row r="186" spans="1:19">
      <c r="A186" s="954">
        <f>+A184+1</f>
        <v>14</v>
      </c>
      <c r="B186" s="934" t="s">
        <v>735</v>
      </c>
      <c r="C186" s="943"/>
      <c r="D186" s="943"/>
      <c r="E186" s="943"/>
      <c r="F186" s="943"/>
      <c r="G186" s="943"/>
      <c r="H186" s="943"/>
      <c r="I186" s="943"/>
      <c r="J186" s="943"/>
      <c r="K186" s="943"/>
      <c r="L186" s="943"/>
      <c r="M186" s="943"/>
      <c r="N186" s="943"/>
      <c r="O186" s="943"/>
      <c r="P186" s="943"/>
      <c r="Q186" s="943"/>
      <c r="R186" s="943"/>
      <c r="S186" s="943"/>
    </row>
    <row r="187" spans="1:19">
      <c r="A187" s="954"/>
      <c r="B187" s="933"/>
      <c r="C187" s="943"/>
      <c r="D187" s="943"/>
      <c r="E187" s="943"/>
      <c r="F187" s="943"/>
      <c r="G187" s="943"/>
      <c r="H187" s="943"/>
      <c r="I187" s="943"/>
      <c r="J187" s="943"/>
      <c r="K187" s="943"/>
      <c r="L187" s="943"/>
      <c r="M187" s="943"/>
      <c r="N187" s="943"/>
      <c r="O187" s="943"/>
      <c r="P187" s="943"/>
      <c r="Q187" s="943"/>
      <c r="R187" s="943"/>
      <c r="S187" s="943"/>
    </row>
    <row r="188" spans="1:19">
      <c r="A188" s="954">
        <f>+A186+1</f>
        <v>15</v>
      </c>
      <c r="B188" s="934" t="s">
        <v>736</v>
      </c>
      <c r="C188" s="943"/>
      <c r="D188" s="943"/>
      <c r="E188" s="943"/>
      <c r="F188" s="943"/>
      <c r="G188" s="943"/>
      <c r="H188" s="943"/>
      <c r="I188" s="943"/>
      <c r="J188" s="943"/>
      <c r="K188" s="943"/>
      <c r="L188" s="943"/>
      <c r="M188" s="943"/>
      <c r="N188" s="943"/>
      <c r="O188" s="943"/>
      <c r="P188" s="943"/>
      <c r="Q188" s="943"/>
      <c r="R188" s="943"/>
      <c r="S188" s="943"/>
    </row>
    <row r="189" spans="1:19">
      <c r="A189" s="954"/>
      <c r="B189" s="933"/>
      <c r="C189" s="943"/>
      <c r="D189" s="952"/>
      <c r="E189" s="952"/>
      <c r="F189" s="952"/>
      <c r="G189" s="952"/>
      <c r="H189" s="952"/>
      <c r="I189" s="952"/>
      <c r="J189" s="952"/>
      <c r="K189" s="952"/>
      <c r="L189" s="952"/>
      <c r="M189" s="943"/>
      <c r="N189" s="943"/>
      <c r="O189" s="943"/>
      <c r="P189" s="943"/>
      <c r="Q189" s="943"/>
      <c r="R189" s="943"/>
      <c r="S189" s="943"/>
    </row>
    <row r="190" spans="1:19">
      <c r="A190" s="954">
        <f>+A188+1</f>
        <v>16</v>
      </c>
      <c r="B190" s="934" t="s">
        <v>737</v>
      </c>
      <c r="C190" s="943"/>
      <c r="D190" s="952"/>
      <c r="E190" s="952"/>
      <c r="F190" s="952"/>
      <c r="G190" s="952"/>
      <c r="H190" s="952"/>
      <c r="I190" s="952"/>
      <c r="J190" s="952"/>
      <c r="K190" s="952"/>
      <c r="L190" s="952"/>
      <c r="M190" s="943"/>
      <c r="N190" s="943"/>
      <c r="O190" s="943"/>
      <c r="P190" s="943"/>
      <c r="Q190" s="943"/>
      <c r="R190" s="943"/>
      <c r="S190" s="943"/>
    </row>
    <row r="191" spans="1:19">
      <c r="A191" s="954"/>
      <c r="B191" s="933"/>
      <c r="C191" s="943"/>
      <c r="D191" s="943"/>
      <c r="E191" s="943"/>
      <c r="F191" s="943"/>
      <c r="G191" s="943"/>
      <c r="H191" s="943"/>
      <c r="I191" s="943"/>
      <c r="J191" s="943"/>
      <c r="K191" s="943"/>
      <c r="L191" s="943"/>
      <c r="M191" s="943"/>
      <c r="N191" s="943"/>
      <c r="O191" s="943"/>
      <c r="P191" s="943"/>
      <c r="Q191" s="943"/>
      <c r="R191" s="943"/>
      <c r="S191" s="943"/>
    </row>
    <row r="192" spans="1:19">
      <c r="A192" s="954">
        <f>+A190+1</f>
        <v>17</v>
      </c>
      <c r="B192" s="204" t="s">
        <v>738</v>
      </c>
      <c r="C192" s="943"/>
      <c r="D192" s="943"/>
      <c r="E192" s="943"/>
      <c r="F192" s="943"/>
      <c r="G192" s="943"/>
      <c r="H192" s="943"/>
      <c r="I192" s="943"/>
      <c r="J192" s="943"/>
      <c r="K192" s="943"/>
      <c r="L192" s="943"/>
      <c r="M192" s="943"/>
      <c r="N192" s="943"/>
      <c r="O192" s="943"/>
      <c r="P192" s="943"/>
      <c r="Q192" s="943"/>
      <c r="R192" s="943"/>
      <c r="S192" s="943"/>
    </row>
    <row r="193" spans="1:19">
      <c r="A193" s="954">
        <f>A192+1</f>
        <v>18</v>
      </c>
      <c r="B193" s="204" t="s">
        <v>739</v>
      </c>
      <c r="C193" s="943"/>
      <c r="D193" s="943"/>
      <c r="E193" s="943"/>
      <c r="F193" s="943"/>
      <c r="G193" s="943"/>
      <c r="H193" s="943"/>
      <c r="I193" s="943"/>
      <c r="J193" s="943"/>
      <c r="K193" s="943"/>
      <c r="L193" s="943"/>
      <c r="M193" s="943"/>
      <c r="N193" s="943"/>
      <c r="O193" s="943"/>
      <c r="P193" s="943"/>
      <c r="Q193" s="768"/>
      <c r="R193" s="943"/>
      <c r="S193" s="943"/>
    </row>
    <row r="194" spans="1:19">
      <c r="A194" s="972">
        <f>A193+0.01</f>
        <v>18.010000000000002</v>
      </c>
      <c r="B194" s="768"/>
      <c r="C194" s="943">
        <f>SUM(M194:O194)</f>
        <v>0</v>
      </c>
      <c r="D194" s="943">
        <f>SUM(Q194:S194)</f>
        <v>0</v>
      </c>
      <c r="E194" s="943"/>
      <c r="F194" s="943"/>
      <c r="G194" s="943">
        <f>ROUND(SUM(C194:F194)/2,0)</f>
        <v>0</v>
      </c>
      <c r="H194" s="943"/>
      <c r="I194" s="943">
        <f t="shared" ref="I194:K195" si="24">(M194+Q194)/2</f>
        <v>0</v>
      </c>
      <c r="J194" s="943">
        <f t="shared" si="24"/>
        <v>0</v>
      </c>
      <c r="K194" s="943">
        <f t="shared" si="24"/>
        <v>0</v>
      </c>
      <c r="L194" s="943"/>
      <c r="M194" s="768"/>
      <c r="N194" s="768"/>
      <c r="O194" s="768"/>
      <c r="P194" s="943"/>
      <c r="Q194" s="768"/>
      <c r="R194" s="768"/>
      <c r="S194" s="768"/>
    </row>
    <row r="195" spans="1:19">
      <c r="A195" s="972">
        <f>A194+0.01</f>
        <v>18.020000000000003</v>
      </c>
      <c r="B195" s="768"/>
      <c r="C195" s="943">
        <f>SUM(M195:O195)</f>
        <v>0</v>
      </c>
      <c r="D195" s="943">
        <f>SUM(Q195:S195)</f>
        <v>0</v>
      </c>
      <c r="E195" s="943"/>
      <c r="F195" s="943"/>
      <c r="G195" s="943">
        <f>ROUND(SUM(C195:F195)/2,0)</f>
        <v>0</v>
      </c>
      <c r="H195" s="943"/>
      <c r="I195" s="943">
        <f t="shared" si="24"/>
        <v>0</v>
      </c>
      <c r="J195" s="943">
        <f t="shared" si="24"/>
        <v>0</v>
      </c>
      <c r="K195" s="943">
        <f t="shared" si="24"/>
        <v>0</v>
      </c>
      <c r="L195" s="943"/>
      <c r="M195" s="768"/>
      <c r="N195" s="768"/>
      <c r="O195" s="768"/>
      <c r="P195" s="943"/>
      <c r="Q195" s="768"/>
      <c r="R195" s="768"/>
      <c r="S195" s="768"/>
    </row>
    <row r="196" spans="1:19">
      <c r="A196" s="954">
        <f>INT(A195)+1</f>
        <v>19</v>
      </c>
      <c r="B196" s="934"/>
      <c r="C196" s="943"/>
      <c r="D196" s="943"/>
      <c r="E196" s="943"/>
      <c r="F196" s="943"/>
      <c r="G196" s="943"/>
      <c r="H196" s="943"/>
      <c r="I196" s="943"/>
      <c r="J196" s="943"/>
      <c r="K196" s="943"/>
      <c r="L196" s="943"/>
      <c r="M196" s="943"/>
      <c r="N196" s="943"/>
      <c r="O196" s="943"/>
      <c r="P196" s="943"/>
      <c r="Q196" s="943"/>
      <c r="R196" s="943"/>
      <c r="S196" s="943"/>
    </row>
    <row r="197" spans="1:19">
      <c r="A197" s="954">
        <f>A196+1</f>
        <v>20</v>
      </c>
      <c r="B197" s="204" t="s">
        <v>740</v>
      </c>
      <c r="C197" s="946">
        <f>SUM(C194:C196)</f>
        <v>0</v>
      </c>
      <c r="D197" s="946">
        <f>SUM(D194:D196)</f>
        <v>0</v>
      </c>
      <c r="E197" s="946">
        <f>SUM(E194:E196)</f>
        <v>0</v>
      </c>
      <c r="F197" s="946">
        <f>SUM(F194:F196)</f>
        <v>0</v>
      </c>
      <c r="G197" s="946">
        <f>SUM(G194:G196)</f>
        <v>0</v>
      </c>
      <c r="H197" s="943"/>
      <c r="I197" s="946">
        <f>SUM(I194:I196)</f>
        <v>0</v>
      </c>
      <c r="J197" s="946">
        <f>SUM(J194:J196)</f>
        <v>0</v>
      </c>
      <c r="K197" s="946">
        <f>SUM(K194:K196)</f>
        <v>0</v>
      </c>
      <c r="L197" s="943"/>
      <c r="M197" s="946">
        <f>SUM(M194:M196)</f>
        <v>0</v>
      </c>
      <c r="N197" s="946">
        <f>SUM(N194:N196)</f>
        <v>0</v>
      </c>
      <c r="O197" s="946">
        <f>SUM(O194:O196)</f>
        <v>0</v>
      </c>
      <c r="P197" s="943"/>
      <c r="Q197" s="946">
        <f>SUM(Q194:Q196)</f>
        <v>0</v>
      </c>
      <c r="R197" s="946">
        <f>SUM(R194:R196)</f>
        <v>0</v>
      </c>
      <c r="S197" s="946">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10"/>
  <sheetViews>
    <sheetView view="pageBreakPreview" zoomScale="60" zoomScaleNormal="100" workbookViewId="0">
      <selection activeCell="F4" sqref="A4:F5"/>
    </sheetView>
  </sheetViews>
  <sheetFormatPr defaultRowHeight="12.75" customHeight="1"/>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8" max="8" width="2.5703125" customWidth="1"/>
    <col min="9" max="9" width="13.140625" bestFit="1" customWidth="1"/>
    <col min="10" max="10" width="15" bestFit="1" customWidth="1"/>
    <col min="11" max="11" width="13.5703125" bestFit="1" customWidth="1"/>
    <col min="12" max="12" width="2.85546875" customWidth="1"/>
    <col min="13" max="13" width="13.140625" bestFit="1" customWidth="1"/>
    <col min="14" max="14" width="15" bestFit="1" customWidth="1"/>
    <col min="15" max="15" width="13.5703125" bestFit="1" customWidth="1"/>
    <col min="16" max="16" width="2.85546875" customWidth="1"/>
    <col min="17" max="17" width="13.140625" bestFit="1" customWidth="1"/>
    <col min="18" max="18" width="15" bestFit="1" customWidth="1"/>
    <col min="19" max="19" width="13.5703125" bestFit="1" customWidth="1"/>
  </cols>
  <sheetData>
    <row r="1" spans="1:19">
      <c r="A1" s="955"/>
      <c r="B1" s="1018" t="str">
        <f>TCOS!F9</f>
        <v>Appalachian Power Company</v>
      </c>
      <c r="C1" s="956"/>
      <c r="D1" s="956"/>
      <c r="E1" s="956"/>
      <c r="F1" s="933"/>
      <c r="G1" s="204"/>
      <c r="H1" s="204"/>
      <c r="I1" s="204"/>
      <c r="J1" s="204"/>
      <c r="K1" s="204"/>
      <c r="L1" s="204"/>
      <c r="M1" s="933"/>
      <c r="N1" s="933"/>
      <c r="O1" s="204"/>
      <c r="P1" s="933"/>
      <c r="Q1" s="933"/>
      <c r="R1" s="933"/>
      <c r="S1" s="204"/>
    </row>
    <row r="2" spans="1:19">
      <c r="A2" s="955"/>
      <c r="B2" s="932" t="s">
        <v>825</v>
      </c>
      <c r="C2" s="956"/>
      <c r="D2" s="956"/>
      <c r="E2" s="956"/>
      <c r="F2" s="956"/>
      <c r="G2" s="957"/>
      <c r="H2" s="957"/>
      <c r="I2" s="957"/>
      <c r="J2" s="957"/>
      <c r="K2" s="957"/>
      <c r="L2" s="957"/>
      <c r="M2" s="933"/>
      <c r="N2" s="933"/>
      <c r="O2" s="957"/>
      <c r="P2" s="933"/>
      <c r="Q2" s="933"/>
      <c r="R2" s="933"/>
      <c r="S2" s="957"/>
    </row>
    <row r="3" spans="1:19">
      <c r="A3" s="955"/>
      <c r="B3" s="932" t="str">
        <f>"PERIOD ENDED DECEMBER 31, "&amp;TCOS!L4</f>
        <v>PERIOD ENDED DECEMBER 31, 2024</v>
      </c>
      <c r="C3" s="956"/>
      <c r="D3" s="956"/>
      <c r="E3" s="956"/>
      <c r="F3" s="956"/>
      <c r="G3" s="956"/>
      <c r="H3" s="956"/>
      <c r="I3" s="956"/>
      <c r="J3" s="956"/>
      <c r="K3" s="956"/>
      <c r="L3" s="956"/>
      <c r="M3" s="933"/>
      <c r="N3" s="933"/>
      <c r="O3" s="933"/>
      <c r="P3" s="933"/>
      <c r="Q3" s="933"/>
      <c r="R3" s="933"/>
      <c r="S3" s="933"/>
    </row>
    <row r="4" spans="1:19">
      <c r="A4" s="955"/>
      <c r="B4" s="942"/>
      <c r="C4" s="956"/>
      <c r="D4" s="956"/>
      <c r="E4" s="956"/>
      <c r="F4" s="956"/>
      <c r="G4" s="1" t="s">
        <v>741</v>
      </c>
      <c r="H4" s="956"/>
      <c r="I4" s="956"/>
      <c r="J4" s="956"/>
      <c r="K4" s="956"/>
      <c r="L4" s="956"/>
      <c r="M4" s="933"/>
      <c r="N4" s="933"/>
      <c r="O4" s="933"/>
      <c r="P4" s="933"/>
      <c r="Q4" s="933"/>
      <c r="R4" s="933"/>
      <c r="S4" s="933"/>
    </row>
    <row r="5" spans="1:19">
      <c r="A5" s="955"/>
      <c r="B5" s="935"/>
      <c r="C5" s="956"/>
      <c r="D5" s="956"/>
      <c r="E5" s="956"/>
      <c r="F5" s="956"/>
      <c r="G5" s="956"/>
      <c r="H5" s="956"/>
      <c r="I5" s="956"/>
      <c r="J5" s="956"/>
      <c r="K5" s="956"/>
      <c r="L5" s="956"/>
      <c r="M5" s="933"/>
      <c r="N5" s="933"/>
      <c r="O5" s="933"/>
      <c r="P5" s="933"/>
      <c r="Q5" s="933"/>
      <c r="R5" s="933"/>
      <c r="S5" s="933"/>
    </row>
    <row r="6" spans="1:19">
      <c r="A6" s="955"/>
      <c r="B6" s="933"/>
      <c r="C6" s="956"/>
      <c r="D6" s="956"/>
      <c r="E6" s="956"/>
      <c r="F6" s="956"/>
      <c r="G6" s="956"/>
      <c r="H6" s="1"/>
      <c r="I6" s="1"/>
      <c r="J6" s="1"/>
      <c r="K6" s="1"/>
      <c r="L6" s="1"/>
      <c r="M6" s="933"/>
      <c r="N6" s="933"/>
      <c r="O6" s="933"/>
      <c r="P6" s="933"/>
      <c r="Q6" s="933"/>
      <c r="R6" s="933"/>
      <c r="S6" s="933"/>
    </row>
    <row r="7" spans="1:19">
      <c r="A7" s="955"/>
      <c r="B7" s="933"/>
      <c r="C7" s="956"/>
      <c r="D7" s="956"/>
      <c r="E7" s="956"/>
      <c r="F7" s="956"/>
      <c r="G7" s="956"/>
      <c r="H7" s="956"/>
      <c r="I7" s="956"/>
      <c r="J7" s="956"/>
      <c r="K7" s="956"/>
      <c r="L7" s="956"/>
      <c r="M7" s="933"/>
      <c r="N7" s="933"/>
      <c r="O7" s="933"/>
      <c r="P7" s="933"/>
      <c r="Q7" s="933"/>
      <c r="R7" s="933"/>
      <c r="S7" s="933"/>
    </row>
    <row r="8" spans="1:19">
      <c r="A8" s="955"/>
      <c r="B8" s="936" t="s">
        <v>701</v>
      </c>
      <c r="C8" s="958" t="s">
        <v>702</v>
      </c>
      <c r="D8" s="958" t="s">
        <v>703</v>
      </c>
      <c r="E8" s="958" t="s">
        <v>704</v>
      </c>
      <c r="F8" s="958" t="s">
        <v>705</v>
      </c>
      <c r="G8" s="958" t="s">
        <v>706</v>
      </c>
      <c r="H8" s="958"/>
      <c r="I8" s="958" t="s">
        <v>707</v>
      </c>
      <c r="J8" s="958" t="s">
        <v>708</v>
      </c>
      <c r="K8" s="958" t="s">
        <v>709</v>
      </c>
      <c r="L8" s="958"/>
      <c r="M8" s="936" t="s">
        <v>710</v>
      </c>
      <c r="N8" s="936" t="s">
        <v>711</v>
      </c>
      <c r="O8" s="936" t="s">
        <v>712</v>
      </c>
      <c r="P8" s="933"/>
      <c r="Q8" s="936" t="s">
        <v>713</v>
      </c>
      <c r="R8" s="936" t="s">
        <v>714</v>
      </c>
      <c r="S8" s="936" t="s">
        <v>715</v>
      </c>
    </row>
    <row r="9" spans="1:19">
      <c r="A9" s="955"/>
      <c r="B9" s="933"/>
      <c r="C9" s="956"/>
      <c r="D9" s="956"/>
      <c r="E9" s="956"/>
      <c r="F9" s="956"/>
      <c r="G9" s="956"/>
      <c r="H9" s="956"/>
      <c r="I9" s="956"/>
      <c r="J9" s="956"/>
      <c r="K9" s="956"/>
      <c r="L9" s="956"/>
      <c r="M9" s="933"/>
      <c r="N9" s="933"/>
      <c r="O9" s="933"/>
      <c r="P9" s="933"/>
      <c r="Q9" s="933"/>
      <c r="R9" s="933"/>
      <c r="S9" s="933"/>
    </row>
    <row r="10" spans="1:19">
      <c r="A10" s="955"/>
      <c r="B10" s="933"/>
      <c r="C10" s="959" t="s">
        <v>716</v>
      </c>
      <c r="D10" s="959"/>
      <c r="E10" s="960" t="s">
        <v>717</v>
      </c>
      <c r="F10" s="959"/>
      <c r="G10" s="961" t="s">
        <v>718</v>
      </c>
      <c r="H10" s="961"/>
      <c r="I10" s="962" t="s">
        <v>719</v>
      </c>
      <c r="J10" s="959"/>
      <c r="K10" s="959"/>
      <c r="L10" s="961"/>
      <c r="M10" s="940" t="str">
        <f>"FUNCTIONALIZATION 12/31/"&amp;TCOS!L4-1</f>
        <v>FUNCTIONALIZATION 12/31/2023</v>
      </c>
      <c r="N10" s="937"/>
      <c r="O10" s="937"/>
      <c r="P10" s="933"/>
      <c r="Q10" s="940" t="str">
        <f>"FUNCTIONALIZATION 12/31/"&amp;TCOS!L4</f>
        <v>FUNCTIONALIZATION 12/31/2024</v>
      </c>
      <c r="R10" s="937"/>
      <c r="S10" s="937"/>
    </row>
    <row r="11" spans="1:19">
      <c r="A11" s="955"/>
      <c r="B11" s="933"/>
      <c r="C11" s="963"/>
      <c r="D11" s="963"/>
      <c r="E11" s="956"/>
      <c r="F11" s="956"/>
      <c r="G11" s="961" t="s">
        <v>720</v>
      </c>
      <c r="H11" s="961"/>
      <c r="I11" s="963"/>
      <c r="J11" s="963"/>
      <c r="K11" s="963"/>
      <c r="L11" s="961"/>
      <c r="M11" s="941"/>
      <c r="N11" s="941"/>
      <c r="O11" s="941"/>
      <c r="P11" s="933"/>
      <c r="Q11" s="941"/>
      <c r="R11" s="941"/>
      <c r="S11" s="941"/>
    </row>
    <row r="12" spans="1:19">
      <c r="A12" s="955"/>
      <c r="B12" s="933"/>
      <c r="C12" s="961" t="s">
        <v>721</v>
      </c>
      <c r="D12" s="961" t="s">
        <v>721</v>
      </c>
      <c r="E12" s="961" t="s">
        <v>721</v>
      </c>
      <c r="F12" s="961" t="s">
        <v>721</v>
      </c>
      <c r="G12" s="961" t="s">
        <v>722</v>
      </c>
      <c r="H12" s="961"/>
      <c r="I12" s="956"/>
      <c r="J12" s="956"/>
      <c r="K12" s="956"/>
      <c r="L12" s="961"/>
      <c r="M12" s="933"/>
      <c r="N12" s="933"/>
      <c r="O12" s="933"/>
      <c r="P12" s="933"/>
      <c r="Q12" s="933"/>
      <c r="R12" s="933"/>
      <c r="S12" s="933"/>
    </row>
    <row r="13" spans="1:19">
      <c r="A13" s="955"/>
      <c r="B13" s="936" t="s">
        <v>723</v>
      </c>
      <c r="C13" s="958" t="str">
        <f>"OF 12-31-"&amp;TCOS!L4-1</f>
        <v>OF 12-31-2023</v>
      </c>
      <c r="D13" s="958" t="str">
        <f>"OF 12-31-"&amp;TCOS!L4</f>
        <v>OF 12-31-2024</v>
      </c>
      <c r="E13" s="958" t="str">
        <f>"OF 12-31-"&amp;TCOS!L4-1</f>
        <v>OF 12-31-2023</v>
      </c>
      <c r="F13" s="958" t="str">
        <f>"OF 12-31-"&amp;TCOS!L4</f>
        <v>OF 12-31-2024</v>
      </c>
      <c r="G13" s="958" t="s">
        <v>724</v>
      </c>
      <c r="H13" s="958"/>
      <c r="I13" s="958" t="s">
        <v>725</v>
      </c>
      <c r="J13" s="958" t="s">
        <v>726</v>
      </c>
      <c r="K13" s="958" t="s">
        <v>727</v>
      </c>
      <c r="L13" s="958"/>
      <c r="M13" s="936" t="s">
        <v>725</v>
      </c>
      <c r="N13" s="936" t="s">
        <v>726</v>
      </c>
      <c r="O13" s="936" t="s">
        <v>727</v>
      </c>
      <c r="P13" s="933"/>
      <c r="Q13" s="936" t="s">
        <v>725</v>
      </c>
      <c r="R13" s="936" t="s">
        <v>726</v>
      </c>
      <c r="S13" s="936" t="s">
        <v>727</v>
      </c>
    </row>
    <row r="14" spans="1:19">
      <c r="A14" s="955"/>
      <c r="B14" s="933"/>
      <c r="C14" s="956"/>
      <c r="D14" s="956"/>
      <c r="E14" s="956"/>
      <c r="F14" s="956"/>
      <c r="G14" s="956"/>
      <c r="H14" s="956"/>
      <c r="I14" s="956"/>
      <c r="J14" s="956"/>
      <c r="K14" s="956"/>
      <c r="L14" s="956"/>
      <c r="M14" s="933"/>
      <c r="N14" s="933"/>
      <c r="O14" s="933"/>
      <c r="P14" s="933"/>
      <c r="Q14" s="933"/>
      <c r="R14" s="933"/>
      <c r="S14" s="933"/>
    </row>
    <row r="15" spans="1:19">
      <c r="A15" s="964">
        <v>1</v>
      </c>
      <c r="B15" s="949" t="s">
        <v>742</v>
      </c>
      <c r="C15" s="943"/>
      <c r="D15" s="943"/>
      <c r="E15" s="943"/>
      <c r="F15" s="944"/>
      <c r="G15" s="943"/>
      <c r="H15" s="943"/>
      <c r="I15" s="943"/>
      <c r="J15" s="943"/>
      <c r="K15" s="943"/>
      <c r="L15" s="943"/>
      <c r="M15" s="943"/>
      <c r="N15" s="943"/>
      <c r="O15" s="943"/>
      <c r="P15" s="943"/>
      <c r="Q15" s="943"/>
      <c r="R15" s="943"/>
      <c r="S15" s="943"/>
    </row>
    <row r="16" spans="1:19">
      <c r="A16" s="964"/>
      <c r="B16" s="943"/>
      <c r="C16" s="943"/>
      <c r="D16" s="943"/>
      <c r="E16" s="943"/>
      <c r="F16" s="943"/>
      <c r="G16" s="943"/>
      <c r="H16" s="943"/>
      <c r="I16" s="943"/>
      <c r="J16" s="943"/>
      <c r="K16" s="943"/>
      <c r="L16" s="943"/>
      <c r="M16" s="943"/>
      <c r="N16" s="943"/>
      <c r="O16" s="943"/>
      <c r="P16" s="943"/>
      <c r="Q16" s="943"/>
      <c r="R16" s="943"/>
      <c r="S16" s="943"/>
    </row>
    <row r="17" spans="1:19">
      <c r="A17" s="972">
        <v>2.0099999999999998</v>
      </c>
      <c r="B17" s="768"/>
      <c r="C17" s="943">
        <f t="shared" ref="C17:C80" si="0">SUM(M17:O17)</f>
        <v>0</v>
      </c>
      <c r="D17" s="943">
        <f t="shared" ref="D17:D80" si="1">SUM(Q17:S17)</f>
        <v>0</v>
      </c>
      <c r="E17" s="943"/>
      <c r="F17" s="943"/>
      <c r="G17" s="943">
        <f t="shared" ref="G17:G80" si="2">ROUND(SUM(C17:F17)/2,0)</f>
        <v>0</v>
      </c>
      <c r="H17" s="943"/>
      <c r="I17" s="943">
        <f t="shared" ref="I17:K48" si="3">(M17+Q17)/2</f>
        <v>0</v>
      </c>
      <c r="J17" s="943">
        <f t="shared" si="3"/>
        <v>0</v>
      </c>
      <c r="K17" s="943">
        <f t="shared" si="3"/>
        <v>0</v>
      </c>
      <c r="L17" s="943"/>
      <c r="M17" s="768"/>
      <c r="N17" s="768"/>
      <c r="O17" s="768"/>
      <c r="P17" s="943"/>
      <c r="Q17" s="768"/>
      <c r="R17" s="768"/>
      <c r="S17" s="768"/>
    </row>
    <row r="18" spans="1:19">
      <c r="A18" s="972">
        <f>A17+0.01</f>
        <v>2.0199999999999996</v>
      </c>
      <c r="B18" s="768"/>
      <c r="C18" s="943">
        <f t="shared" si="0"/>
        <v>0</v>
      </c>
      <c r="D18" s="943">
        <f t="shared" si="1"/>
        <v>0</v>
      </c>
      <c r="E18" s="943"/>
      <c r="F18" s="943"/>
      <c r="G18" s="943">
        <f t="shared" si="2"/>
        <v>0</v>
      </c>
      <c r="H18" s="943"/>
      <c r="I18" s="943">
        <f t="shared" si="3"/>
        <v>0</v>
      </c>
      <c r="J18" s="943">
        <f t="shared" si="3"/>
        <v>0</v>
      </c>
      <c r="K18" s="943">
        <f t="shared" si="3"/>
        <v>0</v>
      </c>
      <c r="L18" s="943"/>
      <c r="M18" s="768"/>
      <c r="N18" s="768"/>
      <c r="O18" s="768"/>
      <c r="P18" s="943"/>
      <c r="Q18" s="768"/>
      <c r="R18" s="768"/>
      <c r="S18" s="768"/>
    </row>
    <row r="19" spans="1:19">
      <c r="A19" s="972">
        <f t="shared" ref="A19:A82" si="4">A18+0.01</f>
        <v>2.0299999999999994</v>
      </c>
      <c r="B19" s="768"/>
      <c r="C19" s="943">
        <f t="shared" si="0"/>
        <v>0</v>
      </c>
      <c r="D19" s="943">
        <f t="shared" si="1"/>
        <v>0</v>
      </c>
      <c r="E19" s="943"/>
      <c r="F19" s="943"/>
      <c r="G19" s="943">
        <f t="shared" si="2"/>
        <v>0</v>
      </c>
      <c r="H19" s="943"/>
      <c r="I19" s="943">
        <f t="shared" si="3"/>
        <v>0</v>
      </c>
      <c r="J19" s="943">
        <f t="shared" si="3"/>
        <v>0</v>
      </c>
      <c r="K19" s="943">
        <f t="shared" si="3"/>
        <v>0</v>
      </c>
      <c r="L19" s="943"/>
      <c r="M19" s="768"/>
      <c r="N19" s="768"/>
      <c r="O19" s="768"/>
      <c r="P19" s="943"/>
      <c r="Q19" s="768"/>
      <c r="R19" s="768"/>
      <c r="S19" s="768"/>
    </row>
    <row r="20" spans="1:19">
      <c r="A20" s="972">
        <f t="shared" si="4"/>
        <v>2.0399999999999991</v>
      </c>
      <c r="B20" s="768"/>
      <c r="C20" s="943">
        <f t="shared" si="0"/>
        <v>0</v>
      </c>
      <c r="D20" s="943">
        <f t="shared" si="1"/>
        <v>0</v>
      </c>
      <c r="E20" s="943"/>
      <c r="F20" s="943"/>
      <c r="G20" s="943">
        <f t="shared" si="2"/>
        <v>0</v>
      </c>
      <c r="H20" s="943"/>
      <c r="I20" s="943">
        <f t="shared" si="3"/>
        <v>0</v>
      </c>
      <c r="J20" s="943">
        <f t="shared" si="3"/>
        <v>0</v>
      </c>
      <c r="K20" s="943">
        <f t="shared" si="3"/>
        <v>0</v>
      </c>
      <c r="L20" s="943"/>
      <c r="M20" s="768"/>
      <c r="N20" s="768"/>
      <c r="O20" s="768"/>
      <c r="P20" s="943"/>
      <c r="Q20" s="768"/>
      <c r="R20" s="768"/>
      <c r="S20" s="768"/>
    </row>
    <row r="21" spans="1:19">
      <c r="A21" s="972">
        <f t="shared" si="4"/>
        <v>2.0499999999999989</v>
      </c>
      <c r="B21" s="768"/>
      <c r="C21" s="943">
        <f t="shared" si="0"/>
        <v>0</v>
      </c>
      <c r="D21" s="943">
        <f t="shared" si="1"/>
        <v>0</v>
      </c>
      <c r="E21" s="943"/>
      <c r="F21" s="943"/>
      <c r="G21" s="943">
        <f t="shared" si="2"/>
        <v>0</v>
      </c>
      <c r="H21" s="943"/>
      <c r="I21" s="943">
        <f t="shared" si="3"/>
        <v>0</v>
      </c>
      <c r="J21" s="943">
        <f t="shared" si="3"/>
        <v>0</v>
      </c>
      <c r="K21" s="943">
        <f t="shared" si="3"/>
        <v>0</v>
      </c>
      <c r="L21" s="943"/>
      <c r="M21" s="768"/>
      <c r="N21" s="768"/>
      <c r="O21" s="768"/>
      <c r="P21" s="943"/>
      <c r="Q21" s="768"/>
      <c r="R21" s="768"/>
      <c r="S21" s="768"/>
    </row>
    <row r="22" spans="1:19">
      <c r="A22" s="972">
        <f t="shared" si="4"/>
        <v>2.0599999999999987</v>
      </c>
      <c r="B22" s="768"/>
      <c r="C22" s="943">
        <f t="shared" si="0"/>
        <v>0</v>
      </c>
      <c r="D22" s="943">
        <f t="shared" si="1"/>
        <v>0</v>
      </c>
      <c r="E22" s="943"/>
      <c r="F22" s="943"/>
      <c r="G22" s="943">
        <f t="shared" si="2"/>
        <v>0</v>
      </c>
      <c r="H22" s="943"/>
      <c r="I22" s="943">
        <f t="shared" si="3"/>
        <v>0</v>
      </c>
      <c r="J22" s="943">
        <f t="shared" si="3"/>
        <v>0</v>
      </c>
      <c r="K22" s="943">
        <f t="shared" si="3"/>
        <v>0</v>
      </c>
      <c r="L22" s="943"/>
      <c r="M22" s="768"/>
      <c r="N22" s="768"/>
      <c r="O22" s="768"/>
      <c r="P22" s="943"/>
      <c r="Q22" s="768"/>
      <c r="R22" s="768"/>
      <c r="S22" s="768"/>
    </row>
    <row r="23" spans="1:19">
      <c r="A23" s="972">
        <f t="shared" si="4"/>
        <v>2.0699999999999985</v>
      </c>
      <c r="B23" s="768"/>
      <c r="C23" s="943">
        <f t="shared" si="0"/>
        <v>0</v>
      </c>
      <c r="D23" s="943">
        <f t="shared" si="1"/>
        <v>0</v>
      </c>
      <c r="E23" s="943"/>
      <c r="F23" s="943"/>
      <c r="G23" s="943">
        <f t="shared" si="2"/>
        <v>0</v>
      </c>
      <c r="H23" s="943"/>
      <c r="I23" s="943">
        <f t="shared" si="3"/>
        <v>0</v>
      </c>
      <c r="J23" s="943">
        <f t="shared" si="3"/>
        <v>0</v>
      </c>
      <c r="K23" s="943">
        <f t="shared" si="3"/>
        <v>0</v>
      </c>
      <c r="L23" s="943"/>
      <c r="M23" s="768"/>
      <c r="N23" s="768"/>
      <c r="O23" s="768"/>
      <c r="P23" s="943"/>
      <c r="Q23" s="768"/>
      <c r="R23" s="768"/>
      <c r="S23" s="768"/>
    </row>
    <row r="24" spans="1:19">
      <c r="A24" s="972">
        <f t="shared" si="4"/>
        <v>2.0799999999999983</v>
      </c>
      <c r="B24" s="768"/>
      <c r="C24" s="943">
        <f t="shared" si="0"/>
        <v>0</v>
      </c>
      <c r="D24" s="943">
        <f t="shared" si="1"/>
        <v>0</v>
      </c>
      <c r="E24" s="943"/>
      <c r="F24" s="943"/>
      <c r="G24" s="943">
        <f t="shared" si="2"/>
        <v>0</v>
      </c>
      <c r="H24" s="943"/>
      <c r="I24" s="943">
        <f t="shared" si="3"/>
        <v>0</v>
      </c>
      <c r="J24" s="943">
        <f t="shared" si="3"/>
        <v>0</v>
      </c>
      <c r="K24" s="943">
        <f t="shared" si="3"/>
        <v>0</v>
      </c>
      <c r="L24" s="943"/>
      <c r="M24" s="768"/>
      <c r="N24" s="768"/>
      <c r="O24" s="768"/>
      <c r="P24" s="943"/>
      <c r="Q24" s="768"/>
      <c r="R24" s="768"/>
      <c r="S24" s="768"/>
    </row>
    <row r="25" spans="1:19">
      <c r="A25" s="972">
        <f t="shared" si="4"/>
        <v>2.0899999999999981</v>
      </c>
      <c r="B25" s="768"/>
      <c r="C25" s="943">
        <f t="shared" si="0"/>
        <v>0</v>
      </c>
      <c r="D25" s="943">
        <f t="shared" si="1"/>
        <v>0</v>
      </c>
      <c r="E25" s="943"/>
      <c r="F25" s="943"/>
      <c r="G25" s="943">
        <f t="shared" si="2"/>
        <v>0</v>
      </c>
      <c r="H25" s="943"/>
      <c r="I25" s="943">
        <f t="shared" si="3"/>
        <v>0</v>
      </c>
      <c r="J25" s="943">
        <f t="shared" si="3"/>
        <v>0</v>
      </c>
      <c r="K25" s="943">
        <f t="shared" si="3"/>
        <v>0</v>
      </c>
      <c r="L25" s="943"/>
      <c r="M25" s="768"/>
      <c r="N25" s="768"/>
      <c r="O25" s="768"/>
      <c r="P25" s="943"/>
      <c r="Q25" s="768"/>
      <c r="R25" s="768"/>
      <c r="S25" s="768"/>
    </row>
    <row r="26" spans="1:19">
      <c r="A26" s="972">
        <f t="shared" si="4"/>
        <v>2.0999999999999979</v>
      </c>
      <c r="B26" s="768"/>
      <c r="C26" s="943">
        <f t="shared" si="0"/>
        <v>0</v>
      </c>
      <c r="D26" s="943">
        <f t="shared" si="1"/>
        <v>0</v>
      </c>
      <c r="E26" s="943"/>
      <c r="F26" s="943"/>
      <c r="G26" s="943">
        <f t="shared" si="2"/>
        <v>0</v>
      </c>
      <c r="H26" s="943"/>
      <c r="I26" s="943">
        <f t="shared" si="3"/>
        <v>0</v>
      </c>
      <c r="J26" s="943">
        <f t="shared" si="3"/>
        <v>0</v>
      </c>
      <c r="K26" s="943">
        <f t="shared" si="3"/>
        <v>0</v>
      </c>
      <c r="L26" s="943"/>
      <c r="M26" s="768"/>
      <c r="N26" s="768"/>
      <c r="O26" s="768"/>
      <c r="P26" s="943"/>
      <c r="Q26" s="768"/>
      <c r="R26" s="768"/>
      <c r="S26" s="768"/>
    </row>
    <row r="27" spans="1:19" hidden="1">
      <c r="A27" s="972">
        <f t="shared" si="4"/>
        <v>2.1099999999999977</v>
      </c>
      <c r="B27" s="768"/>
      <c r="C27" s="943">
        <f t="shared" si="0"/>
        <v>0</v>
      </c>
      <c r="D27" s="943">
        <f t="shared" si="1"/>
        <v>0</v>
      </c>
      <c r="E27" s="943"/>
      <c r="F27" s="943"/>
      <c r="G27" s="943">
        <f t="shared" si="2"/>
        <v>0</v>
      </c>
      <c r="H27" s="943"/>
      <c r="I27" s="943">
        <f t="shared" si="3"/>
        <v>0</v>
      </c>
      <c r="J27" s="943">
        <f t="shared" si="3"/>
        <v>0</v>
      </c>
      <c r="K27" s="943">
        <f t="shared" si="3"/>
        <v>0</v>
      </c>
      <c r="L27" s="943"/>
      <c r="M27" s="768"/>
      <c r="N27" s="768"/>
      <c r="O27" s="768"/>
      <c r="P27" s="943"/>
      <c r="Q27" s="768"/>
      <c r="R27" s="768"/>
      <c r="S27" s="768"/>
    </row>
    <row r="28" spans="1:19" hidden="1">
      <c r="A28" s="972">
        <f t="shared" si="4"/>
        <v>2.1199999999999974</v>
      </c>
      <c r="B28" s="768"/>
      <c r="C28" s="943">
        <f t="shared" si="0"/>
        <v>0</v>
      </c>
      <c r="D28" s="943">
        <f t="shared" si="1"/>
        <v>0</v>
      </c>
      <c r="E28" s="943"/>
      <c r="F28" s="943"/>
      <c r="G28" s="943">
        <f t="shared" si="2"/>
        <v>0</v>
      </c>
      <c r="H28" s="943"/>
      <c r="I28" s="943">
        <f t="shared" si="3"/>
        <v>0</v>
      </c>
      <c r="J28" s="943">
        <f t="shared" si="3"/>
        <v>0</v>
      </c>
      <c r="K28" s="943">
        <f t="shared" si="3"/>
        <v>0</v>
      </c>
      <c r="L28" s="943"/>
      <c r="M28" s="768"/>
      <c r="N28" s="768"/>
      <c r="O28" s="768"/>
      <c r="P28" s="943"/>
      <c r="Q28" s="768"/>
      <c r="R28" s="768"/>
      <c r="S28" s="768"/>
    </row>
    <row r="29" spans="1:19" hidden="1">
      <c r="A29" s="972">
        <f t="shared" si="4"/>
        <v>2.1299999999999972</v>
      </c>
      <c r="B29" s="768"/>
      <c r="C29" s="943">
        <f t="shared" si="0"/>
        <v>0</v>
      </c>
      <c r="D29" s="943">
        <f t="shared" si="1"/>
        <v>0</v>
      </c>
      <c r="E29" s="943"/>
      <c r="F29" s="943"/>
      <c r="G29" s="943">
        <f t="shared" si="2"/>
        <v>0</v>
      </c>
      <c r="H29" s="943"/>
      <c r="I29" s="943">
        <f t="shared" si="3"/>
        <v>0</v>
      </c>
      <c r="J29" s="943">
        <f t="shared" si="3"/>
        <v>0</v>
      </c>
      <c r="K29" s="943">
        <f t="shared" si="3"/>
        <v>0</v>
      </c>
      <c r="L29" s="943"/>
      <c r="M29" s="768"/>
      <c r="N29" s="768"/>
      <c r="O29" s="768"/>
      <c r="P29" s="943"/>
      <c r="Q29" s="768"/>
      <c r="R29" s="768"/>
      <c r="S29" s="768"/>
    </row>
    <row r="30" spans="1:19" hidden="1">
      <c r="A30" s="972">
        <f t="shared" si="4"/>
        <v>2.139999999999997</v>
      </c>
      <c r="B30" s="768"/>
      <c r="C30" s="943">
        <f t="shared" si="0"/>
        <v>0</v>
      </c>
      <c r="D30" s="943">
        <f t="shared" si="1"/>
        <v>0</v>
      </c>
      <c r="E30" s="943"/>
      <c r="F30" s="943"/>
      <c r="G30" s="943">
        <f t="shared" si="2"/>
        <v>0</v>
      </c>
      <c r="H30" s="943"/>
      <c r="I30" s="943">
        <f t="shared" si="3"/>
        <v>0</v>
      </c>
      <c r="J30" s="943">
        <f t="shared" si="3"/>
        <v>0</v>
      </c>
      <c r="K30" s="943">
        <f t="shared" si="3"/>
        <v>0</v>
      </c>
      <c r="L30" s="943"/>
      <c r="M30" s="768"/>
      <c r="N30" s="768"/>
      <c r="O30" s="768"/>
      <c r="P30" s="943"/>
      <c r="Q30" s="768"/>
      <c r="R30" s="768"/>
      <c r="S30" s="768"/>
    </row>
    <row r="31" spans="1:19" hidden="1">
      <c r="A31" s="972">
        <f t="shared" si="4"/>
        <v>2.1499999999999968</v>
      </c>
      <c r="B31" s="768"/>
      <c r="C31" s="943">
        <f t="shared" si="0"/>
        <v>0</v>
      </c>
      <c r="D31" s="943">
        <f t="shared" si="1"/>
        <v>0</v>
      </c>
      <c r="E31" s="943"/>
      <c r="F31" s="943"/>
      <c r="G31" s="943">
        <f t="shared" si="2"/>
        <v>0</v>
      </c>
      <c r="H31" s="943"/>
      <c r="I31" s="943">
        <f t="shared" si="3"/>
        <v>0</v>
      </c>
      <c r="J31" s="943">
        <f t="shared" si="3"/>
        <v>0</v>
      </c>
      <c r="K31" s="943">
        <f t="shared" si="3"/>
        <v>0</v>
      </c>
      <c r="L31" s="943"/>
      <c r="M31" s="768"/>
      <c r="N31" s="768"/>
      <c r="O31" s="768"/>
      <c r="P31" s="943"/>
      <c r="Q31" s="768"/>
      <c r="R31" s="768"/>
      <c r="S31" s="768"/>
    </row>
    <row r="32" spans="1:19" hidden="1">
      <c r="A32" s="972">
        <f t="shared" si="4"/>
        <v>2.1599999999999966</v>
      </c>
      <c r="B32" s="768"/>
      <c r="C32" s="943">
        <f t="shared" si="0"/>
        <v>0</v>
      </c>
      <c r="D32" s="943">
        <f t="shared" si="1"/>
        <v>0</v>
      </c>
      <c r="E32" s="943"/>
      <c r="F32" s="943"/>
      <c r="G32" s="943">
        <f t="shared" si="2"/>
        <v>0</v>
      </c>
      <c r="H32" s="943"/>
      <c r="I32" s="943">
        <f t="shared" si="3"/>
        <v>0</v>
      </c>
      <c r="J32" s="943">
        <f t="shared" si="3"/>
        <v>0</v>
      </c>
      <c r="K32" s="943">
        <f t="shared" si="3"/>
        <v>0</v>
      </c>
      <c r="L32" s="943"/>
      <c r="M32" s="768"/>
      <c r="N32" s="768"/>
      <c r="O32" s="768"/>
      <c r="P32" s="943"/>
      <c r="Q32" s="768"/>
      <c r="R32" s="768"/>
      <c r="S32" s="768"/>
    </row>
    <row r="33" spans="1:19" hidden="1">
      <c r="A33" s="972">
        <f t="shared" si="4"/>
        <v>2.1699999999999964</v>
      </c>
      <c r="B33" s="768"/>
      <c r="C33" s="943">
        <f t="shared" si="0"/>
        <v>0</v>
      </c>
      <c r="D33" s="943">
        <f t="shared" si="1"/>
        <v>0</v>
      </c>
      <c r="E33" s="943"/>
      <c r="F33" s="943"/>
      <c r="G33" s="943">
        <f t="shared" si="2"/>
        <v>0</v>
      </c>
      <c r="H33" s="943"/>
      <c r="I33" s="943">
        <f t="shared" si="3"/>
        <v>0</v>
      </c>
      <c r="J33" s="943">
        <f t="shared" si="3"/>
        <v>0</v>
      </c>
      <c r="K33" s="943">
        <f t="shared" si="3"/>
        <v>0</v>
      </c>
      <c r="L33" s="943"/>
      <c r="M33" s="768"/>
      <c r="N33" s="768"/>
      <c r="O33" s="768"/>
      <c r="P33" s="943"/>
      <c r="Q33" s="768"/>
      <c r="R33" s="768"/>
      <c r="S33" s="768"/>
    </row>
    <row r="34" spans="1:19" hidden="1">
      <c r="A34" s="972">
        <f t="shared" si="4"/>
        <v>2.1799999999999962</v>
      </c>
      <c r="B34" s="768"/>
      <c r="C34" s="943">
        <f t="shared" si="0"/>
        <v>0</v>
      </c>
      <c r="D34" s="943">
        <f t="shared" si="1"/>
        <v>0</v>
      </c>
      <c r="E34" s="943"/>
      <c r="F34" s="943"/>
      <c r="G34" s="943">
        <f t="shared" si="2"/>
        <v>0</v>
      </c>
      <c r="H34" s="943"/>
      <c r="I34" s="943">
        <f t="shared" si="3"/>
        <v>0</v>
      </c>
      <c r="J34" s="943">
        <f t="shared" si="3"/>
        <v>0</v>
      </c>
      <c r="K34" s="943">
        <f t="shared" si="3"/>
        <v>0</v>
      </c>
      <c r="L34" s="943"/>
      <c r="M34" s="768"/>
      <c r="N34" s="768"/>
      <c r="O34" s="768"/>
      <c r="P34" s="943"/>
      <c r="Q34" s="768"/>
      <c r="R34" s="768"/>
      <c r="S34" s="768"/>
    </row>
    <row r="35" spans="1:19" hidden="1">
      <c r="A35" s="972">
        <f t="shared" si="4"/>
        <v>2.1899999999999959</v>
      </c>
      <c r="B35" s="768"/>
      <c r="C35" s="943">
        <f t="shared" si="0"/>
        <v>0</v>
      </c>
      <c r="D35" s="943">
        <f t="shared" si="1"/>
        <v>0</v>
      </c>
      <c r="E35" s="943"/>
      <c r="F35" s="943"/>
      <c r="G35" s="943">
        <f t="shared" si="2"/>
        <v>0</v>
      </c>
      <c r="H35" s="943"/>
      <c r="I35" s="943">
        <f t="shared" si="3"/>
        <v>0</v>
      </c>
      <c r="J35" s="943">
        <f t="shared" si="3"/>
        <v>0</v>
      </c>
      <c r="K35" s="943">
        <f t="shared" si="3"/>
        <v>0</v>
      </c>
      <c r="L35" s="943"/>
      <c r="M35" s="768"/>
      <c r="N35" s="768"/>
      <c r="O35" s="768"/>
      <c r="P35" s="943"/>
      <c r="Q35" s="768"/>
      <c r="R35" s="768"/>
      <c r="S35" s="768"/>
    </row>
    <row r="36" spans="1:19" hidden="1">
      <c r="A36" s="972">
        <f t="shared" si="4"/>
        <v>2.1999999999999957</v>
      </c>
      <c r="B36" s="768"/>
      <c r="C36" s="943">
        <f t="shared" si="0"/>
        <v>0</v>
      </c>
      <c r="D36" s="943">
        <f t="shared" si="1"/>
        <v>0</v>
      </c>
      <c r="E36" s="943"/>
      <c r="F36" s="943"/>
      <c r="G36" s="943">
        <f t="shared" si="2"/>
        <v>0</v>
      </c>
      <c r="H36" s="943"/>
      <c r="I36" s="943">
        <f t="shared" si="3"/>
        <v>0</v>
      </c>
      <c r="J36" s="943">
        <f t="shared" si="3"/>
        <v>0</v>
      </c>
      <c r="K36" s="943">
        <f t="shared" si="3"/>
        <v>0</v>
      </c>
      <c r="L36" s="943"/>
      <c r="M36" s="768"/>
      <c r="N36" s="768"/>
      <c r="O36" s="768"/>
      <c r="P36" s="943"/>
      <c r="Q36" s="768"/>
      <c r="R36" s="768"/>
      <c r="S36" s="768"/>
    </row>
    <row r="37" spans="1:19" hidden="1">
      <c r="A37" s="972">
        <f t="shared" si="4"/>
        <v>2.2099999999999955</v>
      </c>
      <c r="B37" s="768"/>
      <c r="C37" s="943">
        <f t="shared" si="0"/>
        <v>0</v>
      </c>
      <c r="D37" s="943">
        <f t="shared" si="1"/>
        <v>0</v>
      </c>
      <c r="E37" s="943"/>
      <c r="F37" s="943"/>
      <c r="G37" s="943">
        <f t="shared" si="2"/>
        <v>0</v>
      </c>
      <c r="H37" s="943"/>
      <c r="I37" s="943">
        <f t="shared" si="3"/>
        <v>0</v>
      </c>
      <c r="J37" s="943">
        <f t="shared" si="3"/>
        <v>0</v>
      </c>
      <c r="K37" s="943">
        <f t="shared" si="3"/>
        <v>0</v>
      </c>
      <c r="L37" s="943"/>
      <c r="M37" s="768"/>
      <c r="N37" s="768"/>
      <c r="O37" s="768"/>
      <c r="P37" s="943"/>
      <c r="Q37" s="768"/>
      <c r="R37" s="768"/>
      <c r="S37" s="768"/>
    </row>
    <row r="38" spans="1:19" hidden="1">
      <c r="A38" s="972">
        <f t="shared" si="4"/>
        <v>2.2199999999999953</v>
      </c>
      <c r="B38" s="768"/>
      <c r="C38" s="943">
        <f t="shared" si="0"/>
        <v>0</v>
      </c>
      <c r="D38" s="943">
        <f t="shared" si="1"/>
        <v>0</v>
      </c>
      <c r="E38" s="943"/>
      <c r="F38" s="943"/>
      <c r="G38" s="943">
        <f t="shared" si="2"/>
        <v>0</v>
      </c>
      <c r="H38" s="943"/>
      <c r="I38" s="943">
        <f t="shared" si="3"/>
        <v>0</v>
      </c>
      <c r="J38" s="943">
        <f t="shared" si="3"/>
        <v>0</v>
      </c>
      <c r="K38" s="943">
        <f t="shared" si="3"/>
        <v>0</v>
      </c>
      <c r="L38" s="943"/>
      <c r="M38" s="768"/>
      <c r="N38" s="768"/>
      <c r="O38" s="768"/>
      <c r="P38" s="943"/>
      <c r="Q38" s="768"/>
      <c r="R38" s="768"/>
      <c r="S38" s="768"/>
    </row>
    <row r="39" spans="1:19" hidden="1">
      <c r="A39" s="972">
        <f t="shared" si="4"/>
        <v>2.2299999999999951</v>
      </c>
      <c r="B39" s="768"/>
      <c r="C39" s="943">
        <f t="shared" si="0"/>
        <v>0</v>
      </c>
      <c r="D39" s="943">
        <f t="shared" si="1"/>
        <v>0</v>
      </c>
      <c r="E39" s="943"/>
      <c r="F39" s="943"/>
      <c r="G39" s="943">
        <f t="shared" si="2"/>
        <v>0</v>
      </c>
      <c r="H39" s="943"/>
      <c r="I39" s="943">
        <f t="shared" si="3"/>
        <v>0</v>
      </c>
      <c r="J39" s="943">
        <f t="shared" si="3"/>
        <v>0</v>
      </c>
      <c r="K39" s="943">
        <f t="shared" si="3"/>
        <v>0</v>
      </c>
      <c r="L39" s="943"/>
      <c r="M39" s="768"/>
      <c r="N39" s="768"/>
      <c r="O39" s="768"/>
      <c r="P39" s="943"/>
      <c r="Q39" s="768"/>
      <c r="R39" s="768"/>
      <c r="S39" s="768"/>
    </row>
    <row r="40" spans="1:19" hidden="1">
      <c r="A40" s="972">
        <f t="shared" si="4"/>
        <v>2.2399999999999949</v>
      </c>
      <c r="B40" s="768"/>
      <c r="C40" s="943">
        <f t="shared" si="0"/>
        <v>0</v>
      </c>
      <c r="D40" s="943">
        <f t="shared" si="1"/>
        <v>0</v>
      </c>
      <c r="E40" s="943"/>
      <c r="F40" s="943"/>
      <c r="G40" s="943">
        <f t="shared" si="2"/>
        <v>0</v>
      </c>
      <c r="H40" s="943"/>
      <c r="I40" s="943">
        <f t="shared" si="3"/>
        <v>0</v>
      </c>
      <c r="J40" s="943">
        <f t="shared" si="3"/>
        <v>0</v>
      </c>
      <c r="K40" s="943">
        <f t="shared" si="3"/>
        <v>0</v>
      </c>
      <c r="L40" s="943"/>
      <c r="M40" s="768"/>
      <c r="N40" s="768"/>
      <c r="O40" s="768"/>
      <c r="P40" s="943"/>
      <c r="Q40" s="768"/>
      <c r="R40" s="768"/>
      <c r="S40" s="768"/>
    </row>
    <row r="41" spans="1:19" hidden="1">
      <c r="A41" s="972">
        <f t="shared" si="4"/>
        <v>2.2499999999999947</v>
      </c>
      <c r="B41" s="768"/>
      <c r="C41" s="943">
        <f t="shared" si="0"/>
        <v>0</v>
      </c>
      <c r="D41" s="943">
        <f t="shared" si="1"/>
        <v>0</v>
      </c>
      <c r="E41" s="943"/>
      <c r="F41" s="943"/>
      <c r="G41" s="943">
        <f t="shared" si="2"/>
        <v>0</v>
      </c>
      <c r="H41" s="943"/>
      <c r="I41" s="943">
        <f t="shared" si="3"/>
        <v>0</v>
      </c>
      <c r="J41" s="943">
        <f t="shared" si="3"/>
        <v>0</v>
      </c>
      <c r="K41" s="943">
        <f t="shared" si="3"/>
        <v>0</v>
      </c>
      <c r="L41" s="943"/>
      <c r="M41" s="768"/>
      <c r="N41" s="768"/>
      <c r="O41" s="768"/>
      <c r="P41" s="943"/>
      <c r="Q41" s="768"/>
      <c r="R41" s="768"/>
      <c r="S41" s="768"/>
    </row>
    <row r="42" spans="1:19" hidden="1">
      <c r="A42" s="972">
        <f t="shared" si="4"/>
        <v>2.2599999999999945</v>
      </c>
      <c r="B42" s="768"/>
      <c r="C42" s="943">
        <f t="shared" si="0"/>
        <v>0</v>
      </c>
      <c r="D42" s="943">
        <f t="shared" si="1"/>
        <v>0</v>
      </c>
      <c r="E42" s="943"/>
      <c r="F42" s="943"/>
      <c r="G42" s="943">
        <f t="shared" si="2"/>
        <v>0</v>
      </c>
      <c r="H42" s="943"/>
      <c r="I42" s="943">
        <f t="shared" si="3"/>
        <v>0</v>
      </c>
      <c r="J42" s="943">
        <f t="shared" si="3"/>
        <v>0</v>
      </c>
      <c r="K42" s="943">
        <f t="shared" si="3"/>
        <v>0</v>
      </c>
      <c r="L42" s="943"/>
      <c r="M42" s="768"/>
      <c r="N42" s="768"/>
      <c r="O42" s="768"/>
      <c r="P42" s="943"/>
      <c r="Q42" s="768"/>
      <c r="R42" s="768"/>
      <c r="S42" s="768"/>
    </row>
    <row r="43" spans="1:19" hidden="1">
      <c r="A43" s="972">
        <f t="shared" si="4"/>
        <v>2.2699999999999942</v>
      </c>
      <c r="B43" s="768"/>
      <c r="C43" s="943">
        <f t="shared" si="0"/>
        <v>0</v>
      </c>
      <c r="D43" s="943">
        <f t="shared" si="1"/>
        <v>0</v>
      </c>
      <c r="E43" s="943"/>
      <c r="F43" s="943"/>
      <c r="G43" s="943">
        <f t="shared" si="2"/>
        <v>0</v>
      </c>
      <c r="H43" s="943"/>
      <c r="I43" s="943">
        <f t="shared" si="3"/>
        <v>0</v>
      </c>
      <c r="J43" s="943">
        <f t="shared" si="3"/>
        <v>0</v>
      </c>
      <c r="K43" s="943">
        <f t="shared" si="3"/>
        <v>0</v>
      </c>
      <c r="L43" s="943"/>
      <c r="M43" s="768"/>
      <c r="N43" s="768"/>
      <c r="O43" s="768"/>
      <c r="P43" s="943"/>
      <c r="Q43" s="768"/>
      <c r="R43" s="768"/>
      <c r="S43" s="768"/>
    </row>
    <row r="44" spans="1:19" hidden="1">
      <c r="A44" s="972">
        <f t="shared" si="4"/>
        <v>2.279999999999994</v>
      </c>
      <c r="B44" s="768"/>
      <c r="C44" s="943">
        <f t="shared" si="0"/>
        <v>0</v>
      </c>
      <c r="D44" s="943">
        <f t="shared" si="1"/>
        <v>0</v>
      </c>
      <c r="E44" s="943"/>
      <c r="F44" s="943"/>
      <c r="G44" s="943">
        <f t="shared" si="2"/>
        <v>0</v>
      </c>
      <c r="H44" s="943"/>
      <c r="I44" s="943">
        <f t="shared" si="3"/>
        <v>0</v>
      </c>
      <c r="J44" s="943">
        <f t="shared" si="3"/>
        <v>0</v>
      </c>
      <c r="K44" s="943">
        <f t="shared" si="3"/>
        <v>0</v>
      </c>
      <c r="L44" s="943"/>
      <c r="M44" s="768"/>
      <c r="N44" s="768"/>
      <c r="O44" s="768"/>
      <c r="P44" s="943"/>
      <c r="Q44" s="768"/>
      <c r="R44" s="768"/>
      <c r="S44" s="768"/>
    </row>
    <row r="45" spans="1:19" hidden="1">
      <c r="A45" s="972">
        <f t="shared" si="4"/>
        <v>2.2899999999999938</v>
      </c>
      <c r="B45" s="768"/>
      <c r="C45" s="943">
        <f t="shared" si="0"/>
        <v>0</v>
      </c>
      <c r="D45" s="943">
        <f t="shared" si="1"/>
        <v>0</v>
      </c>
      <c r="E45" s="943"/>
      <c r="F45" s="943"/>
      <c r="G45" s="943">
        <f t="shared" si="2"/>
        <v>0</v>
      </c>
      <c r="H45" s="943"/>
      <c r="I45" s="943">
        <f t="shared" si="3"/>
        <v>0</v>
      </c>
      <c r="J45" s="943">
        <f t="shared" si="3"/>
        <v>0</v>
      </c>
      <c r="K45" s="943">
        <f t="shared" si="3"/>
        <v>0</v>
      </c>
      <c r="L45" s="943"/>
      <c r="M45" s="768"/>
      <c r="N45" s="768"/>
      <c r="O45" s="768"/>
      <c r="P45" s="943"/>
      <c r="Q45" s="768"/>
      <c r="R45" s="768"/>
      <c r="S45" s="768"/>
    </row>
    <row r="46" spans="1:19" hidden="1">
      <c r="A46" s="972">
        <f t="shared" si="4"/>
        <v>2.2999999999999936</v>
      </c>
      <c r="B46" s="768"/>
      <c r="C46" s="943">
        <f t="shared" si="0"/>
        <v>0</v>
      </c>
      <c r="D46" s="943">
        <f t="shared" si="1"/>
        <v>0</v>
      </c>
      <c r="E46" s="943"/>
      <c r="F46" s="943"/>
      <c r="G46" s="943">
        <f t="shared" si="2"/>
        <v>0</v>
      </c>
      <c r="H46" s="943"/>
      <c r="I46" s="943">
        <f t="shared" si="3"/>
        <v>0</v>
      </c>
      <c r="J46" s="943">
        <f t="shared" si="3"/>
        <v>0</v>
      </c>
      <c r="K46" s="943">
        <f t="shared" si="3"/>
        <v>0</v>
      </c>
      <c r="L46" s="943"/>
      <c r="M46" s="768"/>
      <c r="N46" s="768"/>
      <c r="O46" s="768"/>
      <c r="P46" s="943"/>
      <c r="Q46" s="768"/>
      <c r="R46" s="768"/>
      <c r="S46" s="768"/>
    </row>
    <row r="47" spans="1:19" hidden="1">
      <c r="A47" s="972">
        <f t="shared" si="4"/>
        <v>2.3099999999999934</v>
      </c>
      <c r="B47" s="768"/>
      <c r="C47" s="943">
        <f t="shared" si="0"/>
        <v>0</v>
      </c>
      <c r="D47" s="943">
        <f t="shared" si="1"/>
        <v>0</v>
      </c>
      <c r="E47" s="943"/>
      <c r="F47" s="943"/>
      <c r="G47" s="943">
        <f t="shared" si="2"/>
        <v>0</v>
      </c>
      <c r="H47" s="943"/>
      <c r="I47" s="943">
        <f t="shared" si="3"/>
        <v>0</v>
      </c>
      <c r="J47" s="943">
        <f t="shared" si="3"/>
        <v>0</v>
      </c>
      <c r="K47" s="943">
        <f t="shared" si="3"/>
        <v>0</v>
      </c>
      <c r="L47" s="943"/>
      <c r="M47" s="768"/>
      <c r="N47" s="768"/>
      <c r="O47" s="768"/>
      <c r="P47" s="943"/>
      <c r="Q47" s="768"/>
      <c r="R47" s="768"/>
      <c r="S47" s="768"/>
    </row>
    <row r="48" spans="1:19" hidden="1">
      <c r="A48" s="972">
        <f t="shared" si="4"/>
        <v>2.3199999999999932</v>
      </c>
      <c r="B48" s="768"/>
      <c r="C48" s="943">
        <f t="shared" si="0"/>
        <v>0</v>
      </c>
      <c r="D48" s="943">
        <f t="shared" si="1"/>
        <v>0</v>
      </c>
      <c r="E48" s="943"/>
      <c r="F48" s="943"/>
      <c r="G48" s="943">
        <f t="shared" si="2"/>
        <v>0</v>
      </c>
      <c r="H48" s="943"/>
      <c r="I48" s="943">
        <f t="shared" si="3"/>
        <v>0</v>
      </c>
      <c r="J48" s="943">
        <f t="shared" si="3"/>
        <v>0</v>
      </c>
      <c r="K48" s="943">
        <f t="shared" si="3"/>
        <v>0</v>
      </c>
      <c r="L48" s="943"/>
      <c r="M48" s="768"/>
      <c r="N48" s="768"/>
      <c r="O48" s="768"/>
      <c r="P48" s="943"/>
      <c r="Q48" s="768"/>
      <c r="R48" s="768"/>
      <c r="S48" s="768"/>
    </row>
    <row r="49" spans="1:19" hidden="1">
      <c r="A49" s="972">
        <f t="shared" si="4"/>
        <v>2.329999999999993</v>
      </c>
      <c r="B49" s="768"/>
      <c r="C49" s="943">
        <f t="shared" si="0"/>
        <v>0</v>
      </c>
      <c r="D49" s="943">
        <f t="shared" si="1"/>
        <v>0</v>
      </c>
      <c r="E49" s="943"/>
      <c r="F49" s="943"/>
      <c r="G49" s="943">
        <f t="shared" si="2"/>
        <v>0</v>
      </c>
      <c r="H49" s="943"/>
      <c r="I49" s="943">
        <f t="shared" ref="I49:K80" si="5">(M49+Q49)/2</f>
        <v>0</v>
      </c>
      <c r="J49" s="943">
        <f t="shared" si="5"/>
        <v>0</v>
      </c>
      <c r="K49" s="943">
        <f t="shared" si="5"/>
        <v>0</v>
      </c>
      <c r="L49" s="943"/>
      <c r="M49" s="768"/>
      <c r="N49" s="768"/>
      <c r="O49" s="768"/>
      <c r="P49" s="943"/>
      <c r="Q49" s="768"/>
      <c r="R49" s="768"/>
      <c r="S49" s="768"/>
    </row>
    <row r="50" spans="1:19" hidden="1">
      <c r="A50" s="972">
        <f t="shared" si="4"/>
        <v>2.3399999999999928</v>
      </c>
      <c r="B50" s="768"/>
      <c r="C50" s="943">
        <f t="shared" si="0"/>
        <v>0</v>
      </c>
      <c r="D50" s="943">
        <f t="shared" si="1"/>
        <v>0</v>
      </c>
      <c r="E50" s="943"/>
      <c r="F50" s="943"/>
      <c r="G50" s="943">
        <f t="shared" si="2"/>
        <v>0</v>
      </c>
      <c r="H50" s="943"/>
      <c r="I50" s="943">
        <f t="shared" si="5"/>
        <v>0</v>
      </c>
      <c r="J50" s="943">
        <f t="shared" si="5"/>
        <v>0</v>
      </c>
      <c r="K50" s="943">
        <f t="shared" si="5"/>
        <v>0</v>
      </c>
      <c r="L50" s="943"/>
      <c r="M50" s="768"/>
      <c r="N50" s="768"/>
      <c r="O50" s="768"/>
      <c r="P50" s="943"/>
      <c r="Q50" s="768"/>
      <c r="R50" s="768"/>
      <c r="S50" s="768"/>
    </row>
    <row r="51" spans="1:19" hidden="1">
      <c r="A51" s="972">
        <f t="shared" si="4"/>
        <v>2.3499999999999925</v>
      </c>
      <c r="B51" s="768"/>
      <c r="C51" s="943">
        <f t="shared" si="0"/>
        <v>0</v>
      </c>
      <c r="D51" s="943">
        <f t="shared" si="1"/>
        <v>0</v>
      </c>
      <c r="E51" s="943"/>
      <c r="F51" s="943"/>
      <c r="G51" s="943">
        <f t="shared" si="2"/>
        <v>0</v>
      </c>
      <c r="H51" s="943"/>
      <c r="I51" s="943">
        <f t="shared" si="5"/>
        <v>0</v>
      </c>
      <c r="J51" s="943">
        <f t="shared" si="5"/>
        <v>0</v>
      </c>
      <c r="K51" s="943">
        <f t="shared" si="5"/>
        <v>0</v>
      </c>
      <c r="L51" s="943"/>
      <c r="M51" s="768"/>
      <c r="N51" s="768"/>
      <c r="O51" s="768"/>
      <c r="P51" s="943"/>
      <c r="Q51" s="768"/>
      <c r="R51" s="768"/>
      <c r="S51" s="768"/>
    </row>
    <row r="52" spans="1:19" hidden="1">
      <c r="A52" s="972">
        <f t="shared" si="4"/>
        <v>2.3599999999999923</v>
      </c>
      <c r="B52" s="768"/>
      <c r="C52" s="943">
        <f t="shared" si="0"/>
        <v>0</v>
      </c>
      <c r="D52" s="943">
        <f t="shared" si="1"/>
        <v>0</v>
      </c>
      <c r="E52" s="943"/>
      <c r="F52" s="943"/>
      <c r="G52" s="943">
        <f t="shared" si="2"/>
        <v>0</v>
      </c>
      <c r="H52" s="943"/>
      <c r="I52" s="943">
        <f t="shared" si="5"/>
        <v>0</v>
      </c>
      <c r="J52" s="943">
        <f t="shared" si="5"/>
        <v>0</v>
      </c>
      <c r="K52" s="943">
        <f t="shared" si="5"/>
        <v>0</v>
      </c>
      <c r="L52" s="943"/>
      <c r="M52" s="768"/>
      <c r="N52" s="768"/>
      <c r="O52" s="768"/>
      <c r="P52" s="943"/>
      <c r="Q52" s="768"/>
      <c r="R52" s="768"/>
      <c r="S52" s="768"/>
    </row>
    <row r="53" spans="1:19" hidden="1">
      <c r="A53" s="972">
        <f t="shared" si="4"/>
        <v>2.3699999999999921</v>
      </c>
      <c r="B53" s="768"/>
      <c r="C53" s="943">
        <f t="shared" si="0"/>
        <v>0</v>
      </c>
      <c r="D53" s="943">
        <f t="shared" si="1"/>
        <v>0</v>
      </c>
      <c r="E53" s="943"/>
      <c r="F53" s="943"/>
      <c r="G53" s="943">
        <f t="shared" si="2"/>
        <v>0</v>
      </c>
      <c r="H53" s="943"/>
      <c r="I53" s="943">
        <f t="shared" si="5"/>
        <v>0</v>
      </c>
      <c r="J53" s="943">
        <f t="shared" si="5"/>
        <v>0</v>
      </c>
      <c r="K53" s="943">
        <f t="shared" si="5"/>
        <v>0</v>
      </c>
      <c r="L53" s="943"/>
      <c r="M53" s="768"/>
      <c r="N53" s="768"/>
      <c r="O53" s="768"/>
      <c r="P53" s="943"/>
      <c r="Q53" s="768"/>
      <c r="R53" s="768"/>
      <c r="S53" s="768"/>
    </row>
    <row r="54" spans="1:19" hidden="1">
      <c r="A54" s="972">
        <f t="shared" si="4"/>
        <v>2.3799999999999919</v>
      </c>
      <c r="B54" s="768"/>
      <c r="C54" s="943">
        <f t="shared" si="0"/>
        <v>0</v>
      </c>
      <c r="D54" s="943">
        <f t="shared" si="1"/>
        <v>0</v>
      </c>
      <c r="E54" s="943"/>
      <c r="F54" s="943"/>
      <c r="G54" s="943">
        <f t="shared" si="2"/>
        <v>0</v>
      </c>
      <c r="H54" s="943"/>
      <c r="I54" s="943">
        <f t="shared" si="5"/>
        <v>0</v>
      </c>
      <c r="J54" s="943">
        <f t="shared" si="5"/>
        <v>0</v>
      </c>
      <c r="K54" s="943">
        <f t="shared" si="5"/>
        <v>0</v>
      </c>
      <c r="L54" s="943"/>
      <c r="M54" s="768"/>
      <c r="N54" s="768"/>
      <c r="O54" s="768"/>
      <c r="P54" s="943"/>
      <c r="Q54" s="768"/>
      <c r="R54" s="768"/>
      <c r="S54" s="768"/>
    </row>
    <row r="55" spans="1:19" hidden="1">
      <c r="A55" s="972">
        <f t="shared" si="4"/>
        <v>2.3899999999999917</v>
      </c>
      <c r="B55" s="768"/>
      <c r="C55" s="943">
        <f t="shared" si="0"/>
        <v>0</v>
      </c>
      <c r="D55" s="943">
        <f t="shared" si="1"/>
        <v>0</v>
      </c>
      <c r="E55" s="943"/>
      <c r="F55" s="943"/>
      <c r="G55" s="943">
        <f t="shared" si="2"/>
        <v>0</v>
      </c>
      <c r="H55" s="943"/>
      <c r="I55" s="943">
        <f t="shared" si="5"/>
        <v>0</v>
      </c>
      <c r="J55" s="943">
        <f t="shared" si="5"/>
        <v>0</v>
      </c>
      <c r="K55" s="943">
        <f t="shared" si="5"/>
        <v>0</v>
      </c>
      <c r="L55" s="943"/>
      <c r="M55" s="768"/>
      <c r="N55" s="768"/>
      <c r="O55" s="768"/>
      <c r="P55" s="943"/>
      <c r="Q55" s="768"/>
      <c r="R55" s="768"/>
      <c r="S55" s="768"/>
    </row>
    <row r="56" spans="1:19" hidden="1">
      <c r="A56" s="972">
        <f t="shared" si="4"/>
        <v>2.3999999999999915</v>
      </c>
      <c r="B56" s="768"/>
      <c r="C56" s="943">
        <f t="shared" si="0"/>
        <v>0</v>
      </c>
      <c r="D56" s="943">
        <f t="shared" si="1"/>
        <v>0</v>
      </c>
      <c r="E56" s="943"/>
      <c r="F56" s="943"/>
      <c r="G56" s="943">
        <f t="shared" si="2"/>
        <v>0</v>
      </c>
      <c r="H56" s="943"/>
      <c r="I56" s="943">
        <f t="shared" si="5"/>
        <v>0</v>
      </c>
      <c r="J56" s="943">
        <f t="shared" si="5"/>
        <v>0</v>
      </c>
      <c r="K56" s="943">
        <f t="shared" si="5"/>
        <v>0</v>
      </c>
      <c r="L56" s="943"/>
      <c r="M56" s="768"/>
      <c r="N56" s="768"/>
      <c r="O56" s="768"/>
      <c r="P56" s="943"/>
      <c r="Q56" s="768"/>
      <c r="R56" s="768"/>
      <c r="S56" s="768"/>
    </row>
    <row r="57" spans="1:19" hidden="1">
      <c r="A57" s="972">
        <f t="shared" si="4"/>
        <v>2.4099999999999913</v>
      </c>
      <c r="B57" s="768"/>
      <c r="C57" s="943">
        <f t="shared" si="0"/>
        <v>0</v>
      </c>
      <c r="D57" s="943">
        <f t="shared" si="1"/>
        <v>0</v>
      </c>
      <c r="E57" s="943"/>
      <c r="F57" s="943"/>
      <c r="G57" s="943">
        <f t="shared" si="2"/>
        <v>0</v>
      </c>
      <c r="H57" s="943"/>
      <c r="I57" s="943">
        <f t="shared" si="5"/>
        <v>0</v>
      </c>
      <c r="J57" s="943">
        <f t="shared" si="5"/>
        <v>0</v>
      </c>
      <c r="K57" s="943">
        <f t="shared" si="5"/>
        <v>0</v>
      </c>
      <c r="L57" s="943"/>
      <c r="M57" s="768"/>
      <c r="N57" s="768"/>
      <c r="O57" s="768"/>
      <c r="P57" s="943"/>
      <c r="Q57" s="768"/>
      <c r="R57" s="768"/>
      <c r="S57" s="768"/>
    </row>
    <row r="58" spans="1:19" hidden="1">
      <c r="A58" s="972">
        <f t="shared" si="4"/>
        <v>2.419999999999991</v>
      </c>
      <c r="B58" s="768"/>
      <c r="C58" s="943">
        <f t="shared" si="0"/>
        <v>0</v>
      </c>
      <c r="D58" s="943">
        <f t="shared" si="1"/>
        <v>0</v>
      </c>
      <c r="E58" s="943"/>
      <c r="F58" s="943"/>
      <c r="G58" s="943">
        <f t="shared" si="2"/>
        <v>0</v>
      </c>
      <c r="H58" s="943"/>
      <c r="I58" s="943">
        <f t="shared" si="5"/>
        <v>0</v>
      </c>
      <c r="J58" s="943">
        <f t="shared" si="5"/>
        <v>0</v>
      </c>
      <c r="K58" s="943">
        <f t="shared" si="5"/>
        <v>0</v>
      </c>
      <c r="L58" s="943"/>
      <c r="M58" s="768"/>
      <c r="N58" s="768"/>
      <c r="O58" s="768"/>
      <c r="P58" s="943"/>
      <c r="Q58" s="768"/>
      <c r="R58" s="768"/>
      <c r="S58" s="768"/>
    </row>
    <row r="59" spans="1:19" hidden="1">
      <c r="A59" s="972">
        <f t="shared" si="4"/>
        <v>2.4299999999999908</v>
      </c>
      <c r="B59" s="768"/>
      <c r="C59" s="943">
        <f t="shared" si="0"/>
        <v>0</v>
      </c>
      <c r="D59" s="943">
        <f t="shared" si="1"/>
        <v>0</v>
      </c>
      <c r="E59" s="943"/>
      <c r="F59" s="943"/>
      <c r="G59" s="943">
        <f t="shared" si="2"/>
        <v>0</v>
      </c>
      <c r="H59" s="943"/>
      <c r="I59" s="943">
        <f t="shared" si="5"/>
        <v>0</v>
      </c>
      <c r="J59" s="943">
        <f t="shared" si="5"/>
        <v>0</v>
      </c>
      <c r="K59" s="943">
        <f t="shared" si="5"/>
        <v>0</v>
      </c>
      <c r="L59" s="943"/>
      <c r="M59" s="768"/>
      <c r="N59" s="768"/>
      <c r="O59" s="768"/>
      <c r="P59" s="943"/>
      <c r="Q59" s="768"/>
      <c r="R59" s="768"/>
      <c r="S59" s="768"/>
    </row>
    <row r="60" spans="1:19" hidden="1">
      <c r="A60" s="972">
        <f t="shared" si="4"/>
        <v>2.4399999999999906</v>
      </c>
      <c r="B60" s="768"/>
      <c r="C60" s="943">
        <f t="shared" si="0"/>
        <v>0</v>
      </c>
      <c r="D60" s="943">
        <f t="shared" si="1"/>
        <v>0</v>
      </c>
      <c r="E60" s="943"/>
      <c r="F60" s="943"/>
      <c r="G60" s="943">
        <f t="shared" si="2"/>
        <v>0</v>
      </c>
      <c r="H60" s="943"/>
      <c r="I60" s="943">
        <f t="shared" si="5"/>
        <v>0</v>
      </c>
      <c r="J60" s="943">
        <f t="shared" si="5"/>
        <v>0</v>
      </c>
      <c r="K60" s="943">
        <f t="shared" si="5"/>
        <v>0</v>
      </c>
      <c r="L60" s="943"/>
      <c r="M60" s="768"/>
      <c r="N60" s="768"/>
      <c r="O60" s="768"/>
      <c r="P60" s="943"/>
      <c r="Q60" s="768"/>
      <c r="R60" s="768"/>
      <c r="S60" s="768"/>
    </row>
    <row r="61" spans="1:19" hidden="1">
      <c r="A61" s="972">
        <f t="shared" si="4"/>
        <v>2.4499999999999904</v>
      </c>
      <c r="B61" s="768"/>
      <c r="C61" s="943">
        <f t="shared" si="0"/>
        <v>0</v>
      </c>
      <c r="D61" s="943">
        <f t="shared" si="1"/>
        <v>0</v>
      </c>
      <c r="E61" s="943"/>
      <c r="F61" s="943"/>
      <c r="G61" s="943">
        <f t="shared" si="2"/>
        <v>0</v>
      </c>
      <c r="H61" s="943"/>
      <c r="I61" s="943">
        <f t="shared" si="5"/>
        <v>0</v>
      </c>
      <c r="J61" s="943">
        <f t="shared" si="5"/>
        <v>0</v>
      </c>
      <c r="K61" s="943">
        <f t="shared" si="5"/>
        <v>0</v>
      </c>
      <c r="L61" s="943"/>
      <c r="M61" s="768"/>
      <c r="N61" s="768"/>
      <c r="O61" s="768"/>
      <c r="P61" s="943"/>
      <c r="Q61" s="768"/>
      <c r="R61" s="768"/>
      <c r="S61" s="768"/>
    </row>
    <row r="62" spans="1:19" hidden="1">
      <c r="A62" s="972">
        <f t="shared" si="4"/>
        <v>2.4599999999999902</v>
      </c>
      <c r="B62" s="768"/>
      <c r="C62" s="943">
        <f t="shared" si="0"/>
        <v>0</v>
      </c>
      <c r="D62" s="943">
        <f t="shared" si="1"/>
        <v>0</v>
      </c>
      <c r="E62" s="943"/>
      <c r="F62" s="943"/>
      <c r="G62" s="943">
        <f t="shared" si="2"/>
        <v>0</v>
      </c>
      <c r="H62" s="943"/>
      <c r="I62" s="943">
        <f t="shared" si="5"/>
        <v>0</v>
      </c>
      <c r="J62" s="943">
        <f t="shared" si="5"/>
        <v>0</v>
      </c>
      <c r="K62" s="943">
        <f t="shared" si="5"/>
        <v>0</v>
      </c>
      <c r="L62" s="943"/>
      <c r="M62" s="768"/>
      <c r="N62" s="768"/>
      <c r="O62" s="768"/>
      <c r="P62" s="943"/>
      <c r="Q62" s="768"/>
      <c r="R62" s="768"/>
      <c r="S62" s="768"/>
    </row>
    <row r="63" spans="1:19" hidden="1">
      <c r="A63" s="972">
        <f t="shared" si="4"/>
        <v>2.46999999999999</v>
      </c>
      <c r="B63" s="768"/>
      <c r="C63" s="943">
        <f t="shared" si="0"/>
        <v>0</v>
      </c>
      <c r="D63" s="943">
        <f t="shared" si="1"/>
        <v>0</v>
      </c>
      <c r="E63" s="943"/>
      <c r="F63" s="943"/>
      <c r="G63" s="943">
        <f t="shared" si="2"/>
        <v>0</v>
      </c>
      <c r="H63" s="943"/>
      <c r="I63" s="943">
        <f t="shared" si="5"/>
        <v>0</v>
      </c>
      <c r="J63" s="943">
        <f t="shared" si="5"/>
        <v>0</v>
      </c>
      <c r="K63" s="943">
        <f t="shared" si="5"/>
        <v>0</v>
      </c>
      <c r="L63" s="943"/>
      <c r="M63" s="768"/>
      <c r="N63" s="768"/>
      <c r="O63" s="768"/>
      <c r="P63" s="943"/>
      <c r="Q63" s="768"/>
      <c r="R63" s="768"/>
      <c r="S63" s="768"/>
    </row>
    <row r="64" spans="1:19" hidden="1">
      <c r="A64" s="972">
        <f t="shared" si="4"/>
        <v>2.4799999999999898</v>
      </c>
      <c r="B64" s="768"/>
      <c r="C64" s="943">
        <f t="shared" si="0"/>
        <v>0</v>
      </c>
      <c r="D64" s="943">
        <f t="shared" si="1"/>
        <v>0</v>
      </c>
      <c r="E64" s="943"/>
      <c r="F64" s="943"/>
      <c r="G64" s="943">
        <f t="shared" si="2"/>
        <v>0</v>
      </c>
      <c r="H64" s="943"/>
      <c r="I64" s="943">
        <f t="shared" si="5"/>
        <v>0</v>
      </c>
      <c r="J64" s="943">
        <f t="shared" si="5"/>
        <v>0</v>
      </c>
      <c r="K64" s="943">
        <f t="shared" si="5"/>
        <v>0</v>
      </c>
      <c r="L64" s="943"/>
      <c r="M64" s="768"/>
      <c r="N64" s="768"/>
      <c r="O64" s="768"/>
      <c r="P64" s="943"/>
      <c r="Q64" s="768"/>
      <c r="R64" s="768"/>
      <c r="S64" s="768"/>
    </row>
    <row r="65" spans="1:19" hidden="1">
      <c r="A65" s="972">
        <f t="shared" si="4"/>
        <v>2.4899999999999896</v>
      </c>
      <c r="B65" s="768"/>
      <c r="C65" s="943">
        <f t="shared" si="0"/>
        <v>0</v>
      </c>
      <c r="D65" s="943">
        <f t="shared" si="1"/>
        <v>0</v>
      </c>
      <c r="E65" s="943"/>
      <c r="F65" s="943"/>
      <c r="G65" s="943">
        <f t="shared" si="2"/>
        <v>0</v>
      </c>
      <c r="H65" s="943"/>
      <c r="I65" s="943">
        <f t="shared" si="5"/>
        <v>0</v>
      </c>
      <c r="J65" s="943">
        <f t="shared" si="5"/>
        <v>0</v>
      </c>
      <c r="K65" s="943">
        <f t="shared" si="5"/>
        <v>0</v>
      </c>
      <c r="L65" s="943"/>
      <c r="M65" s="768"/>
      <c r="N65" s="768"/>
      <c r="O65" s="768"/>
      <c r="P65" s="943"/>
      <c r="Q65" s="768"/>
      <c r="R65" s="768"/>
      <c r="S65" s="768"/>
    </row>
    <row r="66" spans="1:19" hidden="1">
      <c r="A66" s="972">
        <f t="shared" si="4"/>
        <v>2.4999999999999893</v>
      </c>
      <c r="B66" s="768"/>
      <c r="C66" s="943">
        <f t="shared" si="0"/>
        <v>0</v>
      </c>
      <c r="D66" s="943">
        <f t="shared" si="1"/>
        <v>0</v>
      </c>
      <c r="E66" s="943"/>
      <c r="F66" s="943"/>
      <c r="G66" s="943">
        <f t="shared" si="2"/>
        <v>0</v>
      </c>
      <c r="H66" s="943"/>
      <c r="I66" s="943">
        <f t="shared" si="5"/>
        <v>0</v>
      </c>
      <c r="J66" s="943">
        <f t="shared" si="5"/>
        <v>0</v>
      </c>
      <c r="K66" s="943">
        <f t="shared" si="5"/>
        <v>0</v>
      </c>
      <c r="L66" s="943"/>
      <c r="M66" s="768"/>
      <c r="N66" s="768"/>
      <c r="O66" s="768"/>
      <c r="P66" s="943"/>
      <c r="Q66" s="768"/>
      <c r="R66" s="768"/>
      <c r="S66" s="768"/>
    </row>
    <row r="67" spans="1:19" hidden="1">
      <c r="A67" s="972">
        <f t="shared" si="4"/>
        <v>2.5099999999999891</v>
      </c>
      <c r="B67" s="768"/>
      <c r="C67" s="943">
        <f t="shared" si="0"/>
        <v>0</v>
      </c>
      <c r="D67" s="943">
        <f t="shared" si="1"/>
        <v>0</v>
      </c>
      <c r="E67" s="943"/>
      <c r="F67" s="943"/>
      <c r="G67" s="943">
        <f t="shared" si="2"/>
        <v>0</v>
      </c>
      <c r="H67" s="943"/>
      <c r="I67" s="943">
        <f t="shared" si="5"/>
        <v>0</v>
      </c>
      <c r="J67" s="943">
        <f t="shared" si="5"/>
        <v>0</v>
      </c>
      <c r="K67" s="943">
        <f t="shared" si="5"/>
        <v>0</v>
      </c>
      <c r="L67" s="943"/>
      <c r="M67" s="768"/>
      <c r="N67" s="768"/>
      <c r="O67" s="768"/>
      <c r="P67" s="943"/>
      <c r="Q67" s="768"/>
      <c r="R67" s="768"/>
      <c r="S67" s="768"/>
    </row>
    <row r="68" spans="1:19" hidden="1">
      <c r="A68" s="972">
        <f t="shared" si="4"/>
        <v>2.5199999999999889</v>
      </c>
      <c r="B68" s="768"/>
      <c r="C68" s="943">
        <f t="shared" si="0"/>
        <v>0</v>
      </c>
      <c r="D68" s="943">
        <f t="shared" si="1"/>
        <v>0</v>
      </c>
      <c r="E68" s="943"/>
      <c r="F68" s="943"/>
      <c r="G68" s="943">
        <f t="shared" si="2"/>
        <v>0</v>
      </c>
      <c r="H68" s="943"/>
      <c r="I68" s="943">
        <f t="shared" si="5"/>
        <v>0</v>
      </c>
      <c r="J68" s="943">
        <f t="shared" si="5"/>
        <v>0</v>
      </c>
      <c r="K68" s="943">
        <f t="shared" si="5"/>
        <v>0</v>
      </c>
      <c r="L68" s="943"/>
      <c r="M68" s="768"/>
      <c r="N68" s="768"/>
      <c r="O68" s="768"/>
      <c r="P68" s="943"/>
      <c r="Q68" s="768"/>
      <c r="R68" s="768"/>
      <c r="S68" s="768"/>
    </row>
    <row r="69" spans="1:19" hidden="1">
      <c r="A69" s="972">
        <f t="shared" si="4"/>
        <v>2.5299999999999887</v>
      </c>
      <c r="B69" s="768"/>
      <c r="C69" s="943">
        <f t="shared" si="0"/>
        <v>0</v>
      </c>
      <c r="D69" s="943">
        <f t="shared" si="1"/>
        <v>0</v>
      </c>
      <c r="E69" s="943"/>
      <c r="F69" s="943"/>
      <c r="G69" s="943">
        <f t="shared" si="2"/>
        <v>0</v>
      </c>
      <c r="H69" s="943"/>
      <c r="I69" s="943">
        <f t="shared" si="5"/>
        <v>0</v>
      </c>
      <c r="J69" s="943">
        <f t="shared" si="5"/>
        <v>0</v>
      </c>
      <c r="K69" s="943">
        <f t="shared" si="5"/>
        <v>0</v>
      </c>
      <c r="L69" s="943"/>
      <c r="M69" s="768"/>
      <c r="N69" s="768"/>
      <c r="O69" s="768"/>
      <c r="P69" s="943"/>
      <c r="Q69" s="768"/>
      <c r="R69" s="768"/>
      <c r="S69" s="768"/>
    </row>
    <row r="70" spans="1:19" hidden="1">
      <c r="A70" s="972">
        <f t="shared" si="4"/>
        <v>2.5399999999999885</v>
      </c>
      <c r="B70" s="768"/>
      <c r="C70" s="943">
        <f t="shared" si="0"/>
        <v>0</v>
      </c>
      <c r="D70" s="943">
        <f t="shared" si="1"/>
        <v>0</v>
      </c>
      <c r="E70" s="943"/>
      <c r="F70" s="943"/>
      <c r="G70" s="943">
        <f t="shared" si="2"/>
        <v>0</v>
      </c>
      <c r="H70" s="943"/>
      <c r="I70" s="943">
        <f t="shared" si="5"/>
        <v>0</v>
      </c>
      <c r="J70" s="943">
        <f t="shared" si="5"/>
        <v>0</v>
      </c>
      <c r="K70" s="943">
        <f t="shared" si="5"/>
        <v>0</v>
      </c>
      <c r="L70" s="943"/>
      <c r="M70" s="768"/>
      <c r="N70" s="768"/>
      <c r="O70" s="768"/>
      <c r="P70" s="943"/>
      <c r="Q70" s="768"/>
      <c r="R70" s="768"/>
      <c r="S70" s="768"/>
    </row>
    <row r="71" spans="1:19" hidden="1">
      <c r="A71" s="972">
        <f t="shared" si="4"/>
        <v>2.5499999999999883</v>
      </c>
      <c r="B71" s="768"/>
      <c r="C71" s="943">
        <f t="shared" si="0"/>
        <v>0</v>
      </c>
      <c r="D71" s="943">
        <f t="shared" si="1"/>
        <v>0</v>
      </c>
      <c r="E71" s="943"/>
      <c r="F71" s="943"/>
      <c r="G71" s="943">
        <f t="shared" si="2"/>
        <v>0</v>
      </c>
      <c r="H71" s="943"/>
      <c r="I71" s="943">
        <f t="shared" si="5"/>
        <v>0</v>
      </c>
      <c r="J71" s="943">
        <f t="shared" si="5"/>
        <v>0</v>
      </c>
      <c r="K71" s="943">
        <f t="shared" si="5"/>
        <v>0</v>
      </c>
      <c r="L71" s="943"/>
      <c r="M71" s="768"/>
      <c r="N71" s="768"/>
      <c r="O71" s="768"/>
      <c r="P71" s="943"/>
      <c r="Q71" s="768"/>
      <c r="R71" s="768"/>
      <c r="S71" s="768"/>
    </row>
    <row r="72" spans="1:19" hidden="1">
      <c r="A72" s="972">
        <f t="shared" si="4"/>
        <v>2.5599999999999881</v>
      </c>
      <c r="B72" s="768"/>
      <c r="C72" s="943">
        <f t="shared" si="0"/>
        <v>0</v>
      </c>
      <c r="D72" s="943">
        <f t="shared" si="1"/>
        <v>0</v>
      </c>
      <c r="E72" s="943"/>
      <c r="F72" s="943"/>
      <c r="G72" s="943">
        <f t="shared" si="2"/>
        <v>0</v>
      </c>
      <c r="H72" s="943"/>
      <c r="I72" s="943">
        <f t="shared" si="5"/>
        <v>0</v>
      </c>
      <c r="J72" s="943">
        <f t="shared" si="5"/>
        <v>0</v>
      </c>
      <c r="K72" s="943">
        <f t="shared" si="5"/>
        <v>0</v>
      </c>
      <c r="L72" s="943"/>
      <c r="M72" s="768"/>
      <c r="N72" s="768"/>
      <c r="O72" s="768"/>
      <c r="P72" s="943"/>
      <c r="Q72" s="768"/>
      <c r="R72" s="768"/>
      <c r="S72" s="768"/>
    </row>
    <row r="73" spans="1:19" hidden="1">
      <c r="A73" s="972">
        <f t="shared" si="4"/>
        <v>2.5699999999999878</v>
      </c>
      <c r="B73" s="768"/>
      <c r="C73" s="943">
        <f t="shared" si="0"/>
        <v>0</v>
      </c>
      <c r="D73" s="943">
        <f t="shared" si="1"/>
        <v>0</v>
      </c>
      <c r="E73" s="943"/>
      <c r="F73" s="943"/>
      <c r="G73" s="943">
        <f t="shared" si="2"/>
        <v>0</v>
      </c>
      <c r="H73" s="943"/>
      <c r="I73" s="943">
        <f t="shared" si="5"/>
        <v>0</v>
      </c>
      <c r="J73" s="943">
        <f t="shared" si="5"/>
        <v>0</v>
      </c>
      <c r="K73" s="943">
        <f t="shared" si="5"/>
        <v>0</v>
      </c>
      <c r="L73" s="943"/>
      <c r="M73" s="768"/>
      <c r="N73" s="768"/>
      <c r="O73" s="768"/>
      <c r="P73" s="943"/>
      <c r="Q73" s="768"/>
      <c r="R73" s="768"/>
      <c r="S73" s="768"/>
    </row>
    <row r="74" spans="1:19" hidden="1">
      <c r="A74" s="972">
        <f t="shared" si="4"/>
        <v>2.5799999999999876</v>
      </c>
      <c r="B74" s="768"/>
      <c r="C74" s="943">
        <f t="shared" si="0"/>
        <v>0</v>
      </c>
      <c r="D74" s="943">
        <f t="shared" si="1"/>
        <v>0</v>
      </c>
      <c r="E74" s="943"/>
      <c r="F74" s="943"/>
      <c r="G74" s="943">
        <f t="shared" si="2"/>
        <v>0</v>
      </c>
      <c r="H74" s="943"/>
      <c r="I74" s="943">
        <f t="shared" si="5"/>
        <v>0</v>
      </c>
      <c r="J74" s="943">
        <f t="shared" si="5"/>
        <v>0</v>
      </c>
      <c r="K74" s="943">
        <f t="shared" si="5"/>
        <v>0</v>
      </c>
      <c r="L74" s="943"/>
      <c r="M74" s="768"/>
      <c r="N74" s="768"/>
      <c r="O74" s="768"/>
      <c r="P74" s="943"/>
      <c r="Q74" s="768"/>
      <c r="R74" s="768"/>
      <c r="S74" s="768"/>
    </row>
    <row r="75" spans="1:19" hidden="1">
      <c r="A75" s="972">
        <f t="shared" si="4"/>
        <v>2.5899999999999874</v>
      </c>
      <c r="B75" s="768"/>
      <c r="C75" s="943">
        <f t="shared" si="0"/>
        <v>0</v>
      </c>
      <c r="D75" s="943">
        <f t="shared" si="1"/>
        <v>0</v>
      </c>
      <c r="E75" s="943"/>
      <c r="F75" s="943"/>
      <c r="G75" s="943">
        <f t="shared" si="2"/>
        <v>0</v>
      </c>
      <c r="H75" s="943"/>
      <c r="I75" s="943">
        <f t="shared" si="5"/>
        <v>0</v>
      </c>
      <c r="J75" s="943">
        <f t="shared" si="5"/>
        <v>0</v>
      </c>
      <c r="K75" s="943">
        <f t="shared" si="5"/>
        <v>0</v>
      </c>
      <c r="L75" s="943"/>
      <c r="M75" s="768"/>
      <c r="N75" s="768"/>
      <c r="O75" s="768"/>
      <c r="P75" s="943"/>
      <c r="Q75" s="768"/>
      <c r="R75" s="768"/>
      <c r="S75" s="768"/>
    </row>
    <row r="76" spans="1:19" hidden="1">
      <c r="A76" s="972">
        <f t="shared" si="4"/>
        <v>2.5999999999999872</v>
      </c>
      <c r="B76" s="768"/>
      <c r="C76" s="943">
        <f t="shared" si="0"/>
        <v>0</v>
      </c>
      <c r="D76" s="943">
        <f t="shared" si="1"/>
        <v>0</v>
      </c>
      <c r="E76" s="943"/>
      <c r="F76" s="943"/>
      <c r="G76" s="943">
        <f t="shared" si="2"/>
        <v>0</v>
      </c>
      <c r="H76" s="943"/>
      <c r="I76" s="943">
        <f t="shared" si="5"/>
        <v>0</v>
      </c>
      <c r="J76" s="943">
        <f t="shared" si="5"/>
        <v>0</v>
      </c>
      <c r="K76" s="943">
        <f t="shared" si="5"/>
        <v>0</v>
      </c>
      <c r="L76" s="943"/>
      <c r="M76" s="768"/>
      <c r="N76" s="768"/>
      <c r="O76" s="768"/>
      <c r="P76" s="943"/>
      <c r="Q76" s="768"/>
      <c r="R76" s="768"/>
      <c r="S76" s="768"/>
    </row>
    <row r="77" spans="1:19" hidden="1">
      <c r="A77" s="972">
        <f t="shared" si="4"/>
        <v>2.609999999999987</v>
      </c>
      <c r="B77" s="768"/>
      <c r="C77" s="948">
        <f t="shared" si="0"/>
        <v>0</v>
      </c>
      <c r="D77" s="948">
        <f t="shared" si="1"/>
        <v>0</v>
      </c>
      <c r="E77" s="948"/>
      <c r="F77" s="948"/>
      <c r="G77" s="948">
        <f t="shared" si="2"/>
        <v>0</v>
      </c>
      <c r="H77" s="948"/>
      <c r="I77" s="948">
        <f t="shared" si="5"/>
        <v>0</v>
      </c>
      <c r="J77" s="948">
        <f t="shared" si="5"/>
        <v>0</v>
      </c>
      <c r="K77" s="948">
        <f t="shared" si="5"/>
        <v>0</v>
      </c>
      <c r="L77" s="948"/>
      <c r="M77" s="768"/>
      <c r="N77" s="768"/>
      <c r="O77" s="768"/>
      <c r="P77" s="948"/>
      <c r="Q77" s="768"/>
      <c r="R77" s="768"/>
      <c r="S77" s="768"/>
    </row>
    <row r="78" spans="1:19" hidden="1">
      <c r="A78" s="972">
        <f t="shared" si="4"/>
        <v>2.6199999999999868</v>
      </c>
      <c r="B78" s="768"/>
      <c r="C78" s="948">
        <f t="shared" si="0"/>
        <v>0</v>
      </c>
      <c r="D78" s="948">
        <f t="shared" si="1"/>
        <v>0</v>
      </c>
      <c r="E78" s="948"/>
      <c r="F78" s="948"/>
      <c r="G78" s="948">
        <f t="shared" si="2"/>
        <v>0</v>
      </c>
      <c r="H78" s="948"/>
      <c r="I78" s="948">
        <f t="shared" si="5"/>
        <v>0</v>
      </c>
      <c r="J78" s="948">
        <f t="shared" si="5"/>
        <v>0</v>
      </c>
      <c r="K78" s="948">
        <f t="shared" si="5"/>
        <v>0</v>
      </c>
      <c r="L78" s="948"/>
      <c r="M78" s="768"/>
      <c r="N78" s="768"/>
      <c r="O78" s="768"/>
      <c r="P78" s="948"/>
      <c r="Q78" s="768"/>
      <c r="R78" s="768"/>
      <c r="S78" s="768"/>
    </row>
    <row r="79" spans="1:19" hidden="1">
      <c r="A79" s="972">
        <f t="shared" si="4"/>
        <v>2.6299999999999866</v>
      </c>
      <c r="B79" s="768"/>
      <c r="C79" s="943">
        <f t="shared" si="0"/>
        <v>0</v>
      </c>
      <c r="D79" s="943">
        <f t="shared" si="1"/>
        <v>0</v>
      </c>
      <c r="E79" s="943"/>
      <c r="F79" s="943"/>
      <c r="G79" s="943">
        <f t="shared" si="2"/>
        <v>0</v>
      </c>
      <c r="H79" s="943"/>
      <c r="I79" s="943">
        <f t="shared" si="5"/>
        <v>0</v>
      </c>
      <c r="J79" s="943">
        <f t="shared" si="5"/>
        <v>0</v>
      </c>
      <c r="K79" s="943">
        <f t="shared" si="5"/>
        <v>0</v>
      </c>
      <c r="L79" s="943"/>
      <c r="M79" s="768"/>
      <c r="N79" s="768"/>
      <c r="O79" s="768"/>
      <c r="P79" s="943"/>
      <c r="Q79" s="768"/>
      <c r="R79" s="768"/>
      <c r="S79" s="768"/>
    </row>
    <row r="80" spans="1:19" hidden="1">
      <c r="A80" s="972">
        <f t="shared" si="4"/>
        <v>2.6399999999999864</v>
      </c>
      <c r="B80" s="768"/>
      <c r="C80" s="943">
        <f t="shared" si="0"/>
        <v>0</v>
      </c>
      <c r="D80" s="943">
        <f t="shared" si="1"/>
        <v>0</v>
      </c>
      <c r="E80" s="943"/>
      <c r="F80" s="943"/>
      <c r="G80" s="943">
        <f t="shared" si="2"/>
        <v>0</v>
      </c>
      <c r="H80" s="943"/>
      <c r="I80" s="943">
        <f t="shared" si="5"/>
        <v>0</v>
      </c>
      <c r="J80" s="943">
        <f t="shared" si="5"/>
        <v>0</v>
      </c>
      <c r="K80" s="943">
        <f t="shared" si="5"/>
        <v>0</v>
      </c>
      <c r="L80" s="943"/>
      <c r="M80" s="768"/>
      <c r="N80" s="768"/>
      <c r="O80" s="768"/>
      <c r="P80" s="943"/>
      <c r="Q80" s="768"/>
      <c r="R80" s="768"/>
      <c r="S80" s="768"/>
    </row>
    <row r="81" spans="1:19" hidden="1">
      <c r="A81" s="972">
        <f t="shared" si="4"/>
        <v>2.6499999999999861</v>
      </c>
      <c r="B81" s="768"/>
      <c r="C81" s="943">
        <f t="shared" ref="C81:C95" si="6">SUM(M81:O81)</f>
        <v>0</v>
      </c>
      <c r="D81" s="943">
        <f t="shared" ref="D81:D95" si="7">SUM(Q81:S81)</f>
        <v>0</v>
      </c>
      <c r="E81" s="943"/>
      <c r="F81" s="943"/>
      <c r="G81" s="943">
        <f t="shared" ref="G81:G107" si="8">ROUND(SUM(C81:F81)/2,0)</f>
        <v>0</v>
      </c>
      <c r="H81" s="943"/>
      <c r="I81" s="943">
        <f t="shared" ref="I81:K95" si="9">(M81+Q81)/2</f>
        <v>0</v>
      </c>
      <c r="J81" s="943">
        <f t="shared" si="9"/>
        <v>0</v>
      </c>
      <c r="K81" s="943">
        <f t="shared" si="9"/>
        <v>0</v>
      </c>
      <c r="L81" s="943"/>
      <c r="M81" s="768"/>
      <c r="N81" s="768"/>
      <c r="O81" s="768"/>
      <c r="P81" s="943"/>
      <c r="Q81" s="768"/>
      <c r="R81" s="768"/>
      <c r="S81" s="768"/>
    </row>
    <row r="82" spans="1:19" hidden="1">
      <c r="A82" s="972">
        <f t="shared" si="4"/>
        <v>2.6599999999999859</v>
      </c>
      <c r="B82" s="768"/>
      <c r="C82" s="943">
        <f t="shared" si="6"/>
        <v>0</v>
      </c>
      <c r="D82" s="943">
        <f t="shared" si="7"/>
        <v>0</v>
      </c>
      <c r="E82" s="943"/>
      <c r="F82" s="943"/>
      <c r="G82" s="943">
        <f t="shared" si="8"/>
        <v>0</v>
      </c>
      <c r="H82" s="943"/>
      <c r="I82" s="943">
        <f t="shared" si="9"/>
        <v>0</v>
      </c>
      <c r="J82" s="943">
        <f t="shared" si="9"/>
        <v>0</v>
      </c>
      <c r="K82" s="943">
        <f t="shared" si="9"/>
        <v>0</v>
      </c>
      <c r="L82" s="943"/>
      <c r="M82" s="768"/>
      <c r="N82" s="768"/>
      <c r="O82" s="768"/>
      <c r="P82" s="943"/>
      <c r="Q82" s="768"/>
      <c r="R82" s="768"/>
      <c r="S82" s="768"/>
    </row>
    <row r="83" spans="1:19" hidden="1">
      <c r="A83" s="972">
        <f t="shared" ref="A83:A107" si="10">A82+0.01</f>
        <v>2.6699999999999857</v>
      </c>
      <c r="B83" s="768"/>
      <c r="C83" s="943">
        <f t="shared" si="6"/>
        <v>0</v>
      </c>
      <c r="D83" s="943">
        <f t="shared" si="7"/>
        <v>0</v>
      </c>
      <c r="E83" s="943"/>
      <c r="F83" s="943"/>
      <c r="G83" s="943">
        <f t="shared" si="8"/>
        <v>0</v>
      </c>
      <c r="H83" s="943"/>
      <c r="I83" s="943">
        <f t="shared" si="9"/>
        <v>0</v>
      </c>
      <c r="J83" s="943">
        <f t="shared" si="9"/>
        <v>0</v>
      </c>
      <c r="K83" s="943">
        <f t="shared" si="9"/>
        <v>0</v>
      </c>
      <c r="L83" s="943"/>
      <c r="M83" s="768"/>
      <c r="N83" s="768"/>
      <c r="O83" s="768"/>
      <c r="P83" s="943"/>
      <c r="Q83" s="768"/>
      <c r="R83" s="768"/>
      <c r="S83" s="768"/>
    </row>
    <row r="84" spans="1:19" hidden="1">
      <c r="A84" s="972">
        <f t="shared" si="10"/>
        <v>2.6799999999999855</v>
      </c>
      <c r="B84" s="768"/>
      <c r="C84" s="943">
        <f t="shared" si="6"/>
        <v>0</v>
      </c>
      <c r="D84" s="943">
        <f t="shared" si="7"/>
        <v>0</v>
      </c>
      <c r="E84" s="943"/>
      <c r="F84" s="943"/>
      <c r="G84" s="943">
        <f t="shared" si="8"/>
        <v>0</v>
      </c>
      <c r="H84" s="943"/>
      <c r="I84" s="943">
        <f t="shared" si="9"/>
        <v>0</v>
      </c>
      <c r="J84" s="943">
        <f t="shared" si="9"/>
        <v>0</v>
      </c>
      <c r="K84" s="943">
        <f t="shared" si="9"/>
        <v>0</v>
      </c>
      <c r="L84" s="943"/>
      <c r="M84" s="768"/>
      <c r="N84" s="768"/>
      <c r="O84" s="768"/>
      <c r="P84" s="943"/>
      <c r="Q84" s="768"/>
      <c r="R84" s="768"/>
      <c r="S84" s="768"/>
    </row>
    <row r="85" spans="1:19" hidden="1">
      <c r="A85" s="972">
        <f t="shared" si="10"/>
        <v>2.6899999999999853</v>
      </c>
      <c r="B85" s="768"/>
      <c r="C85" s="943">
        <f t="shared" si="6"/>
        <v>0</v>
      </c>
      <c r="D85" s="943">
        <f t="shared" si="7"/>
        <v>0</v>
      </c>
      <c r="E85" s="943"/>
      <c r="F85" s="943"/>
      <c r="G85" s="943">
        <f t="shared" si="8"/>
        <v>0</v>
      </c>
      <c r="H85" s="943"/>
      <c r="I85" s="943">
        <f t="shared" si="9"/>
        <v>0</v>
      </c>
      <c r="J85" s="943">
        <f t="shared" si="9"/>
        <v>0</v>
      </c>
      <c r="K85" s="943">
        <f t="shared" si="9"/>
        <v>0</v>
      </c>
      <c r="L85" s="943"/>
      <c r="M85" s="768"/>
      <c r="N85" s="768"/>
      <c r="O85" s="768"/>
      <c r="P85" s="943"/>
      <c r="Q85" s="768"/>
      <c r="R85" s="768"/>
      <c r="S85" s="768"/>
    </row>
    <row r="86" spans="1:19" hidden="1">
      <c r="A86" s="972">
        <f t="shared" si="10"/>
        <v>2.6999999999999851</v>
      </c>
      <c r="B86" s="768"/>
      <c r="C86" s="943">
        <f t="shared" si="6"/>
        <v>0</v>
      </c>
      <c r="D86" s="943">
        <f t="shared" si="7"/>
        <v>0</v>
      </c>
      <c r="E86" s="943"/>
      <c r="F86" s="943"/>
      <c r="G86" s="943">
        <f t="shared" si="8"/>
        <v>0</v>
      </c>
      <c r="H86" s="943"/>
      <c r="I86" s="943">
        <f t="shared" si="9"/>
        <v>0</v>
      </c>
      <c r="J86" s="943">
        <f t="shared" si="9"/>
        <v>0</v>
      </c>
      <c r="K86" s="943">
        <f t="shared" si="9"/>
        <v>0</v>
      </c>
      <c r="L86" s="943"/>
      <c r="M86" s="768"/>
      <c r="N86" s="768"/>
      <c r="O86" s="768"/>
      <c r="P86" s="943"/>
      <c r="Q86" s="768"/>
      <c r="R86" s="768"/>
      <c r="S86" s="768"/>
    </row>
    <row r="87" spans="1:19" hidden="1">
      <c r="A87" s="972">
        <f t="shared" si="10"/>
        <v>2.7099999999999849</v>
      </c>
      <c r="B87" s="768"/>
      <c r="C87" s="943">
        <f t="shared" si="6"/>
        <v>0</v>
      </c>
      <c r="D87" s="943">
        <f t="shared" si="7"/>
        <v>0</v>
      </c>
      <c r="E87" s="943"/>
      <c r="F87" s="943"/>
      <c r="G87" s="943">
        <f t="shared" si="8"/>
        <v>0</v>
      </c>
      <c r="H87" s="943"/>
      <c r="I87" s="943">
        <f t="shared" si="9"/>
        <v>0</v>
      </c>
      <c r="J87" s="943">
        <f t="shared" si="9"/>
        <v>0</v>
      </c>
      <c r="K87" s="943">
        <f t="shared" si="9"/>
        <v>0</v>
      </c>
      <c r="L87" s="943"/>
      <c r="M87" s="768"/>
      <c r="N87" s="768"/>
      <c r="O87" s="768"/>
      <c r="P87" s="943"/>
      <c r="Q87" s="768"/>
      <c r="R87" s="768"/>
      <c r="S87" s="768"/>
    </row>
    <row r="88" spans="1:19" hidden="1">
      <c r="A88" s="972">
        <f t="shared" si="10"/>
        <v>2.7199999999999847</v>
      </c>
      <c r="B88" s="768"/>
      <c r="C88" s="943">
        <f t="shared" si="6"/>
        <v>0</v>
      </c>
      <c r="D88" s="943">
        <f t="shared" si="7"/>
        <v>0</v>
      </c>
      <c r="E88" s="943"/>
      <c r="F88" s="943"/>
      <c r="G88" s="943">
        <f t="shared" si="8"/>
        <v>0</v>
      </c>
      <c r="H88" s="943"/>
      <c r="I88" s="943">
        <f t="shared" si="9"/>
        <v>0</v>
      </c>
      <c r="J88" s="943">
        <f t="shared" si="9"/>
        <v>0</v>
      </c>
      <c r="K88" s="943">
        <f t="shared" si="9"/>
        <v>0</v>
      </c>
      <c r="L88" s="943"/>
      <c r="M88" s="768"/>
      <c r="N88" s="768"/>
      <c r="O88" s="768"/>
      <c r="P88" s="943"/>
      <c r="Q88" s="768"/>
      <c r="R88" s="768"/>
      <c r="S88" s="768"/>
    </row>
    <row r="89" spans="1:19" hidden="1">
      <c r="A89" s="972">
        <f t="shared" si="10"/>
        <v>2.7299999999999844</v>
      </c>
      <c r="B89" s="768"/>
      <c r="C89" s="943">
        <f t="shared" si="6"/>
        <v>0</v>
      </c>
      <c r="D89" s="943">
        <f t="shared" si="7"/>
        <v>0</v>
      </c>
      <c r="E89" s="943"/>
      <c r="F89" s="943"/>
      <c r="G89" s="943">
        <f t="shared" si="8"/>
        <v>0</v>
      </c>
      <c r="H89" s="943"/>
      <c r="I89" s="943">
        <f t="shared" si="9"/>
        <v>0</v>
      </c>
      <c r="J89" s="943">
        <f t="shared" si="9"/>
        <v>0</v>
      </c>
      <c r="K89" s="943">
        <f t="shared" si="9"/>
        <v>0</v>
      </c>
      <c r="L89" s="943"/>
      <c r="M89" s="768"/>
      <c r="N89" s="768"/>
      <c r="O89" s="768"/>
      <c r="P89" s="943"/>
      <c r="Q89" s="768"/>
      <c r="R89" s="768"/>
      <c r="S89" s="768"/>
    </row>
    <row r="90" spans="1:19" hidden="1">
      <c r="A90" s="972">
        <f t="shared" si="10"/>
        <v>2.7399999999999842</v>
      </c>
      <c r="B90" s="768"/>
      <c r="C90" s="943">
        <f t="shared" si="6"/>
        <v>0</v>
      </c>
      <c r="D90" s="943">
        <f t="shared" si="7"/>
        <v>0</v>
      </c>
      <c r="E90" s="943"/>
      <c r="F90" s="943"/>
      <c r="G90" s="943">
        <f t="shared" si="8"/>
        <v>0</v>
      </c>
      <c r="H90" s="943"/>
      <c r="I90" s="943">
        <f t="shared" si="9"/>
        <v>0</v>
      </c>
      <c r="J90" s="943">
        <f t="shared" si="9"/>
        <v>0</v>
      </c>
      <c r="K90" s="943">
        <f t="shared" si="9"/>
        <v>0</v>
      </c>
      <c r="L90" s="943"/>
      <c r="M90" s="768"/>
      <c r="N90" s="768"/>
      <c r="O90" s="768"/>
      <c r="P90" s="943"/>
      <c r="Q90" s="768"/>
      <c r="R90" s="768"/>
      <c r="S90" s="768"/>
    </row>
    <row r="91" spans="1:19" hidden="1">
      <c r="A91" s="972">
        <f t="shared" si="10"/>
        <v>2.749999999999984</v>
      </c>
      <c r="B91" s="768"/>
      <c r="C91" s="943">
        <f t="shared" si="6"/>
        <v>0</v>
      </c>
      <c r="D91" s="943">
        <f t="shared" si="7"/>
        <v>0</v>
      </c>
      <c r="E91" s="943"/>
      <c r="F91" s="943"/>
      <c r="G91" s="943">
        <f t="shared" si="8"/>
        <v>0</v>
      </c>
      <c r="H91" s="943"/>
      <c r="I91" s="943">
        <f t="shared" si="9"/>
        <v>0</v>
      </c>
      <c r="J91" s="943">
        <f t="shared" si="9"/>
        <v>0</v>
      </c>
      <c r="K91" s="943">
        <f t="shared" si="9"/>
        <v>0</v>
      </c>
      <c r="L91" s="943"/>
      <c r="M91" s="768"/>
      <c r="N91" s="768"/>
      <c r="O91" s="768"/>
      <c r="P91" s="943"/>
      <c r="Q91" s="768"/>
      <c r="R91" s="768"/>
      <c r="S91" s="768"/>
    </row>
    <row r="92" spans="1:19" hidden="1">
      <c r="A92" s="972">
        <f t="shared" si="10"/>
        <v>2.7599999999999838</v>
      </c>
      <c r="B92" s="768"/>
      <c r="C92" s="943">
        <f t="shared" si="6"/>
        <v>0</v>
      </c>
      <c r="D92" s="943">
        <f t="shared" si="7"/>
        <v>0</v>
      </c>
      <c r="E92" s="943"/>
      <c r="F92" s="943"/>
      <c r="G92" s="943">
        <f t="shared" si="8"/>
        <v>0</v>
      </c>
      <c r="H92" s="943"/>
      <c r="I92" s="943">
        <f t="shared" si="9"/>
        <v>0</v>
      </c>
      <c r="J92" s="943">
        <f t="shared" si="9"/>
        <v>0</v>
      </c>
      <c r="K92" s="943">
        <f t="shared" si="9"/>
        <v>0</v>
      </c>
      <c r="L92" s="943"/>
      <c r="M92" s="768"/>
      <c r="N92" s="768"/>
      <c r="O92" s="768"/>
      <c r="P92" s="943"/>
      <c r="Q92" s="768"/>
      <c r="R92" s="768"/>
      <c r="S92" s="768"/>
    </row>
    <row r="93" spans="1:19" hidden="1">
      <c r="A93" s="972">
        <f t="shared" si="10"/>
        <v>2.7699999999999836</v>
      </c>
      <c r="B93" s="768"/>
      <c r="C93" s="943">
        <f t="shared" si="6"/>
        <v>0</v>
      </c>
      <c r="D93" s="943">
        <f t="shared" si="7"/>
        <v>0</v>
      </c>
      <c r="E93" s="943"/>
      <c r="F93" s="943"/>
      <c r="G93" s="943">
        <f t="shared" si="8"/>
        <v>0</v>
      </c>
      <c r="H93" s="943"/>
      <c r="I93" s="943">
        <f t="shared" si="9"/>
        <v>0</v>
      </c>
      <c r="J93" s="943">
        <f t="shared" si="9"/>
        <v>0</v>
      </c>
      <c r="K93" s="943">
        <f t="shared" si="9"/>
        <v>0</v>
      </c>
      <c r="L93" s="943"/>
      <c r="M93" s="768"/>
      <c r="N93" s="768"/>
      <c r="O93" s="768"/>
      <c r="P93" s="943"/>
      <c r="Q93" s="768"/>
      <c r="R93" s="768"/>
      <c r="S93" s="768"/>
    </row>
    <row r="94" spans="1:19" hidden="1">
      <c r="A94" s="972">
        <f t="shared" si="10"/>
        <v>2.7799999999999834</v>
      </c>
      <c r="B94" s="768"/>
      <c r="C94" s="943">
        <f t="shared" si="6"/>
        <v>0</v>
      </c>
      <c r="D94" s="943">
        <f t="shared" si="7"/>
        <v>0</v>
      </c>
      <c r="E94" s="943"/>
      <c r="F94" s="943"/>
      <c r="G94" s="943">
        <f t="shared" si="8"/>
        <v>0</v>
      </c>
      <c r="H94" s="943"/>
      <c r="I94" s="943">
        <f t="shared" si="9"/>
        <v>0</v>
      </c>
      <c r="J94" s="943">
        <f t="shared" si="9"/>
        <v>0</v>
      </c>
      <c r="K94" s="943">
        <f t="shared" si="9"/>
        <v>0</v>
      </c>
      <c r="L94" s="943"/>
      <c r="M94" s="768"/>
      <c r="N94" s="768"/>
      <c r="O94" s="768"/>
      <c r="P94" s="943"/>
      <c r="Q94" s="768"/>
      <c r="R94" s="768"/>
      <c r="S94" s="768"/>
    </row>
    <row r="95" spans="1:19">
      <c r="A95" s="972">
        <f t="shared" si="10"/>
        <v>2.7899999999999832</v>
      </c>
      <c r="B95" s="768"/>
      <c r="C95" s="943">
        <f t="shared" si="6"/>
        <v>0</v>
      </c>
      <c r="D95" s="943">
        <f t="shared" si="7"/>
        <v>0</v>
      </c>
      <c r="E95" s="943"/>
      <c r="F95" s="943"/>
      <c r="G95" s="943">
        <f t="shared" si="8"/>
        <v>0</v>
      </c>
      <c r="H95" s="943"/>
      <c r="I95" s="943">
        <f t="shared" si="9"/>
        <v>0</v>
      </c>
      <c r="J95" s="943">
        <f t="shared" si="9"/>
        <v>0</v>
      </c>
      <c r="K95" s="943">
        <f t="shared" si="9"/>
        <v>0</v>
      </c>
      <c r="L95" s="943"/>
      <c r="M95" s="768"/>
      <c r="N95" s="768"/>
      <c r="O95" s="768"/>
      <c r="P95" s="943"/>
      <c r="Q95" s="768"/>
      <c r="R95" s="768"/>
      <c r="S95" s="768"/>
    </row>
    <row r="96" spans="1:19">
      <c r="A96" s="972">
        <f t="shared" si="10"/>
        <v>2.7999999999999829</v>
      </c>
      <c r="B96" s="768"/>
      <c r="C96" s="768"/>
      <c r="D96" s="768"/>
      <c r="E96" s="943">
        <f t="shared" ref="E96:F106" si="11">-C96</f>
        <v>0</v>
      </c>
      <c r="F96" s="943">
        <f t="shared" si="11"/>
        <v>0</v>
      </c>
      <c r="G96" s="943">
        <f t="shared" si="8"/>
        <v>0</v>
      </c>
      <c r="H96" s="943"/>
      <c r="I96" s="943"/>
      <c r="J96" s="943"/>
      <c r="K96" s="943"/>
      <c r="L96" s="943"/>
      <c r="M96" s="943"/>
      <c r="N96" s="943"/>
      <c r="O96" s="943"/>
      <c r="P96" s="943"/>
      <c r="Q96" s="943"/>
      <c r="R96" s="943"/>
      <c r="S96" s="943"/>
    </row>
    <row r="97" spans="1:19">
      <c r="A97" s="972">
        <f t="shared" si="10"/>
        <v>2.8099999999999827</v>
      </c>
      <c r="B97" s="768"/>
      <c r="C97" s="768"/>
      <c r="D97" s="768"/>
      <c r="E97" s="943">
        <f t="shared" si="11"/>
        <v>0</v>
      </c>
      <c r="F97" s="943">
        <f t="shared" si="11"/>
        <v>0</v>
      </c>
      <c r="G97" s="943">
        <f t="shared" si="8"/>
        <v>0</v>
      </c>
      <c r="H97" s="943"/>
      <c r="I97" s="943"/>
      <c r="J97" s="943"/>
      <c r="K97" s="943"/>
      <c r="L97" s="943"/>
      <c r="M97" s="943"/>
      <c r="N97" s="943"/>
      <c r="O97" s="943"/>
      <c r="P97" s="943"/>
      <c r="Q97" s="943"/>
      <c r="R97" s="943"/>
      <c r="S97" s="943"/>
    </row>
    <row r="98" spans="1:19">
      <c r="A98" s="972">
        <f t="shared" si="10"/>
        <v>2.8199999999999825</v>
      </c>
      <c r="B98" s="768"/>
      <c r="C98" s="768"/>
      <c r="D98" s="768"/>
      <c r="E98" s="943">
        <f t="shared" si="11"/>
        <v>0</v>
      </c>
      <c r="F98" s="943">
        <f t="shared" si="11"/>
        <v>0</v>
      </c>
      <c r="G98" s="943">
        <f t="shared" si="8"/>
        <v>0</v>
      </c>
      <c r="H98" s="943"/>
      <c r="I98" s="943"/>
      <c r="J98" s="943"/>
      <c r="K98" s="943"/>
      <c r="L98" s="943"/>
      <c r="M98" s="943"/>
      <c r="N98" s="943"/>
      <c r="O98" s="943"/>
      <c r="P98" s="943"/>
      <c r="Q98" s="943"/>
      <c r="R98" s="943"/>
      <c r="S98" s="943"/>
    </row>
    <row r="99" spans="1:19">
      <c r="A99" s="972">
        <f t="shared" si="10"/>
        <v>2.8299999999999823</v>
      </c>
      <c r="B99" s="768"/>
      <c r="C99" s="768"/>
      <c r="D99" s="768"/>
      <c r="E99" s="943">
        <f t="shared" si="11"/>
        <v>0</v>
      </c>
      <c r="F99" s="943">
        <f t="shared" si="11"/>
        <v>0</v>
      </c>
      <c r="G99" s="943">
        <f t="shared" si="8"/>
        <v>0</v>
      </c>
      <c r="H99" s="943"/>
      <c r="I99" s="943"/>
      <c r="J99" s="943"/>
      <c r="K99" s="943"/>
      <c r="L99" s="943"/>
      <c r="M99" s="943"/>
      <c r="N99" s="943"/>
      <c r="O99" s="943"/>
      <c r="P99" s="943"/>
      <c r="Q99" s="943"/>
      <c r="R99" s="943"/>
      <c r="S99" s="943"/>
    </row>
    <row r="100" spans="1:19">
      <c r="A100" s="972">
        <f t="shared" si="10"/>
        <v>2.8399999999999821</v>
      </c>
      <c r="B100" s="768"/>
      <c r="C100" s="768"/>
      <c r="D100" s="768"/>
      <c r="E100" s="943">
        <f t="shared" si="11"/>
        <v>0</v>
      </c>
      <c r="F100" s="943">
        <f t="shared" si="11"/>
        <v>0</v>
      </c>
      <c r="G100" s="943">
        <f t="shared" si="8"/>
        <v>0</v>
      </c>
      <c r="H100" s="943"/>
      <c r="I100" s="943"/>
      <c r="J100" s="943"/>
      <c r="K100" s="943"/>
      <c r="L100" s="943"/>
      <c r="M100" s="943"/>
      <c r="N100" s="943"/>
      <c r="O100" s="943"/>
      <c r="P100" s="943"/>
      <c r="Q100" s="943"/>
      <c r="R100" s="943"/>
      <c r="S100" s="943"/>
    </row>
    <row r="101" spans="1:19">
      <c r="A101" s="972">
        <f t="shared" si="10"/>
        <v>2.8499999999999819</v>
      </c>
      <c r="B101" s="768"/>
      <c r="C101" s="768"/>
      <c r="D101" s="768"/>
      <c r="E101" s="943">
        <f t="shared" si="11"/>
        <v>0</v>
      </c>
      <c r="F101" s="943">
        <f t="shared" si="11"/>
        <v>0</v>
      </c>
      <c r="G101" s="943">
        <f t="shared" si="8"/>
        <v>0</v>
      </c>
      <c r="H101" s="943"/>
      <c r="I101" s="943"/>
      <c r="J101" s="943"/>
      <c r="K101" s="943"/>
      <c r="L101" s="943"/>
      <c r="M101" s="943"/>
      <c r="N101" s="943"/>
      <c r="O101" s="943"/>
      <c r="P101" s="943"/>
      <c r="Q101" s="943"/>
      <c r="R101" s="943"/>
      <c r="S101" s="943"/>
    </row>
    <row r="102" spans="1:19">
      <c r="A102" s="972">
        <f t="shared" si="10"/>
        <v>2.8599999999999817</v>
      </c>
      <c r="B102" s="768"/>
      <c r="C102" s="768"/>
      <c r="D102" s="768"/>
      <c r="E102" s="943">
        <f t="shared" si="11"/>
        <v>0</v>
      </c>
      <c r="F102" s="943">
        <f t="shared" si="11"/>
        <v>0</v>
      </c>
      <c r="G102" s="943">
        <f t="shared" si="8"/>
        <v>0</v>
      </c>
      <c r="H102" s="943"/>
      <c r="I102" s="943"/>
      <c r="J102" s="943"/>
      <c r="K102" s="943"/>
      <c r="L102" s="943"/>
      <c r="M102" s="943"/>
      <c r="N102" s="943"/>
      <c r="O102" s="943"/>
      <c r="P102" s="943"/>
      <c r="Q102" s="943"/>
      <c r="R102" s="943"/>
      <c r="S102" s="943"/>
    </row>
    <row r="103" spans="1:19">
      <c r="A103" s="972">
        <f t="shared" si="10"/>
        <v>2.8699999999999815</v>
      </c>
      <c r="B103" s="768"/>
      <c r="C103" s="768"/>
      <c r="D103" s="768"/>
      <c r="E103" s="943">
        <f t="shared" si="11"/>
        <v>0</v>
      </c>
      <c r="F103" s="943">
        <f t="shared" si="11"/>
        <v>0</v>
      </c>
      <c r="G103" s="943">
        <f t="shared" si="8"/>
        <v>0</v>
      </c>
      <c r="H103" s="943"/>
      <c r="I103" s="943"/>
      <c r="J103" s="943"/>
      <c r="K103" s="943"/>
      <c r="L103" s="943"/>
      <c r="M103" s="943"/>
      <c r="N103" s="943"/>
      <c r="O103" s="943"/>
      <c r="P103" s="943"/>
      <c r="Q103" s="943"/>
      <c r="R103" s="943"/>
      <c r="S103" s="943"/>
    </row>
    <row r="104" spans="1:19">
      <c r="A104" s="972">
        <f t="shared" si="10"/>
        <v>2.8799999999999812</v>
      </c>
      <c r="B104" s="768"/>
      <c r="C104" s="768"/>
      <c r="D104" s="768"/>
      <c r="E104" s="943">
        <f t="shared" si="11"/>
        <v>0</v>
      </c>
      <c r="F104" s="943">
        <f t="shared" si="11"/>
        <v>0</v>
      </c>
      <c r="G104" s="943">
        <f t="shared" si="8"/>
        <v>0</v>
      </c>
      <c r="H104" s="943"/>
      <c r="I104" s="943"/>
      <c r="J104" s="943"/>
      <c r="K104" s="943"/>
      <c r="L104" s="943"/>
      <c r="M104" s="943"/>
      <c r="N104" s="943"/>
      <c r="O104" s="943"/>
      <c r="P104" s="943"/>
      <c r="Q104" s="943"/>
      <c r="R104" s="943"/>
      <c r="S104" s="943"/>
    </row>
    <row r="105" spans="1:19">
      <c r="A105" s="972">
        <f t="shared" si="10"/>
        <v>2.889999999999981</v>
      </c>
      <c r="B105" s="768"/>
      <c r="C105" s="768"/>
      <c r="D105" s="768"/>
      <c r="E105" s="943">
        <f t="shared" si="11"/>
        <v>0</v>
      </c>
      <c r="F105" s="943">
        <f t="shared" si="11"/>
        <v>0</v>
      </c>
      <c r="G105" s="943">
        <f t="shared" si="8"/>
        <v>0</v>
      </c>
      <c r="H105" s="943"/>
      <c r="I105" s="943"/>
      <c r="J105" s="943"/>
      <c r="K105" s="943"/>
      <c r="L105" s="943"/>
      <c r="M105" s="943"/>
      <c r="N105" s="943"/>
      <c r="O105" s="943"/>
      <c r="P105" s="943"/>
      <c r="Q105" s="943"/>
      <c r="R105" s="943"/>
      <c r="S105" s="943"/>
    </row>
    <row r="106" spans="1:19">
      <c r="A106" s="972">
        <f t="shared" si="10"/>
        <v>2.8999999999999808</v>
      </c>
      <c r="B106" s="768"/>
      <c r="C106" s="768"/>
      <c r="D106" s="768"/>
      <c r="E106" s="943">
        <f t="shared" si="11"/>
        <v>0</v>
      </c>
      <c r="F106" s="943">
        <f t="shared" si="11"/>
        <v>0</v>
      </c>
      <c r="G106" s="943">
        <f t="shared" si="8"/>
        <v>0</v>
      </c>
      <c r="H106" s="943"/>
      <c r="I106" s="943">
        <f t="shared" ref="I106:K107" si="12">(M106+Q106)/2</f>
        <v>0</v>
      </c>
      <c r="J106" s="943">
        <f t="shared" si="12"/>
        <v>0</v>
      </c>
      <c r="K106" s="943">
        <f t="shared" si="12"/>
        <v>0</v>
      </c>
      <c r="L106" s="943"/>
      <c r="M106" s="943"/>
      <c r="N106" s="943"/>
      <c r="O106" s="943"/>
      <c r="P106" s="943"/>
      <c r="Q106" s="943"/>
      <c r="R106" s="943"/>
      <c r="S106" s="943"/>
    </row>
    <row r="107" spans="1:19">
      <c r="A107" s="972">
        <f t="shared" si="10"/>
        <v>2.9099999999999806</v>
      </c>
      <c r="B107" s="768"/>
      <c r="C107" s="943">
        <f>SUM(M107:O107)</f>
        <v>0</v>
      </c>
      <c r="D107" s="943">
        <f>SUM(Q107:S107)</f>
        <v>0</v>
      </c>
      <c r="E107" s="943"/>
      <c r="F107" s="943"/>
      <c r="G107" s="943">
        <f t="shared" si="8"/>
        <v>0</v>
      </c>
      <c r="H107" s="943"/>
      <c r="I107" s="943">
        <f t="shared" si="12"/>
        <v>0</v>
      </c>
      <c r="J107" s="943">
        <f t="shared" si="12"/>
        <v>0</v>
      </c>
      <c r="K107" s="943">
        <f t="shared" si="12"/>
        <v>0</v>
      </c>
      <c r="L107" s="943"/>
      <c r="M107" s="945"/>
      <c r="N107" s="945"/>
      <c r="O107" s="945"/>
      <c r="P107" s="943"/>
      <c r="Q107" s="945"/>
      <c r="R107" s="945"/>
      <c r="S107" s="945"/>
    </row>
    <row r="108" spans="1:19">
      <c r="A108" s="964"/>
      <c r="B108" s="943"/>
      <c r="C108" s="943"/>
      <c r="D108" s="943"/>
      <c r="E108" s="943"/>
      <c r="F108" s="943"/>
      <c r="G108" s="943"/>
      <c r="H108" s="943"/>
      <c r="I108" s="943"/>
      <c r="J108" s="943"/>
      <c r="K108" s="943"/>
      <c r="L108" s="943"/>
      <c r="M108" s="943"/>
      <c r="N108" s="943"/>
      <c r="O108" s="943"/>
      <c r="P108" s="943"/>
      <c r="Q108" s="943"/>
      <c r="R108" s="943"/>
      <c r="S108" s="943"/>
    </row>
    <row r="109" spans="1:19" ht="13.5" thickBot="1">
      <c r="A109" s="19">
        <v>3</v>
      </c>
      <c r="B109" s="949" t="s">
        <v>743</v>
      </c>
      <c r="C109" s="965">
        <f>SUM(C17:C108)</f>
        <v>0</v>
      </c>
      <c r="D109" s="965">
        <f>SUM(D17:D108)</f>
        <v>0</v>
      </c>
      <c r="E109" s="965">
        <f>SUM(E17:E108)</f>
        <v>0</v>
      </c>
      <c r="F109" s="965">
        <f>SUM(F17:F108)</f>
        <v>0</v>
      </c>
      <c r="G109" s="965">
        <f>SUM(G17:G108)</f>
        <v>0</v>
      </c>
      <c r="H109" s="943"/>
      <c r="I109" s="965">
        <f>SUM(I17:I108)</f>
        <v>0</v>
      </c>
      <c r="J109" s="965">
        <f>SUM(J17:J108)</f>
        <v>0</v>
      </c>
      <c r="K109" s="965">
        <f>SUM(K17:K108)</f>
        <v>0</v>
      </c>
      <c r="L109" s="943"/>
      <c r="M109" s="965">
        <f>SUM(M17:M108)</f>
        <v>0</v>
      </c>
      <c r="N109" s="965">
        <f>SUM(N17:N108)</f>
        <v>0</v>
      </c>
      <c r="O109" s="965">
        <f>SUM(O17:O108)</f>
        <v>0</v>
      </c>
      <c r="P109" s="943"/>
      <c r="Q109" s="965">
        <f>SUM(Q17:Q108)</f>
        <v>0</v>
      </c>
      <c r="R109" s="965">
        <f>SUM(R17:R108)</f>
        <v>0</v>
      </c>
      <c r="S109" s="965">
        <f>SUM(S17:S108)</f>
        <v>0</v>
      </c>
    </row>
    <row r="110" spans="1:19" ht="13.5" thickTop="1">
      <c r="A110" s="1">
        <v>4</v>
      </c>
      <c r="B110" s="1019" t="s">
        <v>746</v>
      </c>
      <c r="C110" s="1020">
        <f>C77+C78</f>
        <v>0</v>
      </c>
      <c r="D110" s="1020">
        <f>D77+D78</f>
        <v>0</v>
      </c>
      <c r="E110" s="1020">
        <f>E77+E78</f>
        <v>0</v>
      </c>
      <c r="F110" s="1020">
        <f>F77+F78</f>
        <v>0</v>
      </c>
      <c r="G110" s="1020">
        <f>G77+G78</f>
        <v>0</v>
      </c>
      <c r="H110" s="6"/>
      <c r="I110" s="1020">
        <f>I77+I78</f>
        <v>0</v>
      </c>
      <c r="J110" s="1020">
        <f>J77+J78</f>
        <v>0</v>
      </c>
      <c r="K110" s="1020">
        <f>K77+K78</f>
        <v>0</v>
      </c>
      <c r="L110" s="6"/>
      <c r="M110" s="1020">
        <f>M77+M78</f>
        <v>0</v>
      </c>
      <c r="N110" s="1020">
        <f>N77+N78</f>
        <v>0</v>
      </c>
      <c r="O110" s="1020">
        <f>O77+O78</f>
        <v>0</v>
      </c>
      <c r="P110" s="6"/>
      <c r="Q110" s="1020">
        <f>Q77+Q78</f>
        <v>0</v>
      </c>
      <c r="R110" s="1020">
        <f>R77+R78</f>
        <v>0</v>
      </c>
      <c r="S110" s="1020">
        <f>S77+S78</f>
        <v>0</v>
      </c>
    </row>
  </sheetData>
  <pageMargins left="0.7" right="0.7" top="0.75" bottom="0.75" header="0.3" footer="0.3"/>
  <pageSetup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5"/>
  <sheetViews>
    <sheetView workbookViewId="0">
      <selection activeCell="P10" sqref="P10"/>
    </sheetView>
  </sheetViews>
  <sheetFormatPr defaultColWidth="10" defaultRowHeight="12"/>
  <cols>
    <col min="1" max="1" width="9.42578125" style="1335" customWidth="1"/>
    <col min="2" max="2" width="20.85546875" style="1353" customWidth="1"/>
    <col min="3" max="3" width="35.5703125" style="1335" customWidth="1"/>
    <col min="4" max="4" width="12.85546875" style="1335" customWidth="1"/>
    <col min="5" max="5" width="10.42578125" style="1335" customWidth="1"/>
    <col min="6" max="6" width="16.42578125" style="1335" customWidth="1"/>
    <col min="7" max="7" width="12" style="1335" customWidth="1"/>
    <col min="8" max="8" width="14.28515625" style="1335" bestFit="1" customWidth="1"/>
    <col min="9" max="9" width="18.85546875" style="1335" customWidth="1"/>
    <col min="10" max="10" width="15.5703125" style="1335" customWidth="1"/>
    <col min="11" max="11" width="16.140625" style="1335" customWidth="1"/>
    <col min="12" max="13" width="15" style="1335" customWidth="1"/>
    <col min="14" max="14" width="13.5703125" style="1335" customWidth="1"/>
    <col min="15" max="15" width="15" style="1335" customWidth="1"/>
    <col min="16" max="17" width="17.5703125" style="1335" customWidth="1"/>
    <col min="18" max="18" width="33" style="1335" customWidth="1"/>
    <col min="19" max="19" width="15" style="1335" customWidth="1"/>
    <col min="20" max="21" width="14.5703125" style="1335" bestFit="1" customWidth="1"/>
    <col min="22" max="22" width="10.5703125" style="1335" bestFit="1" customWidth="1"/>
    <col min="23" max="16384" width="10" style="1335"/>
  </cols>
  <sheetData>
    <row r="1" spans="1:23" ht="15">
      <c r="A1" s="1243" t="s">
        <v>985</v>
      </c>
      <c r="B1" s="1244"/>
      <c r="C1" s="1244"/>
      <c r="D1" s="1244"/>
      <c r="E1" s="1244"/>
      <c r="F1" s="1244"/>
      <c r="G1" s="1244"/>
      <c r="H1" s="1244"/>
      <c r="I1" s="1244"/>
      <c r="J1" s="1244"/>
      <c r="K1" s="1244"/>
      <c r="L1" s="1244"/>
      <c r="M1" s="1244"/>
      <c r="N1" s="1244"/>
      <c r="O1" s="1244"/>
      <c r="P1" s="1244"/>
      <c r="Q1" s="1244"/>
      <c r="R1" s="1245"/>
      <c r="S1" s="1244"/>
      <c r="T1" s="1244"/>
      <c r="U1" s="1244"/>
      <c r="V1" s="1244"/>
      <c r="W1" s="1244"/>
    </row>
    <row r="2" spans="1:23" ht="15">
      <c r="A2" s="1243" t="s">
        <v>986</v>
      </c>
      <c r="B2" s="1244"/>
      <c r="C2" s="1244"/>
      <c r="D2" s="1244"/>
      <c r="E2" s="1244"/>
      <c r="F2" s="1244"/>
      <c r="G2" s="1244"/>
      <c r="H2" s="1244"/>
      <c r="I2" s="1244"/>
      <c r="J2" s="1244"/>
      <c r="K2" s="1244"/>
      <c r="L2" s="1244"/>
      <c r="M2" s="1244"/>
      <c r="N2" s="1244"/>
      <c r="O2" s="1244"/>
      <c r="P2" s="1244"/>
      <c r="Q2" s="1244"/>
      <c r="R2" s="1245"/>
      <c r="S2" s="1244"/>
      <c r="T2" s="1244"/>
      <c r="U2" s="1244"/>
      <c r="V2" s="1246"/>
      <c r="W2" s="1244"/>
    </row>
    <row r="3" spans="1:23" ht="15">
      <c r="A3" s="1243" t="s">
        <v>987</v>
      </c>
      <c r="B3" s="1244"/>
      <c r="C3" s="1244"/>
      <c r="D3" s="1244"/>
      <c r="E3" s="1244"/>
      <c r="F3" s="1244"/>
      <c r="G3" s="1244"/>
      <c r="H3" s="1244"/>
      <c r="I3" s="1244"/>
      <c r="J3" s="1244"/>
      <c r="K3" s="1244"/>
      <c r="L3" s="1244"/>
      <c r="M3" s="1244"/>
      <c r="N3" s="1244"/>
      <c r="O3" s="1244"/>
      <c r="P3" s="1244"/>
      <c r="Q3" s="1244"/>
      <c r="R3" s="1245"/>
      <c r="S3" s="1244"/>
      <c r="T3" s="1244"/>
      <c r="U3" s="1244"/>
      <c r="V3" s="1247"/>
      <c r="W3" s="1244"/>
    </row>
    <row r="4" spans="1:23" ht="15">
      <c r="A4" s="1243" t="s">
        <v>1109</v>
      </c>
      <c r="B4" s="1244"/>
      <c r="C4" s="1244"/>
      <c r="D4" s="1244"/>
      <c r="E4" s="1244"/>
      <c r="F4" s="1244"/>
      <c r="G4" s="1244"/>
      <c r="H4" s="1244"/>
      <c r="I4" s="1244"/>
      <c r="J4" s="1244"/>
      <c r="K4" s="1244"/>
      <c r="L4" s="1244"/>
      <c r="M4" s="1244"/>
      <c r="N4" s="1244"/>
      <c r="O4" s="1244"/>
      <c r="P4" s="1244"/>
      <c r="Q4" s="1244"/>
      <c r="R4" s="1245"/>
      <c r="S4" s="1244"/>
      <c r="T4" s="1244"/>
      <c r="U4" s="1244"/>
      <c r="V4" s="1247"/>
      <c r="W4" s="1244"/>
    </row>
    <row r="5" spans="1:23" ht="15">
      <c r="A5" s="1243" t="s">
        <v>988</v>
      </c>
      <c r="B5" s="1244"/>
      <c r="C5" s="1244"/>
      <c r="D5" s="1244"/>
      <c r="E5" s="1244"/>
      <c r="F5" s="1244"/>
      <c r="G5" s="1248"/>
      <c r="H5" s="1244"/>
      <c r="I5" s="1244"/>
      <c r="J5" s="1244"/>
      <c r="K5" s="1244"/>
      <c r="L5" s="1244"/>
      <c r="M5" s="1244"/>
      <c r="N5" s="1244"/>
      <c r="O5" s="1244"/>
      <c r="P5" s="1244"/>
      <c r="Q5" s="1244"/>
      <c r="R5" s="1244"/>
      <c r="S5" s="1244"/>
      <c r="T5" s="1244"/>
      <c r="U5" s="1244"/>
      <c r="V5" s="1244"/>
      <c r="W5" s="1244"/>
    </row>
    <row r="6" spans="1:23" ht="15">
      <c r="A6" s="1244"/>
      <c r="B6" s="1244"/>
      <c r="C6" s="1244"/>
      <c r="D6" s="1244"/>
      <c r="E6" s="1244"/>
      <c r="F6" s="1244"/>
      <c r="G6" s="1244"/>
      <c r="H6" s="1244"/>
      <c r="I6" s="1249"/>
      <c r="J6" s="1249"/>
      <c r="K6" s="1244"/>
      <c r="L6" s="1244"/>
      <c r="M6" s="1244"/>
      <c r="N6" s="1244"/>
      <c r="O6" s="1244"/>
      <c r="P6" s="1249"/>
      <c r="Q6" s="1249"/>
      <c r="R6" s="1244"/>
      <c r="S6" s="1244"/>
      <c r="T6" s="1244"/>
      <c r="U6" s="1244"/>
      <c r="V6" s="1244"/>
      <c r="W6" s="1244"/>
    </row>
    <row r="7" spans="1:23" ht="15">
      <c r="A7" s="1244"/>
      <c r="B7" s="1250"/>
      <c r="C7" s="1250"/>
      <c r="D7" s="1250"/>
      <c r="E7" s="1250"/>
      <c r="F7" s="1250"/>
      <c r="G7" s="1250"/>
      <c r="H7" s="1250"/>
      <c r="I7" s="1250"/>
      <c r="J7" s="1250"/>
      <c r="K7" s="1250"/>
      <c r="L7" s="1250"/>
      <c r="M7" s="1250"/>
      <c r="N7" s="1250"/>
      <c r="O7" s="1250"/>
      <c r="P7" s="1250"/>
      <c r="Q7" s="1251"/>
      <c r="R7" s="1244"/>
      <c r="S7" s="1244"/>
      <c r="T7" s="1244"/>
      <c r="U7" s="1244"/>
      <c r="V7" s="1244"/>
      <c r="W7" s="1244"/>
    </row>
    <row r="8" spans="1:23" ht="15">
      <c r="A8" s="1251" t="s">
        <v>148</v>
      </c>
      <c r="B8" s="1251" t="s">
        <v>149</v>
      </c>
      <c r="C8" s="1251" t="s">
        <v>150</v>
      </c>
      <c r="D8" s="1251" t="s">
        <v>151</v>
      </c>
      <c r="E8" s="1251" t="s">
        <v>152</v>
      </c>
      <c r="F8" s="1251" t="s">
        <v>153</v>
      </c>
      <c r="G8" s="1251" t="s">
        <v>154</v>
      </c>
      <c r="H8" s="1251" t="s">
        <v>155</v>
      </c>
      <c r="I8" s="1251" t="s">
        <v>989</v>
      </c>
      <c r="J8" s="1251" t="s">
        <v>990</v>
      </c>
      <c r="K8" s="1251" t="s">
        <v>158</v>
      </c>
      <c r="L8" s="1251" t="s">
        <v>159</v>
      </c>
      <c r="M8" s="1251" t="s">
        <v>160</v>
      </c>
      <c r="N8" s="1251" t="s">
        <v>245</v>
      </c>
      <c r="O8" s="1251" t="s">
        <v>304</v>
      </c>
      <c r="P8" s="1251" t="s">
        <v>350</v>
      </c>
      <c r="Q8" s="1251" t="s">
        <v>351</v>
      </c>
      <c r="R8" s="1251" t="s">
        <v>352</v>
      </c>
      <c r="S8" s="1244"/>
      <c r="T8" s="1244"/>
      <c r="U8" s="1244"/>
      <c r="V8" s="1244"/>
      <c r="W8" s="1244"/>
    </row>
    <row r="9" spans="1:23" ht="15">
      <c r="A9" s="1252" t="s">
        <v>991</v>
      </c>
      <c r="B9" s="1253"/>
      <c r="C9" s="1253"/>
      <c r="D9" s="1253"/>
      <c r="E9" s="1253"/>
      <c r="F9" s="1244"/>
      <c r="G9" s="1244"/>
      <c r="H9" s="1244"/>
      <c r="I9" s="1476" t="s">
        <v>1110</v>
      </c>
      <c r="J9" s="1476"/>
      <c r="K9" s="1477" t="s">
        <v>992</v>
      </c>
      <c r="L9" s="1477"/>
      <c r="M9" s="1477"/>
      <c r="N9" s="1478" t="s">
        <v>993</v>
      </c>
      <c r="O9" s="1478"/>
      <c r="P9" s="1476" t="s">
        <v>1111</v>
      </c>
      <c r="Q9" s="1476"/>
      <c r="R9" s="1244"/>
      <c r="S9" s="1244"/>
      <c r="T9" s="1244"/>
      <c r="U9" s="1244"/>
      <c r="V9" s="1244"/>
      <c r="W9" s="1244"/>
    </row>
    <row r="10" spans="1:23" ht="14.45" customHeight="1">
      <c r="A10" s="1254" t="s">
        <v>994</v>
      </c>
      <c r="B10" s="1255" t="s">
        <v>995</v>
      </c>
      <c r="C10" s="1255" t="s">
        <v>996</v>
      </c>
      <c r="D10" s="1256" t="s">
        <v>997</v>
      </c>
      <c r="E10" s="1256" t="s">
        <v>998</v>
      </c>
      <c r="F10" s="1256" t="s">
        <v>999</v>
      </c>
      <c r="G10" s="1256" t="s">
        <v>1000</v>
      </c>
      <c r="H10" s="1256" t="s">
        <v>1001</v>
      </c>
      <c r="I10" s="1336" t="s">
        <v>1002</v>
      </c>
      <c r="J10" s="1336" t="s">
        <v>1003</v>
      </c>
      <c r="K10" s="1257" t="s">
        <v>1004</v>
      </c>
      <c r="L10" s="1257">
        <v>182.3</v>
      </c>
      <c r="M10" s="1257">
        <v>254</v>
      </c>
      <c r="N10" s="1257" t="s">
        <v>1005</v>
      </c>
      <c r="O10" s="1257" t="s">
        <v>1006</v>
      </c>
      <c r="P10" s="1336" t="s">
        <v>1002</v>
      </c>
      <c r="Q10" s="1336" t="s">
        <v>1003</v>
      </c>
      <c r="R10" s="1258" t="s">
        <v>1007</v>
      </c>
      <c r="S10" s="1259"/>
      <c r="T10" s="1244"/>
      <c r="U10" s="1244"/>
      <c r="V10" s="1244"/>
      <c r="W10" s="1244"/>
    </row>
    <row r="11" spans="1:23" ht="15">
      <c r="A11" s="1244"/>
      <c r="B11" s="1243"/>
      <c r="C11" s="1244"/>
      <c r="D11" s="1334"/>
      <c r="E11" s="1334"/>
      <c r="F11" s="1334"/>
      <c r="G11" s="1334"/>
      <c r="H11" s="1334"/>
      <c r="I11" s="1260"/>
      <c r="J11" s="1260"/>
      <c r="K11" s="1260"/>
      <c r="L11" s="1260"/>
      <c r="M11" s="1260"/>
      <c r="N11" s="1260"/>
      <c r="O11" s="1260"/>
      <c r="P11" s="1479" t="s">
        <v>1008</v>
      </c>
      <c r="Q11" s="1479"/>
      <c r="R11" s="1258"/>
      <c r="S11" s="1259"/>
      <c r="T11" s="1244"/>
      <c r="U11" s="1244"/>
      <c r="V11" s="1244"/>
      <c r="W11" s="1244"/>
    </row>
    <row r="12" spans="1:23" ht="15">
      <c r="A12" s="1244"/>
      <c r="B12" s="1261" t="s">
        <v>1009</v>
      </c>
      <c r="C12" s="1262"/>
      <c r="D12" s="1262"/>
      <c r="E12" s="1262"/>
      <c r="F12" s="1262"/>
      <c r="G12" s="1262"/>
      <c r="H12" s="1262"/>
      <c r="I12" s="1262"/>
      <c r="J12" s="1262"/>
      <c r="K12" s="1262"/>
      <c r="L12" s="1262"/>
      <c r="M12" s="1262"/>
      <c r="N12" s="1262"/>
      <c r="O12" s="1262"/>
      <c r="P12" s="1262"/>
      <c r="Q12" s="1262"/>
      <c r="R12" s="1247"/>
      <c r="S12" s="1244"/>
      <c r="T12" s="1244"/>
      <c r="U12" s="1244"/>
      <c r="V12" s="1244"/>
      <c r="W12" s="1247"/>
    </row>
    <row r="13" spans="1:23" ht="15">
      <c r="A13" s="1243" t="s">
        <v>1010</v>
      </c>
      <c r="B13" s="1263" t="s">
        <v>1094</v>
      </c>
      <c r="C13" s="1243" t="s">
        <v>1011</v>
      </c>
      <c r="D13" s="1264" t="s">
        <v>1012</v>
      </c>
      <c r="E13" s="1264" t="s">
        <v>1013</v>
      </c>
      <c r="F13" s="1265"/>
      <c r="G13" s="1264"/>
      <c r="H13" s="1264"/>
      <c r="I13" s="1337"/>
      <c r="J13" s="1338"/>
      <c r="K13" s="1337"/>
      <c r="L13" s="1337"/>
      <c r="M13" s="1337"/>
      <c r="N13" s="1337"/>
      <c r="O13" s="1337"/>
      <c r="P13" s="1339">
        <f>SUM(I13:O13)</f>
        <v>0</v>
      </c>
      <c r="Q13" s="1266" t="s">
        <v>114</v>
      </c>
      <c r="R13" s="1267" t="s">
        <v>1095</v>
      </c>
      <c r="S13" s="1244"/>
      <c r="T13" s="1244"/>
      <c r="U13" s="1244"/>
      <c r="V13" s="1244"/>
      <c r="W13" s="1247"/>
    </row>
    <row r="14" spans="1:23" ht="15">
      <c r="A14" s="1264" t="s">
        <v>1014</v>
      </c>
      <c r="B14" s="1263" t="s">
        <v>1096</v>
      </c>
      <c r="C14" s="1268" t="s">
        <v>1015</v>
      </c>
      <c r="D14" s="1268" t="s">
        <v>1016</v>
      </c>
      <c r="E14" s="1264" t="s">
        <v>1013</v>
      </c>
      <c r="F14" s="1269">
        <v>-115991956</v>
      </c>
      <c r="G14" s="1270" t="s">
        <v>1017</v>
      </c>
      <c r="H14" s="1270" t="s">
        <v>1018</v>
      </c>
      <c r="I14" s="1338"/>
      <c r="J14" s="1267"/>
      <c r="K14" s="1340"/>
      <c r="L14" s="1340"/>
      <c r="M14" s="1340"/>
      <c r="N14" s="1340"/>
      <c r="O14" s="1340"/>
      <c r="P14" s="1266"/>
      <c r="Q14" s="1339">
        <f>SUM(I14:O14)</f>
        <v>0</v>
      </c>
      <c r="R14" s="1267"/>
      <c r="S14" s="1244"/>
      <c r="T14" s="1244"/>
      <c r="U14" s="1244"/>
      <c r="V14" s="1244"/>
      <c r="W14" s="1271"/>
    </row>
    <row r="15" spans="1:23" s="1341" customFormat="1" ht="15">
      <c r="A15" s="1264" t="s">
        <v>1019</v>
      </c>
      <c r="B15" s="1263" t="s">
        <v>1097</v>
      </c>
      <c r="C15" s="1268" t="s">
        <v>1020</v>
      </c>
      <c r="D15" s="1268" t="s">
        <v>1016</v>
      </c>
      <c r="E15" s="1264" t="s">
        <v>1013</v>
      </c>
      <c r="F15" s="1265"/>
      <c r="G15" s="1264"/>
      <c r="H15" s="1264"/>
      <c r="I15" s="1267"/>
      <c r="J15" s="1266"/>
      <c r="K15" s="1340"/>
      <c r="L15" s="1340"/>
      <c r="M15" s="1340"/>
      <c r="N15" s="1340"/>
      <c r="O15" s="1340"/>
      <c r="P15" s="1339">
        <f>SUM(I15:O15)</f>
        <v>0</v>
      </c>
      <c r="Q15" s="1266"/>
      <c r="R15" s="1267" t="s">
        <v>1021</v>
      </c>
      <c r="S15" s="1244"/>
      <c r="T15" s="1244"/>
      <c r="U15" s="1244"/>
      <c r="V15" s="1244"/>
      <c r="W15" s="1271"/>
    </row>
    <row r="16" spans="1:23" s="1341" customFormat="1" ht="15">
      <c r="A16" s="1243" t="s">
        <v>1022</v>
      </c>
      <c r="B16" s="1263" t="s">
        <v>1098</v>
      </c>
      <c r="C16" s="1243" t="s">
        <v>1023</v>
      </c>
      <c r="D16" s="1264" t="s">
        <v>1016</v>
      </c>
      <c r="E16" s="1264" t="s">
        <v>1013</v>
      </c>
      <c r="F16" s="1272">
        <v>-568878716</v>
      </c>
      <c r="G16" s="1270" t="s">
        <v>1017</v>
      </c>
      <c r="H16" s="1270" t="s">
        <v>1018</v>
      </c>
      <c r="I16" s="1266"/>
      <c r="J16" s="1273"/>
      <c r="K16" s="1273"/>
      <c r="L16" s="1273"/>
      <c r="M16" s="1273"/>
      <c r="N16" s="1273"/>
      <c r="O16" s="1273"/>
      <c r="P16" s="1266" t="s">
        <v>114</v>
      </c>
      <c r="Q16" s="1339">
        <f>SUM(I16:O16)</f>
        <v>0</v>
      </c>
      <c r="R16" s="1474" t="s">
        <v>1099</v>
      </c>
      <c r="S16" s="1244"/>
      <c r="T16" s="1244"/>
      <c r="U16" s="1244"/>
      <c r="V16" s="1244"/>
      <c r="W16" s="1247"/>
    </row>
    <row r="17" spans="1:23" ht="15">
      <c r="A17" s="1243" t="s">
        <v>1024</v>
      </c>
      <c r="B17" s="1263" t="s">
        <v>1098</v>
      </c>
      <c r="C17" s="1243" t="s">
        <v>1023</v>
      </c>
      <c r="D17" s="1264" t="s">
        <v>1025</v>
      </c>
      <c r="E17" s="1264" t="s">
        <v>1013</v>
      </c>
      <c r="F17" s="1274">
        <v>-230625401</v>
      </c>
      <c r="G17" s="1270" t="s">
        <v>1026</v>
      </c>
      <c r="H17" s="1270" t="s">
        <v>1027</v>
      </c>
      <c r="I17" s="1266"/>
      <c r="J17" s="1340"/>
      <c r="K17" s="1340"/>
      <c r="L17" s="1340"/>
      <c r="M17" s="1340"/>
      <c r="N17" s="1340"/>
      <c r="O17" s="1340"/>
      <c r="P17" s="1266"/>
      <c r="Q17" s="1339">
        <f>SUM(I17:O17)</f>
        <v>0</v>
      </c>
      <c r="R17" s="1474"/>
      <c r="S17" s="1244"/>
      <c r="T17" s="1244"/>
      <c r="U17" s="1244"/>
      <c r="V17" s="1244"/>
      <c r="W17" s="1247"/>
    </row>
    <row r="18" spans="1:23" ht="15">
      <c r="A18" s="1243" t="s">
        <v>1028</v>
      </c>
      <c r="B18" s="1263" t="s">
        <v>1100</v>
      </c>
      <c r="C18" s="1243" t="s">
        <v>1029</v>
      </c>
      <c r="D18" s="1264" t="s">
        <v>1016</v>
      </c>
      <c r="E18" s="1264" t="s">
        <v>1013</v>
      </c>
      <c r="F18" s="1274"/>
      <c r="G18" s="1270"/>
      <c r="H18" s="1270"/>
      <c r="I18" s="1340"/>
      <c r="J18" s="1266"/>
      <c r="K18" s="1340"/>
      <c r="L18" s="1340"/>
      <c r="M18" s="1340"/>
      <c r="N18" s="1340"/>
      <c r="O18" s="1340"/>
      <c r="P18" s="1339">
        <f>SUM(I18:O18)</f>
        <v>0</v>
      </c>
      <c r="Q18" s="1266"/>
      <c r="R18" s="1480" t="s">
        <v>1101</v>
      </c>
      <c r="S18" s="1244"/>
      <c r="T18" s="1244"/>
      <c r="U18" s="1244"/>
      <c r="V18" s="1244"/>
      <c r="W18" s="1247"/>
    </row>
    <row r="19" spans="1:23" ht="15">
      <c r="A19" s="1243" t="s">
        <v>1030</v>
      </c>
      <c r="B19" s="1263" t="s">
        <v>1100</v>
      </c>
      <c r="C19" s="1243" t="s">
        <v>1029</v>
      </c>
      <c r="D19" s="1264" t="s">
        <v>1025</v>
      </c>
      <c r="E19" s="1264" t="s">
        <v>1013</v>
      </c>
      <c r="F19" s="1274"/>
      <c r="G19" s="1270"/>
      <c r="H19" s="1270"/>
      <c r="I19" s="1340"/>
      <c r="J19" s="1266"/>
      <c r="K19" s="1340"/>
      <c r="L19" s="1340"/>
      <c r="M19" s="1340"/>
      <c r="N19" s="1340"/>
      <c r="O19" s="1340"/>
      <c r="P19" s="1339">
        <f>SUM(I19:O19)</f>
        <v>0</v>
      </c>
      <c r="Q19" s="1266"/>
      <c r="R19" s="1480"/>
      <c r="S19" s="1244"/>
      <c r="T19" s="1244"/>
      <c r="U19" s="1244"/>
      <c r="V19" s="1244"/>
      <c r="W19" s="1247"/>
    </row>
    <row r="20" spans="1:23" ht="15">
      <c r="A20" s="1243" t="s">
        <v>1031</v>
      </c>
      <c r="B20" s="1263" t="s">
        <v>1102</v>
      </c>
      <c r="C20" s="1243" t="s">
        <v>1032</v>
      </c>
      <c r="D20" s="1264" t="s">
        <v>1025</v>
      </c>
      <c r="E20" s="1264" t="s">
        <v>1013</v>
      </c>
      <c r="F20" s="1274">
        <v>-12804071</v>
      </c>
      <c r="G20" s="1270" t="s">
        <v>1026</v>
      </c>
      <c r="H20" s="1270" t="s">
        <v>1027</v>
      </c>
      <c r="I20" s="1266"/>
      <c r="J20" s="1340"/>
      <c r="K20" s="1340"/>
      <c r="L20" s="1340"/>
      <c r="M20" s="1340"/>
      <c r="N20" s="1340"/>
      <c r="O20" s="1340"/>
      <c r="P20" s="1342" t="s">
        <v>114</v>
      </c>
      <c r="Q20" s="1339">
        <f>SUM(I20:O20)</f>
        <v>0</v>
      </c>
      <c r="R20" s="1267" t="s">
        <v>1103</v>
      </c>
      <c r="S20" s="1244"/>
      <c r="T20" s="1244"/>
      <c r="U20" s="1244"/>
      <c r="V20" s="1244"/>
      <c r="W20" s="1247"/>
    </row>
    <row r="21" spans="1:23" ht="15">
      <c r="A21" s="1243" t="s">
        <v>1033</v>
      </c>
      <c r="B21" s="1275" t="s">
        <v>1104</v>
      </c>
      <c r="C21" s="1243" t="s">
        <v>1034</v>
      </c>
      <c r="D21" s="1264" t="s">
        <v>1025</v>
      </c>
      <c r="E21" s="1264" t="s">
        <v>1013</v>
      </c>
      <c r="F21" s="1272"/>
      <c r="G21" s="1270"/>
      <c r="H21" s="1270"/>
      <c r="I21" s="1340"/>
      <c r="J21" s="1343"/>
      <c r="K21" s="1340"/>
      <c r="L21" s="1340"/>
      <c r="M21" s="1340"/>
      <c r="N21" s="1340"/>
      <c r="O21" s="1340"/>
      <c r="P21" s="1339">
        <f>SUM(I21:O21)</f>
        <v>0</v>
      </c>
      <c r="Q21" s="1342"/>
      <c r="R21" s="1276" t="s">
        <v>1105</v>
      </c>
      <c r="S21" s="1244"/>
      <c r="T21" s="1244"/>
      <c r="U21" s="1244"/>
      <c r="V21" s="1244"/>
      <c r="W21" s="1247"/>
    </row>
    <row r="22" spans="1:23" ht="15">
      <c r="A22" s="1243" t="s">
        <v>1035</v>
      </c>
      <c r="B22" s="1252" t="s">
        <v>1036</v>
      </c>
      <c r="C22" s="1244"/>
      <c r="D22" s="1264"/>
      <c r="E22" s="1264"/>
      <c r="F22" s="1272"/>
      <c r="G22" s="1270"/>
      <c r="H22" s="1270"/>
      <c r="I22" s="1340"/>
      <c r="J22" s="1340"/>
      <c r="K22" s="1340"/>
      <c r="L22" s="1340"/>
      <c r="M22" s="1340"/>
      <c r="N22" s="1340"/>
      <c r="O22" s="1340"/>
      <c r="P22" s="1344"/>
      <c r="Q22" s="1345"/>
      <c r="R22" s="1276"/>
      <c r="S22" s="1244"/>
      <c r="T22" s="1244"/>
      <c r="U22" s="1244"/>
      <c r="V22" s="1244"/>
      <c r="W22" s="1247"/>
    </row>
    <row r="23" spans="1:23" ht="15">
      <c r="A23" s="1244"/>
      <c r="B23" s="1277"/>
      <c r="C23" s="1277"/>
      <c r="D23" s="1277"/>
      <c r="E23" s="1277"/>
      <c r="F23" s="1277"/>
      <c r="G23" s="1277"/>
      <c r="H23" s="1277"/>
      <c r="I23" s="1277"/>
      <c r="J23" s="1277"/>
      <c r="K23" s="1277"/>
      <c r="L23" s="1277"/>
      <c r="M23" s="1277"/>
      <c r="N23" s="1244"/>
      <c r="O23" s="1244"/>
      <c r="P23" s="1278"/>
      <c r="Q23" s="1244"/>
      <c r="R23" s="1244"/>
      <c r="S23" s="1244"/>
      <c r="T23" s="1244"/>
      <c r="U23" s="1244"/>
      <c r="V23" s="1244"/>
      <c r="W23" s="1247"/>
    </row>
    <row r="24" spans="1:23" ht="15">
      <c r="A24" s="1243"/>
      <c r="B24" s="1261" t="s">
        <v>1037</v>
      </c>
      <c r="C24" s="1247"/>
      <c r="D24" s="1247"/>
      <c r="E24" s="1247"/>
      <c r="F24" s="1247"/>
      <c r="G24" s="1247"/>
      <c r="H24" s="1247"/>
      <c r="I24" s="1247"/>
      <c r="J24" s="1247"/>
      <c r="K24" s="1247"/>
      <c r="L24" s="1247"/>
      <c r="M24" s="1247"/>
      <c r="N24" s="1247"/>
      <c r="O24" s="1247"/>
      <c r="P24" s="1247"/>
      <c r="Q24" s="1279"/>
      <c r="R24" s="1280"/>
      <c r="S24" s="1244"/>
      <c r="T24" s="1244"/>
      <c r="U24" s="1244"/>
      <c r="V24" s="1244"/>
      <c r="W24" s="1247"/>
    </row>
    <row r="25" spans="1:23" s="1247" customFormat="1" ht="15">
      <c r="A25" s="1243" t="s">
        <v>1038</v>
      </c>
      <c r="B25" s="1281">
        <v>182.3</v>
      </c>
      <c r="C25" s="1282" t="s">
        <v>1039</v>
      </c>
      <c r="D25" s="1266" t="s">
        <v>114</v>
      </c>
      <c r="E25" s="1264" t="s">
        <v>1013</v>
      </c>
      <c r="F25" s="1266"/>
      <c r="G25" s="1266" t="s">
        <v>114</v>
      </c>
      <c r="H25" s="1266"/>
      <c r="I25" s="1346"/>
      <c r="J25" s="1266"/>
      <c r="K25" s="1340"/>
      <c r="L25" s="1340"/>
      <c r="M25" s="1340"/>
      <c r="N25" s="1266"/>
      <c r="O25" s="1266"/>
      <c r="P25" s="1344">
        <f>SUM(I25:O25)</f>
        <v>0</v>
      </c>
      <c r="Q25" s="1283"/>
      <c r="R25" s="1267" t="s">
        <v>1040</v>
      </c>
      <c r="S25" s="1244"/>
      <c r="T25" s="1244"/>
      <c r="U25" s="1244"/>
      <c r="V25" s="1244"/>
    </row>
    <row r="26" spans="1:23" ht="11.45" customHeight="1">
      <c r="A26" s="1243" t="s">
        <v>1041</v>
      </c>
      <c r="B26" s="1281">
        <v>254</v>
      </c>
      <c r="C26" s="1282" t="s">
        <v>1042</v>
      </c>
      <c r="D26" s="1266" t="s">
        <v>114</v>
      </c>
      <c r="E26" s="1264" t="s">
        <v>1013</v>
      </c>
      <c r="F26" s="1266"/>
      <c r="G26" s="1266" t="s">
        <v>114</v>
      </c>
      <c r="H26" s="1266"/>
      <c r="I26" s="1346"/>
      <c r="J26" s="1266"/>
      <c r="K26" s="1340"/>
      <c r="L26" s="1340"/>
      <c r="M26" s="1340"/>
      <c r="N26" s="1266"/>
      <c r="O26" s="1266"/>
      <c r="P26" s="1344">
        <f>SUM(I26:O26)</f>
        <v>0</v>
      </c>
      <c r="Q26" s="1283"/>
      <c r="R26" s="1267" t="s">
        <v>1043</v>
      </c>
      <c r="S26" s="1279"/>
      <c r="T26" s="1247"/>
      <c r="U26" s="1247"/>
      <c r="V26" s="1247"/>
      <c r="W26" s="1247"/>
    </row>
    <row r="27" spans="1:23" ht="11.45" customHeight="1">
      <c r="A27" s="1243" t="s">
        <v>1044</v>
      </c>
      <c r="B27" s="1252" t="s">
        <v>1036</v>
      </c>
      <c r="C27" s="1282"/>
      <c r="D27" s="1266"/>
      <c r="E27" s="1264"/>
      <c r="F27" s="1266"/>
      <c r="G27" s="1266"/>
      <c r="H27" s="1266"/>
      <c r="I27" s="1340"/>
      <c r="J27" s="1266"/>
      <c r="K27" s="1340"/>
      <c r="L27" s="1340"/>
      <c r="M27" s="1340"/>
      <c r="N27" s="1266"/>
      <c r="O27" s="1266"/>
      <c r="P27" s="1283"/>
      <c r="Q27" s="1283"/>
      <c r="R27" s="1267"/>
      <c r="S27" s="1279"/>
      <c r="T27" s="1247"/>
      <c r="U27" s="1247"/>
      <c r="V27" s="1247"/>
      <c r="W27" s="1247"/>
    </row>
    <row r="28" spans="1:23" ht="11.45" customHeight="1">
      <c r="A28" s="1244"/>
      <c r="B28" s="1281"/>
      <c r="C28" s="1282"/>
      <c r="D28" s="1250"/>
      <c r="E28" s="1250"/>
      <c r="F28" s="1250"/>
      <c r="G28" s="1250"/>
      <c r="H28" s="1250"/>
      <c r="I28" s="1250"/>
      <c r="J28" s="1250"/>
      <c r="K28" s="1250"/>
      <c r="L28" s="1250"/>
      <c r="M28" s="1250"/>
      <c r="N28" s="1250"/>
      <c r="O28" s="1250"/>
      <c r="P28" s="1250"/>
      <c r="Q28" s="1250"/>
      <c r="R28" s="1284"/>
      <c r="S28" s="1279"/>
      <c r="T28" s="1247"/>
      <c r="U28" s="1247"/>
      <c r="V28" s="1247"/>
      <c r="W28" s="1247"/>
    </row>
    <row r="29" spans="1:23" ht="12.75" thickBot="1">
      <c r="A29" s="1285">
        <v>3</v>
      </c>
      <c r="B29" s="1475" t="s">
        <v>1045</v>
      </c>
      <c r="C29" s="1475"/>
      <c r="D29" s="1266"/>
      <c r="E29" s="1266"/>
      <c r="F29" s="1266"/>
      <c r="G29" s="1266"/>
      <c r="H29" s="1266"/>
      <c r="I29" s="1347">
        <f t="shared" ref="I29:Q29" si="0">SUM(I13:I27)</f>
        <v>0</v>
      </c>
      <c r="J29" s="1348">
        <f t="shared" si="0"/>
        <v>0</v>
      </c>
      <c r="K29" s="1348">
        <f t="shared" si="0"/>
        <v>0</v>
      </c>
      <c r="L29" s="1348">
        <f t="shared" si="0"/>
        <v>0</v>
      </c>
      <c r="M29" s="1348">
        <f t="shared" si="0"/>
        <v>0</v>
      </c>
      <c r="N29" s="1348">
        <f>-SUM(N13:N27)</f>
        <v>0</v>
      </c>
      <c r="O29" s="1348">
        <f>-SUM(O13:O27)</f>
        <v>0</v>
      </c>
      <c r="P29" s="1348">
        <f t="shared" si="0"/>
        <v>0</v>
      </c>
      <c r="Q29" s="1348">
        <f t="shared" si="0"/>
        <v>0</v>
      </c>
      <c r="R29" s="1288"/>
      <c r="S29" s="1279"/>
      <c r="T29" s="1247"/>
      <c r="U29" s="1247"/>
      <c r="V29" s="1247"/>
      <c r="W29" s="1247"/>
    </row>
    <row r="30" spans="1:23" ht="15.75" thickTop="1">
      <c r="A30" s="1244"/>
      <c r="B30" s="1281"/>
      <c r="C30" s="1282"/>
      <c r="D30" s="1250"/>
      <c r="E30" s="1250"/>
      <c r="F30" s="1250"/>
      <c r="G30" s="1250"/>
      <c r="H30" s="1250"/>
      <c r="I30" s="1289"/>
      <c r="J30" s="1274"/>
      <c r="K30" s="1290"/>
      <c r="L30" s="1290"/>
      <c r="M30" s="1290"/>
      <c r="N30" s="1349" t="s">
        <v>1046</v>
      </c>
      <c r="O30" s="1349"/>
      <c r="P30" s="1290"/>
      <c r="Q30" s="1291"/>
      <c r="R30" s="1288"/>
      <c r="S30" s="1279"/>
      <c r="T30" s="1247"/>
      <c r="U30" s="1247"/>
      <c r="V30" s="1247"/>
      <c r="W30" s="1247"/>
    </row>
    <row r="31" spans="1:23">
      <c r="A31" s="1252" t="s">
        <v>1047</v>
      </c>
      <c r="B31" s="1281"/>
      <c r="C31" s="1282"/>
      <c r="D31" s="1250"/>
      <c r="E31" s="1250"/>
      <c r="F31" s="1250"/>
      <c r="G31" s="1250"/>
      <c r="H31" s="1250"/>
      <c r="I31" s="1289"/>
      <c r="J31" s="1274"/>
      <c r="K31" s="1290"/>
      <c r="L31" s="1290"/>
      <c r="M31" s="1290"/>
      <c r="N31" s="1274"/>
      <c r="O31" s="1274"/>
      <c r="P31" s="1290"/>
      <c r="Q31" s="1291"/>
      <c r="R31" s="1288"/>
      <c r="S31" s="1279"/>
      <c r="T31" s="1247"/>
      <c r="U31" s="1247"/>
      <c r="V31" s="1247"/>
      <c r="W31" s="1247"/>
    </row>
    <row r="32" spans="1:23" ht="15">
      <c r="A32" s="1244"/>
      <c r="B32" s="1243"/>
      <c r="C32" s="1244"/>
      <c r="D32" s="1334"/>
      <c r="E32" s="1334"/>
      <c r="F32" s="1334"/>
      <c r="G32" s="1334"/>
      <c r="H32" s="1334"/>
      <c r="I32" s="1260"/>
      <c r="J32" s="1260"/>
      <c r="K32" s="1260"/>
      <c r="L32" s="1260"/>
      <c r="M32" s="1260"/>
      <c r="N32" s="1260"/>
      <c r="O32" s="1260"/>
      <c r="P32" s="1479" t="s">
        <v>1008</v>
      </c>
      <c r="Q32" s="1479"/>
      <c r="R32" s="1258"/>
      <c r="S32" s="1279"/>
      <c r="T32" s="1247"/>
      <c r="U32" s="1247"/>
      <c r="V32" s="1247"/>
      <c r="W32" s="1247"/>
    </row>
    <row r="33" spans="1:23" ht="15">
      <c r="A33" s="1244"/>
      <c r="B33" s="1261" t="s">
        <v>1009</v>
      </c>
      <c r="C33" s="1262"/>
      <c r="D33" s="1262"/>
      <c r="E33" s="1262"/>
      <c r="F33" s="1262"/>
      <c r="G33" s="1262"/>
      <c r="H33" s="1262"/>
      <c r="I33" s="1262"/>
      <c r="J33" s="1262"/>
      <c r="K33" s="1262"/>
      <c r="L33" s="1262"/>
      <c r="M33" s="1262"/>
      <c r="N33" s="1262"/>
      <c r="O33" s="1262"/>
      <c r="P33" s="1262"/>
      <c r="Q33" s="1262"/>
      <c r="R33" s="1247"/>
      <c r="S33" s="1279"/>
      <c r="T33" s="1247"/>
      <c r="U33" s="1247"/>
      <c r="V33" s="1247"/>
      <c r="W33" s="1247"/>
    </row>
    <row r="34" spans="1:23">
      <c r="A34" s="1243" t="s">
        <v>1048</v>
      </c>
      <c r="B34" s="1263" t="s">
        <v>1094</v>
      </c>
      <c r="C34" s="1243" t="s">
        <v>1011</v>
      </c>
      <c r="D34" s="1264" t="s">
        <v>1012</v>
      </c>
      <c r="E34" s="1264" t="s">
        <v>1013</v>
      </c>
      <c r="F34" s="1265"/>
      <c r="G34" s="1264"/>
      <c r="H34" s="1264"/>
      <c r="I34" s="1340"/>
      <c r="J34" s="1343"/>
      <c r="K34" s="1340"/>
      <c r="L34" s="1340"/>
      <c r="M34" s="1340"/>
      <c r="N34" s="1340"/>
      <c r="O34" s="1340"/>
      <c r="P34" s="1339">
        <f>SUM(I34:O34)</f>
        <v>0</v>
      </c>
      <c r="Q34" s="1266"/>
      <c r="R34" s="1267" t="s">
        <v>640</v>
      </c>
      <c r="S34" s="1279"/>
      <c r="T34" s="1247"/>
      <c r="U34" s="1247"/>
      <c r="V34" s="1247"/>
      <c r="W34" s="1247"/>
    </row>
    <row r="35" spans="1:23">
      <c r="A35" s="1243" t="s">
        <v>1049</v>
      </c>
      <c r="B35" s="1263" t="s">
        <v>1098</v>
      </c>
      <c r="C35" s="1243" t="s">
        <v>1023</v>
      </c>
      <c r="D35" s="1264" t="s">
        <v>1016</v>
      </c>
      <c r="E35" s="1264" t="s">
        <v>1013</v>
      </c>
      <c r="F35" s="1272">
        <v>-185402169</v>
      </c>
      <c r="G35" s="1270" t="s">
        <v>1017</v>
      </c>
      <c r="H35" s="1270" t="s">
        <v>1018</v>
      </c>
      <c r="I35" s="1266"/>
      <c r="J35" s="1340"/>
      <c r="K35" s="1340"/>
      <c r="L35" s="1340"/>
      <c r="M35" s="1340"/>
      <c r="N35" s="1340"/>
      <c r="O35" s="1340"/>
      <c r="P35" s="1266"/>
      <c r="Q35" s="1339">
        <f>SUM(I35:O35)</f>
        <v>0</v>
      </c>
      <c r="R35" s="1474" t="s">
        <v>1106</v>
      </c>
      <c r="S35" s="1279"/>
      <c r="T35" s="1247"/>
      <c r="U35" s="1247"/>
      <c r="V35" s="1247"/>
      <c r="W35" s="1247"/>
    </row>
    <row r="36" spans="1:23">
      <c r="A36" s="1243" t="s">
        <v>1050</v>
      </c>
      <c r="B36" s="1263" t="s">
        <v>1098</v>
      </c>
      <c r="C36" s="1243" t="s">
        <v>1023</v>
      </c>
      <c r="D36" s="1264" t="s">
        <v>1025</v>
      </c>
      <c r="E36" s="1264" t="s">
        <v>1013</v>
      </c>
      <c r="F36" s="1274">
        <v>-29860604</v>
      </c>
      <c r="G36" s="1270" t="s">
        <v>1026</v>
      </c>
      <c r="H36" s="1270" t="s">
        <v>1027</v>
      </c>
      <c r="I36" s="1266"/>
      <c r="J36" s="1340"/>
      <c r="K36" s="1340"/>
      <c r="L36" s="1340"/>
      <c r="M36" s="1340"/>
      <c r="N36" s="1340"/>
      <c r="O36" s="1340"/>
      <c r="P36" s="1266"/>
      <c r="Q36" s="1339">
        <f>SUM(I36:O36)</f>
        <v>0</v>
      </c>
      <c r="R36" s="1474"/>
      <c r="S36" s="1279"/>
      <c r="T36" s="1247"/>
      <c r="U36" s="1247"/>
      <c r="V36" s="1247"/>
      <c r="W36" s="1247"/>
    </row>
    <row r="37" spans="1:23">
      <c r="A37" s="1243" t="s">
        <v>1051</v>
      </c>
      <c r="B37" s="1263" t="s">
        <v>1100</v>
      </c>
      <c r="C37" s="1243" t="s">
        <v>1029</v>
      </c>
      <c r="D37" s="1264" t="s">
        <v>1016</v>
      </c>
      <c r="E37" s="1264" t="s">
        <v>1013</v>
      </c>
      <c r="F37" s="1274"/>
      <c r="G37" s="1270"/>
      <c r="H37" s="1270"/>
      <c r="I37" s="1340"/>
      <c r="J37" s="1266"/>
      <c r="K37" s="1340"/>
      <c r="L37" s="1340"/>
      <c r="M37" s="1340"/>
      <c r="N37" s="1340"/>
      <c r="O37" s="1340"/>
      <c r="P37" s="1339">
        <f>SUM(I37:O37)</f>
        <v>0</v>
      </c>
      <c r="Q37" s="1266"/>
      <c r="R37" s="1480" t="s">
        <v>640</v>
      </c>
      <c r="S37" s="1279"/>
      <c r="T37" s="1247"/>
      <c r="U37" s="1247"/>
      <c r="V37" s="1247"/>
      <c r="W37" s="1247"/>
    </row>
    <row r="38" spans="1:23">
      <c r="A38" s="1243" t="s">
        <v>1052</v>
      </c>
      <c r="B38" s="1263" t="s">
        <v>1100</v>
      </c>
      <c r="C38" s="1243" t="s">
        <v>1029</v>
      </c>
      <c r="D38" s="1264" t="s">
        <v>1025</v>
      </c>
      <c r="E38" s="1264" t="s">
        <v>1013</v>
      </c>
      <c r="F38" s="1274"/>
      <c r="G38" s="1270"/>
      <c r="H38" s="1270"/>
      <c r="I38" s="1340"/>
      <c r="J38" s="1266"/>
      <c r="K38" s="1340"/>
      <c r="L38" s="1340"/>
      <c r="M38" s="1340"/>
      <c r="N38" s="1340"/>
      <c r="O38" s="1340"/>
      <c r="P38" s="1339">
        <f>SUM(I38:O38)</f>
        <v>0</v>
      </c>
      <c r="Q38" s="1266"/>
      <c r="R38" s="1480"/>
      <c r="S38" s="1279"/>
      <c r="T38" s="1247"/>
      <c r="U38" s="1247"/>
      <c r="V38" s="1247"/>
      <c r="W38" s="1247"/>
    </row>
    <row r="39" spans="1:23">
      <c r="A39" s="1243" t="s">
        <v>1053</v>
      </c>
      <c r="B39" s="1263" t="s">
        <v>1102</v>
      </c>
      <c r="C39" s="1243" t="s">
        <v>1032</v>
      </c>
      <c r="D39" s="1264" t="s">
        <v>1025</v>
      </c>
      <c r="E39" s="1264" t="s">
        <v>1013</v>
      </c>
      <c r="F39" s="1274">
        <v>18056743</v>
      </c>
      <c r="G39" s="1270" t="s">
        <v>1026</v>
      </c>
      <c r="H39" s="1270" t="s">
        <v>1027</v>
      </c>
      <c r="I39" s="1266"/>
      <c r="J39" s="1340"/>
      <c r="K39" s="1340"/>
      <c r="L39" s="1340"/>
      <c r="M39" s="1340"/>
      <c r="N39" s="1340"/>
      <c r="O39" s="1340"/>
      <c r="P39" s="1342" t="s">
        <v>114</v>
      </c>
      <c r="Q39" s="1339">
        <f>SUM(I39:O39)</f>
        <v>0</v>
      </c>
      <c r="R39" s="1267" t="s">
        <v>1107</v>
      </c>
      <c r="S39" s="1279"/>
      <c r="T39" s="1247"/>
      <c r="U39" s="1247"/>
      <c r="V39" s="1247"/>
      <c r="W39" s="1247"/>
    </row>
    <row r="40" spans="1:23">
      <c r="A40" s="1243" t="s">
        <v>1054</v>
      </c>
      <c r="B40" s="1275" t="s">
        <v>1104</v>
      </c>
      <c r="C40" s="1243" t="s">
        <v>1034</v>
      </c>
      <c r="D40" s="1264" t="s">
        <v>1025</v>
      </c>
      <c r="E40" s="1264" t="s">
        <v>1013</v>
      </c>
      <c r="F40" s="1272"/>
      <c r="G40" s="1270"/>
      <c r="H40" s="1270"/>
      <c r="I40" s="1340"/>
      <c r="J40" s="1343"/>
      <c r="K40" s="1340"/>
      <c r="L40" s="1340"/>
      <c r="M40" s="1340"/>
      <c r="N40" s="1340"/>
      <c r="O40" s="1340"/>
      <c r="P40" s="1339">
        <f>SUM(I40:O40)</f>
        <v>0</v>
      </c>
      <c r="Q40" s="1342"/>
      <c r="R40" s="1276" t="s">
        <v>640</v>
      </c>
      <c r="S40" s="1279"/>
      <c r="T40" s="1247"/>
      <c r="U40" s="1247"/>
      <c r="V40" s="1247"/>
      <c r="W40" s="1247"/>
    </row>
    <row r="41" spans="1:23" ht="15">
      <c r="A41" s="1243" t="s">
        <v>1055</v>
      </c>
      <c r="B41" s="1252" t="s">
        <v>1036</v>
      </c>
      <c r="C41" s="1244"/>
      <c r="D41" s="1264"/>
      <c r="E41" s="1264"/>
      <c r="F41" s="1272"/>
      <c r="G41" s="1270"/>
      <c r="H41" s="1270"/>
      <c r="I41" s="1340"/>
      <c r="J41" s="1340"/>
      <c r="K41" s="1340"/>
      <c r="L41" s="1340"/>
      <c r="M41" s="1340"/>
      <c r="N41" s="1340"/>
      <c r="O41" s="1340"/>
      <c r="P41" s="1344"/>
      <c r="Q41" s="1345"/>
      <c r="R41" s="1276"/>
      <c r="S41" s="1247"/>
      <c r="T41" s="1247"/>
      <c r="U41" s="1247"/>
      <c r="V41" s="1247"/>
      <c r="W41" s="1247"/>
    </row>
    <row r="42" spans="1:23" ht="15">
      <c r="A42" s="1244"/>
      <c r="B42" s="1277"/>
      <c r="C42" s="1277"/>
      <c r="D42" s="1277"/>
      <c r="E42" s="1277"/>
      <c r="F42" s="1277"/>
      <c r="G42" s="1277"/>
      <c r="H42" s="1277"/>
      <c r="I42" s="1277"/>
      <c r="J42" s="1277"/>
      <c r="K42" s="1277"/>
      <c r="L42" s="1277"/>
      <c r="M42" s="1277"/>
      <c r="N42" s="1244"/>
      <c r="O42" s="1244"/>
      <c r="P42" s="1244"/>
      <c r="Q42" s="1244"/>
      <c r="R42" s="1244"/>
      <c r="S42" s="1247"/>
      <c r="T42" s="1247"/>
      <c r="U42" s="1247"/>
      <c r="V42" s="1247"/>
      <c r="W42" s="1247"/>
    </row>
    <row r="43" spans="1:23" ht="15">
      <c r="A43" s="1244"/>
      <c r="B43" s="1261" t="s">
        <v>1037</v>
      </c>
      <c r="C43" s="1247"/>
      <c r="D43" s="1247"/>
      <c r="E43" s="1247"/>
      <c r="F43" s="1247"/>
      <c r="G43" s="1247"/>
      <c r="H43" s="1247"/>
      <c r="I43" s="1247"/>
      <c r="J43" s="1247"/>
      <c r="K43" s="1247"/>
      <c r="L43" s="1247"/>
      <c r="M43" s="1247"/>
      <c r="N43" s="1247"/>
      <c r="O43" s="1247"/>
      <c r="P43" s="1247"/>
      <c r="Q43" s="1279"/>
      <c r="R43" s="1292"/>
      <c r="S43" s="1247"/>
      <c r="T43" s="1247"/>
      <c r="U43" s="1247"/>
      <c r="V43" s="1247"/>
      <c r="W43" s="1247"/>
    </row>
    <row r="44" spans="1:23">
      <c r="A44" s="1243" t="s">
        <v>623</v>
      </c>
      <c r="B44" s="1281">
        <v>182.3</v>
      </c>
      <c r="C44" s="1282" t="s">
        <v>1039</v>
      </c>
      <c r="D44" s="1266" t="s">
        <v>114</v>
      </c>
      <c r="E44" s="1264" t="s">
        <v>1013</v>
      </c>
      <c r="F44" s="1266"/>
      <c r="G44" s="1266" t="s">
        <v>114</v>
      </c>
      <c r="H44" s="1266"/>
      <c r="I44" s="1346"/>
      <c r="J44" s="1266"/>
      <c r="K44" s="1340"/>
      <c r="L44" s="1340"/>
      <c r="M44" s="1340"/>
      <c r="N44" s="1266"/>
      <c r="O44" s="1266"/>
      <c r="P44" s="1344">
        <f>SUM(I44:O44)</f>
        <v>0</v>
      </c>
      <c r="Q44" s="1283"/>
      <c r="R44" s="1267" t="s">
        <v>1040</v>
      </c>
      <c r="S44" s="1247"/>
      <c r="T44" s="1247"/>
      <c r="U44" s="1247"/>
      <c r="V44" s="1247"/>
      <c r="W44" s="1247"/>
    </row>
    <row r="45" spans="1:23">
      <c r="A45" s="1243" t="s">
        <v>624</v>
      </c>
      <c r="B45" s="1281">
        <v>254</v>
      </c>
      <c r="C45" s="1282" t="s">
        <v>1042</v>
      </c>
      <c r="D45" s="1266" t="s">
        <v>114</v>
      </c>
      <c r="E45" s="1264" t="s">
        <v>1013</v>
      </c>
      <c r="F45" s="1266"/>
      <c r="G45" s="1266" t="s">
        <v>114</v>
      </c>
      <c r="H45" s="1266"/>
      <c r="I45" s="1346"/>
      <c r="J45" s="1266"/>
      <c r="K45" s="1340"/>
      <c r="L45" s="1340"/>
      <c r="M45" s="1340"/>
      <c r="N45" s="1266"/>
      <c r="O45" s="1266"/>
      <c r="P45" s="1344">
        <f>SUM(I45:O45)</f>
        <v>0</v>
      </c>
      <c r="Q45" s="1283"/>
      <c r="R45" s="1267" t="s">
        <v>1040</v>
      </c>
      <c r="S45" s="1247"/>
      <c r="T45" s="1247"/>
      <c r="U45" s="1247"/>
      <c r="V45" s="1247"/>
      <c r="W45" s="1247"/>
    </row>
    <row r="46" spans="1:23">
      <c r="A46" s="1243" t="s">
        <v>1056</v>
      </c>
      <c r="B46" s="1252" t="s">
        <v>1036</v>
      </c>
      <c r="C46" s="1282"/>
      <c r="D46" s="1266"/>
      <c r="E46" s="1264"/>
      <c r="F46" s="1266"/>
      <c r="G46" s="1266"/>
      <c r="H46" s="1266"/>
      <c r="I46" s="1340"/>
      <c r="J46" s="1266"/>
      <c r="K46" s="1340"/>
      <c r="L46" s="1340"/>
      <c r="M46" s="1340"/>
      <c r="N46" s="1266"/>
      <c r="O46" s="1266"/>
      <c r="P46" s="1283"/>
      <c r="Q46" s="1283"/>
      <c r="R46" s="1267"/>
      <c r="S46" s="1247"/>
      <c r="T46" s="1247"/>
      <c r="U46" s="1247"/>
      <c r="V46" s="1247"/>
      <c r="W46" s="1247"/>
    </row>
    <row r="47" spans="1:23" ht="15">
      <c r="A47" s="1244"/>
      <c r="B47" s="1281"/>
      <c r="C47" s="1282"/>
      <c r="D47" s="1250"/>
      <c r="E47" s="1250"/>
      <c r="F47" s="1250"/>
      <c r="G47" s="1250"/>
      <c r="H47" s="1250"/>
      <c r="I47" s="1250"/>
      <c r="J47" s="1250"/>
      <c r="K47" s="1250"/>
      <c r="L47" s="1250"/>
      <c r="M47" s="1250"/>
      <c r="N47" s="1293"/>
      <c r="O47" s="1250"/>
      <c r="P47" s="1250"/>
      <c r="Q47" s="1250"/>
      <c r="R47" s="1284"/>
      <c r="S47" s="1247"/>
      <c r="T47" s="1247"/>
      <c r="U47" s="1247"/>
      <c r="V47" s="1247"/>
      <c r="W47" s="1247"/>
    </row>
    <row r="48" spans="1:23" ht="12.75" thickBot="1">
      <c r="A48" s="1285">
        <v>6</v>
      </c>
      <c r="B48" s="1475" t="s">
        <v>1057</v>
      </c>
      <c r="C48" s="1475"/>
      <c r="D48" s="1266"/>
      <c r="E48" s="1266"/>
      <c r="F48" s="1266"/>
      <c r="G48" s="1266"/>
      <c r="H48" s="1266"/>
      <c r="I48" s="1286">
        <f>SUM(I34:I46)</f>
        <v>0</v>
      </c>
      <c r="J48" s="1287">
        <f>SUM(J34:J46)</f>
        <v>0</v>
      </c>
      <c r="K48" s="1287">
        <f t="shared" ref="K48:Q48" si="1">SUM(K34:K46)</f>
        <v>0</v>
      </c>
      <c r="L48" s="1287">
        <f t="shared" si="1"/>
        <v>0</v>
      </c>
      <c r="M48" s="1287">
        <f t="shared" si="1"/>
        <v>0</v>
      </c>
      <c r="N48" s="1287">
        <f>-SUM(N34:N46)</f>
        <v>0</v>
      </c>
      <c r="O48" s="1287">
        <f>-SUM(O34:O46)</f>
        <v>0</v>
      </c>
      <c r="P48" s="1287">
        <f t="shared" si="1"/>
        <v>0</v>
      </c>
      <c r="Q48" s="1287">
        <f t="shared" si="1"/>
        <v>0</v>
      </c>
      <c r="R48" s="1288"/>
      <c r="S48" s="1247"/>
      <c r="T48" s="1247"/>
      <c r="U48" s="1247"/>
      <c r="V48" s="1247"/>
      <c r="W48" s="1247"/>
    </row>
    <row r="49" spans="1:23" ht="15.75" thickTop="1">
      <c r="A49" s="1244"/>
      <c r="B49" s="1281"/>
      <c r="C49" s="1282"/>
      <c r="D49" s="1250"/>
      <c r="E49" s="1250"/>
      <c r="F49" s="1250"/>
      <c r="G49" s="1250"/>
      <c r="H49" s="1250"/>
      <c r="I49" s="1289"/>
      <c r="J49" s="1274"/>
      <c r="K49" s="1290"/>
      <c r="L49" s="1290"/>
      <c r="M49" s="1290"/>
      <c r="N49" s="1349" t="s">
        <v>1046</v>
      </c>
      <c r="O49" s="1274"/>
      <c r="P49" s="1290"/>
      <c r="Q49" s="1291"/>
      <c r="R49" s="1288"/>
      <c r="S49" s="1247"/>
      <c r="T49" s="1247"/>
      <c r="U49" s="1247"/>
      <c r="V49" s="1247"/>
      <c r="W49" s="1247"/>
    </row>
    <row r="50" spans="1:23" ht="15">
      <c r="A50" s="1244"/>
      <c r="B50" s="1281"/>
      <c r="C50" s="1282"/>
      <c r="D50" s="1250"/>
      <c r="E50" s="1250"/>
      <c r="F50" s="1250"/>
      <c r="G50" s="1250"/>
      <c r="H50" s="1250"/>
      <c r="I50" s="1289"/>
      <c r="J50" s="1274"/>
      <c r="K50" s="1290"/>
      <c r="L50" s="1290"/>
      <c r="M50" s="1290"/>
      <c r="N50" s="1274"/>
      <c r="O50" s="1274"/>
      <c r="P50" s="1290"/>
      <c r="Q50" s="1291"/>
      <c r="R50" s="1288"/>
      <c r="S50" s="1247"/>
      <c r="T50" s="1247"/>
      <c r="U50" s="1247"/>
      <c r="V50" s="1247"/>
      <c r="W50" s="1247"/>
    </row>
    <row r="51" spans="1:23">
      <c r="A51" s="1481" t="s">
        <v>1058</v>
      </c>
      <c r="B51" s="1481"/>
      <c r="C51" s="1481"/>
      <c r="D51" s="1481"/>
      <c r="E51" s="1481"/>
      <c r="F51" s="1481"/>
      <c r="G51" s="1481"/>
      <c r="H51" s="1481"/>
      <c r="I51" s="1481"/>
      <c r="J51" s="1481"/>
      <c r="K51" s="1290"/>
      <c r="L51" s="1290"/>
      <c r="M51" s="1290"/>
      <c r="N51" s="1274"/>
      <c r="O51" s="1274"/>
      <c r="P51" s="1290"/>
      <c r="Q51" s="1291"/>
      <c r="R51" s="1288"/>
      <c r="S51" s="1247"/>
      <c r="T51" s="1247"/>
      <c r="U51" s="1247"/>
      <c r="V51" s="1247"/>
      <c r="W51" s="1247"/>
    </row>
    <row r="52" spans="1:23" ht="18.600000000000001" customHeight="1">
      <c r="A52" s="1481"/>
      <c r="B52" s="1481"/>
      <c r="C52" s="1481"/>
      <c r="D52" s="1481"/>
      <c r="E52" s="1481"/>
      <c r="F52" s="1481"/>
      <c r="G52" s="1481"/>
      <c r="H52" s="1481"/>
      <c r="I52" s="1481"/>
      <c r="J52" s="1481"/>
      <c r="K52" s="1290"/>
      <c r="L52" s="1290"/>
      <c r="M52" s="1290"/>
      <c r="N52" s="1274"/>
      <c r="O52" s="1274"/>
      <c r="P52" s="1290"/>
      <c r="Q52" s="1291"/>
      <c r="R52" s="1288"/>
      <c r="S52" s="1247"/>
      <c r="T52" s="1247"/>
      <c r="U52" s="1247"/>
      <c r="V52" s="1247"/>
      <c r="W52" s="1247"/>
    </row>
    <row r="53" spans="1:23" ht="23.1" customHeight="1">
      <c r="A53" s="1244"/>
      <c r="B53" s="1281"/>
      <c r="C53" s="1282"/>
      <c r="D53" s="1250"/>
      <c r="E53" s="1250"/>
      <c r="F53" s="1250"/>
      <c r="G53" s="1250"/>
      <c r="H53" s="1250"/>
      <c r="I53" s="1289"/>
      <c r="J53" s="1274"/>
      <c r="K53" s="1290"/>
      <c r="L53" s="1290"/>
      <c r="M53" s="1290"/>
      <c r="N53" s="1274"/>
      <c r="O53" s="1274"/>
      <c r="P53" s="1290"/>
      <c r="Q53" s="1291"/>
      <c r="R53" s="1288"/>
      <c r="S53" s="1247"/>
      <c r="T53" s="1247"/>
      <c r="U53" s="1247"/>
      <c r="V53" s="1247"/>
      <c r="W53" s="1247"/>
    </row>
    <row r="54" spans="1:23" ht="15" customHeight="1">
      <c r="A54" s="1244"/>
      <c r="B54" s="1243"/>
      <c r="C54" s="1282"/>
      <c r="D54" s="1250"/>
      <c r="E54" s="1250"/>
      <c r="F54" s="1250"/>
      <c r="G54" s="1250"/>
      <c r="H54" s="1250"/>
      <c r="I54" s="1289"/>
      <c r="J54" s="1291"/>
      <c r="K54" s="1290"/>
      <c r="L54" s="1290"/>
      <c r="M54" s="1290"/>
      <c r="N54" s="1291"/>
      <c r="O54" s="1291"/>
      <c r="P54" s="1290"/>
      <c r="Q54" s="1291"/>
      <c r="R54" s="1288"/>
      <c r="S54" s="1247"/>
      <c r="T54" s="1247"/>
      <c r="U54" s="1247"/>
      <c r="V54" s="1247"/>
      <c r="W54" s="1247"/>
    </row>
    <row r="55" spans="1:23" ht="15">
      <c r="A55" s="1294" t="s">
        <v>1059</v>
      </c>
      <c r="B55" s="1482" t="s">
        <v>1060</v>
      </c>
      <c r="C55" s="1482"/>
      <c r="D55" s="1482"/>
      <c r="E55" s="1482"/>
      <c r="F55" s="1482"/>
      <c r="G55" s="1482"/>
      <c r="H55" s="1482"/>
      <c r="I55" s="1482"/>
      <c r="J55" s="1482"/>
      <c r="K55" s="1295"/>
      <c r="L55" s="1296"/>
      <c r="M55" s="1244"/>
      <c r="N55" s="1244"/>
      <c r="O55" s="1297"/>
      <c r="P55" s="1297"/>
      <c r="Q55" s="1297"/>
      <c r="R55" s="1247"/>
      <c r="S55" s="1244"/>
      <c r="T55" s="1244"/>
      <c r="U55" s="1244"/>
      <c r="V55" s="1244"/>
      <c r="W55" s="1244"/>
    </row>
    <row r="56" spans="1:23" ht="15" customHeight="1">
      <c r="A56" s="1244"/>
      <c r="B56" s="1482"/>
      <c r="C56" s="1482"/>
      <c r="D56" s="1482"/>
      <c r="E56" s="1482"/>
      <c r="F56" s="1482"/>
      <c r="G56" s="1482"/>
      <c r="H56" s="1482"/>
      <c r="I56" s="1482"/>
      <c r="J56" s="1482"/>
      <c r="K56" s="1295"/>
      <c r="L56" s="1296"/>
      <c r="M56" s="1244"/>
      <c r="N56" s="1244"/>
      <c r="O56" s="1297"/>
      <c r="P56" s="1244"/>
      <c r="Q56" s="1244"/>
      <c r="R56" s="1247"/>
      <c r="S56" s="1244"/>
      <c r="T56" s="1244"/>
      <c r="U56" s="1244"/>
      <c r="V56" s="1244"/>
      <c r="W56" s="1244"/>
    </row>
    <row r="57" spans="1:23" ht="15">
      <c r="A57" s="1244"/>
      <c r="B57" s="1482"/>
      <c r="C57" s="1482"/>
      <c r="D57" s="1482"/>
      <c r="E57" s="1482"/>
      <c r="F57" s="1482"/>
      <c r="G57" s="1482"/>
      <c r="H57" s="1482"/>
      <c r="I57" s="1482"/>
      <c r="J57" s="1482"/>
      <c r="K57" s="1295"/>
      <c r="L57" s="1296"/>
      <c r="M57" s="1244"/>
      <c r="N57" s="1244"/>
      <c r="O57" s="1244"/>
      <c r="P57" s="1244"/>
      <c r="Q57" s="1244"/>
      <c r="R57" s="1247"/>
      <c r="S57" s="1244"/>
      <c r="T57" s="1244"/>
      <c r="U57" s="1244"/>
      <c r="V57" s="1244"/>
      <c r="W57" s="1244"/>
    </row>
    <row r="58" spans="1:23" ht="15">
      <c r="A58" s="1244"/>
      <c r="B58" s="1482"/>
      <c r="C58" s="1482"/>
      <c r="D58" s="1482"/>
      <c r="E58" s="1482"/>
      <c r="F58" s="1482"/>
      <c r="G58" s="1482"/>
      <c r="H58" s="1482"/>
      <c r="I58" s="1482"/>
      <c r="J58" s="1482"/>
      <c r="K58" s="1295"/>
      <c r="L58" s="1296"/>
      <c r="M58" s="1244"/>
      <c r="N58" s="1244"/>
      <c r="O58" s="1244"/>
      <c r="P58" s="1297"/>
      <c r="Q58" s="1297"/>
      <c r="R58" s="1247"/>
      <c r="S58" s="1244"/>
      <c r="T58" s="1244"/>
      <c r="U58" s="1244"/>
      <c r="V58" s="1244"/>
      <c r="W58" s="1244"/>
    </row>
    <row r="59" spans="1:23" ht="15">
      <c r="A59" s="1244"/>
      <c r="B59" s="1482"/>
      <c r="C59" s="1482"/>
      <c r="D59" s="1482"/>
      <c r="E59" s="1482"/>
      <c r="F59" s="1482"/>
      <c r="G59" s="1482"/>
      <c r="H59" s="1482"/>
      <c r="I59" s="1482"/>
      <c r="J59" s="1482"/>
      <c r="K59" s="1295"/>
      <c r="L59" s="1244"/>
      <c r="M59" s="1244"/>
      <c r="N59" s="1244"/>
      <c r="O59" s="1244"/>
      <c r="P59" s="1244"/>
      <c r="Q59" s="1244"/>
      <c r="R59" s="1247"/>
      <c r="S59" s="1244"/>
      <c r="T59" s="1244"/>
      <c r="U59" s="1244"/>
      <c r="V59" s="1244"/>
      <c r="W59" s="1244"/>
    </row>
    <row r="60" spans="1:23" ht="15">
      <c r="A60" s="1244"/>
      <c r="B60" s="1482"/>
      <c r="C60" s="1482"/>
      <c r="D60" s="1482"/>
      <c r="E60" s="1482"/>
      <c r="F60" s="1482"/>
      <c r="G60" s="1482"/>
      <c r="H60" s="1482"/>
      <c r="I60" s="1482"/>
      <c r="J60" s="1482"/>
      <c r="K60" s="1295"/>
      <c r="L60" s="1244"/>
      <c r="M60" s="1244"/>
      <c r="N60" s="1244"/>
      <c r="O60" s="1244"/>
      <c r="P60" s="1244"/>
      <c r="Q60" s="1244"/>
      <c r="R60" s="1247"/>
      <c r="S60" s="1244"/>
      <c r="T60" s="1244"/>
      <c r="U60" s="1244"/>
      <c r="V60" s="1244"/>
      <c r="W60" s="1244"/>
    </row>
    <row r="61" spans="1:23" ht="15">
      <c r="A61" s="1244"/>
      <c r="B61" s="1295"/>
      <c r="C61" s="1295"/>
      <c r="D61" s="1295"/>
      <c r="E61" s="1295"/>
      <c r="F61" s="1295"/>
      <c r="G61" s="1295"/>
      <c r="H61" s="1295"/>
      <c r="I61" s="1295"/>
      <c r="J61" s="1295"/>
      <c r="K61" s="1295"/>
      <c r="L61" s="1244"/>
      <c r="M61" s="1244"/>
      <c r="N61" s="1244"/>
      <c r="O61" s="1244"/>
      <c r="P61" s="1244"/>
      <c r="Q61" s="1244"/>
      <c r="R61" s="1247"/>
      <c r="S61" s="1244"/>
      <c r="T61" s="1244"/>
      <c r="U61" s="1244"/>
      <c r="V61" s="1244"/>
      <c r="W61" s="1244"/>
    </row>
    <row r="62" spans="1:23" ht="15">
      <c r="A62" s="1243" t="s">
        <v>1061</v>
      </c>
      <c r="B62" s="1298" t="s">
        <v>1062</v>
      </c>
      <c r="C62" s="1298"/>
      <c r="D62" s="1298"/>
      <c r="E62" s="1298"/>
      <c r="F62" s="1298"/>
      <c r="G62" s="1298"/>
      <c r="H62" s="1298"/>
      <c r="I62" s="1298"/>
      <c r="J62" s="1298"/>
      <c r="K62" s="1295"/>
      <c r="L62" s="1244"/>
      <c r="M62" s="1244"/>
      <c r="N62" s="1244"/>
      <c r="O62" s="1244"/>
      <c r="P62" s="1244"/>
      <c r="Q62" s="1244"/>
      <c r="R62" s="1247"/>
      <c r="S62" s="1244"/>
      <c r="T62" s="1244"/>
      <c r="U62" s="1244"/>
      <c r="V62" s="1244"/>
      <c r="W62" s="1244"/>
    </row>
    <row r="63" spans="1:23" ht="12.6" customHeight="1">
      <c r="A63" s="1244"/>
      <c r="B63" s="1298"/>
      <c r="C63" s="1298"/>
      <c r="D63" s="1298"/>
      <c r="E63" s="1298"/>
      <c r="F63" s="1298"/>
      <c r="G63" s="1298"/>
      <c r="H63" s="1298"/>
      <c r="I63" s="1298"/>
      <c r="J63" s="1298"/>
      <c r="K63" s="1295"/>
      <c r="L63" s="1244"/>
      <c r="M63" s="1244"/>
      <c r="N63" s="1244"/>
      <c r="O63" s="1244"/>
      <c r="P63" s="1244"/>
      <c r="Q63" s="1244"/>
      <c r="R63" s="1247"/>
      <c r="S63" s="1244"/>
      <c r="T63" s="1244"/>
      <c r="U63" s="1244"/>
      <c r="V63" s="1244"/>
      <c r="W63" s="1244"/>
    </row>
    <row r="64" spans="1:23" ht="15">
      <c r="A64" s="1243" t="s">
        <v>1063</v>
      </c>
      <c r="B64" s="1298" t="s">
        <v>1064</v>
      </c>
      <c r="C64" s="1298"/>
      <c r="D64" s="1298"/>
      <c r="E64" s="1298"/>
      <c r="F64" s="1298"/>
      <c r="G64" s="1298"/>
      <c r="H64" s="1298"/>
      <c r="I64" s="1298"/>
      <c r="J64" s="1298"/>
      <c r="K64" s="1295"/>
      <c r="L64" s="1244"/>
      <c r="M64" s="1244"/>
      <c r="N64" s="1244"/>
      <c r="O64" s="1244"/>
      <c r="P64" s="1244"/>
      <c r="Q64" s="1244"/>
      <c r="R64" s="1247"/>
      <c r="S64" s="1244"/>
      <c r="T64" s="1244"/>
      <c r="U64" s="1244"/>
      <c r="V64" s="1244"/>
      <c r="W64" s="1244"/>
    </row>
    <row r="65" spans="1:18" s="1350" customFormat="1" ht="12.6" customHeight="1">
      <c r="A65" s="1244"/>
      <c r="B65" s="1295"/>
      <c r="C65" s="1295"/>
      <c r="D65" s="1295"/>
      <c r="E65" s="1295"/>
      <c r="F65" s="1295"/>
      <c r="G65" s="1295"/>
      <c r="H65" s="1295"/>
      <c r="I65" s="1295"/>
      <c r="J65" s="1295"/>
      <c r="K65" s="1295"/>
      <c r="L65" s="1244"/>
      <c r="M65" s="1244"/>
      <c r="N65" s="1244"/>
      <c r="O65" s="1244"/>
      <c r="P65" s="1244"/>
      <c r="Q65" s="1244"/>
      <c r="R65" s="1247"/>
    </row>
    <row r="66" spans="1:18" s="1350" customFormat="1">
      <c r="A66" s="1243" t="s">
        <v>1065</v>
      </c>
      <c r="B66" s="1483" t="s">
        <v>1066</v>
      </c>
      <c r="C66" s="1483"/>
      <c r="D66" s="1483"/>
      <c r="E66" s="1483"/>
      <c r="F66" s="1483"/>
      <c r="G66" s="1483"/>
      <c r="H66" s="1483"/>
      <c r="I66" s="1483"/>
      <c r="J66" s="1483"/>
      <c r="K66" s="1299"/>
      <c r="L66" s="1259"/>
      <c r="M66" s="1259"/>
      <c r="N66" s="1259"/>
      <c r="O66" s="1259"/>
      <c r="P66" s="1259"/>
      <c r="Q66" s="1259"/>
      <c r="R66" s="1279"/>
    </row>
    <row r="67" spans="1:18">
      <c r="A67" s="1243"/>
      <c r="B67" s="1483"/>
      <c r="C67" s="1483"/>
      <c r="D67" s="1483"/>
      <c r="E67" s="1483"/>
      <c r="F67" s="1483"/>
      <c r="G67" s="1483"/>
      <c r="H67" s="1483"/>
      <c r="I67" s="1483"/>
      <c r="J67" s="1483"/>
      <c r="K67" s="1299"/>
      <c r="L67" s="1259"/>
      <c r="M67" s="1259"/>
      <c r="N67" s="1259"/>
      <c r="O67" s="1259"/>
      <c r="P67" s="1259"/>
      <c r="Q67" s="1259"/>
      <c r="R67" s="1279"/>
    </row>
    <row r="68" spans="1:18" ht="15">
      <c r="A68" s="1244"/>
      <c r="B68" s="1295"/>
      <c r="C68" s="1295"/>
      <c r="D68" s="1295"/>
      <c r="E68" s="1295"/>
      <c r="F68" s="1295"/>
      <c r="G68" s="1295"/>
      <c r="H68" s="1295"/>
      <c r="I68" s="1295"/>
      <c r="J68" s="1295"/>
      <c r="K68" s="1295"/>
      <c r="L68" s="1244"/>
      <c r="M68" s="1244"/>
      <c r="N68" s="1244"/>
      <c r="O68" s="1244"/>
      <c r="P68" s="1244"/>
      <c r="Q68" s="1244"/>
      <c r="R68" s="1247"/>
    </row>
    <row r="69" spans="1:18" ht="15">
      <c r="A69" s="1285" t="s">
        <v>1067</v>
      </c>
      <c r="B69" s="1484" t="s">
        <v>1068</v>
      </c>
      <c r="C69" s="1484"/>
      <c r="D69" s="1484"/>
      <c r="E69" s="1484"/>
      <c r="F69" s="1484"/>
      <c r="G69" s="1484"/>
      <c r="H69" s="1484"/>
      <c r="I69" s="1484"/>
      <c r="J69" s="1484"/>
      <c r="K69" s="1295"/>
      <c r="L69" s="1244"/>
      <c r="M69" s="1244"/>
      <c r="N69" s="1244"/>
      <c r="O69" s="1244"/>
      <c r="P69" s="1244"/>
      <c r="Q69" s="1244"/>
      <c r="R69" s="1247"/>
    </row>
    <row r="70" spans="1:18" ht="4.5" customHeight="1">
      <c r="A70" s="1244"/>
      <c r="B70" s="1484"/>
      <c r="C70" s="1484"/>
      <c r="D70" s="1484"/>
      <c r="E70" s="1484"/>
      <c r="F70" s="1484"/>
      <c r="G70" s="1484"/>
      <c r="H70" s="1484"/>
      <c r="I70" s="1484"/>
      <c r="J70" s="1484"/>
      <c r="K70" s="1295"/>
      <c r="L70" s="1244"/>
      <c r="M70" s="1244"/>
      <c r="N70" s="1244"/>
      <c r="O70" s="1244"/>
      <c r="P70" s="1244"/>
      <c r="Q70" s="1244"/>
      <c r="R70" s="1247"/>
    </row>
    <row r="71" spans="1:18" ht="11.45" customHeight="1">
      <c r="A71" s="1244"/>
      <c r="B71" s="1300"/>
      <c r="C71" s="1295"/>
      <c r="D71" s="1295"/>
      <c r="E71" s="1295"/>
      <c r="F71" s="1295"/>
      <c r="G71" s="1295"/>
      <c r="H71" s="1295"/>
      <c r="I71" s="1295"/>
      <c r="J71" s="1295"/>
      <c r="K71" s="1295"/>
      <c r="L71" s="1244"/>
      <c r="M71" s="1244"/>
      <c r="N71" s="1244"/>
      <c r="O71" s="1244"/>
      <c r="P71" s="1244"/>
      <c r="Q71" s="1244"/>
      <c r="R71" s="1247"/>
    </row>
    <row r="72" spans="1:18" ht="11.45" customHeight="1">
      <c r="A72" s="1285" t="s">
        <v>1069</v>
      </c>
      <c r="B72" s="1482" t="s">
        <v>1070</v>
      </c>
      <c r="C72" s="1482"/>
      <c r="D72" s="1482"/>
      <c r="E72" s="1482"/>
      <c r="F72" s="1482"/>
      <c r="G72" s="1482"/>
      <c r="H72" s="1482"/>
      <c r="I72" s="1482"/>
      <c r="J72" s="1295"/>
      <c r="K72" s="1296"/>
      <c r="L72" s="1244"/>
      <c r="M72" s="1244"/>
      <c r="N72" s="1244"/>
      <c r="O72" s="1244"/>
      <c r="P72" s="1244"/>
      <c r="Q72" s="1244"/>
      <c r="R72" s="1247"/>
    </row>
    <row r="73" spans="1:18" ht="15">
      <c r="A73" s="1244"/>
      <c r="B73" s="1482"/>
      <c r="C73" s="1482"/>
      <c r="D73" s="1482"/>
      <c r="E73" s="1482"/>
      <c r="F73" s="1482"/>
      <c r="G73" s="1482"/>
      <c r="H73" s="1482"/>
      <c r="I73" s="1482"/>
      <c r="J73" s="1295"/>
      <c r="K73" s="1244"/>
      <c r="L73" s="1244"/>
      <c r="M73" s="1244"/>
      <c r="N73" s="1244"/>
      <c r="O73" s="1244"/>
      <c r="P73" s="1244"/>
      <c r="Q73" s="1244"/>
      <c r="R73" s="1247"/>
    </row>
    <row r="74" spans="1:18" ht="15">
      <c r="A74" s="1244"/>
      <c r="B74" s="1482"/>
      <c r="C74" s="1482"/>
      <c r="D74" s="1482"/>
      <c r="E74" s="1482"/>
      <c r="F74" s="1482"/>
      <c r="G74" s="1482"/>
      <c r="H74" s="1482"/>
      <c r="I74" s="1482"/>
      <c r="J74" s="1244"/>
      <c r="K74" s="1244"/>
      <c r="L74" s="1244"/>
      <c r="M74" s="1244"/>
      <c r="N74" s="1244"/>
      <c r="O74" s="1244"/>
      <c r="P74" s="1244"/>
      <c r="Q74" s="1244"/>
      <c r="R74" s="1247"/>
    </row>
    <row r="75" spans="1:18" ht="15">
      <c r="A75" s="1244"/>
      <c r="B75" s="1244"/>
      <c r="C75" s="1244"/>
      <c r="D75" s="1244"/>
      <c r="E75" s="1244"/>
      <c r="F75" s="1244"/>
      <c r="G75" s="1244"/>
      <c r="H75" s="1244"/>
      <c r="I75" s="1244"/>
      <c r="J75" s="1244"/>
      <c r="K75" s="1244"/>
      <c r="L75" s="1244"/>
      <c r="M75" s="1244"/>
      <c r="N75" s="1244"/>
      <c r="O75" s="1244"/>
      <c r="P75" s="1244"/>
      <c r="Q75" s="1244"/>
      <c r="R75" s="1247"/>
    </row>
    <row r="76" spans="1:18" ht="15">
      <c r="A76" s="1244"/>
      <c r="B76" s="1244"/>
      <c r="C76" s="1244"/>
      <c r="D76" s="1244"/>
      <c r="E76" s="1244"/>
      <c r="F76" s="1244"/>
      <c r="G76" s="1244"/>
      <c r="H76" s="1244"/>
      <c r="I76" s="1244"/>
      <c r="J76" s="1244"/>
      <c r="K76" s="1244"/>
      <c r="L76" s="1244"/>
      <c r="M76" s="1244"/>
      <c r="N76" s="1244"/>
      <c r="O76" s="1244"/>
      <c r="P76" s="1244"/>
      <c r="Q76" s="1244"/>
      <c r="R76" s="1247"/>
    </row>
    <row r="80" spans="1:18">
      <c r="A80" s="1351"/>
      <c r="B80" s="1351"/>
      <c r="C80" s="1351"/>
      <c r="D80" s="1351"/>
      <c r="E80" s="1351"/>
      <c r="F80" s="1351"/>
      <c r="G80" s="1351"/>
      <c r="H80" s="1351"/>
      <c r="I80" s="1351"/>
      <c r="J80" s="1351"/>
      <c r="K80" s="1351"/>
    </row>
    <row r="81" spans="1:11">
      <c r="A81" s="1294"/>
      <c r="B81" s="1294"/>
      <c r="C81" s="1294"/>
      <c r="D81" s="1294"/>
      <c r="E81" s="1294"/>
      <c r="F81" s="1294"/>
      <c r="G81" s="1294"/>
      <c r="H81" s="1294"/>
      <c r="I81" s="1294"/>
      <c r="J81" s="1294"/>
      <c r="K81" s="1294"/>
    </row>
    <row r="82" spans="1:11">
      <c r="A82" s="1294"/>
      <c r="B82" s="1294"/>
      <c r="C82" s="1294"/>
      <c r="D82" s="1294"/>
      <c r="E82" s="1294"/>
      <c r="F82" s="1294"/>
      <c r="G82" s="1294"/>
      <c r="H82" s="1294"/>
      <c r="I82" s="1294"/>
      <c r="J82" s="1294"/>
      <c r="K82" s="1294"/>
    </row>
    <row r="83" spans="1:11" ht="15">
      <c r="A83" s="1244"/>
      <c r="B83" s="1244"/>
      <c r="C83" s="1244"/>
      <c r="D83" s="1294"/>
      <c r="E83" s="1294"/>
      <c r="F83" s="1294"/>
      <c r="G83" s="1294"/>
      <c r="H83" s="1294"/>
      <c r="I83" s="1294"/>
      <c r="J83" s="1294"/>
      <c r="K83" s="1294"/>
    </row>
    <row r="84" spans="1:11">
      <c r="A84" s="1294"/>
      <c r="B84" s="1294"/>
      <c r="C84" s="1294"/>
      <c r="D84" s="1294"/>
      <c r="E84" s="1294"/>
      <c r="F84" s="1294"/>
      <c r="G84" s="1294"/>
      <c r="H84" s="1294"/>
      <c r="I84" s="1294"/>
      <c r="J84" s="1294"/>
      <c r="K84" s="1294"/>
    </row>
    <row r="85" spans="1:11">
      <c r="A85" s="1294"/>
      <c r="B85" s="1294"/>
      <c r="C85" s="1294"/>
      <c r="D85" s="1294"/>
      <c r="E85" s="1294"/>
      <c r="F85" s="1294"/>
      <c r="G85" s="1294"/>
      <c r="H85" s="1294"/>
      <c r="I85" s="1294"/>
      <c r="J85" s="1294"/>
      <c r="K85" s="1294"/>
    </row>
    <row r="86" spans="1:11">
      <c r="A86" s="1294"/>
      <c r="B86" s="1294"/>
      <c r="C86" s="1294"/>
      <c r="D86" s="1294"/>
      <c r="E86" s="1294"/>
      <c r="F86" s="1294"/>
      <c r="G86" s="1294"/>
      <c r="H86" s="1294"/>
      <c r="I86" s="1294"/>
      <c r="J86" s="1294"/>
      <c r="K86" s="1294"/>
    </row>
    <row r="87" spans="1:11">
      <c r="A87" s="1294"/>
      <c r="B87" s="1294"/>
      <c r="C87" s="1294"/>
      <c r="D87" s="1294"/>
      <c r="E87" s="1294"/>
      <c r="F87" s="1294"/>
      <c r="G87" s="1294"/>
      <c r="H87" s="1294"/>
      <c r="I87" s="1294"/>
      <c r="J87" s="1294"/>
      <c r="K87" s="1294"/>
    </row>
    <row r="88" spans="1:11">
      <c r="A88" s="1294"/>
      <c r="B88" s="1294"/>
      <c r="C88" s="1294"/>
      <c r="D88" s="1294"/>
      <c r="E88" s="1294"/>
      <c r="F88" s="1294"/>
      <c r="G88" s="1294"/>
      <c r="H88" s="1294"/>
      <c r="I88" s="1294"/>
      <c r="J88" s="1294"/>
      <c r="K88" s="1294"/>
    </row>
    <row r="89" spans="1:11">
      <c r="A89" s="1294"/>
      <c r="B89" s="1294"/>
      <c r="C89" s="1294"/>
      <c r="D89" s="1294"/>
      <c r="E89" s="1294"/>
      <c r="F89" s="1294"/>
      <c r="G89" s="1294"/>
      <c r="H89" s="1294"/>
      <c r="I89" s="1294"/>
      <c r="J89" s="1294"/>
      <c r="K89" s="1294"/>
    </row>
    <row r="90" spans="1:11">
      <c r="A90" s="1294"/>
      <c r="B90" s="1294"/>
      <c r="C90" s="1294"/>
      <c r="D90" s="1294"/>
      <c r="E90" s="1294"/>
      <c r="F90" s="1294"/>
      <c r="G90" s="1294"/>
      <c r="H90" s="1294"/>
      <c r="I90" s="1294"/>
      <c r="J90" s="1294"/>
      <c r="K90" s="1294"/>
    </row>
    <row r="91" spans="1:11">
      <c r="A91" s="1294"/>
      <c r="B91" s="1294"/>
      <c r="C91" s="1294"/>
      <c r="D91" s="1294"/>
      <c r="E91" s="1294"/>
      <c r="F91" s="1294"/>
      <c r="G91" s="1294"/>
      <c r="H91" s="1294"/>
      <c r="I91" s="1294"/>
      <c r="J91" s="1294"/>
      <c r="K91" s="1294"/>
    </row>
    <row r="97" spans="1:11">
      <c r="B97" s="1352"/>
    </row>
    <row r="98" spans="1:11" ht="15">
      <c r="A98" s="1244"/>
      <c r="B98" s="1285"/>
      <c r="C98" s="1244"/>
      <c r="D98" s="1244"/>
      <c r="E98" s="1244"/>
      <c r="F98" s="1244"/>
      <c r="G98" s="1244"/>
      <c r="H98" s="1244"/>
      <c r="I98" s="1244"/>
      <c r="J98" s="1244"/>
      <c r="K98" s="1244"/>
    </row>
    <row r="99" spans="1:11" ht="15">
      <c r="A99" s="1244"/>
      <c r="B99" s="1296"/>
      <c r="C99" s="1244"/>
      <c r="D99" s="1244"/>
      <c r="E99" s="1244"/>
      <c r="F99" s="1244"/>
      <c r="G99" s="1244"/>
      <c r="H99" s="1244"/>
      <c r="I99" s="1244"/>
      <c r="J99" s="1244"/>
      <c r="K99" s="1244"/>
    </row>
    <row r="100" spans="1:11" ht="15">
      <c r="A100" s="1244"/>
      <c r="B100" s="1296"/>
      <c r="C100" s="1244"/>
      <c r="D100" s="1244"/>
      <c r="E100" s="1244"/>
      <c r="F100" s="1244"/>
      <c r="G100" s="1244"/>
      <c r="H100" s="1244"/>
      <c r="I100" s="1244"/>
      <c r="J100" s="1244"/>
      <c r="K100" s="1244"/>
    </row>
    <row r="101" spans="1:11" ht="15">
      <c r="A101" s="1244"/>
      <c r="B101" s="1296"/>
      <c r="C101" s="1244"/>
      <c r="D101" s="1244"/>
      <c r="E101" s="1244"/>
      <c r="F101" s="1244"/>
      <c r="G101" s="1244"/>
      <c r="H101" s="1244"/>
      <c r="I101" s="1244"/>
      <c r="J101" s="1244"/>
      <c r="K101" s="1244"/>
    </row>
    <row r="102" spans="1:11" ht="15">
      <c r="A102" s="1244"/>
      <c r="B102" s="1296"/>
      <c r="C102" s="1244"/>
      <c r="D102" s="1259"/>
      <c r="E102" s="1259"/>
      <c r="F102" s="1259"/>
      <c r="G102" s="1244"/>
      <c r="H102" s="1244"/>
      <c r="I102" s="1244"/>
      <c r="J102" s="1244"/>
      <c r="K102" s="1244"/>
    </row>
    <row r="103" spans="1:11">
      <c r="A103" s="1301"/>
      <c r="B103" s="1294"/>
      <c r="C103" s="1294"/>
      <c r="D103" s="1294"/>
      <c r="E103" s="1294"/>
      <c r="F103" s="1294"/>
      <c r="G103" s="1294"/>
      <c r="H103" s="1294"/>
      <c r="I103" s="1294"/>
      <c r="J103" s="1294"/>
      <c r="K103" s="1294"/>
    </row>
    <row r="104" spans="1:11">
      <c r="A104" s="1294"/>
      <c r="B104" s="1294"/>
      <c r="C104" s="1294"/>
      <c r="D104" s="1294"/>
      <c r="E104" s="1294"/>
      <c r="F104" s="1294"/>
      <c r="G104" s="1294"/>
      <c r="H104" s="1294"/>
      <c r="I104" s="1294"/>
      <c r="J104" s="1294"/>
      <c r="K104" s="1294"/>
    </row>
    <row r="105" spans="1:11">
      <c r="A105" s="1294"/>
      <c r="B105" s="1294"/>
      <c r="C105" s="1294"/>
      <c r="D105" s="1294"/>
      <c r="E105" s="1294"/>
      <c r="F105" s="1294"/>
      <c r="G105" s="1294"/>
      <c r="H105" s="1294"/>
      <c r="I105" s="1294"/>
      <c r="J105" s="1294"/>
      <c r="K105" s="1294"/>
    </row>
    <row r="106" spans="1:11">
      <c r="A106" s="1294"/>
      <c r="B106" s="1294"/>
      <c r="C106" s="1294"/>
      <c r="D106" s="1294"/>
      <c r="E106" s="1294"/>
      <c r="F106" s="1294"/>
      <c r="G106" s="1294"/>
      <c r="H106" s="1294"/>
      <c r="I106" s="1294"/>
      <c r="J106" s="1294"/>
      <c r="K106" s="1294"/>
    </row>
    <row r="107" spans="1:11">
      <c r="A107" s="1294"/>
      <c r="B107" s="1294"/>
      <c r="C107" s="1294"/>
      <c r="D107" s="1302"/>
      <c r="E107" s="1302"/>
      <c r="F107" s="1302"/>
      <c r="G107" s="1294"/>
      <c r="H107" s="1294"/>
      <c r="I107" s="1294"/>
      <c r="J107" s="1294"/>
      <c r="K107" s="1294"/>
    </row>
    <row r="108" spans="1:11">
      <c r="A108" s="1294"/>
      <c r="B108" s="1294"/>
      <c r="C108" s="1294"/>
      <c r="D108" s="1297"/>
      <c r="E108" s="1297"/>
      <c r="F108" s="1297"/>
      <c r="G108" s="1294"/>
      <c r="H108" s="1294"/>
      <c r="I108" s="1294"/>
      <c r="J108" s="1294"/>
      <c r="K108" s="1294"/>
    </row>
    <row r="109" spans="1:11">
      <c r="A109" s="1294"/>
      <c r="B109" s="1294"/>
      <c r="C109" s="1294"/>
      <c r="D109" s="1302"/>
      <c r="E109" s="1302"/>
      <c r="F109" s="1302"/>
      <c r="G109" s="1294"/>
      <c r="H109" s="1294"/>
      <c r="I109" s="1294"/>
      <c r="J109" s="1294"/>
      <c r="K109" s="1294"/>
    </row>
    <row r="110" spans="1:11">
      <c r="A110" s="1294"/>
      <c r="B110" s="1294"/>
      <c r="C110" s="1294"/>
      <c r="D110" s="1294"/>
      <c r="E110" s="1294"/>
      <c r="F110" s="1294"/>
      <c r="G110" s="1294"/>
      <c r="H110" s="1294"/>
      <c r="I110" s="1294"/>
      <c r="J110" s="1294"/>
      <c r="K110" s="1294"/>
    </row>
    <row r="111" spans="1:11">
      <c r="A111" s="1294"/>
      <c r="B111" s="1294"/>
      <c r="C111" s="1294"/>
      <c r="D111" s="1294"/>
      <c r="E111" s="1294"/>
      <c r="F111" s="1294"/>
      <c r="G111" s="1294"/>
      <c r="H111" s="1294"/>
      <c r="I111" s="1294"/>
      <c r="J111" s="1294"/>
      <c r="K111" s="1294"/>
    </row>
    <row r="112" spans="1:11">
      <c r="A112" s="1294"/>
      <c r="B112" s="1294"/>
      <c r="C112" s="1294"/>
      <c r="D112" s="1294"/>
      <c r="E112" s="1294"/>
      <c r="F112" s="1294"/>
      <c r="G112" s="1294"/>
      <c r="H112" s="1294"/>
      <c r="I112" s="1294"/>
      <c r="J112" s="1294"/>
      <c r="K112" s="1294"/>
    </row>
    <row r="113" spans="1:11" ht="15">
      <c r="A113" s="1294"/>
      <c r="B113" s="1244"/>
      <c r="C113" s="1294"/>
      <c r="D113" s="1294"/>
      <c r="E113" s="1294"/>
      <c r="F113" s="1294"/>
      <c r="G113" s="1294"/>
      <c r="H113" s="1294"/>
      <c r="I113" s="1294"/>
      <c r="J113" s="1294"/>
      <c r="K113" s="1294"/>
    </row>
    <row r="114" spans="1:11">
      <c r="A114" s="1294"/>
      <c r="B114" s="1294"/>
      <c r="C114" s="1294"/>
      <c r="D114" s="1294"/>
      <c r="E114" s="1294"/>
      <c r="F114" s="1294"/>
      <c r="G114" s="1294"/>
      <c r="H114" s="1294"/>
      <c r="I114" s="1294"/>
      <c r="J114" s="1294"/>
      <c r="K114" s="1294"/>
    </row>
    <row r="115" spans="1:11">
      <c r="A115" s="1294"/>
      <c r="B115" s="1294"/>
      <c r="C115" s="1294"/>
      <c r="D115" s="1294"/>
      <c r="E115" s="1294"/>
      <c r="F115" s="1294"/>
      <c r="G115" s="1294"/>
      <c r="H115" s="1294"/>
      <c r="I115" s="1294"/>
      <c r="J115" s="1294"/>
      <c r="K115" s="1294"/>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99D43-3B88-4C89-B208-E9E40C4BC5B6}">
  <sheetPr>
    <pageSetUpPr fitToPage="1"/>
  </sheetPr>
  <dimension ref="A1:Q78"/>
  <sheetViews>
    <sheetView workbookViewId="0">
      <selection activeCell="F35" sqref="F35"/>
    </sheetView>
  </sheetViews>
  <sheetFormatPr defaultColWidth="11.85546875" defaultRowHeight="12.75"/>
  <cols>
    <col min="1" max="1" width="9" style="1375" customWidth="1"/>
    <col min="2" max="2" width="15" style="1376" bestFit="1" customWidth="1"/>
    <col min="3" max="3" width="4.140625" style="1376" customWidth="1"/>
    <col min="4" max="4" width="21" style="1376" bestFit="1" customWidth="1"/>
    <col min="5" max="5" width="29.7109375" style="1376" bestFit="1" customWidth="1"/>
    <col min="6" max="6" width="21.42578125" style="1376" customWidth="1"/>
    <col min="7" max="7" width="4.28515625" style="1376" customWidth="1"/>
    <col min="8" max="8" width="19" style="1376" customWidth="1"/>
    <col min="9" max="9" width="5" style="1376" customWidth="1"/>
    <col min="10" max="10" width="19.85546875" style="1376" customWidth="1"/>
    <col min="11" max="11" width="3.5703125" style="1376" customWidth="1"/>
    <col min="12" max="12" width="19.7109375" style="1376" customWidth="1"/>
    <col min="13" max="13" width="16" style="1376" customWidth="1"/>
    <col min="14" max="14" width="19.140625" style="1376" bestFit="1" customWidth="1"/>
    <col min="15" max="15" width="16.5703125" style="1379" bestFit="1" customWidth="1"/>
    <col min="16" max="16" width="15.28515625" style="1376" bestFit="1" customWidth="1"/>
    <col min="17" max="16384" width="11.85546875" style="1376"/>
  </cols>
  <sheetData>
    <row r="1" spans="1:17" ht="15">
      <c r="A1" s="1375" t="s">
        <v>1121</v>
      </c>
      <c r="L1" s="1377"/>
      <c r="N1" s="1378" t="s">
        <v>1122</v>
      </c>
    </row>
    <row r="2" spans="1:17">
      <c r="A2" s="1375" t="s">
        <v>1123</v>
      </c>
      <c r="L2" s="1380"/>
      <c r="N2" s="1381" t="s">
        <v>1124</v>
      </c>
    </row>
    <row r="3" spans="1:17">
      <c r="A3" s="1375" t="s">
        <v>1125</v>
      </c>
      <c r="N3" s="1381" t="s">
        <v>1126</v>
      </c>
    </row>
    <row r="4" spans="1:17">
      <c r="A4" s="1375" t="s">
        <v>1127</v>
      </c>
      <c r="N4" s="1378" t="s">
        <v>1128</v>
      </c>
    </row>
    <row r="5" spans="1:17">
      <c r="A5" s="1375" t="s">
        <v>1129</v>
      </c>
    </row>
    <row r="6" spans="1:17">
      <c r="A6" s="1375" t="s">
        <v>988</v>
      </c>
    </row>
    <row r="7" spans="1:17">
      <c r="A7" s="1487" t="s">
        <v>1130</v>
      </c>
      <c r="B7" s="1487"/>
      <c r="C7" s="1487"/>
      <c r="D7" s="1487"/>
      <c r="E7" s="1487"/>
      <c r="F7" s="1487"/>
      <c r="G7" s="1487"/>
      <c r="H7" s="1487"/>
      <c r="I7" s="1487"/>
      <c r="J7" s="1487"/>
      <c r="K7" s="1487"/>
      <c r="L7" s="1487"/>
      <c r="M7" s="1487"/>
      <c r="N7" s="1487"/>
    </row>
    <row r="9" spans="1:17">
      <c r="A9" s="1382" t="s">
        <v>148</v>
      </c>
      <c r="B9" s="1383" t="s">
        <v>149</v>
      </c>
      <c r="C9" s="1383"/>
      <c r="D9" s="1383" t="s">
        <v>150</v>
      </c>
      <c r="E9" s="1383" t="s">
        <v>151</v>
      </c>
      <c r="F9" s="1383" t="s">
        <v>152</v>
      </c>
      <c r="G9" s="1383"/>
      <c r="H9" s="1383" t="s">
        <v>1131</v>
      </c>
      <c r="I9" s="1383"/>
      <c r="J9" s="1383" t="s">
        <v>154</v>
      </c>
      <c r="K9" s="1383"/>
      <c r="L9" s="1383" t="s">
        <v>1132</v>
      </c>
      <c r="M9" s="1383" t="s">
        <v>156</v>
      </c>
      <c r="N9" s="1383" t="s">
        <v>1133</v>
      </c>
      <c r="Q9" s="1488"/>
    </row>
    <row r="10" spans="1:17">
      <c r="F10" s="1384"/>
      <c r="G10" s="1384"/>
      <c r="H10" s="1384"/>
      <c r="Q10" s="1488"/>
    </row>
    <row r="11" spans="1:17" ht="38.25">
      <c r="A11" s="1375" t="s">
        <v>1134</v>
      </c>
      <c r="B11" s="1376" t="s">
        <v>1135</v>
      </c>
      <c r="D11" s="1385" t="s">
        <v>1136</v>
      </c>
      <c r="E11" s="1383" t="s">
        <v>1007</v>
      </c>
      <c r="F11" s="1385" t="s">
        <v>1137</v>
      </c>
      <c r="G11" s="1385"/>
      <c r="H11" s="1385" t="s">
        <v>1138</v>
      </c>
      <c r="I11" s="1386"/>
      <c r="J11" s="1385" t="s">
        <v>1139</v>
      </c>
      <c r="L11" s="1385" t="s">
        <v>1140</v>
      </c>
      <c r="M11" s="1385" t="s">
        <v>1141</v>
      </c>
      <c r="N11" s="1385" t="s">
        <v>1142</v>
      </c>
    </row>
    <row r="12" spans="1:17" ht="15">
      <c r="D12" s="1385"/>
      <c r="E12" s="1383"/>
      <c r="F12" s="1385"/>
      <c r="G12" s="1385"/>
      <c r="H12" s="1385"/>
      <c r="I12" s="1386"/>
      <c r="J12" s="1385"/>
      <c r="L12" s="1385"/>
      <c r="N12" s="1384"/>
    </row>
    <row r="13" spans="1:17" ht="15">
      <c r="A13" s="1387" t="s">
        <v>1143</v>
      </c>
      <c r="D13" s="1385"/>
      <c r="E13" s="1383"/>
      <c r="F13" s="1385"/>
      <c r="G13" s="1385"/>
      <c r="H13" s="1385"/>
      <c r="I13" s="1386"/>
      <c r="J13" s="1385"/>
      <c r="L13" s="1385"/>
      <c r="N13" s="1384"/>
    </row>
    <row r="14" spans="1:17">
      <c r="D14" s="1379"/>
      <c r="E14" s="1379"/>
      <c r="F14" s="1388"/>
      <c r="G14" s="1388"/>
      <c r="H14" s="1388"/>
      <c r="I14" s="1388"/>
      <c r="J14" s="1388"/>
      <c r="K14" s="1388"/>
      <c r="L14" s="1388"/>
      <c r="M14" s="1379"/>
      <c r="N14" s="1379"/>
    </row>
    <row r="15" spans="1:17" ht="12.6" customHeight="1">
      <c r="A15" s="1389">
        <v>1</v>
      </c>
      <c r="B15" s="1390" t="s">
        <v>1144</v>
      </c>
      <c r="D15" s="1391">
        <v>299354118</v>
      </c>
      <c r="E15" s="1379" t="s">
        <v>1145</v>
      </c>
      <c r="N15" s="1379"/>
    </row>
    <row r="16" spans="1:17" ht="15">
      <c r="A16" s="1389">
        <f>+A15+1</f>
        <v>2</v>
      </c>
      <c r="B16" s="1390"/>
      <c r="D16" s="1392">
        <v>91360.11</v>
      </c>
      <c r="E16" s="1379" t="s">
        <v>1146</v>
      </c>
      <c r="F16" s="1386"/>
      <c r="G16" s="1386"/>
      <c r="H16" s="1393"/>
      <c r="I16" s="1386"/>
      <c r="J16" s="1386"/>
      <c r="K16" s="1386"/>
      <c r="L16" s="1386"/>
      <c r="M16" s="1379"/>
      <c r="N16" s="1379"/>
    </row>
    <row r="17" spans="1:16">
      <c r="A17" s="1389">
        <f>++A16+1</f>
        <v>3</v>
      </c>
      <c r="B17" s="1390" t="s">
        <v>1147</v>
      </c>
      <c r="D17" s="1391">
        <f>+D15-D16</f>
        <v>299262757.88999999</v>
      </c>
      <c r="F17" s="1388">
        <v>114925970.95</v>
      </c>
      <c r="G17" s="1388"/>
      <c r="H17" s="1394">
        <f>+F17/D17</f>
        <v>0.38403031423055767</v>
      </c>
      <c r="I17" s="1395"/>
      <c r="J17" s="1388">
        <f>-F17</f>
        <v>-114925970.95</v>
      </c>
      <c r="K17" s="1388"/>
      <c r="L17" s="1388">
        <f>+F17+J17</f>
        <v>0</v>
      </c>
      <c r="M17" s="1379"/>
      <c r="N17" s="1379">
        <f>+D17-L17</f>
        <v>299262757.88999999</v>
      </c>
    </row>
    <row r="18" spans="1:16">
      <c r="A18" s="1389"/>
      <c r="B18" s="1390"/>
      <c r="D18" s="1379"/>
      <c r="E18" s="1379"/>
      <c r="F18" s="1396"/>
      <c r="G18" s="1396"/>
      <c r="H18" s="1394"/>
      <c r="I18" s="1395"/>
      <c r="J18" s="1388"/>
      <c r="K18" s="1388"/>
      <c r="L18" s="1388"/>
      <c r="M18" s="1379"/>
      <c r="N18" s="1379"/>
    </row>
    <row r="19" spans="1:16">
      <c r="A19" s="1389">
        <f>+A17+1</f>
        <v>4</v>
      </c>
      <c r="B19" s="1390" t="s">
        <v>1148</v>
      </c>
      <c r="D19" s="1379">
        <v>-289979890</v>
      </c>
      <c r="E19" s="1379" t="s">
        <v>1149</v>
      </c>
      <c r="F19" s="1388">
        <v>-115991956.2</v>
      </c>
      <c r="G19" s="1388"/>
      <c r="H19" s="1394">
        <f>+F19/D19</f>
        <v>0.40000000068970298</v>
      </c>
      <c r="I19" s="1489"/>
      <c r="J19" s="1388"/>
      <c r="K19" s="1388"/>
      <c r="L19" s="1388">
        <f>+F19+J19</f>
        <v>-115991956.2</v>
      </c>
      <c r="M19" s="1379" t="s">
        <v>1016</v>
      </c>
      <c r="N19" s="1379">
        <f>+D19-L19</f>
        <v>-173987933.80000001</v>
      </c>
    </row>
    <row r="20" spans="1:16">
      <c r="A20" s="1389"/>
      <c r="B20" s="1390"/>
      <c r="D20" s="1379"/>
      <c r="E20" s="1379"/>
      <c r="F20" s="1388"/>
      <c r="G20" s="1388"/>
      <c r="H20" s="1397"/>
      <c r="I20" s="1489"/>
      <c r="J20" s="1388"/>
      <c r="K20" s="1388"/>
      <c r="L20" s="1388"/>
      <c r="M20" s="1379"/>
      <c r="N20" s="1379"/>
    </row>
    <row r="21" spans="1:16">
      <c r="A21" s="1389">
        <f>+A19+1</f>
        <v>5</v>
      </c>
      <c r="B21" s="1390" t="s">
        <v>1150</v>
      </c>
      <c r="D21" s="1379">
        <v>-1982378027</v>
      </c>
      <c r="E21" s="1379" t="s">
        <v>1151</v>
      </c>
      <c r="F21" s="1388">
        <v>-785862991.44999969</v>
      </c>
      <c r="G21" s="1388"/>
      <c r="H21" s="1394">
        <f>+F21/D21</f>
        <v>0.39642438563510152</v>
      </c>
      <c r="I21" s="1396"/>
      <c r="J21" s="1388">
        <v>-13641125.550000001</v>
      </c>
      <c r="K21" s="1388"/>
      <c r="L21" s="1388">
        <f>+F21+J21-L22</f>
        <v>-568878716.31999969</v>
      </c>
      <c r="M21" s="1379" t="s">
        <v>1152</v>
      </c>
      <c r="N21" s="1379">
        <f>+D21-L21-L22</f>
        <v>-1182873910.0000002</v>
      </c>
    </row>
    <row r="22" spans="1:16">
      <c r="A22" s="1389"/>
      <c r="B22" s="1390"/>
      <c r="D22" s="1379"/>
      <c r="E22" s="1379"/>
      <c r="F22" s="1388"/>
      <c r="G22" s="1388"/>
      <c r="H22" s="1397"/>
      <c r="I22" s="1388"/>
      <c r="J22" s="1388"/>
      <c r="K22" s="1388"/>
      <c r="L22" s="1388">
        <v>-230625400.68000001</v>
      </c>
      <c r="M22" s="1379" t="s">
        <v>1153</v>
      </c>
      <c r="N22" s="1379"/>
    </row>
    <row r="23" spans="1:16">
      <c r="A23" s="1389">
        <f>+A21+1</f>
        <v>6</v>
      </c>
      <c r="B23" s="1390" t="s">
        <v>1154</v>
      </c>
      <c r="D23" s="1379">
        <v>-426174211</v>
      </c>
      <c r="E23" s="1379" t="s">
        <v>1155</v>
      </c>
      <c r="H23" s="1398"/>
      <c r="N23" s="1379"/>
    </row>
    <row r="24" spans="1:16" ht="15">
      <c r="A24" s="1389">
        <f>+A23+1</f>
        <v>7</v>
      </c>
      <c r="B24" s="1390"/>
      <c r="D24" s="1399">
        <f>-118065681-12508624+65067609-4597370</f>
        <v>-70104066</v>
      </c>
      <c r="E24" s="1379" t="s">
        <v>1156</v>
      </c>
      <c r="F24" s="1386"/>
      <c r="G24" s="1386"/>
      <c r="H24" s="1400"/>
      <c r="I24" s="1401"/>
      <c r="J24" s="1388"/>
      <c r="K24" s="1388"/>
      <c r="L24" s="1388"/>
      <c r="M24" s="1379"/>
      <c r="N24" s="1379"/>
    </row>
    <row r="25" spans="1:16">
      <c r="A25" s="1389">
        <f>++A24+1</f>
        <v>8</v>
      </c>
      <c r="B25" s="1390" t="s">
        <v>1157</v>
      </c>
      <c r="D25" s="1379">
        <f>+D23-D24</f>
        <v>-356070145</v>
      </c>
      <c r="F25" s="1388">
        <v>-141371168.37999997</v>
      </c>
      <c r="G25" s="1388"/>
      <c r="H25" s="1394">
        <f>+F25/D25</f>
        <v>0.39703179377759956</v>
      </c>
      <c r="I25" s="1401"/>
      <c r="J25" s="1388">
        <f>-J17-J21</f>
        <v>128567096.5</v>
      </c>
      <c r="K25" s="1388"/>
      <c r="L25" s="1388">
        <f>+F25+J25</f>
        <v>-12804071.879999965</v>
      </c>
      <c r="M25" s="1379" t="s">
        <v>1025</v>
      </c>
      <c r="N25" s="1379">
        <f>+D25-L25</f>
        <v>-343266073.12</v>
      </c>
    </row>
    <row r="26" spans="1:16">
      <c r="A26" s="1389"/>
      <c r="E26" s="1379"/>
      <c r="F26" s="1388"/>
      <c r="G26" s="1388"/>
      <c r="H26" s="1397"/>
      <c r="I26" s="1402"/>
      <c r="J26" s="1388"/>
      <c r="K26" s="1388"/>
      <c r="L26" s="1388"/>
      <c r="M26" s="1379"/>
      <c r="N26" s="1379"/>
    </row>
    <row r="27" spans="1:16">
      <c r="A27" s="1389">
        <f>+A25+1</f>
        <v>9</v>
      </c>
      <c r="B27" s="1376" t="s">
        <v>118</v>
      </c>
      <c r="D27" s="1403">
        <f>+D17+D19+D21+D25</f>
        <v>-2329165304.1100001</v>
      </c>
      <c r="E27" s="1379" t="s">
        <v>1158</v>
      </c>
      <c r="F27" s="1404">
        <f>SUM(F16:F25)</f>
        <v>-928300145.07999969</v>
      </c>
      <c r="G27" s="1405"/>
      <c r="H27" s="1406"/>
      <c r="J27" s="1404">
        <f>SUM(J16:J25)</f>
        <v>0</v>
      </c>
      <c r="K27" s="1388"/>
      <c r="L27" s="1404">
        <f>SUM(L16:L25)</f>
        <v>-928300145.0799998</v>
      </c>
      <c r="M27" s="1379"/>
      <c r="N27" s="1404">
        <f>SUM(N16:N25)</f>
        <v>-1400865159.0300002</v>
      </c>
    </row>
    <row r="28" spans="1:16">
      <c r="A28" s="1389"/>
      <c r="D28" s="1379"/>
      <c r="E28" s="1407"/>
      <c r="F28" s="1396"/>
      <c r="G28" s="1396"/>
      <c r="H28" s="1394"/>
      <c r="I28" s="1388"/>
      <c r="J28" s="1388"/>
      <c r="K28" s="1388"/>
      <c r="L28" s="1388"/>
      <c r="M28" s="1379"/>
      <c r="N28" s="1379"/>
    </row>
    <row r="29" spans="1:16">
      <c r="A29" s="1408" t="s">
        <v>1159</v>
      </c>
      <c r="D29" s="1379"/>
      <c r="E29" s="1379"/>
      <c r="F29" s="1396"/>
      <c r="G29" s="1396"/>
      <c r="H29" s="1394"/>
      <c r="I29" s="1396"/>
      <c r="J29" s="1388"/>
      <c r="K29" s="1388"/>
      <c r="L29" s="1388"/>
      <c r="M29" s="1379"/>
      <c r="N29" s="1379"/>
      <c r="P29" s="1379"/>
    </row>
    <row r="30" spans="1:16" ht="15">
      <c r="A30" s="1389"/>
      <c r="F30" s="1402"/>
      <c r="G30" s="1402"/>
      <c r="H30" s="1394"/>
      <c r="J30" s="1386"/>
      <c r="K30" s="1388"/>
      <c r="L30" s="1388"/>
      <c r="N30" s="1379"/>
      <c r="P30" s="1379"/>
    </row>
    <row r="31" spans="1:16">
      <c r="A31" s="1389">
        <f>+A27+1</f>
        <v>10</v>
      </c>
      <c r="B31" s="1390" t="s">
        <v>1147</v>
      </c>
      <c r="D31" s="1379">
        <v>64030741.600000001</v>
      </c>
      <c r="E31" s="1390" t="s">
        <v>640</v>
      </c>
      <c r="F31" s="1388">
        <v>25564247.969999999</v>
      </c>
      <c r="G31" s="1388"/>
      <c r="H31" s="1394">
        <f>+F31/D31</f>
        <v>0.39924959997652126</v>
      </c>
      <c r="I31" s="1402"/>
      <c r="J31" s="1388">
        <f>-F31</f>
        <v>-25564247.969999999</v>
      </c>
      <c r="K31" s="1388"/>
      <c r="L31" s="1388">
        <f>+F31+J31</f>
        <v>0</v>
      </c>
      <c r="N31" s="1379">
        <f>+D31-L31</f>
        <v>64030741.600000001</v>
      </c>
      <c r="P31" s="1379"/>
    </row>
    <row r="32" spans="1:16">
      <c r="A32" s="1389"/>
      <c r="B32" s="1390"/>
      <c r="D32" s="1379"/>
      <c r="E32" s="1379"/>
      <c r="F32" s="1396"/>
      <c r="G32" s="1396"/>
      <c r="H32" s="1394"/>
      <c r="I32" s="1396"/>
      <c r="J32" s="1388"/>
      <c r="K32" s="1388"/>
      <c r="L32" s="1388"/>
      <c r="N32" s="1379"/>
      <c r="O32" s="1376"/>
      <c r="P32" s="1379"/>
    </row>
    <row r="33" spans="1:16">
      <c r="A33" s="1389">
        <f>+A31+1</f>
        <v>11</v>
      </c>
      <c r="B33" s="1390" t="s">
        <v>1150</v>
      </c>
      <c r="D33" s="1379">
        <v>-532673985.5</v>
      </c>
      <c r="E33" s="1390" t="s">
        <v>640</v>
      </c>
      <c r="F33" s="1388">
        <v>-211738348.20000005</v>
      </c>
      <c r="G33" s="1388"/>
      <c r="H33" s="1394">
        <f>+F33/D33</f>
        <v>0.39750082407581749</v>
      </c>
      <c r="I33" s="1396"/>
      <c r="J33" s="1388">
        <v>-3524424.8</v>
      </c>
      <c r="K33" s="1388"/>
      <c r="L33" s="1388">
        <f>+F33+J33-L34</f>
        <v>-185402169.00000006</v>
      </c>
      <c r="M33" s="1376" t="s">
        <v>1016</v>
      </c>
      <c r="N33" s="1379">
        <f>+D33-L33-L34</f>
        <v>-317411212.49999994</v>
      </c>
      <c r="O33" s="1376"/>
      <c r="P33" s="1409"/>
    </row>
    <row r="34" spans="1:16">
      <c r="A34" s="1389"/>
      <c r="B34" s="1390"/>
      <c r="D34" s="1379"/>
      <c r="E34" s="1390"/>
      <c r="F34" s="1388"/>
      <c r="G34" s="1388"/>
      <c r="H34" s="1394"/>
      <c r="I34" s="1396"/>
      <c r="J34" s="1388"/>
      <c r="K34" s="1388"/>
      <c r="L34" s="1388">
        <v>-29860604</v>
      </c>
      <c r="M34" s="1376" t="s">
        <v>1025</v>
      </c>
      <c r="N34" s="1379"/>
      <c r="O34" s="1376"/>
      <c r="P34" s="1409"/>
    </row>
    <row r="35" spans="1:16">
      <c r="A35" s="1389"/>
      <c r="B35" s="1390"/>
      <c r="D35" s="1379"/>
      <c r="E35" s="1379"/>
      <c r="H35" s="1398"/>
      <c r="I35" s="1410"/>
      <c r="J35" s="1388"/>
      <c r="K35" s="1388"/>
      <c r="L35" s="1388"/>
      <c r="N35" s="1379"/>
      <c r="O35" s="1376"/>
      <c r="P35" s="1379"/>
    </row>
    <row r="36" spans="1:16">
      <c r="A36" s="1389">
        <f>+A33+1</f>
        <v>12</v>
      </c>
      <c r="B36" s="1390" t="s">
        <v>1157</v>
      </c>
      <c r="D36" s="1411">
        <v>-27241044.940000001</v>
      </c>
      <c r="E36" s="1390" t="s">
        <v>640</v>
      </c>
      <c r="F36" s="1388">
        <v>-11031930.069999998</v>
      </c>
      <c r="G36" s="1388"/>
      <c r="H36" s="1394">
        <f>+F36/D36</f>
        <v>0.40497455564933249</v>
      </c>
      <c r="I36" s="1396"/>
      <c r="J36" s="1388">
        <f>-J31-J33</f>
        <v>29088672.77</v>
      </c>
      <c r="K36" s="1388"/>
      <c r="L36" s="1388">
        <f>+F36+J36</f>
        <v>18056742.700000003</v>
      </c>
      <c r="M36" s="1376" t="s">
        <v>1025</v>
      </c>
      <c r="N36" s="1379">
        <f>+D36-L36</f>
        <v>-45297787.640000001</v>
      </c>
      <c r="O36" s="1376"/>
      <c r="P36" s="1379"/>
    </row>
    <row r="37" spans="1:16">
      <c r="A37" s="1389"/>
      <c r="D37" s="1411"/>
      <c r="E37" s="1379"/>
      <c r="F37" s="1396"/>
      <c r="G37" s="1396"/>
      <c r="H37" s="1394"/>
      <c r="I37" s="1396"/>
      <c r="J37" s="1388"/>
      <c r="K37" s="1388"/>
      <c r="L37" s="1388"/>
      <c r="N37" s="1379"/>
      <c r="O37" s="1376"/>
      <c r="P37" s="1379"/>
    </row>
    <row r="38" spans="1:16">
      <c r="A38" s="1389">
        <f>+A36+1</f>
        <v>13</v>
      </c>
      <c r="B38" s="1376" t="s">
        <v>118</v>
      </c>
      <c r="D38" s="1412">
        <f>+D36+D33+D31</f>
        <v>-495884288.84000003</v>
      </c>
      <c r="E38" s="1379" t="s">
        <v>1160</v>
      </c>
      <c r="F38" s="1404">
        <f>SUM(F31:F36)</f>
        <v>-197206030.30000004</v>
      </c>
      <c r="G38" s="1405"/>
      <c r="H38" s="1413"/>
      <c r="J38" s="1404">
        <f>SUM(J31:J36)</f>
        <v>0</v>
      </c>
      <c r="K38" s="1388"/>
      <c r="L38" s="1404">
        <f>SUM(L31:L36)</f>
        <v>-197206030.30000007</v>
      </c>
      <c r="N38" s="1404">
        <f>SUM(N31:N36)</f>
        <v>-298678258.53999996</v>
      </c>
      <c r="O38" s="1376"/>
      <c r="P38" s="1379"/>
    </row>
    <row r="39" spans="1:16">
      <c r="A39" s="1389"/>
      <c r="D39" s="1411"/>
      <c r="E39" s="1379"/>
      <c r="F39" s="1405"/>
      <c r="G39" s="1405"/>
      <c r="H39" s="1413"/>
      <c r="J39" s="1405"/>
      <c r="K39" s="1388"/>
      <c r="L39" s="1405"/>
      <c r="N39" s="1379"/>
      <c r="O39" s="1376"/>
      <c r="P39" s="1379"/>
    </row>
    <row r="40" spans="1:16">
      <c r="A40" s="1389"/>
      <c r="D40" s="1411"/>
      <c r="E40" s="1379"/>
      <c r="F40" s="1405"/>
      <c r="G40" s="1405"/>
      <c r="H40" s="1413"/>
      <c r="J40" s="1405"/>
      <c r="K40" s="1388"/>
      <c r="L40" s="1405"/>
      <c r="N40" s="1379"/>
      <c r="O40" s="1376"/>
      <c r="P40" s="1379"/>
    </row>
    <row r="41" spans="1:16">
      <c r="A41" s="1485" t="s">
        <v>1161</v>
      </c>
      <c r="B41" s="1485"/>
      <c r="C41" s="1485"/>
      <c r="D41" s="1485"/>
      <c r="E41" s="1485"/>
      <c r="F41" s="1485"/>
      <c r="G41" s="1485"/>
      <c r="H41" s="1485"/>
      <c r="N41" s="1379"/>
      <c r="O41" s="1376"/>
      <c r="P41" s="1379"/>
    </row>
    <row r="42" spans="1:16">
      <c r="A42" s="1485"/>
      <c r="B42" s="1485"/>
      <c r="C42" s="1485"/>
      <c r="D42" s="1485"/>
      <c r="E42" s="1485"/>
      <c r="F42" s="1485"/>
      <c r="G42" s="1485"/>
      <c r="H42" s="1485"/>
      <c r="N42" s="1379"/>
      <c r="O42" s="1376"/>
      <c r="P42" s="1379"/>
    </row>
    <row r="43" spans="1:16">
      <c r="A43" s="1485"/>
      <c r="B43" s="1485"/>
      <c r="C43" s="1485"/>
      <c r="D43" s="1485"/>
      <c r="E43" s="1485"/>
      <c r="F43" s="1485"/>
      <c r="G43" s="1485"/>
      <c r="H43" s="1485"/>
      <c r="N43" s="1379"/>
      <c r="O43" s="1376"/>
      <c r="P43" s="1379"/>
    </row>
    <row r="44" spans="1:16">
      <c r="A44" s="1485"/>
      <c r="B44" s="1485"/>
      <c r="C44" s="1485"/>
      <c r="D44" s="1485"/>
      <c r="E44" s="1485"/>
      <c r="F44" s="1485"/>
      <c r="G44" s="1485"/>
      <c r="H44" s="1485"/>
      <c r="N44" s="1379"/>
      <c r="O44" s="1376"/>
      <c r="P44" s="1379"/>
    </row>
    <row r="45" spans="1:16">
      <c r="A45" s="1389"/>
      <c r="N45" s="1379"/>
      <c r="O45" s="1376"/>
      <c r="P45" s="1379"/>
    </row>
    <row r="46" spans="1:16">
      <c r="A46" s="1375" t="s">
        <v>1162</v>
      </c>
      <c r="B46" s="1485" t="s">
        <v>1163</v>
      </c>
      <c r="C46" s="1485"/>
      <c r="D46" s="1485"/>
      <c r="E46" s="1485"/>
      <c r="F46" s="1485"/>
      <c r="G46" s="1485"/>
      <c r="H46" s="1485"/>
      <c r="N46" s="1379"/>
      <c r="O46" s="1376"/>
      <c r="P46" s="1379"/>
    </row>
    <row r="47" spans="1:16">
      <c r="B47" s="1485"/>
      <c r="C47" s="1485"/>
      <c r="D47" s="1485"/>
      <c r="E47" s="1485"/>
      <c r="F47" s="1485"/>
      <c r="G47" s="1485"/>
      <c r="H47" s="1485"/>
      <c r="N47" s="1379"/>
      <c r="O47" s="1376"/>
      <c r="P47" s="1379"/>
    </row>
    <row r="48" spans="1:16">
      <c r="B48" s="1485"/>
      <c r="C48" s="1485"/>
      <c r="D48" s="1485"/>
      <c r="E48" s="1485"/>
      <c r="F48" s="1485"/>
      <c r="G48" s="1485"/>
      <c r="H48" s="1485"/>
      <c r="N48" s="1379"/>
      <c r="O48" s="1376"/>
      <c r="P48" s="1379"/>
    </row>
    <row r="49" spans="1:14" ht="15">
      <c r="A49" s="1376"/>
      <c r="I49" s="1386"/>
      <c r="J49" s="1379"/>
      <c r="K49" s="1379"/>
      <c r="L49" s="1379"/>
      <c r="M49" s="1379"/>
      <c r="N49" s="1379"/>
    </row>
    <row r="50" spans="1:14" ht="15.6" customHeight="1">
      <c r="A50" s="1375" t="s">
        <v>1164</v>
      </c>
      <c r="B50" s="1485" t="s">
        <v>1165</v>
      </c>
      <c r="C50" s="1485"/>
      <c r="D50" s="1485"/>
      <c r="E50" s="1485"/>
      <c r="F50" s="1485"/>
      <c r="G50" s="1485"/>
      <c r="H50" s="1485"/>
      <c r="J50" s="1379"/>
      <c r="K50" s="1379"/>
      <c r="L50" s="1379"/>
      <c r="M50" s="1379"/>
      <c r="N50" s="1379"/>
    </row>
    <row r="51" spans="1:14" ht="12.6" customHeight="1">
      <c r="B51" s="1485"/>
      <c r="C51" s="1485"/>
      <c r="D51" s="1485"/>
      <c r="E51" s="1485"/>
      <c r="F51" s="1485"/>
      <c r="G51" s="1485"/>
      <c r="H51" s="1485"/>
      <c r="J51" s="1379"/>
      <c r="K51" s="1379"/>
      <c r="L51" s="1379"/>
      <c r="M51" s="1379"/>
      <c r="N51" s="1379"/>
    </row>
    <row r="52" spans="1:14" ht="12.6" customHeight="1">
      <c r="A52" s="1376"/>
      <c r="J52" s="1379"/>
      <c r="K52" s="1379"/>
      <c r="L52" s="1379"/>
      <c r="M52" s="1379"/>
      <c r="N52" s="1379"/>
    </row>
    <row r="53" spans="1:14" ht="12.6" customHeight="1">
      <c r="A53" s="1375" t="s">
        <v>1166</v>
      </c>
      <c r="B53" s="1485" t="s">
        <v>1167</v>
      </c>
      <c r="C53" s="1485"/>
      <c r="D53" s="1485"/>
      <c r="E53" s="1485"/>
      <c r="F53" s="1485"/>
      <c r="G53" s="1485"/>
      <c r="H53" s="1485"/>
      <c r="I53" s="1485"/>
      <c r="J53" s="1379"/>
      <c r="K53" s="1379"/>
      <c r="L53" s="1379"/>
      <c r="M53" s="1379"/>
      <c r="N53" s="1379"/>
    </row>
    <row r="54" spans="1:14" ht="15">
      <c r="A54" s="1414"/>
      <c r="B54" s="1485"/>
      <c r="C54" s="1485"/>
      <c r="D54" s="1485"/>
      <c r="E54" s="1485"/>
      <c r="F54" s="1485"/>
      <c r="G54" s="1485"/>
      <c r="H54" s="1485"/>
      <c r="I54" s="1485"/>
      <c r="J54" s="1379"/>
      <c r="K54" s="1379"/>
      <c r="L54" s="1379"/>
      <c r="M54" s="1379"/>
      <c r="N54" s="1379"/>
    </row>
    <row r="55" spans="1:14" ht="12.6" customHeight="1">
      <c r="A55" s="1376"/>
      <c r="J55" s="1379"/>
      <c r="K55" s="1379"/>
      <c r="L55" s="1379"/>
      <c r="M55" s="1379"/>
      <c r="N55" s="1379"/>
    </row>
    <row r="56" spans="1:14">
      <c r="A56" s="1376" t="s">
        <v>1168</v>
      </c>
      <c r="B56" s="1486" t="s">
        <v>1169</v>
      </c>
      <c r="C56" s="1486"/>
      <c r="D56" s="1486"/>
      <c r="E56" s="1486"/>
      <c r="F56" s="1486"/>
      <c r="J56" s="1379"/>
      <c r="K56" s="1379"/>
      <c r="L56" s="1379"/>
      <c r="M56" s="1379"/>
      <c r="N56" s="1379"/>
    </row>
    <row r="57" spans="1:14">
      <c r="B57" s="1486"/>
      <c r="C57" s="1486"/>
      <c r="D57" s="1486"/>
      <c r="E57" s="1486"/>
      <c r="F57" s="1486"/>
      <c r="J57" s="1379"/>
      <c r="K57" s="1379"/>
      <c r="L57" s="1379"/>
      <c r="M57" s="1379"/>
      <c r="N57" s="1379"/>
    </row>
    <row r="58" spans="1:14">
      <c r="A58" s="1376"/>
      <c r="J58" s="1379"/>
      <c r="K58" s="1379"/>
      <c r="L58" s="1379"/>
      <c r="M58" s="1379"/>
      <c r="N58" s="1379"/>
    </row>
    <row r="59" spans="1:14">
      <c r="A59" s="1376"/>
      <c r="J59" s="1379"/>
      <c r="K59" s="1379"/>
      <c r="L59" s="1379"/>
      <c r="M59" s="1379"/>
      <c r="N59" s="1379"/>
    </row>
    <row r="60" spans="1:14">
      <c r="E60" s="1415"/>
      <c r="I60" s="1379"/>
      <c r="J60" s="1379"/>
      <c r="K60" s="1379"/>
      <c r="L60" s="1379"/>
    </row>
    <row r="61" spans="1:14">
      <c r="G61" s="1416"/>
      <c r="H61" s="1416"/>
      <c r="I61" s="1379"/>
      <c r="J61" s="1379"/>
      <c r="K61" s="1379"/>
      <c r="L61" s="1379"/>
    </row>
    <row r="62" spans="1:14">
      <c r="G62" s="1416"/>
      <c r="H62" s="1416"/>
      <c r="I62" s="1379"/>
    </row>
    <row r="63" spans="1:14" ht="9.9499999999999993" customHeight="1"/>
    <row r="66" spans="1:16" ht="15">
      <c r="A66" s="1414"/>
      <c r="B66" s="1386"/>
      <c r="C66" s="1386"/>
      <c r="D66" s="1386"/>
      <c r="E66" s="1386"/>
      <c r="F66" s="1386"/>
      <c r="G66" s="1386"/>
      <c r="H66" s="1386"/>
      <c r="I66" s="1386"/>
      <c r="J66" s="1386"/>
      <c r="K66" s="1386"/>
      <c r="L66" s="1386"/>
      <c r="M66" s="1386"/>
      <c r="N66" s="1386"/>
      <c r="O66" s="1386"/>
    </row>
    <row r="67" spans="1:16" ht="15">
      <c r="A67" s="1414"/>
      <c r="B67" s="1386"/>
      <c r="C67" s="1386"/>
      <c r="D67" s="1386"/>
      <c r="E67" s="1386"/>
      <c r="F67" s="1386"/>
      <c r="G67" s="1386"/>
      <c r="H67" s="1386"/>
      <c r="I67" s="1386"/>
      <c r="J67" s="1386"/>
      <c r="K67" s="1386"/>
      <c r="L67" s="1386"/>
      <c r="M67" s="1386"/>
      <c r="N67" s="1386"/>
      <c r="O67" s="1386"/>
    </row>
    <row r="68" spans="1:16" ht="15">
      <c r="A68" s="1414"/>
      <c r="B68" s="1386"/>
      <c r="C68" s="1386"/>
      <c r="D68" s="1386"/>
      <c r="E68" s="1386"/>
      <c r="F68" s="1386"/>
      <c r="G68" s="1386"/>
      <c r="H68" s="1386"/>
      <c r="I68" s="1386"/>
      <c r="J68" s="1386"/>
      <c r="K68" s="1386"/>
      <c r="L68" s="1386"/>
      <c r="M68" s="1386"/>
      <c r="N68" s="1386"/>
      <c r="O68" s="1386"/>
    </row>
    <row r="69" spans="1:16" ht="15">
      <c r="A69" s="1414"/>
      <c r="B69" s="1386"/>
      <c r="C69" s="1386"/>
      <c r="D69" s="1386"/>
      <c r="E69" s="1386"/>
      <c r="F69" s="1386"/>
      <c r="G69" s="1386"/>
      <c r="H69" s="1386"/>
      <c r="I69" s="1386"/>
      <c r="J69" s="1386"/>
      <c r="K69" s="1386"/>
      <c r="L69" s="1386"/>
      <c r="M69" s="1386"/>
      <c r="N69" s="1386"/>
      <c r="O69" s="1386"/>
      <c r="P69" s="1379"/>
    </row>
    <row r="70" spans="1:16" ht="15">
      <c r="A70" s="1414"/>
      <c r="B70" s="1386"/>
      <c r="C70" s="1386"/>
      <c r="D70" s="1386"/>
      <c r="E70" s="1386"/>
      <c r="F70" s="1386"/>
      <c r="G70" s="1386"/>
      <c r="H70" s="1386"/>
      <c r="I70" s="1386"/>
      <c r="J70" s="1386"/>
      <c r="K70" s="1386"/>
      <c r="L70" s="1386"/>
      <c r="M70" s="1386"/>
      <c r="N70" s="1386"/>
      <c r="O70" s="1386"/>
      <c r="P70" s="1379"/>
    </row>
    <row r="71" spans="1:16" ht="15">
      <c r="A71" s="1414"/>
      <c r="B71" s="1386"/>
      <c r="C71" s="1386"/>
      <c r="D71" s="1386"/>
      <c r="E71" s="1386"/>
      <c r="F71" s="1386"/>
      <c r="G71" s="1386"/>
      <c r="H71" s="1386"/>
      <c r="I71" s="1386"/>
      <c r="J71" s="1386"/>
      <c r="K71" s="1386"/>
      <c r="L71" s="1386"/>
      <c r="M71" s="1386"/>
      <c r="N71" s="1386"/>
      <c r="O71" s="1386"/>
      <c r="P71" s="1379"/>
    </row>
    <row r="72" spans="1:16" ht="15">
      <c r="A72" s="1414"/>
      <c r="B72" s="1386"/>
      <c r="C72" s="1386"/>
      <c r="D72" s="1386"/>
      <c r="E72" s="1386"/>
      <c r="F72" s="1386"/>
      <c r="G72" s="1386"/>
      <c r="H72" s="1386"/>
      <c r="I72" s="1386"/>
      <c r="J72" s="1386"/>
      <c r="K72" s="1386"/>
      <c r="L72" s="1386"/>
      <c r="M72" s="1386"/>
      <c r="N72" s="1386"/>
      <c r="O72" s="1386"/>
      <c r="P72" s="1379"/>
    </row>
    <row r="73" spans="1:16" ht="15">
      <c r="A73" s="1414"/>
      <c r="B73" s="1386"/>
      <c r="C73" s="1386"/>
      <c r="D73" s="1386"/>
      <c r="E73" s="1386"/>
      <c r="F73" s="1386"/>
      <c r="G73" s="1386"/>
      <c r="H73" s="1386"/>
      <c r="I73" s="1386"/>
      <c r="J73" s="1386"/>
      <c r="K73" s="1386"/>
      <c r="L73" s="1386"/>
      <c r="M73" s="1386"/>
      <c r="N73" s="1386"/>
      <c r="O73" s="1386"/>
      <c r="P73" s="1379"/>
    </row>
    <row r="74" spans="1:16" ht="15">
      <c r="A74" s="1414"/>
      <c r="B74" s="1386"/>
      <c r="C74" s="1386"/>
      <c r="D74" s="1386"/>
      <c r="E74" s="1386"/>
      <c r="F74" s="1386"/>
      <c r="G74" s="1386"/>
      <c r="H74" s="1386"/>
      <c r="I74" s="1386"/>
      <c r="J74" s="1386"/>
      <c r="K74" s="1386"/>
      <c r="L74" s="1386"/>
      <c r="M74" s="1386"/>
      <c r="N74" s="1386"/>
      <c r="O74" s="1386"/>
      <c r="P74" s="1379"/>
    </row>
    <row r="75" spans="1:16" ht="15">
      <c r="A75" s="1414"/>
      <c r="B75" s="1386"/>
      <c r="C75" s="1386"/>
      <c r="D75" s="1386"/>
      <c r="E75" s="1386"/>
      <c r="F75" s="1386"/>
      <c r="G75" s="1386"/>
      <c r="H75" s="1386"/>
      <c r="I75" s="1386"/>
      <c r="J75" s="1386"/>
      <c r="K75" s="1386"/>
      <c r="L75" s="1386"/>
      <c r="M75" s="1386"/>
      <c r="N75" s="1386"/>
      <c r="O75" s="1386"/>
      <c r="P75" s="1379"/>
    </row>
    <row r="76" spans="1:16" ht="15">
      <c r="A76" s="1414"/>
      <c r="B76" s="1386"/>
      <c r="C76" s="1386"/>
      <c r="D76" s="1386"/>
      <c r="E76" s="1386"/>
      <c r="F76" s="1386"/>
      <c r="G76" s="1386"/>
      <c r="H76" s="1386"/>
      <c r="I76" s="1386"/>
      <c r="J76" s="1386"/>
      <c r="K76" s="1386"/>
      <c r="L76" s="1386"/>
      <c r="M76" s="1386"/>
      <c r="N76" s="1386"/>
      <c r="O76" s="1386"/>
      <c r="P76" s="1379"/>
    </row>
    <row r="77" spans="1:16" ht="15">
      <c r="A77" s="1414"/>
      <c r="B77" s="1386"/>
      <c r="C77" s="1386"/>
      <c r="D77" s="1386"/>
      <c r="E77" s="1386"/>
      <c r="F77" s="1386"/>
      <c r="G77" s="1386"/>
      <c r="H77" s="1386"/>
      <c r="I77" s="1386"/>
      <c r="J77" s="1386"/>
      <c r="K77" s="1386"/>
      <c r="L77" s="1386"/>
      <c r="M77" s="1386"/>
      <c r="N77" s="1386"/>
      <c r="O77" s="1386"/>
      <c r="P77" s="1379"/>
    </row>
    <row r="78" spans="1:16" ht="15">
      <c r="A78" s="1414"/>
      <c r="B78" s="1386"/>
      <c r="C78" s="1386"/>
      <c r="D78" s="1386"/>
      <c r="E78" s="1386"/>
      <c r="F78" s="1386"/>
      <c r="G78" s="1386"/>
      <c r="H78" s="1386"/>
      <c r="I78" s="1386"/>
      <c r="J78" s="1386"/>
      <c r="K78" s="1386"/>
      <c r="L78" s="1386"/>
      <c r="M78" s="1386"/>
      <c r="N78" s="1386"/>
      <c r="O78" s="1386"/>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49BA-DE0C-424E-A43C-BECDD5C4112F}">
  <dimension ref="A1:Q87"/>
  <sheetViews>
    <sheetView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75" t="s">
        <v>1121</v>
      </c>
      <c r="B1" s="1417"/>
      <c r="C1" s="1417"/>
      <c r="D1" s="1417"/>
      <c r="E1" s="1417"/>
      <c r="F1" s="1417"/>
      <c r="G1" s="1417"/>
      <c r="H1" s="1417"/>
      <c r="I1" s="1417"/>
      <c r="J1" s="1417"/>
      <c r="K1" s="1417"/>
      <c r="L1" s="1377"/>
      <c r="M1" s="1417"/>
      <c r="N1" s="1378"/>
      <c r="O1" s="1417"/>
      <c r="P1" s="1417"/>
      <c r="Q1" s="1417"/>
    </row>
    <row r="2" spans="1:17" ht="15">
      <c r="A2" s="1375" t="s">
        <v>1123</v>
      </c>
      <c r="B2" s="1417"/>
      <c r="C2" s="1417"/>
      <c r="D2" s="1417"/>
      <c r="E2" s="1417"/>
      <c r="F2" s="1417"/>
      <c r="G2" s="1417"/>
      <c r="H2" s="1417"/>
      <c r="I2" s="1417"/>
      <c r="J2" s="1417"/>
      <c r="K2" s="1417"/>
      <c r="L2" s="1380"/>
      <c r="M2" s="1417"/>
      <c r="N2" s="1381"/>
      <c r="O2" s="1417"/>
      <c r="P2" s="1417"/>
      <c r="Q2" s="1417"/>
    </row>
    <row r="3" spans="1:17" ht="15">
      <c r="A3" s="1375" t="s">
        <v>1125</v>
      </c>
      <c r="B3" s="1417"/>
      <c r="C3" s="1417"/>
      <c r="D3" s="1417"/>
      <c r="E3" s="1417"/>
      <c r="F3" s="1417"/>
      <c r="G3" s="1417"/>
      <c r="H3" s="1417"/>
      <c r="I3" s="1417"/>
      <c r="J3" s="1417"/>
      <c r="K3" s="1417"/>
      <c r="L3" s="1417"/>
      <c r="M3" s="1417"/>
      <c r="N3" s="1381"/>
      <c r="O3" s="1417"/>
      <c r="P3" s="1417"/>
      <c r="Q3" s="1417"/>
    </row>
    <row r="4" spans="1:17" ht="15">
      <c r="A4" s="1375" t="s">
        <v>1170</v>
      </c>
      <c r="B4" s="1417"/>
      <c r="C4" s="1417"/>
      <c r="D4" s="1417"/>
      <c r="E4" s="1417"/>
      <c r="F4" s="1417"/>
      <c r="G4" s="1417"/>
      <c r="H4" s="1417"/>
      <c r="I4" s="1417"/>
      <c r="J4" s="1417"/>
      <c r="K4" s="1417"/>
      <c r="L4" s="1417"/>
      <c r="M4" s="1417"/>
      <c r="N4" s="1378"/>
      <c r="O4" s="1417"/>
      <c r="P4" s="1417"/>
      <c r="Q4" s="1417"/>
    </row>
    <row r="5" spans="1:17" ht="15">
      <c r="A5" s="1375" t="s">
        <v>1129</v>
      </c>
      <c r="B5" s="1417"/>
      <c r="C5" s="1417"/>
      <c r="D5" s="1417"/>
      <c r="E5" s="1417"/>
      <c r="F5" s="1417"/>
      <c r="G5" s="1417"/>
      <c r="H5" s="1417"/>
      <c r="I5" s="1417"/>
      <c r="J5" s="1417"/>
      <c r="K5" s="1417"/>
      <c r="L5" s="1417"/>
      <c r="M5" s="1417"/>
      <c r="N5" s="1417"/>
      <c r="O5" s="1417"/>
      <c r="P5" s="1417"/>
      <c r="Q5" s="1417"/>
    </row>
    <row r="6" spans="1:17" ht="15">
      <c r="A6" s="1375" t="s">
        <v>988</v>
      </c>
      <c r="B6" s="1417"/>
      <c r="C6" s="1417"/>
      <c r="D6" s="1417"/>
      <c r="E6" s="1417"/>
      <c r="F6" s="1417"/>
      <c r="G6" s="1417"/>
      <c r="H6" s="1417"/>
      <c r="I6" s="1417"/>
      <c r="J6" s="1417"/>
      <c r="K6" s="1417"/>
      <c r="L6" s="1417"/>
      <c r="M6" s="1417"/>
      <c r="N6" s="1417"/>
      <c r="O6" s="1417"/>
      <c r="P6" s="1417"/>
      <c r="Q6" s="1417"/>
    </row>
    <row r="7" spans="1:17" ht="15">
      <c r="A7" s="1487" t="s">
        <v>1171</v>
      </c>
      <c r="B7" s="1487"/>
      <c r="C7" s="1487"/>
      <c r="D7" s="1487"/>
      <c r="E7" s="1487"/>
      <c r="F7" s="1487"/>
      <c r="G7" s="1487"/>
      <c r="H7" s="1487"/>
      <c r="I7" s="1487"/>
      <c r="J7" s="1487"/>
      <c r="K7" s="1487"/>
      <c r="L7" s="1487"/>
      <c r="M7" s="1487"/>
      <c r="N7" s="1487"/>
      <c r="O7" s="1417"/>
      <c r="P7" s="1417"/>
      <c r="Q7" s="1417"/>
    </row>
    <row r="9" spans="1:17" ht="15">
      <c r="A9" s="1382" t="s">
        <v>148</v>
      </c>
      <c r="B9" s="1383" t="s">
        <v>149</v>
      </c>
      <c r="C9" s="1383"/>
      <c r="D9" s="1418" t="s">
        <v>150</v>
      </c>
      <c r="E9" s="1383" t="s">
        <v>151</v>
      </c>
      <c r="F9" s="1383" t="s">
        <v>152</v>
      </c>
      <c r="G9" s="1383"/>
      <c r="H9" s="1383" t="s">
        <v>1131</v>
      </c>
      <c r="I9" s="1383"/>
      <c r="J9" s="1383" t="s">
        <v>154</v>
      </c>
      <c r="K9" s="1383"/>
      <c r="L9" s="1383" t="s">
        <v>1132</v>
      </c>
      <c r="M9" s="1383" t="s">
        <v>156</v>
      </c>
      <c r="N9" s="1383" t="s">
        <v>1133</v>
      </c>
      <c r="O9" s="1417"/>
      <c r="P9" s="1417"/>
      <c r="Q9" s="1488"/>
    </row>
    <row r="10" spans="1:17" ht="15">
      <c r="A10" s="1417"/>
      <c r="B10" s="1417"/>
      <c r="C10" s="1417"/>
      <c r="D10" s="1417"/>
      <c r="E10" s="1417"/>
      <c r="F10" s="1384"/>
      <c r="G10" s="1384"/>
      <c r="H10" s="1384"/>
      <c r="I10" s="1417"/>
      <c r="J10" s="1417"/>
      <c r="K10" s="1417"/>
      <c r="L10" s="1417"/>
      <c r="M10" s="1417"/>
      <c r="N10" s="1417"/>
      <c r="O10" s="1417"/>
      <c r="P10" s="1417"/>
      <c r="Q10" s="1488"/>
    </row>
    <row r="11" spans="1:17" ht="39">
      <c r="A11" s="1375" t="s">
        <v>1134</v>
      </c>
      <c r="B11" s="1376" t="s">
        <v>1135</v>
      </c>
      <c r="C11" s="1417"/>
      <c r="D11" s="1419" t="s">
        <v>1172</v>
      </c>
      <c r="E11" s="1383" t="s">
        <v>1007</v>
      </c>
      <c r="F11" s="1385" t="s">
        <v>1137</v>
      </c>
      <c r="G11" s="1385"/>
      <c r="H11" s="1385" t="s">
        <v>1138</v>
      </c>
      <c r="I11" s="1386"/>
      <c r="J11" s="1385" t="s">
        <v>1139</v>
      </c>
      <c r="K11" s="1376"/>
      <c r="L11" s="1385" t="s">
        <v>1140</v>
      </c>
      <c r="M11" s="1385" t="s">
        <v>1141</v>
      </c>
      <c r="N11" s="1385" t="s">
        <v>1142</v>
      </c>
      <c r="O11" s="1417"/>
      <c r="P11" s="1417"/>
      <c r="Q11" s="1417"/>
    </row>
    <row r="12" spans="1:17" ht="15.75">
      <c r="A12" s="1417"/>
      <c r="B12" s="1417"/>
      <c r="C12" s="1417"/>
      <c r="D12" s="1419"/>
      <c r="E12" s="1383"/>
      <c r="F12" s="1385"/>
      <c r="G12" s="1385"/>
      <c r="H12" s="1385"/>
      <c r="I12" s="1386"/>
      <c r="J12" s="1385"/>
      <c r="K12" s="1376"/>
      <c r="L12" s="1385"/>
      <c r="M12" s="1417"/>
      <c r="N12" s="1384"/>
      <c r="O12" s="1417"/>
      <c r="P12" s="1417"/>
      <c r="Q12" s="1417"/>
    </row>
    <row r="13" spans="1:17" ht="15.75">
      <c r="A13" s="1387" t="s">
        <v>1143</v>
      </c>
      <c r="B13" s="1417"/>
      <c r="C13" s="1417"/>
      <c r="D13" s="1419"/>
      <c r="E13" s="1383"/>
      <c r="F13" s="1385"/>
      <c r="G13" s="1385"/>
      <c r="H13" s="1385"/>
      <c r="I13" s="1386"/>
      <c r="J13" s="1385"/>
      <c r="K13" s="1376"/>
      <c r="L13" s="1385"/>
      <c r="M13" s="1417"/>
      <c r="N13" s="1384"/>
      <c r="O13" s="1417"/>
      <c r="P13" s="1417"/>
      <c r="Q13" s="1417"/>
    </row>
    <row r="14" spans="1:17" ht="15">
      <c r="A14" s="1417"/>
      <c r="B14" s="1417"/>
      <c r="C14" s="1417"/>
      <c r="D14" s="1420"/>
      <c r="E14" s="1379"/>
      <c r="F14" s="1388"/>
      <c r="G14" s="1388"/>
      <c r="H14" s="1388"/>
      <c r="I14" s="1388"/>
      <c r="J14" s="1388"/>
      <c r="K14" s="1388"/>
      <c r="L14" s="1388"/>
      <c r="M14" s="1379"/>
      <c r="N14" s="1379"/>
      <c r="O14" s="1417"/>
      <c r="P14" s="1417"/>
      <c r="Q14" s="1417"/>
    </row>
    <row r="15" spans="1:17" ht="15">
      <c r="A15" s="1389">
        <v>1</v>
      </c>
      <c r="B15" s="1390" t="s">
        <v>1173</v>
      </c>
      <c r="C15" s="1417"/>
      <c r="D15" s="1391">
        <v>-744125741</v>
      </c>
      <c r="E15" s="1379" t="s">
        <v>1174</v>
      </c>
      <c r="F15" s="1376"/>
      <c r="G15" s="1376"/>
      <c r="H15" s="1376"/>
      <c r="I15" s="1376"/>
      <c r="J15" s="1376"/>
      <c r="K15" s="1376"/>
      <c r="L15" s="1376"/>
      <c r="M15" s="1417"/>
      <c r="N15" s="1379"/>
      <c r="O15" s="1417"/>
      <c r="P15" s="1417"/>
      <c r="Q15" s="1417"/>
    </row>
    <row r="16" spans="1:17" ht="15.75">
      <c r="A16" s="1389">
        <v>2</v>
      </c>
      <c r="B16" s="1390"/>
      <c r="C16" s="1417"/>
      <c r="D16" s="1421">
        <v>0.43256499999999998</v>
      </c>
      <c r="E16" s="1379" t="s">
        <v>1175</v>
      </c>
      <c r="F16" s="1386"/>
      <c r="G16" s="1386"/>
      <c r="H16" s="1393"/>
      <c r="I16" s="1386"/>
      <c r="J16" s="1386"/>
      <c r="K16" s="1386"/>
      <c r="L16" s="1386"/>
      <c r="M16" s="1379"/>
      <c r="N16" s="1379"/>
      <c r="O16" s="1417"/>
      <c r="P16" s="1417"/>
      <c r="Q16" s="1417"/>
    </row>
    <row r="17" spans="1:16" ht="15.75">
      <c r="A17" s="1389">
        <v>3</v>
      </c>
      <c r="B17" s="1390"/>
      <c r="C17" s="1417"/>
      <c r="D17" s="1422">
        <v>6.5000000000000002E-2</v>
      </c>
      <c r="E17" s="1379" t="s">
        <v>1176</v>
      </c>
      <c r="F17" s="1386"/>
      <c r="G17" s="1386"/>
      <c r="H17" s="1393"/>
      <c r="I17" s="1386"/>
      <c r="J17" s="1386"/>
      <c r="K17" s="1386"/>
      <c r="L17" s="1386"/>
      <c r="M17" s="1379"/>
      <c r="N17" s="1379"/>
      <c r="O17" s="1417"/>
      <c r="P17" s="1417"/>
    </row>
    <row r="18" spans="1:16" ht="15.75">
      <c r="A18" s="1389">
        <v>4</v>
      </c>
      <c r="B18" s="1390"/>
      <c r="C18" s="1417"/>
      <c r="D18" s="1423">
        <v>-20922378.825118225</v>
      </c>
      <c r="E18" s="1376" t="s">
        <v>1177</v>
      </c>
      <c r="F18" s="1386"/>
      <c r="G18" s="1386"/>
      <c r="H18" s="1393"/>
      <c r="I18" s="1386"/>
      <c r="J18" s="1386"/>
      <c r="K18" s="1386"/>
      <c r="L18" s="1386"/>
      <c r="M18" s="1379"/>
      <c r="N18" s="1379"/>
      <c r="O18" s="1417"/>
      <c r="P18" s="1417"/>
    </row>
    <row r="19" spans="1:16" ht="15.75">
      <c r="A19" s="1389">
        <v>5</v>
      </c>
      <c r="B19" s="1390"/>
      <c r="C19" s="1417"/>
      <c r="D19" s="1423"/>
      <c r="E19" s="1417"/>
      <c r="F19" s="1386"/>
      <c r="G19" s="1386"/>
      <c r="H19" s="1393"/>
      <c r="I19" s="1386"/>
      <c r="J19" s="1386"/>
      <c r="K19" s="1386"/>
      <c r="L19" s="1386"/>
      <c r="M19" s="1379"/>
      <c r="N19" s="1379"/>
      <c r="O19" s="1417"/>
      <c r="P19" s="1417"/>
    </row>
    <row r="20" spans="1:16" ht="15.75">
      <c r="A20" s="1389">
        <v>6</v>
      </c>
      <c r="B20" s="1390"/>
      <c r="C20" s="1417"/>
      <c r="D20" s="1423">
        <v>-744125741</v>
      </c>
      <c r="E20" s="1379" t="s">
        <v>1174</v>
      </c>
      <c r="F20" s="1386"/>
      <c r="G20" s="1386"/>
      <c r="H20" s="1393"/>
      <c r="I20" s="1386"/>
      <c r="J20" s="1386"/>
      <c r="K20" s="1386"/>
      <c r="L20" s="1386"/>
      <c r="M20" s="1379"/>
      <c r="N20" s="1379"/>
      <c r="O20" s="1417"/>
      <c r="P20" s="1417"/>
    </row>
    <row r="21" spans="1:16" ht="15.75">
      <c r="A21" s="1389">
        <v>7</v>
      </c>
      <c r="B21" s="1390"/>
      <c r="C21" s="1417"/>
      <c r="D21" s="1421">
        <v>0.52269500000000002</v>
      </c>
      <c r="E21" s="1379" t="s">
        <v>1178</v>
      </c>
      <c r="F21" s="1386"/>
      <c r="G21" s="1386"/>
      <c r="H21" s="1393"/>
      <c r="I21" s="1386"/>
      <c r="J21" s="1386"/>
      <c r="K21" s="1386"/>
      <c r="L21" s="1386"/>
      <c r="M21" s="1379"/>
      <c r="N21" s="1379"/>
      <c r="O21" s="1417"/>
      <c r="P21" s="1417"/>
    </row>
    <row r="22" spans="1:16" ht="15.75">
      <c r="A22" s="1389">
        <v>8</v>
      </c>
      <c r="B22" s="1390"/>
      <c r="C22" s="1417"/>
      <c r="D22" s="1422">
        <v>6.5000000000000002E-2</v>
      </c>
      <c r="E22" s="1379" t="s">
        <v>1176</v>
      </c>
      <c r="F22" s="1386"/>
      <c r="G22" s="1386"/>
      <c r="H22" s="1393"/>
      <c r="I22" s="1386"/>
      <c r="J22" s="1386"/>
      <c r="K22" s="1386"/>
      <c r="L22" s="1386"/>
      <c r="M22" s="1379"/>
      <c r="N22" s="1379"/>
      <c r="O22" s="1417"/>
      <c r="P22" s="1417"/>
    </row>
    <row r="23" spans="1:16" ht="15.75">
      <c r="A23" s="1389">
        <v>9</v>
      </c>
      <c r="B23" s="1390"/>
      <c r="C23" s="1417"/>
      <c r="D23" s="1423">
        <v>-25281802.272479676</v>
      </c>
      <c r="E23" s="1376" t="s">
        <v>1179</v>
      </c>
      <c r="F23" s="1386"/>
      <c r="G23" s="1386"/>
      <c r="H23" s="1393"/>
      <c r="I23" s="1386"/>
      <c r="J23" s="1386"/>
      <c r="K23" s="1386"/>
      <c r="L23" s="1386"/>
      <c r="M23" s="1379"/>
      <c r="N23" s="1379"/>
      <c r="O23" s="1417"/>
      <c r="P23" s="1417"/>
    </row>
    <row r="24" spans="1:16" ht="15">
      <c r="A24" s="1389">
        <v>10</v>
      </c>
      <c r="B24" s="1390"/>
      <c r="C24" s="1417"/>
      <c r="D24" s="1424"/>
      <c r="E24" s="1417"/>
      <c r="F24" s="1388"/>
      <c r="G24" s="1388"/>
      <c r="H24" s="1394"/>
      <c r="I24" s="1395"/>
      <c r="J24" s="1388"/>
      <c r="K24" s="1388"/>
      <c r="L24" s="1388"/>
      <c r="M24" s="1379"/>
      <c r="N24" s="1379">
        <v>0</v>
      </c>
      <c r="O24" s="1417"/>
      <c r="P24" s="1417"/>
    </row>
    <row r="25" spans="1:16" ht="15">
      <c r="A25" s="1389">
        <v>11</v>
      </c>
      <c r="B25" s="1390"/>
      <c r="C25" s="1417"/>
      <c r="D25" s="1425">
        <v>4359423.4473614506</v>
      </c>
      <c r="E25" s="1376" t="s">
        <v>1180</v>
      </c>
      <c r="F25" s="1426">
        <v>4359423.4473614506</v>
      </c>
      <c r="G25" s="1396"/>
      <c r="H25" s="1394">
        <v>-0.17243325457484768</v>
      </c>
      <c r="I25" s="1395"/>
      <c r="J25" s="1388">
        <v>0</v>
      </c>
      <c r="K25" s="1388"/>
      <c r="L25" s="1388">
        <v>4359423.4473614506</v>
      </c>
      <c r="M25" s="1379" t="s">
        <v>1025</v>
      </c>
      <c r="N25" s="1379">
        <v>-20922378.825118225</v>
      </c>
      <c r="O25" s="1417"/>
      <c r="P25" s="1417"/>
    </row>
    <row r="26" spans="1:16" ht="15">
      <c r="A26" s="1389">
        <v>12</v>
      </c>
      <c r="B26" s="1390"/>
      <c r="C26" s="1417"/>
      <c r="D26" s="1424"/>
      <c r="E26" s="1376" t="s">
        <v>1181</v>
      </c>
      <c r="F26" s="1388">
        <v>-915478.92394590459</v>
      </c>
      <c r="G26" s="1388"/>
      <c r="H26" s="1394"/>
      <c r="I26" s="1427"/>
      <c r="J26" s="1388">
        <v>0</v>
      </c>
      <c r="K26" s="1388"/>
      <c r="L26" s="1388">
        <v>-915478.92394590459</v>
      </c>
      <c r="M26" s="1379" t="s">
        <v>1025</v>
      </c>
      <c r="N26" s="1379">
        <v>0</v>
      </c>
      <c r="O26" s="1417"/>
      <c r="P26" s="1417"/>
    </row>
    <row r="27" spans="1:16" ht="15">
      <c r="A27" s="1389">
        <v>13</v>
      </c>
      <c r="B27" s="1390"/>
      <c r="C27" s="1417"/>
      <c r="D27" s="1420"/>
      <c r="E27" s="1417"/>
      <c r="F27" s="1388"/>
      <c r="G27" s="1388"/>
      <c r="H27" s="1394"/>
      <c r="I27" s="1401"/>
      <c r="J27" s="1388"/>
      <c r="K27" s="1388"/>
      <c r="L27" s="1388"/>
      <c r="M27" s="1379"/>
      <c r="N27" s="1379"/>
      <c r="O27" s="1417"/>
      <c r="P27" s="1417"/>
    </row>
    <row r="28" spans="1:16" ht="15">
      <c r="A28" s="1389">
        <v>14</v>
      </c>
      <c r="B28" s="1417"/>
      <c r="C28" s="1417"/>
      <c r="D28" s="1417"/>
      <c r="E28" s="1379"/>
      <c r="F28" s="1388"/>
      <c r="G28" s="1388"/>
      <c r="H28" s="1397"/>
      <c r="I28" s="1402"/>
      <c r="J28" s="1388"/>
      <c r="K28" s="1388"/>
      <c r="L28" s="1388"/>
      <c r="M28" s="1379"/>
      <c r="N28" s="1379"/>
      <c r="O28" s="1417"/>
      <c r="P28" s="1417"/>
    </row>
    <row r="29" spans="1:16" ht="15">
      <c r="A29" s="1389">
        <v>15</v>
      </c>
      <c r="B29" s="1376" t="s">
        <v>118</v>
      </c>
      <c r="C29" s="1417"/>
      <c r="D29" s="1428">
        <v>-25281802.272479676</v>
      </c>
      <c r="E29" s="1379" t="s">
        <v>1182</v>
      </c>
      <c r="F29" s="1404">
        <v>3443944.5234155459</v>
      </c>
      <c r="G29" s="1405"/>
      <c r="H29" s="1406"/>
      <c r="I29" s="1376"/>
      <c r="J29" s="1404">
        <v>0</v>
      </c>
      <c r="K29" s="1388"/>
      <c r="L29" s="1404">
        <v>3443944.5234155459</v>
      </c>
      <c r="M29" s="1379"/>
      <c r="N29" s="1404">
        <v>-20922378.825118225</v>
      </c>
      <c r="O29" s="1417"/>
      <c r="P29" s="1417"/>
    </row>
    <row r="30" spans="1:16" ht="15">
      <c r="A30" s="1389"/>
      <c r="B30" s="1417"/>
      <c r="C30" s="1417"/>
      <c r="D30" s="1420"/>
      <c r="E30" s="1407"/>
      <c r="F30" s="1396"/>
      <c r="G30" s="1396"/>
      <c r="H30" s="1394"/>
      <c r="I30" s="1388"/>
      <c r="J30" s="1388"/>
      <c r="K30" s="1388"/>
      <c r="L30" s="1388"/>
      <c r="M30" s="1379"/>
      <c r="N30" s="1379"/>
      <c r="O30" s="1417"/>
      <c r="P30" s="1417"/>
    </row>
    <row r="31" spans="1:16" ht="15">
      <c r="A31" s="1408" t="s">
        <v>1159</v>
      </c>
      <c r="B31" s="1417"/>
      <c r="C31" s="1417"/>
      <c r="D31" s="1420"/>
      <c r="E31" s="1379"/>
      <c r="F31" s="1396"/>
      <c r="G31" s="1396"/>
      <c r="H31" s="1394"/>
      <c r="I31" s="1396"/>
      <c r="J31" s="1388"/>
      <c r="K31" s="1388"/>
      <c r="L31" s="1388"/>
      <c r="M31" s="1379"/>
      <c r="N31" s="1379"/>
      <c r="O31" s="1417"/>
      <c r="P31" s="1379"/>
    </row>
    <row r="32" spans="1:16" ht="15.75">
      <c r="A32" s="1389"/>
      <c r="B32" s="1417"/>
      <c r="C32" s="1417"/>
      <c r="D32" s="1417"/>
      <c r="E32" s="1417"/>
      <c r="F32" s="1402"/>
      <c r="G32" s="1402"/>
      <c r="H32" s="1394"/>
      <c r="I32" s="1376"/>
      <c r="J32" s="1386"/>
      <c r="K32" s="1388"/>
      <c r="L32" s="1388"/>
      <c r="M32" s="1417"/>
      <c r="N32" s="1379"/>
      <c r="O32" s="1417"/>
      <c r="P32" s="1379"/>
    </row>
    <row r="33" spans="1:16" ht="15">
      <c r="A33" s="1389">
        <v>16</v>
      </c>
      <c r="B33" s="1390" t="s">
        <v>1173</v>
      </c>
      <c r="C33" s="1417"/>
      <c r="D33" s="1391">
        <v>-156132408</v>
      </c>
      <c r="E33" s="1379" t="s">
        <v>1174</v>
      </c>
      <c r="F33" s="1376"/>
      <c r="G33" s="1376"/>
      <c r="H33" s="1376"/>
      <c r="I33" s="1376"/>
      <c r="J33" s="1376"/>
      <c r="K33" s="1376"/>
      <c r="L33" s="1376"/>
      <c r="M33" s="1417"/>
      <c r="N33" s="1379"/>
      <c r="O33" s="1417"/>
      <c r="P33" s="1379"/>
    </row>
    <row r="34" spans="1:16" ht="15.75">
      <c r="A34" s="1389">
        <v>17</v>
      </c>
      <c r="B34" s="1417"/>
      <c r="C34" s="1417"/>
      <c r="D34" s="1421">
        <v>0.43256499999999998</v>
      </c>
      <c r="E34" s="1379" t="s">
        <v>1175</v>
      </c>
      <c r="F34" s="1386"/>
      <c r="G34" s="1386"/>
      <c r="H34" s="1393"/>
      <c r="I34" s="1386"/>
      <c r="J34" s="1386"/>
      <c r="K34" s="1386"/>
      <c r="L34" s="1386"/>
      <c r="M34" s="1379"/>
      <c r="N34" s="1379"/>
      <c r="O34" s="1417"/>
      <c r="P34" s="1379"/>
    </row>
    <row r="35" spans="1:16" ht="15.75">
      <c r="A35" s="1389">
        <v>18</v>
      </c>
      <c r="B35" s="1417"/>
      <c r="C35" s="1417"/>
      <c r="D35" s="1422">
        <v>6.5000000000000002E-2</v>
      </c>
      <c r="E35" s="1379" t="s">
        <v>1176</v>
      </c>
      <c r="F35" s="1386"/>
      <c r="G35" s="1386"/>
      <c r="H35" s="1393"/>
      <c r="I35" s="1386"/>
      <c r="J35" s="1386"/>
      <c r="K35" s="1386"/>
      <c r="L35" s="1386"/>
      <c r="M35" s="1379"/>
      <c r="N35" s="1379"/>
      <c r="O35" s="1417"/>
      <c r="P35" s="1379"/>
    </row>
    <row r="36" spans="1:16" ht="15.75">
      <c r="A36" s="1389">
        <v>19</v>
      </c>
      <c r="B36" s="1417"/>
      <c r="C36" s="1417"/>
      <c r="D36" s="1423">
        <v>-4389931.9793237997</v>
      </c>
      <c r="E36" s="1376" t="s">
        <v>1177</v>
      </c>
      <c r="F36" s="1386"/>
      <c r="G36" s="1386"/>
      <c r="H36" s="1393"/>
      <c r="I36" s="1386"/>
      <c r="J36" s="1386"/>
      <c r="K36" s="1386"/>
      <c r="L36" s="1386"/>
      <c r="M36" s="1379"/>
      <c r="N36" s="1379"/>
      <c r="O36" s="1417"/>
      <c r="P36" s="1379"/>
    </row>
    <row r="37" spans="1:16" ht="15.75">
      <c r="A37" s="1389">
        <v>20</v>
      </c>
      <c r="B37" s="1417"/>
      <c r="C37" s="1417"/>
      <c r="D37" s="1423"/>
      <c r="E37" s="1417"/>
      <c r="F37" s="1386"/>
      <c r="G37" s="1386"/>
      <c r="H37" s="1393"/>
      <c r="I37" s="1386"/>
      <c r="J37" s="1386"/>
      <c r="K37" s="1386"/>
      <c r="L37" s="1386"/>
      <c r="M37" s="1379"/>
      <c r="N37" s="1379"/>
      <c r="O37" s="1417"/>
      <c r="P37" s="1379"/>
    </row>
    <row r="38" spans="1:16" ht="15.75">
      <c r="A38" s="1389">
        <v>21</v>
      </c>
      <c r="B38" s="1417"/>
      <c r="C38" s="1417"/>
      <c r="D38" s="1423">
        <v>-156132408</v>
      </c>
      <c r="E38" s="1379" t="s">
        <v>1174</v>
      </c>
      <c r="F38" s="1386"/>
      <c r="G38" s="1386"/>
      <c r="H38" s="1393"/>
      <c r="I38" s="1386"/>
      <c r="J38" s="1386"/>
      <c r="K38" s="1386"/>
      <c r="L38" s="1386"/>
      <c r="M38" s="1379"/>
      <c r="N38" s="1379"/>
      <c r="O38" s="1417"/>
      <c r="P38" s="1379"/>
    </row>
    <row r="39" spans="1:16" ht="15.75">
      <c r="A39" s="1389">
        <v>22</v>
      </c>
      <c r="B39" s="1417"/>
      <c r="C39" s="1417"/>
      <c r="D39" s="1421">
        <v>0.52269500000000002</v>
      </c>
      <c r="E39" s="1379" t="s">
        <v>1178</v>
      </c>
      <c r="F39" s="1386"/>
      <c r="G39" s="1386"/>
      <c r="H39" s="1393"/>
      <c r="I39" s="1386"/>
      <c r="J39" s="1386"/>
      <c r="K39" s="1386"/>
      <c r="L39" s="1386"/>
      <c r="M39" s="1379"/>
      <c r="N39" s="1379"/>
      <c r="O39" s="1417"/>
      <c r="P39" s="1379"/>
    </row>
    <row r="40" spans="1:16" ht="15.75">
      <c r="A40" s="1389">
        <v>23</v>
      </c>
      <c r="B40" s="1390"/>
      <c r="C40" s="1417"/>
      <c r="D40" s="1422">
        <v>6.5000000000000002E-2</v>
      </c>
      <c r="E40" s="1379" t="s">
        <v>1176</v>
      </c>
      <c r="F40" s="1386"/>
      <c r="G40" s="1386"/>
      <c r="H40" s="1393"/>
      <c r="I40" s="1386"/>
      <c r="J40" s="1386"/>
      <c r="K40" s="1386"/>
      <c r="L40" s="1386"/>
      <c r="M40" s="1379"/>
      <c r="N40" s="1379"/>
      <c r="O40" s="1417"/>
      <c r="P40" s="1379"/>
    </row>
    <row r="41" spans="1:16" ht="15.75">
      <c r="A41" s="1389">
        <v>24</v>
      </c>
      <c r="B41" s="1390"/>
      <c r="C41" s="1417"/>
      <c r="D41" s="1423">
        <v>-5304625.8849713998</v>
      </c>
      <c r="E41" s="1376" t="s">
        <v>1179</v>
      </c>
      <c r="F41" s="1386"/>
      <c r="G41" s="1386"/>
      <c r="H41" s="1393"/>
      <c r="I41" s="1386"/>
      <c r="J41" s="1386"/>
      <c r="K41" s="1386"/>
      <c r="L41" s="1386"/>
      <c r="M41" s="1379"/>
      <c r="N41" s="1379"/>
      <c r="O41" s="1376"/>
      <c r="P41" s="1379"/>
    </row>
    <row r="42" spans="1:16" ht="15">
      <c r="A42" s="1389">
        <v>25</v>
      </c>
      <c r="B42" s="1390"/>
      <c r="C42" s="1417"/>
      <c r="D42" s="1424"/>
      <c r="E42" s="1417"/>
      <c r="F42" s="1388"/>
      <c r="G42" s="1388"/>
      <c r="H42" s="1394"/>
      <c r="I42" s="1395"/>
      <c r="J42" s="1388"/>
      <c r="K42" s="1388"/>
      <c r="L42" s="1388"/>
      <c r="M42" s="1379"/>
      <c r="N42" s="1379">
        <v>0</v>
      </c>
      <c r="O42" s="1376"/>
      <c r="P42" s="1409"/>
    </row>
    <row r="43" spans="1:16" ht="15">
      <c r="A43" s="1389">
        <v>26</v>
      </c>
      <c r="B43" s="1390"/>
      <c r="C43" s="1417"/>
      <c r="D43" s="1425">
        <v>914693.90564760007</v>
      </c>
      <c r="E43" s="1376" t="s">
        <v>1183</v>
      </c>
      <c r="F43" s="1426">
        <v>914693.90564760007</v>
      </c>
      <c r="G43" s="1396"/>
      <c r="H43" s="1394">
        <v>-0.17243325457484768</v>
      </c>
      <c r="I43" s="1395"/>
      <c r="J43" s="1388">
        <v>0</v>
      </c>
      <c r="K43" s="1388"/>
      <c r="L43" s="1388">
        <v>914693.90564760007</v>
      </c>
      <c r="M43" s="1379" t="s">
        <v>1025</v>
      </c>
      <c r="N43" s="1379">
        <v>-4389931.9793237997</v>
      </c>
      <c r="O43" s="1376"/>
      <c r="P43" s="1409"/>
    </row>
    <row r="44" spans="1:16" ht="15">
      <c r="A44" s="1389">
        <v>27</v>
      </c>
      <c r="B44" s="1390"/>
      <c r="C44" s="1417"/>
      <c r="D44" s="1424"/>
      <c r="E44" s="1376" t="s">
        <v>1181</v>
      </c>
      <c r="F44" s="1388">
        <v>-192085.720185996</v>
      </c>
      <c r="G44" s="1388"/>
      <c r="H44" s="1394"/>
      <c r="I44" s="1427"/>
      <c r="J44" s="1388">
        <v>0</v>
      </c>
      <c r="K44" s="1388"/>
      <c r="L44" s="1388">
        <v>-192085.720185996</v>
      </c>
      <c r="M44" s="1379" t="s">
        <v>1025</v>
      </c>
      <c r="N44" s="1379">
        <v>0</v>
      </c>
      <c r="O44" s="1376"/>
      <c r="P44" s="1379"/>
    </row>
    <row r="45" spans="1:16" ht="15">
      <c r="A45" s="1389">
        <v>28</v>
      </c>
      <c r="B45" s="1390"/>
      <c r="C45" s="1417"/>
      <c r="D45" s="1429"/>
      <c r="E45" s="1390"/>
      <c r="F45" s="1388"/>
      <c r="G45" s="1388"/>
      <c r="H45" s="1394"/>
      <c r="I45" s="1396"/>
      <c r="J45" s="1388"/>
      <c r="K45" s="1388"/>
      <c r="L45" s="1388"/>
      <c r="M45" s="1417"/>
      <c r="N45" s="1379"/>
      <c r="O45" s="1376"/>
      <c r="P45" s="1379"/>
    </row>
    <row r="46" spans="1:16" ht="15">
      <c r="A46" s="1389">
        <v>29</v>
      </c>
      <c r="B46" s="1417"/>
      <c r="C46" s="1417"/>
      <c r="D46" s="1429"/>
      <c r="E46" s="1379"/>
      <c r="F46" s="1396"/>
      <c r="G46" s="1396"/>
      <c r="H46" s="1394"/>
      <c r="I46" s="1396"/>
      <c r="J46" s="1388"/>
      <c r="K46" s="1388"/>
      <c r="L46" s="1388"/>
      <c r="M46" s="1417"/>
      <c r="N46" s="1379"/>
      <c r="O46" s="1376"/>
      <c r="P46" s="1379"/>
    </row>
    <row r="47" spans="1:16" ht="15">
      <c r="A47" s="1389">
        <v>30</v>
      </c>
      <c r="B47" s="1376" t="s">
        <v>118</v>
      </c>
      <c r="C47" s="1417"/>
      <c r="D47" s="1428">
        <v>-5304625.8849713998</v>
      </c>
      <c r="E47" s="1379" t="s">
        <v>1184</v>
      </c>
      <c r="F47" s="1404">
        <v>722608.18546160404</v>
      </c>
      <c r="G47" s="1405"/>
      <c r="H47" s="1413"/>
      <c r="I47" s="1376"/>
      <c r="J47" s="1404">
        <v>0</v>
      </c>
      <c r="K47" s="1388"/>
      <c r="L47" s="1404">
        <v>722608.18546160404</v>
      </c>
      <c r="M47" s="1417"/>
      <c r="N47" s="1404">
        <v>-4389931.9793237997</v>
      </c>
      <c r="O47" s="1376"/>
      <c r="P47" s="1379"/>
    </row>
    <row r="48" spans="1:16" ht="15">
      <c r="A48" s="1389"/>
      <c r="B48" s="1417"/>
      <c r="C48" s="1417"/>
      <c r="D48" s="1429"/>
      <c r="E48" s="1379"/>
      <c r="F48" s="1405"/>
      <c r="G48" s="1405"/>
      <c r="H48" s="1413"/>
      <c r="I48" s="1376"/>
      <c r="J48" s="1405"/>
      <c r="K48" s="1388"/>
      <c r="L48" s="1405"/>
      <c r="M48" s="1417"/>
      <c r="N48" s="1379"/>
      <c r="O48" s="1376"/>
      <c r="P48" s="1379"/>
    </row>
    <row r="49" spans="1:16" ht="15">
      <c r="A49" s="1389"/>
      <c r="B49" s="1417"/>
      <c r="C49" s="1417"/>
      <c r="D49" s="1429"/>
      <c r="E49" s="1379"/>
      <c r="F49" s="1405"/>
      <c r="G49" s="1405"/>
      <c r="H49" s="1413"/>
      <c r="I49" s="1376"/>
      <c r="J49" s="1405"/>
      <c r="K49" s="1388"/>
      <c r="L49" s="1405"/>
      <c r="M49" s="1417"/>
      <c r="N49" s="1379"/>
      <c r="O49" s="1376"/>
      <c r="P49" s="1379"/>
    </row>
    <row r="50" spans="1:16" ht="15">
      <c r="A50" s="1485" t="s">
        <v>1161</v>
      </c>
      <c r="B50" s="1485"/>
      <c r="C50" s="1485"/>
      <c r="D50" s="1485"/>
      <c r="E50" s="1485"/>
      <c r="F50" s="1485"/>
      <c r="G50" s="1485"/>
      <c r="H50" s="1485"/>
      <c r="I50" s="1376"/>
      <c r="J50" s="1376"/>
      <c r="K50" s="1376"/>
      <c r="L50" s="1376"/>
      <c r="M50" s="1417"/>
      <c r="N50" s="1379"/>
      <c r="O50" s="1376"/>
      <c r="P50" s="1379"/>
    </row>
    <row r="51" spans="1:16" ht="15">
      <c r="A51" s="1485"/>
      <c r="B51" s="1485"/>
      <c r="C51" s="1485"/>
      <c r="D51" s="1485"/>
      <c r="E51" s="1485"/>
      <c r="F51" s="1485"/>
      <c r="G51" s="1485"/>
      <c r="H51" s="1485"/>
      <c r="I51" s="1376"/>
      <c r="J51" s="1376"/>
      <c r="K51" s="1376"/>
      <c r="L51" s="1376"/>
      <c r="M51" s="1417"/>
      <c r="N51" s="1379"/>
      <c r="O51" s="1376"/>
      <c r="P51" s="1379"/>
    </row>
    <row r="52" spans="1:16" ht="15">
      <c r="A52" s="1485"/>
      <c r="B52" s="1485"/>
      <c r="C52" s="1485"/>
      <c r="D52" s="1485"/>
      <c r="E52" s="1485"/>
      <c r="F52" s="1485"/>
      <c r="G52" s="1485"/>
      <c r="H52" s="1485"/>
      <c r="I52" s="1376"/>
      <c r="J52" s="1376"/>
      <c r="K52" s="1376"/>
      <c r="L52" s="1376"/>
      <c r="M52" s="1417"/>
      <c r="N52" s="1379"/>
      <c r="O52" s="1376"/>
      <c r="P52" s="1379"/>
    </row>
    <row r="53" spans="1:16" ht="15">
      <c r="A53" s="1485"/>
      <c r="B53" s="1485"/>
      <c r="C53" s="1485"/>
      <c r="D53" s="1485"/>
      <c r="E53" s="1485"/>
      <c r="F53" s="1485"/>
      <c r="G53" s="1485"/>
      <c r="H53" s="1485"/>
      <c r="I53" s="1376"/>
      <c r="J53" s="1376"/>
      <c r="K53" s="1376"/>
      <c r="L53" s="1376"/>
      <c r="M53" s="1417"/>
      <c r="N53" s="1379"/>
      <c r="O53" s="1376"/>
      <c r="P53" s="1379"/>
    </row>
    <row r="54" spans="1:16" ht="15">
      <c r="A54" s="1389"/>
      <c r="B54" s="1417"/>
      <c r="C54" s="1417"/>
      <c r="D54" s="1417"/>
      <c r="E54" s="1417"/>
      <c r="F54" s="1376"/>
      <c r="G54" s="1376"/>
      <c r="H54" s="1376"/>
      <c r="I54" s="1376"/>
      <c r="J54" s="1376"/>
      <c r="K54" s="1376"/>
      <c r="L54" s="1376"/>
      <c r="M54" s="1417"/>
      <c r="N54" s="1379"/>
      <c r="O54" s="1376"/>
      <c r="P54" s="1379"/>
    </row>
    <row r="55" spans="1:16" ht="15">
      <c r="A55" s="1375" t="s">
        <v>1162</v>
      </c>
      <c r="B55" s="1485" t="s">
        <v>1163</v>
      </c>
      <c r="C55" s="1485"/>
      <c r="D55" s="1485"/>
      <c r="E55" s="1485"/>
      <c r="F55" s="1485"/>
      <c r="G55" s="1485"/>
      <c r="H55" s="1485"/>
      <c r="I55" s="1376"/>
      <c r="J55" s="1376"/>
      <c r="K55" s="1376"/>
      <c r="L55" s="1376"/>
      <c r="M55" s="1417"/>
      <c r="N55" s="1379"/>
      <c r="O55" s="1376"/>
      <c r="P55" s="1379"/>
    </row>
    <row r="56" spans="1:16" ht="15">
      <c r="A56" s="1417"/>
      <c r="B56" s="1485"/>
      <c r="C56" s="1485"/>
      <c r="D56" s="1485"/>
      <c r="E56" s="1485"/>
      <c r="F56" s="1485"/>
      <c r="G56" s="1485"/>
      <c r="H56" s="1485"/>
      <c r="I56" s="1376"/>
      <c r="J56" s="1376"/>
      <c r="K56" s="1376"/>
      <c r="L56" s="1376"/>
      <c r="M56" s="1417"/>
      <c r="N56" s="1379"/>
      <c r="O56" s="1376"/>
      <c r="P56" s="1379"/>
    </row>
    <row r="57" spans="1:16" ht="15">
      <c r="A57" s="1417"/>
      <c r="B57" s="1485"/>
      <c r="C57" s="1485"/>
      <c r="D57" s="1485"/>
      <c r="E57" s="1485"/>
      <c r="F57" s="1485"/>
      <c r="G57" s="1485"/>
      <c r="H57" s="1485"/>
      <c r="I57" s="1376"/>
      <c r="J57" s="1376"/>
      <c r="K57" s="1376"/>
      <c r="L57" s="1376"/>
      <c r="M57" s="1417"/>
      <c r="N57" s="1379"/>
      <c r="O57" s="1376"/>
      <c r="P57" s="1379"/>
    </row>
    <row r="58" spans="1:16" ht="15.75">
      <c r="A58" s="1376"/>
      <c r="B58" s="1417"/>
      <c r="C58" s="1417"/>
      <c r="D58" s="1417"/>
      <c r="E58" s="1417"/>
      <c r="F58" s="1417"/>
      <c r="G58" s="1417"/>
      <c r="H58" s="1417"/>
      <c r="I58" s="1386"/>
      <c r="J58" s="1379"/>
      <c r="K58" s="1379"/>
      <c r="L58" s="1379"/>
      <c r="M58" s="1379"/>
      <c r="N58" s="1379"/>
      <c r="O58" s="1417"/>
      <c r="P58" s="1417"/>
    </row>
    <row r="59" spans="1:16" ht="15">
      <c r="A59" s="1375" t="s">
        <v>1164</v>
      </c>
      <c r="B59" s="1485" t="s">
        <v>1185</v>
      </c>
      <c r="C59" s="1485"/>
      <c r="D59" s="1485"/>
      <c r="E59" s="1485"/>
      <c r="F59" s="1485"/>
      <c r="G59" s="1485"/>
      <c r="H59" s="1485"/>
      <c r="I59" s="1417"/>
      <c r="J59" s="1379"/>
      <c r="K59" s="1379"/>
      <c r="L59" s="1379"/>
      <c r="M59" s="1379"/>
      <c r="N59" s="1379"/>
      <c r="O59" s="1417"/>
      <c r="P59" s="1417"/>
    </row>
    <row r="60" spans="1:16" ht="15">
      <c r="A60" s="1417"/>
      <c r="B60" s="1485"/>
      <c r="C60" s="1485"/>
      <c r="D60" s="1485"/>
      <c r="E60" s="1485"/>
      <c r="F60" s="1485"/>
      <c r="G60" s="1485"/>
      <c r="H60" s="1485"/>
      <c r="I60" s="1417"/>
      <c r="J60" s="1379"/>
      <c r="K60" s="1379"/>
      <c r="L60" s="1379"/>
      <c r="M60" s="1379"/>
      <c r="N60" s="1379"/>
      <c r="O60" s="1417"/>
      <c r="P60" s="1417"/>
    </row>
    <row r="61" spans="1:16" ht="15">
      <c r="A61" s="1376"/>
      <c r="B61" s="1417"/>
      <c r="C61" s="1417"/>
      <c r="D61" s="1417"/>
      <c r="E61" s="1417"/>
      <c r="F61" s="1417"/>
      <c r="G61" s="1417"/>
      <c r="H61" s="1417"/>
      <c r="I61" s="1417"/>
      <c r="J61" s="1379"/>
      <c r="K61" s="1379"/>
      <c r="L61" s="1379"/>
      <c r="M61" s="1379"/>
      <c r="N61" s="1379"/>
      <c r="O61" s="1417"/>
      <c r="P61" s="1417"/>
    </row>
    <row r="62" spans="1:16" ht="15">
      <c r="A62" s="1375" t="s">
        <v>1166</v>
      </c>
      <c r="B62" s="1490" t="s">
        <v>1186</v>
      </c>
      <c r="C62" s="1490"/>
      <c r="D62" s="1490"/>
      <c r="E62" s="1490"/>
      <c r="F62" s="1490"/>
      <c r="G62" s="1490"/>
      <c r="H62" s="1490"/>
      <c r="I62" s="1490"/>
      <c r="J62" s="1379"/>
      <c r="K62" s="1379"/>
      <c r="L62" s="1379"/>
      <c r="M62" s="1379"/>
      <c r="N62" s="1379"/>
      <c r="O62" s="1417"/>
      <c r="P62" s="1417"/>
    </row>
    <row r="63" spans="1:16" ht="15.75">
      <c r="A63" s="1414"/>
      <c r="B63" s="1490"/>
      <c r="C63" s="1490"/>
      <c r="D63" s="1490"/>
      <c r="E63" s="1490"/>
      <c r="F63" s="1490"/>
      <c r="G63" s="1490"/>
      <c r="H63" s="1490"/>
      <c r="I63" s="1490"/>
      <c r="J63" s="1379"/>
      <c r="K63" s="1379"/>
      <c r="L63" s="1379"/>
      <c r="M63" s="1379"/>
      <c r="N63" s="1379"/>
      <c r="O63" s="1417"/>
      <c r="P63" s="1417"/>
    </row>
    <row r="64" spans="1:16" ht="15">
      <c r="A64" s="1376"/>
      <c r="B64" s="1417"/>
      <c r="C64" s="1417"/>
      <c r="D64" s="1417"/>
      <c r="E64" s="1417"/>
      <c r="F64" s="1417"/>
      <c r="G64" s="1417"/>
      <c r="H64" s="1417"/>
      <c r="I64" s="1417"/>
      <c r="J64" s="1379"/>
      <c r="K64" s="1379"/>
      <c r="L64" s="1379"/>
      <c r="M64" s="1379"/>
      <c r="N64" s="1379"/>
      <c r="O64" s="1417"/>
      <c r="P64" s="1417"/>
    </row>
    <row r="65" spans="1:16" ht="15">
      <c r="A65" s="1376" t="s">
        <v>1168</v>
      </c>
      <c r="B65" s="1486" t="s">
        <v>1187</v>
      </c>
      <c r="C65" s="1486"/>
      <c r="D65" s="1486"/>
      <c r="E65" s="1486"/>
      <c r="F65" s="1486"/>
      <c r="G65" s="1417"/>
      <c r="H65" s="1417"/>
      <c r="I65" s="1417"/>
      <c r="J65" s="1379"/>
      <c r="K65" s="1379"/>
      <c r="L65" s="1379"/>
      <c r="M65" s="1379"/>
      <c r="N65" s="1379"/>
      <c r="O65" s="1417"/>
      <c r="P65" s="1417"/>
    </row>
    <row r="66" spans="1:16" ht="15">
      <c r="A66" s="1417"/>
      <c r="B66" s="1486"/>
      <c r="C66" s="1486"/>
      <c r="D66" s="1486"/>
      <c r="E66" s="1486"/>
      <c r="F66" s="1486"/>
      <c r="G66" s="1417"/>
      <c r="H66" s="1417"/>
      <c r="I66" s="1417"/>
      <c r="J66" s="1379"/>
      <c r="K66" s="1379"/>
      <c r="L66" s="1379"/>
      <c r="M66" s="1379"/>
      <c r="N66" s="1379"/>
      <c r="O66" s="1417"/>
      <c r="P66" s="1417"/>
    </row>
    <row r="67" spans="1:16" ht="15">
      <c r="A67" s="1376"/>
      <c r="B67" s="1417"/>
      <c r="C67" s="1417"/>
      <c r="D67" s="1417"/>
      <c r="E67" s="1417"/>
      <c r="F67" s="1417"/>
      <c r="G67" s="1417"/>
      <c r="H67" s="1417"/>
      <c r="I67" s="1417"/>
      <c r="J67" s="1379"/>
      <c r="K67" s="1379"/>
      <c r="L67" s="1379"/>
      <c r="M67" s="1379"/>
      <c r="N67" s="1379"/>
      <c r="O67" s="1417"/>
      <c r="P67" s="1417"/>
    </row>
    <row r="68" spans="1:16" ht="15">
      <c r="A68" s="1376"/>
      <c r="B68" s="1417"/>
      <c r="C68" s="1417"/>
      <c r="D68" s="1417"/>
      <c r="E68" s="1417"/>
      <c r="F68" s="1417"/>
      <c r="G68" s="1417"/>
      <c r="H68" s="1417"/>
      <c r="I68" s="1417"/>
      <c r="J68" s="1379"/>
      <c r="K68" s="1379"/>
      <c r="L68" s="1379"/>
      <c r="M68" s="1379"/>
      <c r="N68" s="1379"/>
      <c r="O68" s="1417"/>
      <c r="P68" s="1417"/>
    </row>
    <row r="69" spans="1:16" ht="15">
      <c r="A69" s="1417"/>
      <c r="B69" s="1417"/>
      <c r="C69" s="1417"/>
      <c r="D69" s="1417"/>
      <c r="E69" s="1415"/>
      <c r="F69" s="1417"/>
      <c r="G69" s="1417"/>
      <c r="H69" s="1417"/>
      <c r="I69" s="1379"/>
      <c r="J69" s="1379"/>
      <c r="K69" s="1379"/>
      <c r="L69" s="1379"/>
      <c r="M69" s="1417"/>
      <c r="N69" s="1417"/>
      <c r="O69" s="1417"/>
      <c r="P69" s="1417"/>
    </row>
    <row r="70" spans="1:16" ht="15">
      <c r="A70" s="1417"/>
      <c r="B70" s="1417"/>
      <c r="C70" s="1417"/>
      <c r="D70" s="1417"/>
      <c r="E70" s="1417"/>
      <c r="F70" s="1417"/>
      <c r="G70" s="1416"/>
      <c r="H70" s="1416"/>
      <c r="I70" s="1379"/>
      <c r="J70" s="1379"/>
      <c r="K70" s="1379"/>
      <c r="L70" s="1379"/>
      <c r="M70" s="1417"/>
      <c r="N70" s="1417"/>
      <c r="O70" s="1417"/>
      <c r="P70" s="1417"/>
    </row>
    <row r="71" spans="1:16" ht="15">
      <c r="A71" s="1417"/>
      <c r="B71" s="1417"/>
      <c r="C71" s="1417"/>
      <c r="D71" s="1417"/>
      <c r="E71" s="1417"/>
      <c r="F71" s="1417"/>
      <c r="G71" s="1416"/>
      <c r="H71" s="1416"/>
      <c r="I71" s="1379"/>
      <c r="J71" s="1417"/>
      <c r="K71" s="1417"/>
      <c r="L71" s="1417"/>
      <c r="M71" s="1417"/>
      <c r="N71" s="1417"/>
      <c r="O71" s="1417"/>
      <c r="P71" s="1417"/>
    </row>
    <row r="72" spans="1:16" ht="15">
      <c r="A72" s="1417"/>
      <c r="B72" s="1417"/>
      <c r="C72" s="1417"/>
      <c r="D72" s="1417"/>
      <c r="E72" s="1417"/>
      <c r="F72" s="1417"/>
      <c r="G72" s="1417"/>
      <c r="H72" s="1417"/>
      <c r="I72" s="1417"/>
      <c r="J72" s="1417"/>
      <c r="K72" s="1417"/>
      <c r="L72" s="1417"/>
      <c r="M72" s="1417"/>
      <c r="N72" s="1417"/>
      <c r="O72" s="1417"/>
      <c r="P72" s="1417"/>
    </row>
    <row r="75" spans="1:16" ht="15.75">
      <c r="A75" s="1414"/>
      <c r="B75" s="1386"/>
      <c r="C75" s="1386"/>
      <c r="D75" s="1430"/>
      <c r="E75" s="1386"/>
      <c r="F75" s="1386"/>
      <c r="G75" s="1386"/>
      <c r="H75" s="1386"/>
      <c r="I75" s="1386"/>
      <c r="J75" s="1386"/>
      <c r="K75" s="1386"/>
      <c r="L75" s="1386"/>
      <c r="M75" s="1386"/>
      <c r="N75" s="1386"/>
      <c r="O75" s="1386"/>
      <c r="P75" s="1417"/>
    </row>
    <row r="76" spans="1:16" ht="15.75">
      <c r="A76" s="1414"/>
      <c r="B76" s="1386"/>
      <c r="C76" s="1386"/>
      <c r="D76" s="1430"/>
      <c r="E76" s="1386"/>
      <c r="F76" s="1386"/>
      <c r="G76" s="1386"/>
      <c r="H76" s="1386"/>
      <c r="I76" s="1386"/>
      <c r="J76" s="1386"/>
      <c r="K76" s="1386"/>
      <c r="L76" s="1386"/>
      <c r="M76" s="1386"/>
      <c r="N76" s="1386"/>
      <c r="O76" s="1386"/>
      <c r="P76" s="1417"/>
    </row>
    <row r="77" spans="1:16" ht="15.75">
      <c r="A77" s="1414"/>
      <c r="B77" s="1386"/>
      <c r="C77" s="1386"/>
      <c r="D77" s="1430"/>
      <c r="E77" s="1386"/>
      <c r="F77" s="1386"/>
      <c r="G77" s="1386"/>
      <c r="H77" s="1386"/>
      <c r="I77" s="1386"/>
      <c r="J77" s="1386"/>
      <c r="K77" s="1386"/>
      <c r="L77" s="1386"/>
      <c r="M77" s="1386"/>
      <c r="N77" s="1386"/>
      <c r="O77" s="1386"/>
      <c r="P77" s="1417"/>
    </row>
    <row r="78" spans="1:16" ht="15">
      <c r="A78" s="1414"/>
      <c r="B78" s="1386"/>
      <c r="C78" s="1386"/>
      <c r="D78" s="1430"/>
      <c r="E78" s="1386"/>
      <c r="F78" s="1386"/>
      <c r="G78" s="1386"/>
      <c r="H78" s="1386"/>
      <c r="I78" s="1386"/>
      <c r="J78" s="1386"/>
      <c r="K78" s="1386"/>
      <c r="L78" s="1386"/>
      <c r="M78" s="1386"/>
      <c r="N78" s="1386"/>
      <c r="O78" s="1386"/>
      <c r="P78" s="1379"/>
    </row>
    <row r="79" spans="1:16" ht="15">
      <c r="A79" s="1414"/>
      <c r="B79" s="1386"/>
      <c r="C79" s="1386"/>
      <c r="D79" s="1430"/>
      <c r="E79" s="1386"/>
      <c r="F79" s="1386"/>
      <c r="G79" s="1386"/>
      <c r="H79" s="1386"/>
      <c r="I79" s="1386"/>
      <c r="J79" s="1386"/>
      <c r="K79" s="1386"/>
      <c r="L79" s="1386"/>
      <c r="M79" s="1386"/>
      <c r="N79" s="1386"/>
      <c r="O79" s="1386"/>
      <c r="P79" s="1379"/>
    </row>
    <row r="80" spans="1:16" ht="15">
      <c r="A80" s="1414"/>
      <c r="B80" s="1386"/>
      <c r="C80" s="1386"/>
      <c r="D80" s="1430"/>
      <c r="E80" s="1386"/>
      <c r="F80" s="1386"/>
      <c r="G80" s="1386"/>
      <c r="H80" s="1386"/>
      <c r="I80" s="1386"/>
      <c r="J80" s="1386"/>
      <c r="K80" s="1386"/>
      <c r="L80" s="1386"/>
      <c r="M80" s="1386"/>
      <c r="N80" s="1386"/>
      <c r="O80" s="1386"/>
      <c r="P80" s="1379"/>
    </row>
    <row r="81" spans="1:16" ht="15">
      <c r="A81" s="1414"/>
      <c r="B81" s="1386"/>
      <c r="C81" s="1386"/>
      <c r="D81" s="1430"/>
      <c r="E81" s="1386"/>
      <c r="F81" s="1386"/>
      <c r="G81" s="1386"/>
      <c r="H81" s="1386"/>
      <c r="I81" s="1386"/>
      <c r="J81" s="1386"/>
      <c r="K81" s="1386"/>
      <c r="L81" s="1386"/>
      <c r="M81" s="1386"/>
      <c r="N81" s="1386"/>
      <c r="O81" s="1386"/>
      <c r="P81" s="1379"/>
    </row>
    <row r="82" spans="1:16" ht="15">
      <c r="A82" s="1414"/>
      <c r="B82" s="1386"/>
      <c r="C82" s="1386"/>
      <c r="D82" s="1430"/>
      <c r="E82" s="1386"/>
      <c r="F82" s="1386"/>
      <c r="G82" s="1386"/>
      <c r="H82" s="1386"/>
      <c r="I82" s="1386"/>
      <c r="J82" s="1386"/>
      <c r="K82" s="1386"/>
      <c r="L82" s="1386"/>
      <c r="M82" s="1386"/>
      <c r="N82" s="1386"/>
      <c r="O82" s="1386"/>
      <c r="P82" s="1379"/>
    </row>
    <row r="83" spans="1:16" ht="15">
      <c r="A83" s="1414"/>
      <c r="B83" s="1386"/>
      <c r="C83" s="1386"/>
      <c r="D83" s="1430"/>
      <c r="E83" s="1386"/>
      <c r="F83" s="1386"/>
      <c r="G83" s="1386"/>
      <c r="H83" s="1386"/>
      <c r="I83" s="1386"/>
      <c r="J83" s="1386"/>
      <c r="K83" s="1386"/>
      <c r="L83" s="1386"/>
      <c r="M83" s="1386"/>
      <c r="N83" s="1386"/>
      <c r="O83" s="1386"/>
      <c r="P83" s="1379"/>
    </row>
    <row r="84" spans="1:16" ht="15">
      <c r="A84" s="1414"/>
      <c r="B84" s="1386"/>
      <c r="C84" s="1386"/>
      <c r="D84" s="1430"/>
      <c r="E84" s="1386"/>
      <c r="F84" s="1386"/>
      <c r="G84" s="1386"/>
      <c r="H84" s="1386"/>
      <c r="I84" s="1386"/>
      <c r="J84" s="1386"/>
      <c r="K84" s="1386"/>
      <c r="L84" s="1386"/>
      <c r="M84" s="1386"/>
      <c r="N84" s="1386"/>
      <c r="O84" s="1386"/>
      <c r="P84" s="1379"/>
    </row>
    <row r="85" spans="1:16" ht="15">
      <c r="A85" s="1414"/>
      <c r="B85" s="1386"/>
      <c r="C85" s="1386"/>
      <c r="D85" s="1430"/>
      <c r="E85" s="1386"/>
      <c r="F85" s="1386"/>
      <c r="G85" s="1386"/>
      <c r="H85" s="1386"/>
      <c r="I85" s="1386"/>
      <c r="J85" s="1386"/>
      <c r="K85" s="1386"/>
      <c r="L85" s="1386"/>
      <c r="M85" s="1386"/>
      <c r="N85" s="1386"/>
      <c r="O85" s="1386"/>
      <c r="P85" s="1379"/>
    </row>
    <row r="86" spans="1:16" ht="15">
      <c r="A86" s="1414"/>
      <c r="B86" s="1386"/>
      <c r="C86" s="1386"/>
      <c r="D86" s="1430"/>
      <c r="E86" s="1386"/>
      <c r="F86" s="1386"/>
      <c r="G86" s="1386"/>
      <c r="H86" s="1386"/>
      <c r="I86" s="1386"/>
      <c r="J86" s="1386"/>
      <c r="K86" s="1386"/>
      <c r="L86" s="1386"/>
      <c r="M86" s="1386"/>
      <c r="N86" s="1386"/>
      <c r="O86" s="1386"/>
      <c r="P86" s="1379"/>
    </row>
    <row r="87" spans="1:16" ht="15.75">
      <c r="A87" s="1414"/>
      <c r="B87" s="1386"/>
      <c r="C87" s="1386"/>
      <c r="D87" s="1430"/>
      <c r="E87" s="1386"/>
      <c r="F87" s="1386"/>
      <c r="G87" s="1386"/>
      <c r="H87" s="1386"/>
      <c r="I87" s="1386"/>
      <c r="J87" s="1386"/>
      <c r="K87" s="1386"/>
      <c r="L87" s="1386"/>
      <c r="M87" s="1386"/>
      <c r="N87" s="1386"/>
      <c r="O87" s="1386"/>
      <c r="P87" s="1417"/>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L99"/>
  <sheetViews>
    <sheetView view="pageBreakPreview" topLeftCell="A34" zoomScaleNormal="85" zoomScaleSheetLayoutView="100" workbookViewId="0">
      <selection activeCell="D48" sqref="D48"/>
    </sheetView>
  </sheetViews>
  <sheetFormatPr defaultColWidth="11.42578125" defaultRowHeight="12.75" customHeight="1"/>
  <cols>
    <col min="1" max="1" width="8.140625" customWidth="1"/>
    <col min="2" max="2" width="16.5703125" bestFit="1" customWidth="1"/>
    <col min="3" max="3" width="44.140625" customWidth="1"/>
    <col min="4" max="4" width="29.7109375" customWidth="1"/>
    <col min="5" max="5" width="24.28515625" customWidth="1"/>
    <col min="6" max="6" width="1" customWidth="1"/>
    <col min="7" max="7" width="20.85546875" customWidth="1"/>
    <col min="8" max="8" width="1" customWidth="1"/>
    <col min="9" max="9" width="19.140625" customWidth="1"/>
    <col min="10" max="10" width="16.7109375" customWidth="1"/>
    <col min="11" max="11" width="15.28515625" customWidth="1"/>
    <col min="12" max="12" width="33.5703125" customWidth="1"/>
    <col min="13" max="15" width="11.42578125" customWidth="1"/>
  </cols>
  <sheetData>
    <row r="1" spans="1:12" ht="15.75">
      <c r="A1" s="808"/>
      <c r="B1" s="58"/>
      <c r="C1" s="58"/>
      <c r="D1" s="58"/>
      <c r="E1" s="66"/>
      <c r="F1" s="66"/>
      <c r="G1" s="58"/>
      <c r="H1" s="58"/>
      <c r="I1" s="58"/>
      <c r="J1" s="58"/>
      <c r="K1" s="58"/>
      <c r="L1" s="58"/>
    </row>
    <row r="2" spans="1:12" ht="15.75">
      <c r="A2" s="808"/>
      <c r="B2" s="58"/>
      <c r="C2" s="58"/>
      <c r="D2" s="58"/>
      <c r="E2" s="66"/>
      <c r="F2" s="66"/>
      <c r="G2" s="58"/>
      <c r="H2" s="58"/>
      <c r="I2" s="58"/>
      <c r="J2" s="58"/>
      <c r="K2" s="58"/>
      <c r="L2" s="58"/>
    </row>
    <row r="3" spans="1:12" ht="15">
      <c r="A3" s="1460" t="str">
        <f>+'WS B ADIT &amp; ITC'!A3:I3</f>
        <v>AEP East Companies</v>
      </c>
      <c r="B3" s="1460"/>
      <c r="C3" s="1460"/>
      <c r="D3" s="1460"/>
      <c r="E3" s="1460"/>
      <c r="F3" s="1460"/>
      <c r="G3" s="1460"/>
      <c r="H3" s="1460"/>
      <c r="I3" s="1460"/>
      <c r="J3" s="1460"/>
      <c r="K3" s="1460"/>
      <c r="L3" s="1460"/>
    </row>
    <row r="4" spans="1:12" ht="15">
      <c r="A4" s="1461" t="str">
        <f>"Cost of Service Formula Rate Using Actual/Projected FF1 Balances"</f>
        <v>Cost of Service Formula Rate Using Actual/Projected FF1 Balances</v>
      </c>
      <c r="B4" s="1461"/>
      <c r="C4" s="1461"/>
      <c r="D4" s="1461"/>
      <c r="E4" s="1461"/>
      <c r="F4" s="1461"/>
      <c r="G4" s="1461"/>
      <c r="H4" s="1461"/>
      <c r="I4" s="1461"/>
      <c r="J4" s="1461"/>
      <c r="K4" s="1461"/>
      <c r="L4" s="1461"/>
    </row>
    <row r="5" spans="1:12" ht="15">
      <c r="A5" s="1461" t="s">
        <v>495</v>
      </c>
      <c r="B5" s="1461"/>
      <c r="C5" s="1461"/>
      <c r="D5" s="1461"/>
      <c r="E5" s="1461"/>
      <c r="F5" s="1461"/>
      <c r="G5" s="1461"/>
      <c r="H5" s="1461"/>
      <c r="I5" s="1461"/>
      <c r="J5" s="1461"/>
      <c r="K5" s="1461"/>
      <c r="L5" s="1461"/>
    </row>
    <row r="6" spans="1:12" ht="15">
      <c r="A6" s="1472" t="str">
        <f>TCOS!F9</f>
        <v>Appalachian Power Company</v>
      </c>
      <c r="B6" s="1472"/>
      <c r="C6" s="1472"/>
      <c r="D6" s="1472"/>
      <c r="E6" s="1472"/>
      <c r="F6" s="1472"/>
      <c r="G6" s="1472"/>
      <c r="H6" s="1472"/>
      <c r="I6" s="1472"/>
      <c r="J6" s="1472"/>
      <c r="K6" s="1472"/>
      <c r="L6" s="1472"/>
    </row>
    <row r="7" spans="1:12" ht="15">
      <c r="A7" s="4"/>
      <c r="B7" s="4"/>
      <c r="C7" s="4"/>
      <c r="D7" s="4"/>
      <c r="E7" s="4"/>
      <c r="F7" s="4"/>
      <c r="G7" s="4"/>
      <c r="H7" s="3"/>
      <c r="I7" s="57"/>
      <c r="J7" s="57"/>
      <c r="K7" s="57"/>
      <c r="L7" s="57"/>
    </row>
    <row r="8" spans="1:12" ht="12.75" customHeight="1">
      <c r="A8" s="80"/>
      <c r="B8" s="80" t="s">
        <v>162</v>
      </c>
      <c r="C8" s="80" t="s">
        <v>163</v>
      </c>
      <c r="D8" s="78" t="s">
        <v>4</v>
      </c>
      <c r="E8" s="78" t="s">
        <v>165</v>
      </c>
      <c r="F8" s="80"/>
      <c r="G8" s="80" t="s">
        <v>84</v>
      </c>
      <c r="H8" s="80"/>
      <c r="I8" s="80" t="s">
        <v>85</v>
      </c>
      <c r="J8" s="80" t="s">
        <v>86</v>
      </c>
      <c r="K8" s="80" t="s">
        <v>91</v>
      </c>
      <c r="L8" s="80" t="s">
        <v>500</v>
      </c>
    </row>
    <row r="9" spans="1:12">
      <c r="A9" s="56"/>
      <c r="B9" s="58"/>
      <c r="C9" s="58"/>
      <c r="D9" s="58"/>
      <c r="E9" s="66"/>
      <c r="F9" s="66"/>
      <c r="G9" s="58"/>
      <c r="H9" s="58"/>
      <c r="I9" s="58"/>
      <c r="J9" s="58"/>
      <c r="K9" s="58"/>
      <c r="L9" s="58"/>
    </row>
    <row r="10" spans="1:12" ht="18">
      <c r="A10" s="77"/>
      <c r="B10" s="1493" t="s">
        <v>207</v>
      </c>
      <c r="C10" s="1493"/>
      <c r="D10" s="1493"/>
      <c r="E10" s="1493"/>
      <c r="F10" s="1493"/>
      <c r="G10" s="1493"/>
      <c r="H10" s="1493"/>
      <c r="I10" s="1493"/>
      <c r="J10" s="1493"/>
      <c r="K10" s="1493"/>
      <c r="L10" s="58"/>
    </row>
    <row r="11" spans="1:12">
      <c r="A11" s="77"/>
      <c r="B11" s="58"/>
      <c r="C11" s="58"/>
      <c r="D11" s="58"/>
      <c r="E11" s="66"/>
      <c r="F11" s="66"/>
      <c r="G11" s="58"/>
      <c r="H11" s="58"/>
      <c r="I11" s="14"/>
      <c r="J11" s="14"/>
      <c r="K11" s="58"/>
      <c r="L11" s="58"/>
    </row>
    <row r="12" spans="1:12" ht="12.75" customHeight="1">
      <c r="A12" s="11" t="s">
        <v>169</v>
      </c>
      <c r="B12" s="60"/>
      <c r="C12" s="67"/>
      <c r="D12" s="157"/>
      <c r="E12" s="1494" t="str">
        <f>"Balance @ December 31, "&amp;TCOS!L4&amp;""</f>
        <v>Balance @ December 31, 2024</v>
      </c>
      <c r="F12" s="157"/>
      <c r="G12" s="1494" t="str">
        <f>"Balance @ December 31, "&amp;TCOS!L4-1&amp;""</f>
        <v>Balance @ December 31, 2023</v>
      </c>
      <c r="H12" s="200"/>
      <c r="I12" s="1473" t="str">
        <f>"Average Balance for "&amp;TCOS!L4&amp;""</f>
        <v>Average Balance for 2024</v>
      </c>
      <c r="J12" s="85"/>
      <c r="K12" s="62"/>
      <c r="L12" s="68"/>
    </row>
    <row r="13" spans="1:12">
      <c r="A13" s="11" t="s">
        <v>106</v>
      </c>
      <c r="B13" s="63"/>
      <c r="C13" s="60"/>
      <c r="D13" s="158" t="s">
        <v>206</v>
      </c>
      <c r="E13" s="1495"/>
      <c r="F13" s="159"/>
      <c r="G13" s="1495"/>
      <c r="H13" s="160"/>
      <c r="I13" s="1471"/>
      <c r="J13" s="85"/>
      <c r="K13" s="69"/>
      <c r="L13" s="70"/>
    </row>
    <row r="14" spans="1:12">
      <c r="A14" s="63"/>
      <c r="B14" s="63"/>
      <c r="C14" s="60"/>
      <c r="D14" s="65"/>
      <c r="E14" s="59"/>
      <c r="F14" s="59"/>
      <c r="G14" s="177"/>
      <c r="H14" s="64"/>
      <c r="I14" s="58"/>
      <c r="J14" s="14"/>
      <c r="K14" s="69"/>
      <c r="L14" s="70"/>
    </row>
    <row r="15" spans="1:12">
      <c r="A15" s="63">
        <v>1</v>
      </c>
      <c r="B15" s="63"/>
      <c r="C15" s="58"/>
      <c r="D15" s="52"/>
      <c r="E15" s="25"/>
      <c r="F15" s="25"/>
      <c r="G15" s="25"/>
      <c r="H15" s="25"/>
      <c r="I15" s="25"/>
      <c r="J15" s="58"/>
      <c r="K15" s="25"/>
      <c r="L15" s="25"/>
    </row>
    <row r="16" spans="1:12">
      <c r="A16" s="63"/>
      <c r="B16" s="63"/>
      <c r="C16" s="52"/>
      <c r="D16" s="52"/>
      <c r="E16" s="25"/>
      <c r="F16" s="25"/>
      <c r="G16" s="25"/>
      <c r="H16" s="25"/>
      <c r="I16" s="25"/>
      <c r="J16" s="58"/>
      <c r="K16" s="25"/>
      <c r="L16" s="25"/>
    </row>
    <row r="17" spans="1:12">
      <c r="A17" s="63">
        <f>+A15+1</f>
        <v>2</v>
      </c>
      <c r="B17" s="63"/>
      <c r="C17" s="52" t="s">
        <v>526</v>
      </c>
      <c r="D17" s="61" t="s">
        <v>435</v>
      </c>
      <c r="E17" s="769">
        <v>220506</v>
      </c>
      <c r="F17" s="25"/>
      <c r="G17" s="769">
        <v>220506</v>
      </c>
      <c r="H17" s="25"/>
      <c r="I17" s="118">
        <f>IF(G17="",0,(E17+G17)/2)</f>
        <v>220506</v>
      </c>
      <c r="K17" s="118"/>
      <c r="L17" s="25"/>
    </row>
    <row r="18" spans="1:12">
      <c r="A18" s="63"/>
      <c r="B18" s="63"/>
      <c r="C18" s="52"/>
      <c r="I18" s="5"/>
      <c r="L18" s="25"/>
    </row>
    <row r="19" spans="1:12">
      <c r="A19" s="63">
        <f>+A17+1</f>
        <v>3</v>
      </c>
      <c r="B19" s="63"/>
      <c r="C19" s="52" t="s">
        <v>528</v>
      </c>
      <c r="D19" s="61" t="s">
        <v>436</v>
      </c>
      <c r="E19" s="769">
        <v>682511</v>
      </c>
      <c r="F19" s="25"/>
      <c r="G19" s="769">
        <v>682511</v>
      </c>
      <c r="H19" s="64"/>
      <c r="I19" s="118">
        <f>IF(G19="",0,(E19+G19)/2)</f>
        <v>682511</v>
      </c>
      <c r="J19" s="14"/>
      <c r="K19" s="69"/>
      <c r="L19" s="70"/>
    </row>
    <row r="20" spans="1:12">
      <c r="A20" s="63"/>
      <c r="B20" s="63"/>
      <c r="C20" s="52"/>
      <c r="D20" s="61"/>
      <c r="K20" s="69"/>
      <c r="L20" s="70"/>
    </row>
    <row r="21" spans="1:12">
      <c r="A21" s="63">
        <f>+A19+1</f>
        <v>4</v>
      </c>
      <c r="B21" s="63"/>
      <c r="C21" s="52" t="s">
        <v>763</v>
      </c>
      <c r="D21" s="61" t="s">
        <v>437</v>
      </c>
      <c r="E21" s="769"/>
      <c r="F21" s="25"/>
      <c r="G21" s="769"/>
      <c r="H21" s="64"/>
      <c r="I21" s="118">
        <f>IF(G21="",0,(E21+G21)/2)</f>
        <v>0</v>
      </c>
      <c r="J21" s="14"/>
      <c r="K21" s="69"/>
      <c r="L21" s="70"/>
    </row>
    <row r="22" spans="1:12">
      <c r="A22" s="63"/>
      <c r="B22" s="63"/>
      <c r="C22" s="60"/>
      <c r="D22" s="65"/>
      <c r="E22" s="59"/>
      <c r="F22" s="59"/>
      <c r="G22" s="66"/>
      <c r="H22" s="64"/>
      <c r="I22" s="66"/>
      <c r="J22" s="14"/>
      <c r="K22" s="69"/>
      <c r="L22" s="70"/>
    </row>
    <row r="23" spans="1:12">
      <c r="A23" s="148"/>
      <c r="B23" s="148"/>
      <c r="C23" s="149"/>
      <c r="D23" s="150"/>
      <c r="E23" s="151"/>
      <c r="F23" s="151"/>
      <c r="G23" s="152"/>
      <c r="H23" s="153"/>
      <c r="I23" s="152"/>
      <c r="J23" s="154"/>
      <c r="K23" s="155"/>
      <c r="L23" s="156"/>
    </row>
    <row r="24" spans="1:12" ht="18">
      <c r="A24" s="63"/>
      <c r="B24" s="1493" t="s">
        <v>762</v>
      </c>
      <c r="C24" s="1493"/>
      <c r="D24" s="1493"/>
      <c r="E24" s="1493"/>
      <c r="F24" s="1493"/>
      <c r="G24" s="1493"/>
      <c r="H24" s="1493"/>
      <c r="I24" s="1493"/>
      <c r="J24" s="1493"/>
      <c r="K24" s="1493"/>
      <c r="L24" s="70"/>
    </row>
    <row r="25" spans="1:12" ht="12.75" customHeight="1">
      <c r="A25" s="63"/>
      <c r="B25" s="129"/>
      <c r="C25" s="60"/>
      <c r="D25" s="21"/>
      <c r="E25" s="9"/>
      <c r="F25" s="58"/>
      <c r="G25" s="9" t="s">
        <v>87</v>
      </c>
      <c r="H25" s="58"/>
      <c r="I25" s="7" t="s">
        <v>115</v>
      </c>
      <c r="J25" s="7" t="s">
        <v>115</v>
      </c>
      <c r="K25" s="7" t="s">
        <v>179</v>
      </c>
      <c r="L25" s="70"/>
    </row>
    <row r="26" spans="1:12" ht="12.75" customHeight="1">
      <c r="A26" s="63"/>
      <c r="B26" s="129"/>
      <c r="C26" s="60"/>
      <c r="D26" s="126" t="s">
        <v>501</v>
      </c>
      <c r="E26" s="7" t="s">
        <v>530</v>
      </c>
      <c r="F26" s="58"/>
      <c r="G26" s="7" t="s">
        <v>115</v>
      </c>
      <c r="H26" s="58"/>
      <c r="I26" s="7" t="s">
        <v>523</v>
      </c>
      <c r="J26" s="7" t="s">
        <v>161</v>
      </c>
      <c r="K26" s="7" t="s">
        <v>180</v>
      </c>
      <c r="L26" s="70"/>
    </row>
    <row r="27" spans="1:12" ht="12.75" customHeight="1">
      <c r="A27" s="63">
        <f>+A21+1</f>
        <v>5</v>
      </c>
      <c r="B27" s="129"/>
      <c r="C27" s="60"/>
      <c r="D27" s="12" t="s">
        <v>88</v>
      </c>
      <c r="E27" s="12" t="s">
        <v>502</v>
      </c>
      <c r="F27" s="58"/>
      <c r="G27" s="12" t="s">
        <v>524</v>
      </c>
      <c r="H27" s="58"/>
      <c r="I27" s="12" t="s">
        <v>524</v>
      </c>
      <c r="J27" s="12" t="s">
        <v>524</v>
      </c>
      <c r="K27" s="12" t="s">
        <v>525</v>
      </c>
      <c r="L27" s="70"/>
    </row>
    <row r="28" spans="1:12">
      <c r="A28" s="63"/>
      <c r="B28" s="63"/>
      <c r="C28" s="60"/>
      <c r="D28" s="65"/>
      <c r="E28" s="59"/>
      <c r="F28" s="59"/>
      <c r="G28" s="66"/>
      <c r="H28" s="64"/>
      <c r="I28" s="66"/>
      <c r="J28" s="14"/>
      <c r="K28" s="178"/>
      <c r="L28" s="70"/>
    </row>
    <row r="29" spans="1:12">
      <c r="A29" s="63">
        <f>+A27+1</f>
        <v>6</v>
      </c>
      <c r="B29" s="63"/>
      <c r="C29" s="58" t="str">
        <f>"Totals as of December 31, "&amp;TCOS!L4&amp;""</f>
        <v>Totals as of December 31, 2024</v>
      </c>
      <c r="D29" s="130">
        <f>ROUND(D63,0)</f>
        <v>24791237</v>
      </c>
      <c r="E29" s="183">
        <f>ROUND(E63,0)</f>
        <v>-310627320</v>
      </c>
      <c r="F29" s="131"/>
      <c r="G29" s="130">
        <f>ROUND(G63,0)</f>
        <v>0</v>
      </c>
      <c r="H29" s="64"/>
      <c r="I29" s="130">
        <f>ROUND(I63,0)</f>
        <v>19734263</v>
      </c>
      <c r="J29" s="132">
        <f>+J63</f>
        <v>315684294.06866598</v>
      </c>
      <c r="K29" s="130">
        <f>ROUND(K63,0)</f>
        <v>335418557</v>
      </c>
      <c r="L29" s="70"/>
    </row>
    <row r="30" spans="1:12">
      <c r="A30" s="63">
        <f>+A29+1</f>
        <v>7</v>
      </c>
      <c r="B30" s="63"/>
      <c r="C30" s="58" t="str">
        <f>"Totals as of December 31, "&amp;TCOS!L4-1&amp;""</f>
        <v>Totals as of December 31, 2023</v>
      </c>
      <c r="D30" s="133">
        <f>IF(D96="","",D96)</f>
        <v>16133954.574098945</v>
      </c>
      <c r="E30" s="184">
        <f>IF(E96="","",E96)</f>
        <v>-294136320.21150166</v>
      </c>
      <c r="F30" s="59"/>
      <c r="G30" s="133" t="str">
        <f>IF(G96="","",G96)</f>
        <v/>
      </c>
      <c r="H30" s="64"/>
      <c r="I30" s="133">
        <f>IF(I96="","",I96)</f>
        <v>11076980.716934599</v>
      </c>
      <c r="J30" s="133">
        <f>IF(J96="","",J96)</f>
        <v>299193294.06866598</v>
      </c>
      <c r="K30" s="133">
        <f>IF(K96="","",K96)</f>
        <v>310270274.7856006</v>
      </c>
      <c r="L30" s="70"/>
    </row>
    <row r="31" spans="1:12" ht="13.5" thickBot="1">
      <c r="A31" s="63">
        <f>+A30+1</f>
        <v>8</v>
      </c>
      <c r="B31" s="63"/>
      <c r="C31" s="82" t="s">
        <v>213</v>
      </c>
      <c r="D31" s="134">
        <f>IF(D30="",0,(D29+D30)/2)</f>
        <v>20462595.787049472</v>
      </c>
      <c r="E31" s="134">
        <f>IF(E30="",0,(E29+E30)/2)</f>
        <v>-302381820.1057508</v>
      </c>
      <c r="F31" s="135"/>
      <c r="G31" s="134">
        <f>IF(G30="",0,(G29+G30)/2)</f>
        <v>0</v>
      </c>
      <c r="H31" s="79"/>
      <c r="I31" s="134">
        <f>IF(I30="",0,(I29+I30)/2)</f>
        <v>15405621.858467299</v>
      </c>
      <c r="J31" s="134">
        <f>IF(J30="",0,(J29+J30)/2)</f>
        <v>307438794.06866598</v>
      </c>
      <c r="K31" s="134">
        <f>IF(K30="",0,(K29+K30)/2)</f>
        <v>322844415.89280033</v>
      </c>
      <c r="L31" s="70"/>
    </row>
    <row r="32" spans="1:12" ht="13.5" thickTop="1">
      <c r="A32" s="63"/>
      <c r="B32" s="63"/>
      <c r="C32" s="58"/>
      <c r="D32" s="65"/>
      <c r="E32" s="59"/>
      <c r="F32" s="59"/>
      <c r="G32" s="66"/>
      <c r="H32" s="64"/>
      <c r="I32" s="66"/>
      <c r="J32" s="14"/>
      <c r="K32" s="69"/>
      <c r="L32" s="70"/>
    </row>
    <row r="33" spans="1:12">
      <c r="A33" s="58"/>
      <c r="B33" s="58"/>
      <c r="C33" s="58"/>
      <c r="D33" s="58"/>
      <c r="E33" s="58"/>
      <c r="F33" s="58"/>
      <c r="G33" s="58"/>
      <c r="H33" s="58"/>
      <c r="I33" s="58"/>
      <c r="J33" s="14"/>
      <c r="K33" s="69"/>
      <c r="L33" s="70"/>
    </row>
    <row r="34" spans="1:12" ht="18">
      <c r="A34" s="63"/>
      <c r="B34" s="1492" t="str">
        <f>"Prepayments Account 165 - Balance @ 12/31/"&amp;D36&amp;""</f>
        <v>Prepayments Account 165 - Balance @ 12/31/2024</v>
      </c>
      <c r="C34" s="1496"/>
      <c r="D34" s="1496"/>
      <c r="E34" s="1496"/>
      <c r="F34" s="1496"/>
      <c r="G34" s="1496"/>
      <c r="H34" s="1496"/>
      <c r="I34" s="1496"/>
      <c r="J34" s="1496"/>
      <c r="K34" s="69"/>
      <c r="L34" s="70"/>
    </row>
    <row r="35" spans="1:12">
      <c r="A35" s="63"/>
      <c r="B35" s="123"/>
      <c r="C35" s="124"/>
      <c r="D35" s="21"/>
      <c r="E35" s="9"/>
      <c r="F35" s="58"/>
      <c r="G35" s="9" t="s">
        <v>87</v>
      </c>
      <c r="H35" s="58"/>
      <c r="I35" s="7" t="s">
        <v>115</v>
      </c>
      <c r="J35" s="7" t="s">
        <v>115</v>
      </c>
      <c r="K35" s="7" t="s">
        <v>179</v>
      </c>
    </row>
    <row r="36" spans="1:12">
      <c r="A36" s="63"/>
      <c r="B36" s="123"/>
      <c r="C36" s="125"/>
      <c r="D36" s="126" t="str">
        <f>""&amp;TCOS!L4</f>
        <v>2024</v>
      </c>
      <c r="E36" s="7" t="s">
        <v>530</v>
      </c>
      <c r="F36" s="58"/>
      <c r="G36" s="7" t="s">
        <v>115</v>
      </c>
      <c r="H36" s="58"/>
      <c r="I36" s="7" t="s">
        <v>523</v>
      </c>
      <c r="J36" s="7" t="s">
        <v>161</v>
      </c>
      <c r="K36" s="7" t="s">
        <v>180</v>
      </c>
    </row>
    <row r="37" spans="1:12">
      <c r="A37" s="63">
        <f>+A31+1</f>
        <v>9</v>
      </c>
      <c r="B37" s="12" t="s">
        <v>90</v>
      </c>
      <c r="C37" s="12" t="s">
        <v>167</v>
      </c>
      <c r="D37" s="12" t="s">
        <v>88</v>
      </c>
      <c r="E37" s="12" t="s">
        <v>502</v>
      </c>
      <c r="F37" s="58"/>
      <c r="G37" s="12" t="s">
        <v>524</v>
      </c>
      <c r="H37" s="58"/>
      <c r="I37" s="12" t="s">
        <v>524</v>
      </c>
      <c r="J37" s="12" t="s">
        <v>524</v>
      </c>
      <c r="K37" s="12" t="s">
        <v>525</v>
      </c>
      <c r="L37" s="12" t="s">
        <v>39</v>
      </c>
    </row>
    <row r="38" spans="1:12">
      <c r="A38" s="63"/>
      <c r="B38" s="123"/>
      <c r="C38" s="124"/>
      <c r="D38" s="124"/>
      <c r="E38" s="124"/>
      <c r="F38" s="58"/>
      <c r="G38" s="124"/>
      <c r="H38" s="58"/>
      <c r="I38" s="124"/>
      <c r="J38" s="124"/>
      <c r="K38" s="178"/>
    </row>
    <row r="39" spans="1:12" ht="14.25">
      <c r="A39" s="63">
        <f>+A37+1</f>
        <v>10</v>
      </c>
      <c r="B39" s="1358" t="s">
        <v>872</v>
      </c>
      <c r="C39" s="1359" t="s">
        <v>873</v>
      </c>
      <c r="D39" s="771">
        <v>13868075.91009503</v>
      </c>
      <c r="E39" s="1303">
        <f>+D39-K39</f>
        <v>0</v>
      </c>
      <c r="F39" s="58"/>
      <c r="G39" s="1304"/>
      <c r="H39" s="58"/>
      <c r="I39" s="1304">
        <f>+D39</f>
        <v>13868075.91009503</v>
      </c>
      <c r="J39" s="1304"/>
      <c r="K39" s="1304">
        <f t="shared" ref="K39:K52" si="0">+G39+I39+J39</f>
        <v>13868075.91009503</v>
      </c>
      <c r="L39" t="s">
        <v>531</v>
      </c>
    </row>
    <row r="40" spans="1:12" ht="14.25">
      <c r="A40" s="63">
        <f t="shared" ref="A40:A52" si="1">+A39+1</f>
        <v>11</v>
      </c>
      <c r="B40" s="1360">
        <v>165000219</v>
      </c>
      <c r="C40" s="1359" t="s">
        <v>874</v>
      </c>
      <c r="D40" s="771">
        <v>0</v>
      </c>
      <c r="E40" s="1303">
        <f t="shared" ref="E40:E59" si="2">+D40-K40</f>
        <v>0</v>
      </c>
      <c r="F40" s="58"/>
      <c r="G40" s="1304"/>
      <c r="H40" s="58"/>
      <c r="I40" s="1304"/>
      <c r="J40" s="1304"/>
      <c r="K40" s="1304">
        <f t="shared" si="0"/>
        <v>0</v>
      </c>
      <c r="L40" s="58"/>
    </row>
    <row r="41" spans="1:12" ht="14.25">
      <c r="A41" s="63">
        <f t="shared" si="1"/>
        <v>12</v>
      </c>
      <c r="B41" s="1360">
        <v>165000220</v>
      </c>
      <c r="C41" s="1359" t="s">
        <v>874</v>
      </c>
      <c r="D41" s="771">
        <v>0</v>
      </c>
      <c r="E41" s="1303">
        <f t="shared" si="2"/>
        <v>0</v>
      </c>
      <c r="F41" s="58"/>
      <c r="G41" s="1304"/>
      <c r="H41" s="58"/>
      <c r="I41" s="1304">
        <v>0</v>
      </c>
      <c r="J41" s="1304"/>
      <c r="K41" s="1304">
        <f t="shared" si="0"/>
        <v>0</v>
      </c>
      <c r="L41" s="58" t="s">
        <v>1071</v>
      </c>
    </row>
    <row r="42" spans="1:12" ht="14.25">
      <c r="A42" s="63">
        <f t="shared" si="1"/>
        <v>13</v>
      </c>
      <c r="B42" s="1360">
        <v>165000221</v>
      </c>
      <c r="C42" s="1359" t="s">
        <v>874</v>
      </c>
      <c r="D42" s="771">
        <v>3204984.4585138094</v>
      </c>
      <c r="E42" s="1303">
        <f t="shared" si="2"/>
        <v>3204984.4585138094</v>
      </c>
      <c r="F42" s="58"/>
      <c r="G42" s="1304"/>
      <c r="H42" s="58"/>
      <c r="I42" s="1304"/>
      <c r="J42" s="1304"/>
      <c r="K42" s="1304">
        <f t="shared" si="0"/>
        <v>0</v>
      </c>
      <c r="L42" s="58" t="s">
        <v>963</v>
      </c>
    </row>
    <row r="43" spans="1:12" ht="14.25">
      <c r="A43" s="63">
        <f t="shared" si="1"/>
        <v>14</v>
      </c>
      <c r="B43" s="1361" t="s">
        <v>875</v>
      </c>
      <c r="C43" s="1359" t="s">
        <v>876</v>
      </c>
      <c r="D43" s="771">
        <v>39966.937112141008</v>
      </c>
      <c r="E43" s="1303">
        <f t="shared" si="2"/>
        <v>39966.937112141008</v>
      </c>
      <c r="F43" s="58"/>
      <c r="G43" s="1304"/>
      <c r="H43" s="58"/>
      <c r="I43" s="1304"/>
      <c r="J43" s="1304"/>
      <c r="K43" s="1304">
        <f t="shared" si="0"/>
        <v>0</v>
      </c>
      <c r="L43" s="6" t="s">
        <v>876</v>
      </c>
    </row>
    <row r="44" spans="1:12" ht="14.25">
      <c r="A44" s="63">
        <f t="shared" si="1"/>
        <v>15</v>
      </c>
      <c r="B44" s="1358" t="s">
        <v>877</v>
      </c>
      <c r="C44" s="1359" t="s">
        <v>878</v>
      </c>
      <c r="D44" s="771">
        <v>994354.76997939334</v>
      </c>
      <c r="E44" s="1303">
        <f t="shared" si="2"/>
        <v>994354.76997939334</v>
      </c>
      <c r="F44" s="58"/>
      <c r="G44" s="1305"/>
      <c r="H44" s="58"/>
      <c r="I44" s="1305"/>
      <c r="J44" s="1305"/>
      <c r="K44" s="1305">
        <f t="shared" si="0"/>
        <v>0</v>
      </c>
      <c r="L44" s="18" t="s">
        <v>964</v>
      </c>
    </row>
    <row r="45" spans="1:12" ht="14.25">
      <c r="A45" s="63">
        <f t="shared" si="1"/>
        <v>16</v>
      </c>
      <c r="B45" s="1358" t="s">
        <v>879</v>
      </c>
      <c r="C45" s="1359" t="s">
        <v>880</v>
      </c>
      <c r="D45" s="771">
        <v>778418.52482691605</v>
      </c>
      <c r="E45" s="1303">
        <f t="shared" si="2"/>
        <v>778418.52482691605</v>
      </c>
      <c r="F45" s="58"/>
      <c r="G45" s="1304"/>
      <c r="H45" s="58"/>
      <c r="I45" s="1304"/>
      <c r="J45" s="1304"/>
      <c r="K45" s="1305">
        <f t="shared" si="0"/>
        <v>0</v>
      </c>
      <c r="L45" s="18" t="s">
        <v>905</v>
      </c>
    </row>
    <row r="46" spans="1:12" ht="14.25">
      <c r="A46" s="63">
        <f t="shared" si="1"/>
        <v>17</v>
      </c>
      <c r="B46" s="1361" t="s">
        <v>974</v>
      </c>
      <c r="C46" s="1359" t="s">
        <v>975</v>
      </c>
      <c r="D46" s="771">
        <v>0</v>
      </c>
      <c r="E46" s="1303">
        <f t="shared" si="2"/>
        <v>0</v>
      </c>
      <c r="F46" s="58"/>
      <c r="G46" s="1304"/>
      <c r="H46" s="58"/>
      <c r="I46" s="1304"/>
      <c r="J46" s="1304"/>
      <c r="K46" s="1305">
        <f t="shared" si="0"/>
        <v>0</v>
      </c>
      <c r="L46" s="5" t="s">
        <v>965</v>
      </c>
    </row>
    <row r="47" spans="1:12" ht="14.25">
      <c r="A47" s="63">
        <f t="shared" si="1"/>
        <v>18</v>
      </c>
      <c r="B47" s="1362" t="s">
        <v>881</v>
      </c>
      <c r="C47" s="1359" t="s">
        <v>976</v>
      </c>
      <c r="D47" s="771">
        <v>168851887.74666601</v>
      </c>
      <c r="E47" s="1303">
        <f t="shared" si="2"/>
        <v>0</v>
      </c>
      <c r="F47" s="58"/>
      <c r="G47" s="1304"/>
      <c r="H47" s="58"/>
      <c r="I47" s="1304"/>
      <c r="J47" s="1304">
        <f>D47</f>
        <v>168851887.74666601</v>
      </c>
      <c r="K47" s="1305">
        <f t="shared" si="0"/>
        <v>168851887.74666601</v>
      </c>
      <c r="L47" s="5" t="s">
        <v>966</v>
      </c>
    </row>
    <row r="48" spans="1:12" ht="14.25">
      <c r="A48" s="63">
        <f t="shared" si="1"/>
        <v>19</v>
      </c>
      <c r="B48" s="1362" t="s">
        <v>883</v>
      </c>
      <c r="C48" s="1359" t="s">
        <v>884</v>
      </c>
      <c r="D48" s="771">
        <v>-168851887.74666601</v>
      </c>
      <c r="E48" s="1303">
        <f t="shared" si="2"/>
        <v>-168851887.74666601</v>
      </c>
      <c r="F48" s="58"/>
      <c r="G48" s="1305"/>
      <c r="H48" s="58"/>
      <c r="I48" s="1305"/>
      <c r="J48" s="1305"/>
      <c r="K48" s="1305">
        <f t="shared" si="0"/>
        <v>0</v>
      </c>
      <c r="L48" s="18" t="s">
        <v>967</v>
      </c>
    </row>
    <row r="49" spans="1:12" ht="14.25">
      <c r="A49" s="63">
        <f t="shared" si="1"/>
        <v>20</v>
      </c>
      <c r="B49" s="1360">
        <v>165001221</v>
      </c>
      <c r="C49" s="1359" t="s">
        <v>882</v>
      </c>
      <c r="D49" s="771">
        <v>39249.166732107442</v>
      </c>
      <c r="E49" s="1303">
        <f t="shared" si="2"/>
        <v>39249.166732107442</v>
      </c>
      <c r="F49" s="58"/>
      <c r="G49" s="1305"/>
      <c r="H49" s="58"/>
      <c r="I49" s="1305"/>
      <c r="J49" s="1305"/>
      <c r="K49" s="1305">
        <f t="shared" si="0"/>
        <v>0</v>
      </c>
      <c r="L49" s="18" t="s">
        <v>906</v>
      </c>
    </row>
    <row r="50" spans="1:12" ht="14.25">
      <c r="A50" s="63">
        <f t="shared" si="1"/>
        <v>21</v>
      </c>
      <c r="B50" s="1360" t="s">
        <v>885</v>
      </c>
      <c r="C50" s="1359" t="s">
        <v>886</v>
      </c>
      <c r="D50" s="771">
        <v>0</v>
      </c>
      <c r="E50" s="1303">
        <f t="shared" si="2"/>
        <v>0</v>
      </c>
      <c r="F50" s="58"/>
      <c r="G50" s="1305"/>
      <c r="H50" s="58"/>
      <c r="I50" s="1305"/>
      <c r="J50" s="1305"/>
      <c r="K50" s="1305">
        <f t="shared" si="0"/>
        <v>0</v>
      </c>
      <c r="L50" s="18" t="s">
        <v>114</v>
      </c>
    </row>
    <row r="51" spans="1:12" ht="14.25">
      <c r="A51" s="63">
        <f t="shared" si="1"/>
        <v>22</v>
      </c>
      <c r="B51" s="1360" t="s">
        <v>887</v>
      </c>
      <c r="C51" s="1359" t="s">
        <v>888</v>
      </c>
      <c r="D51" s="771">
        <v>5008534.5769381654</v>
      </c>
      <c r="E51" s="1303">
        <f t="shared" si="2"/>
        <v>0</v>
      </c>
      <c r="F51" s="58"/>
      <c r="G51" s="1305"/>
      <c r="H51" s="58"/>
      <c r="I51" s="1305">
        <f>D51</f>
        <v>5008534.5769381654</v>
      </c>
      <c r="J51" s="1305"/>
      <c r="K51" s="1305">
        <f t="shared" si="0"/>
        <v>5008534.5769381654</v>
      </c>
      <c r="L51" s="18" t="s">
        <v>907</v>
      </c>
    </row>
    <row r="52" spans="1:12" ht="14.25">
      <c r="A52" s="63">
        <f t="shared" si="1"/>
        <v>23</v>
      </c>
      <c r="B52" s="1360" t="s">
        <v>889</v>
      </c>
      <c r="C52" s="1359" t="s">
        <v>890</v>
      </c>
      <c r="D52" s="771">
        <v>857652.33887510677</v>
      </c>
      <c r="E52" s="1303">
        <f t="shared" si="2"/>
        <v>0</v>
      </c>
      <c r="F52" s="58"/>
      <c r="G52" s="1304"/>
      <c r="H52" s="58"/>
      <c r="I52" s="1304">
        <f>D52</f>
        <v>857652.33887510677</v>
      </c>
      <c r="J52" s="1304"/>
      <c r="K52" s="1305">
        <f t="shared" si="0"/>
        <v>857652.33887510677</v>
      </c>
      <c r="L52" s="18" t="s">
        <v>595</v>
      </c>
    </row>
    <row r="53" spans="1:12" ht="14.25">
      <c r="A53" s="63">
        <f t="shared" ref="A53:A62" si="3">A52+1</f>
        <v>24</v>
      </c>
      <c r="B53" s="1360" t="s">
        <v>891</v>
      </c>
      <c r="C53" s="1359" t="s">
        <v>892</v>
      </c>
      <c r="D53" s="771">
        <v>0</v>
      </c>
      <c r="E53" s="1303">
        <f t="shared" si="2"/>
        <v>0</v>
      </c>
      <c r="F53" s="58"/>
      <c r="G53" s="1304"/>
      <c r="H53" s="58"/>
      <c r="I53" s="1304"/>
      <c r="J53" s="1304"/>
      <c r="K53" s="1305">
        <f>J53</f>
        <v>0</v>
      </c>
      <c r="L53" s="18" t="s">
        <v>114</v>
      </c>
    </row>
    <row r="54" spans="1:12" ht="14.25">
      <c r="A54" s="63">
        <f t="shared" si="3"/>
        <v>25</v>
      </c>
      <c r="B54" s="1360" t="s">
        <v>893</v>
      </c>
      <c r="C54" s="1359" t="s">
        <v>894</v>
      </c>
      <c r="D54" s="771">
        <v>0</v>
      </c>
      <c r="E54" s="1303">
        <f t="shared" si="2"/>
        <v>0</v>
      </c>
      <c r="F54" s="58"/>
      <c r="G54" s="1304"/>
      <c r="H54" s="58"/>
      <c r="I54" s="1304"/>
      <c r="J54" s="1304"/>
      <c r="K54" s="1305">
        <f>J54</f>
        <v>0</v>
      </c>
      <c r="L54" s="18"/>
    </row>
    <row r="55" spans="1:12" ht="14.25">
      <c r="A55" s="63">
        <f t="shared" si="3"/>
        <v>26</v>
      </c>
      <c r="B55" s="1360" t="s">
        <v>895</v>
      </c>
      <c r="C55" s="1359" t="s">
        <v>896</v>
      </c>
      <c r="D55" s="771">
        <v>0</v>
      </c>
      <c r="E55" s="1303">
        <f t="shared" si="2"/>
        <v>0</v>
      </c>
      <c r="F55" s="58"/>
      <c r="G55" s="1304"/>
      <c r="H55" s="58"/>
      <c r="I55" s="1304"/>
      <c r="J55" s="1304"/>
      <c r="K55" s="1305">
        <f>J55</f>
        <v>0</v>
      </c>
      <c r="L55" s="18" t="s">
        <v>114</v>
      </c>
    </row>
    <row r="56" spans="1:12" ht="14.25">
      <c r="A56" s="63">
        <f t="shared" si="3"/>
        <v>27</v>
      </c>
      <c r="B56" s="1360" t="s">
        <v>897</v>
      </c>
      <c r="C56" s="1359" t="s">
        <v>898</v>
      </c>
      <c r="D56" s="771">
        <v>0</v>
      </c>
      <c r="E56" s="1303">
        <f t="shared" si="2"/>
        <v>0</v>
      </c>
      <c r="F56" s="58"/>
      <c r="G56" s="1304"/>
      <c r="H56" s="58"/>
      <c r="I56" s="1304"/>
      <c r="J56" s="1304"/>
      <c r="K56" s="1305"/>
      <c r="L56" s="18" t="s">
        <v>114</v>
      </c>
    </row>
    <row r="57" spans="1:12" ht="14.25">
      <c r="A57" s="63">
        <f>A56+1</f>
        <v>28</v>
      </c>
      <c r="B57" s="1360" t="s">
        <v>899</v>
      </c>
      <c r="C57" s="1359" t="s">
        <v>900</v>
      </c>
      <c r="D57" s="771">
        <v>146832406.322</v>
      </c>
      <c r="E57" s="1303">
        <f t="shared" si="2"/>
        <v>0</v>
      </c>
      <c r="F57" s="58"/>
      <c r="G57" s="1304"/>
      <c r="H57" s="58"/>
      <c r="I57" s="1304"/>
      <c r="J57" s="1304">
        <f>D57</f>
        <v>146832406.322</v>
      </c>
      <c r="K57" s="1305">
        <f>J57</f>
        <v>146832406.322</v>
      </c>
      <c r="L57" s="18" t="s">
        <v>908</v>
      </c>
    </row>
    <row r="58" spans="1:12" ht="14.25">
      <c r="A58" s="63">
        <f>A57+1</f>
        <v>29</v>
      </c>
      <c r="B58" s="1360" t="s">
        <v>901</v>
      </c>
      <c r="C58" s="1359" t="s">
        <v>902</v>
      </c>
      <c r="D58" s="771">
        <v>0</v>
      </c>
      <c r="E58" s="1303">
        <f t="shared" si="2"/>
        <v>0</v>
      </c>
      <c r="F58" s="58"/>
      <c r="G58" s="1304"/>
      <c r="H58" s="58"/>
      <c r="I58" s="1304"/>
      <c r="J58" s="1304"/>
      <c r="K58" s="1305"/>
      <c r="L58" s="18" t="s">
        <v>114</v>
      </c>
    </row>
    <row r="59" spans="1:12" ht="14.25">
      <c r="A59" s="63">
        <f>A58+1</f>
        <v>30</v>
      </c>
      <c r="B59" s="1360" t="s">
        <v>903</v>
      </c>
      <c r="C59" s="1359" t="s">
        <v>904</v>
      </c>
      <c r="D59" s="771">
        <v>-146832406.322</v>
      </c>
      <c r="E59" s="1303">
        <f t="shared" si="2"/>
        <v>-146832406.322</v>
      </c>
      <c r="F59" s="58"/>
      <c r="G59" s="1304"/>
      <c r="H59" s="58"/>
      <c r="I59" s="1304"/>
      <c r="J59" s="1304"/>
      <c r="K59" s="1305">
        <f>G59</f>
        <v>0</v>
      </c>
      <c r="L59" s="18" t="s">
        <v>967</v>
      </c>
    </row>
    <row r="60" spans="1:12" ht="14.25">
      <c r="A60" s="63">
        <f>A59+1</f>
        <v>31</v>
      </c>
      <c r="B60" s="1315"/>
      <c r="C60" s="770"/>
      <c r="D60" s="771"/>
      <c r="E60" s="1303"/>
      <c r="F60" s="58"/>
      <c r="G60" s="1304"/>
      <c r="H60" s="58"/>
      <c r="I60" s="1304"/>
      <c r="J60" s="1304"/>
      <c r="K60" s="1305"/>
      <c r="L60" s="18"/>
    </row>
    <row r="61" spans="1:12" ht="13.5" customHeight="1">
      <c r="A61" s="63">
        <f t="shared" si="3"/>
        <v>32</v>
      </c>
      <c r="B61" s="1315"/>
      <c r="C61" s="770"/>
      <c r="D61" s="771"/>
      <c r="E61" s="1303"/>
      <c r="F61" s="58"/>
      <c r="G61" s="1304"/>
      <c r="H61" s="58"/>
      <c r="I61" s="1304"/>
      <c r="J61" s="1304"/>
      <c r="K61" s="1305"/>
      <c r="L61" s="18"/>
    </row>
    <row r="62" spans="1:12" ht="15" thickBot="1">
      <c r="A62" s="63">
        <f t="shared" si="3"/>
        <v>33</v>
      </c>
      <c r="B62" s="772"/>
      <c r="C62" s="770"/>
      <c r="D62" s="771"/>
      <c r="E62" s="120"/>
      <c r="F62" s="58"/>
      <c r="G62" s="87"/>
      <c r="H62" s="58"/>
      <c r="I62" s="87"/>
      <c r="J62" s="87"/>
      <c r="K62" s="120"/>
      <c r="L62" s="18" t="s">
        <v>114</v>
      </c>
    </row>
    <row r="63" spans="1:12" ht="14.25">
      <c r="A63" s="63"/>
      <c r="B63" s="123"/>
      <c r="C63" s="28" t="s">
        <v>503</v>
      </c>
      <c r="D63" s="773">
        <f>SUM(D39:D62)</f>
        <v>24791236.683072656</v>
      </c>
      <c r="E63" s="182">
        <f>SUM(E39:E62)</f>
        <v>-310627320.21150166</v>
      </c>
      <c r="F63" s="58"/>
      <c r="G63" s="127">
        <f>SUM(G39:G62)</f>
        <v>0</v>
      </c>
      <c r="H63" s="58"/>
      <c r="I63" s="127">
        <f>SUM(I39:I62)</f>
        <v>19734262.825908303</v>
      </c>
      <c r="J63" s="127">
        <f>SUM(J39:J62)</f>
        <v>315684294.06866598</v>
      </c>
      <c r="K63" s="127">
        <f>SUM(K39:K62)</f>
        <v>335418556.89457428</v>
      </c>
    </row>
    <row r="64" spans="1:12">
      <c r="A64" s="63"/>
      <c r="B64" s="58"/>
      <c r="C64" s="58"/>
      <c r="D64" s="58"/>
      <c r="E64" s="66"/>
      <c r="F64" s="66"/>
      <c r="G64" s="58"/>
      <c r="H64" s="58"/>
      <c r="I64" s="58"/>
      <c r="J64" s="58"/>
      <c r="K64" s="128"/>
    </row>
    <row r="65" spans="1:12">
      <c r="A65" s="63"/>
    </row>
    <row r="66" spans="1:12" ht="18">
      <c r="A66" s="63"/>
      <c r="B66" s="1492" t="str">
        <f>"Prepayments Account 165 - Balance @ 12/31/"&amp;D68&amp;""</f>
        <v>Prepayments Account 165 - Balance @ 12/31/2023</v>
      </c>
      <c r="C66" s="1492"/>
      <c r="D66" s="1492"/>
      <c r="E66" s="1492"/>
      <c r="F66" s="1492"/>
      <c r="G66" s="1492"/>
      <c r="H66" s="1492"/>
      <c r="I66" s="1492"/>
      <c r="J66" s="1492"/>
      <c r="K66" s="69"/>
      <c r="L66" s="70"/>
    </row>
    <row r="67" spans="1:12">
      <c r="A67" s="63"/>
      <c r="B67" s="193"/>
      <c r="C67" s="194"/>
      <c r="D67" s="195"/>
      <c r="E67" s="9"/>
      <c r="F67" s="58"/>
      <c r="G67" s="9" t="s">
        <v>87</v>
      </c>
      <c r="H67" s="58"/>
      <c r="I67" s="7" t="s">
        <v>115</v>
      </c>
      <c r="J67" s="7" t="s">
        <v>115</v>
      </c>
      <c r="K67" s="7" t="s">
        <v>179</v>
      </c>
    </row>
    <row r="68" spans="1:12">
      <c r="A68" s="63"/>
      <c r="B68" s="193"/>
      <c r="C68" s="196"/>
      <c r="D68" s="7" t="str">
        <f>""&amp;TCOS!L4-1</f>
        <v>2023</v>
      </c>
      <c r="E68" s="7" t="s">
        <v>530</v>
      </c>
      <c r="F68" s="58"/>
      <c r="G68" s="7" t="s">
        <v>115</v>
      </c>
      <c r="H68" s="58"/>
      <c r="I68" s="7" t="s">
        <v>523</v>
      </c>
      <c r="J68" s="7" t="s">
        <v>161</v>
      </c>
      <c r="K68" s="7" t="s">
        <v>180</v>
      </c>
    </row>
    <row r="69" spans="1:12">
      <c r="A69" s="63">
        <f>A62+1</f>
        <v>34</v>
      </c>
      <c r="B69" s="12" t="s">
        <v>90</v>
      </c>
      <c r="C69" s="12" t="s">
        <v>167</v>
      </c>
      <c r="D69" s="12" t="s">
        <v>88</v>
      </c>
      <c r="E69" s="12" t="s">
        <v>502</v>
      </c>
      <c r="F69" s="58"/>
      <c r="G69" s="12" t="s">
        <v>524</v>
      </c>
      <c r="H69" s="58"/>
      <c r="I69" s="12" t="s">
        <v>524</v>
      </c>
      <c r="J69" s="12" t="s">
        <v>524</v>
      </c>
      <c r="K69" s="12" t="s">
        <v>525</v>
      </c>
      <c r="L69" s="12" t="s">
        <v>39</v>
      </c>
    </row>
    <row r="70" spans="1:12">
      <c r="A70" s="63"/>
      <c r="B70" s="123"/>
      <c r="C70" s="124"/>
      <c r="D70" s="124"/>
      <c r="E70" s="124"/>
      <c r="F70" s="58"/>
      <c r="G70" s="124"/>
      <c r="H70" s="58"/>
      <c r="I70" s="124"/>
      <c r="J70" s="124"/>
      <c r="K70" s="124"/>
    </row>
    <row r="71" spans="1:12" ht="14.25">
      <c r="A71" s="63">
        <f>+A69+1</f>
        <v>35</v>
      </c>
      <c r="B71" s="1358" t="s">
        <v>872</v>
      </c>
      <c r="C71" s="1359" t="s">
        <v>873</v>
      </c>
      <c r="D71" s="771">
        <v>5210793.8011213262</v>
      </c>
      <c r="E71" s="1303">
        <f>+D71-K71</f>
        <v>0</v>
      </c>
      <c r="F71" s="58"/>
      <c r="G71" s="1304"/>
      <c r="H71" s="58"/>
      <c r="I71" s="1304">
        <f>+D71</f>
        <v>5210793.8011213262</v>
      </c>
      <c r="J71" s="1304"/>
      <c r="K71" s="1304">
        <f t="shared" ref="K71:K84" si="4">+G71+I71+J71</f>
        <v>5210793.8011213262</v>
      </c>
      <c r="L71" t="s">
        <v>531</v>
      </c>
    </row>
    <row r="72" spans="1:12" ht="14.25">
      <c r="A72" s="63">
        <f t="shared" ref="A72:A94" si="5">+A71+1</f>
        <v>36</v>
      </c>
      <c r="B72" s="1360">
        <v>165000219</v>
      </c>
      <c r="C72" s="1359" t="s">
        <v>874</v>
      </c>
      <c r="D72" s="771">
        <v>0</v>
      </c>
      <c r="E72" s="1303">
        <f t="shared" ref="E72:E91" si="6">+D72-K72</f>
        <v>0</v>
      </c>
      <c r="F72" s="58"/>
      <c r="G72" s="1304"/>
      <c r="H72" s="58"/>
      <c r="I72" s="1304"/>
      <c r="J72" s="1304"/>
      <c r="K72" s="1304">
        <f t="shared" si="4"/>
        <v>0</v>
      </c>
      <c r="L72" s="58"/>
    </row>
    <row r="73" spans="1:12" ht="14.25">
      <c r="A73" s="63">
        <f t="shared" si="5"/>
        <v>37</v>
      </c>
      <c r="B73" s="1360">
        <v>165000220</v>
      </c>
      <c r="C73" s="1359" t="s">
        <v>874</v>
      </c>
      <c r="D73" s="771">
        <v>0</v>
      </c>
      <c r="E73" s="1303">
        <f t="shared" si="6"/>
        <v>0</v>
      </c>
      <c r="F73" s="58"/>
      <c r="G73" s="1304"/>
      <c r="H73" s="58"/>
      <c r="I73" s="1304">
        <v>0</v>
      </c>
      <c r="J73" s="1304"/>
      <c r="K73" s="1304">
        <f t="shared" si="4"/>
        <v>0</v>
      </c>
      <c r="L73" s="58" t="s">
        <v>1071</v>
      </c>
    </row>
    <row r="74" spans="1:12" ht="14.25">
      <c r="A74" s="63">
        <f t="shared" si="5"/>
        <v>38</v>
      </c>
      <c r="B74" s="1360">
        <v>165000221</v>
      </c>
      <c r="C74" s="1359" t="s">
        <v>874</v>
      </c>
      <c r="D74" s="771">
        <v>3204984.4585138094</v>
      </c>
      <c r="E74" s="1303">
        <f t="shared" si="6"/>
        <v>3204984.4585138094</v>
      </c>
      <c r="F74" s="58"/>
      <c r="G74" s="1304"/>
      <c r="H74" s="58"/>
      <c r="I74" s="1304"/>
      <c r="J74" s="1304"/>
      <c r="K74" s="1304">
        <f t="shared" si="4"/>
        <v>0</v>
      </c>
      <c r="L74" s="58" t="s">
        <v>963</v>
      </c>
    </row>
    <row r="75" spans="1:12" ht="14.25">
      <c r="A75" s="63">
        <f t="shared" si="5"/>
        <v>39</v>
      </c>
      <c r="B75" s="1361" t="s">
        <v>875</v>
      </c>
      <c r="C75" s="1359" t="s">
        <v>876</v>
      </c>
      <c r="D75" s="771">
        <v>39966.937112141008</v>
      </c>
      <c r="E75" s="1303">
        <f t="shared" si="6"/>
        <v>39966.937112141008</v>
      </c>
      <c r="F75" s="58"/>
      <c r="G75" s="1304"/>
      <c r="H75" s="58"/>
      <c r="I75" s="1304"/>
      <c r="J75" s="1304"/>
      <c r="K75" s="1304">
        <f t="shared" si="4"/>
        <v>0</v>
      </c>
      <c r="L75" s="6" t="s">
        <v>876</v>
      </c>
    </row>
    <row r="76" spans="1:12" ht="14.25">
      <c r="A76" s="63">
        <f t="shared" si="5"/>
        <v>40</v>
      </c>
      <c r="B76" s="1358" t="s">
        <v>877</v>
      </c>
      <c r="C76" s="1359" t="s">
        <v>878</v>
      </c>
      <c r="D76" s="771">
        <v>994354.76997939334</v>
      </c>
      <c r="E76" s="1303">
        <f t="shared" si="6"/>
        <v>994354.76997939334</v>
      </c>
      <c r="F76" s="58"/>
      <c r="G76" s="1305"/>
      <c r="H76" s="58"/>
      <c r="I76" s="1305"/>
      <c r="J76" s="1305"/>
      <c r="K76" s="1305">
        <f t="shared" si="4"/>
        <v>0</v>
      </c>
      <c r="L76" s="18" t="s">
        <v>964</v>
      </c>
    </row>
    <row r="77" spans="1:12" ht="14.25">
      <c r="A77" s="63">
        <f t="shared" si="5"/>
        <v>41</v>
      </c>
      <c r="B77" s="1358" t="s">
        <v>879</v>
      </c>
      <c r="C77" s="1359" t="s">
        <v>880</v>
      </c>
      <c r="D77" s="771">
        <v>778418.52482691605</v>
      </c>
      <c r="E77" s="1303">
        <f t="shared" si="6"/>
        <v>778418.52482691605</v>
      </c>
      <c r="F77" s="58"/>
      <c r="G77" s="1304"/>
      <c r="H77" s="58"/>
      <c r="I77" s="1304"/>
      <c r="J77" s="1304"/>
      <c r="K77" s="1305">
        <f t="shared" si="4"/>
        <v>0</v>
      </c>
      <c r="L77" s="18" t="s">
        <v>905</v>
      </c>
    </row>
    <row r="78" spans="1:12" ht="14.25">
      <c r="A78" s="63">
        <f t="shared" si="5"/>
        <v>42</v>
      </c>
      <c r="B78" s="1361" t="s">
        <v>974</v>
      </c>
      <c r="C78" s="1359" t="s">
        <v>975</v>
      </c>
      <c r="D78" s="771">
        <v>0</v>
      </c>
      <c r="E78" s="1303">
        <f t="shared" si="6"/>
        <v>0</v>
      </c>
      <c r="F78" s="58"/>
      <c r="G78" s="1304"/>
      <c r="H78" s="58"/>
      <c r="I78" s="1304"/>
      <c r="J78" s="1304"/>
      <c r="K78" s="1305">
        <f t="shared" si="4"/>
        <v>0</v>
      </c>
      <c r="L78" s="5" t="s">
        <v>965</v>
      </c>
    </row>
    <row r="79" spans="1:12" ht="14.25">
      <c r="A79" s="63">
        <f t="shared" si="5"/>
        <v>43</v>
      </c>
      <c r="B79" s="1362" t="s">
        <v>881</v>
      </c>
      <c r="C79" s="1359" t="s">
        <v>976</v>
      </c>
      <c r="D79" s="771">
        <v>152360887.74666601</v>
      </c>
      <c r="E79" s="1303">
        <f t="shared" si="6"/>
        <v>0</v>
      </c>
      <c r="F79" s="58"/>
      <c r="G79" s="1304"/>
      <c r="H79" s="58"/>
      <c r="I79" s="1304"/>
      <c r="J79" s="1304">
        <f>D79</f>
        <v>152360887.74666601</v>
      </c>
      <c r="K79" s="1305">
        <f t="shared" si="4"/>
        <v>152360887.74666601</v>
      </c>
      <c r="L79" s="5" t="s">
        <v>966</v>
      </c>
    </row>
    <row r="80" spans="1:12" ht="14.25">
      <c r="A80" s="63">
        <f t="shared" si="5"/>
        <v>44</v>
      </c>
      <c r="B80" s="1362" t="s">
        <v>883</v>
      </c>
      <c r="C80" s="1359" t="s">
        <v>884</v>
      </c>
      <c r="D80" s="771">
        <v>-152360887.74666601</v>
      </c>
      <c r="E80" s="1303">
        <f t="shared" si="6"/>
        <v>-152360887.74666601</v>
      </c>
      <c r="F80" s="58"/>
      <c r="G80" s="1305"/>
      <c r="H80" s="58"/>
      <c r="I80" s="1305"/>
      <c r="J80" s="1305"/>
      <c r="K80" s="1305">
        <f t="shared" si="4"/>
        <v>0</v>
      </c>
      <c r="L80" s="18" t="s">
        <v>967</v>
      </c>
    </row>
    <row r="81" spans="1:12" ht="14.25">
      <c r="A81" s="63">
        <f t="shared" si="5"/>
        <v>45</v>
      </c>
      <c r="B81" s="1360">
        <v>165001221</v>
      </c>
      <c r="C81" s="1359" t="s">
        <v>882</v>
      </c>
      <c r="D81" s="771">
        <v>39249.166732107442</v>
      </c>
      <c r="E81" s="1303">
        <f t="shared" si="6"/>
        <v>39249.166732107442</v>
      </c>
      <c r="F81" s="58"/>
      <c r="G81" s="1305"/>
      <c r="H81" s="58"/>
      <c r="I81" s="1305"/>
      <c r="J81" s="1305"/>
      <c r="K81" s="1305">
        <f t="shared" si="4"/>
        <v>0</v>
      </c>
      <c r="L81" s="18" t="s">
        <v>906</v>
      </c>
    </row>
    <row r="82" spans="1:12" ht="14.25">
      <c r="A82" s="63">
        <f t="shared" si="5"/>
        <v>46</v>
      </c>
      <c r="B82" s="1360" t="s">
        <v>885</v>
      </c>
      <c r="C82" s="1359" t="s">
        <v>886</v>
      </c>
      <c r="D82" s="771">
        <v>0</v>
      </c>
      <c r="E82" s="1303">
        <f t="shared" si="6"/>
        <v>0</v>
      </c>
      <c r="F82" s="58"/>
      <c r="G82" s="1305"/>
      <c r="H82" s="58"/>
      <c r="I82" s="1305"/>
      <c r="J82" s="1305"/>
      <c r="K82" s="1305">
        <f t="shared" si="4"/>
        <v>0</v>
      </c>
      <c r="L82" s="18" t="s">
        <v>114</v>
      </c>
    </row>
    <row r="83" spans="1:12" ht="14.25">
      <c r="A83" s="63">
        <f t="shared" si="5"/>
        <v>47</v>
      </c>
      <c r="B83" s="1360" t="s">
        <v>887</v>
      </c>
      <c r="C83" s="1359" t="s">
        <v>888</v>
      </c>
      <c r="D83" s="771">
        <v>5008534.5769381654</v>
      </c>
      <c r="E83" s="1303">
        <f t="shared" si="6"/>
        <v>0</v>
      </c>
      <c r="F83" s="58"/>
      <c r="G83" s="1305"/>
      <c r="H83" s="58"/>
      <c r="I83" s="1305">
        <f>D83</f>
        <v>5008534.5769381654</v>
      </c>
      <c r="J83" s="1305"/>
      <c r="K83" s="1305">
        <f t="shared" si="4"/>
        <v>5008534.5769381654</v>
      </c>
      <c r="L83" s="18" t="s">
        <v>907</v>
      </c>
    </row>
    <row r="84" spans="1:12" ht="14.25">
      <c r="A84" s="63">
        <f t="shared" si="5"/>
        <v>48</v>
      </c>
      <c r="B84" s="1360" t="s">
        <v>889</v>
      </c>
      <c r="C84" s="1359" t="s">
        <v>890</v>
      </c>
      <c r="D84" s="771">
        <v>857652.33887510677</v>
      </c>
      <c r="E84" s="1303">
        <f t="shared" si="6"/>
        <v>0</v>
      </c>
      <c r="F84" s="58"/>
      <c r="G84" s="1304"/>
      <c r="H84" s="58"/>
      <c r="I84" s="1304">
        <f>D84</f>
        <v>857652.33887510677</v>
      </c>
      <c r="J84" s="1304"/>
      <c r="K84" s="1305">
        <f t="shared" si="4"/>
        <v>857652.33887510677</v>
      </c>
      <c r="L84" s="18" t="s">
        <v>595</v>
      </c>
    </row>
    <row r="85" spans="1:12" ht="14.25">
      <c r="A85" s="63">
        <f t="shared" si="5"/>
        <v>49</v>
      </c>
      <c r="B85" s="1360" t="s">
        <v>891</v>
      </c>
      <c r="C85" s="1359" t="s">
        <v>892</v>
      </c>
      <c r="D85" s="771">
        <v>0</v>
      </c>
      <c r="E85" s="1303">
        <f t="shared" si="6"/>
        <v>0</v>
      </c>
      <c r="F85" s="58"/>
      <c r="G85" s="1304"/>
      <c r="H85" s="58"/>
      <c r="I85" s="1304"/>
      <c r="J85" s="1304"/>
      <c r="K85" s="1305">
        <f>J85</f>
        <v>0</v>
      </c>
      <c r="L85" s="18" t="s">
        <v>114</v>
      </c>
    </row>
    <row r="86" spans="1:12" ht="14.25">
      <c r="A86" s="63">
        <f t="shared" si="5"/>
        <v>50</v>
      </c>
      <c r="B86" s="1360" t="s">
        <v>893</v>
      </c>
      <c r="C86" s="1359" t="s">
        <v>894</v>
      </c>
      <c r="D86" s="771">
        <v>0</v>
      </c>
      <c r="E86" s="1303">
        <f t="shared" si="6"/>
        <v>0</v>
      </c>
      <c r="F86" s="58"/>
      <c r="G86" s="1304"/>
      <c r="H86" s="58"/>
      <c r="I86" s="1304"/>
      <c r="J86" s="1304"/>
      <c r="K86" s="1305">
        <f>J86</f>
        <v>0</v>
      </c>
      <c r="L86" s="18"/>
    </row>
    <row r="87" spans="1:12" ht="14.25">
      <c r="A87" s="63">
        <f t="shared" si="5"/>
        <v>51</v>
      </c>
      <c r="B87" s="1360" t="s">
        <v>895</v>
      </c>
      <c r="C87" s="1359" t="s">
        <v>896</v>
      </c>
      <c r="D87" s="771">
        <v>0</v>
      </c>
      <c r="E87" s="1303">
        <f t="shared" si="6"/>
        <v>0</v>
      </c>
      <c r="F87" s="58"/>
      <c r="G87" s="1304"/>
      <c r="H87" s="58"/>
      <c r="I87" s="1304"/>
      <c r="J87" s="1304"/>
      <c r="K87" s="1305">
        <f>J87</f>
        <v>0</v>
      </c>
      <c r="L87" s="18" t="s">
        <v>114</v>
      </c>
    </row>
    <row r="88" spans="1:12" ht="14.25">
      <c r="A88" s="63">
        <f>A87+1</f>
        <v>52</v>
      </c>
      <c r="B88" s="1360" t="s">
        <v>897</v>
      </c>
      <c r="C88" s="1359" t="s">
        <v>898</v>
      </c>
      <c r="D88" s="771">
        <v>0</v>
      </c>
      <c r="E88" s="1303">
        <f t="shared" si="6"/>
        <v>0</v>
      </c>
      <c r="F88" s="58"/>
      <c r="G88" s="1304"/>
      <c r="H88" s="58"/>
      <c r="I88" s="1304"/>
      <c r="J88" s="1304"/>
      <c r="K88" s="1305"/>
      <c r="L88" s="18" t="s">
        <v>114</v>
      </c>
    </row>
    <row r="89" spans="1:12" ht="14.25">
      <c r="A89" s="63">
        <f>A88+1</f>
        <v>53</v>
      </c>
      <c r="B89" s="1360" t="s">
        <v>899</v>
      </c>
      <c r="C89" s="1359" t="s">
        <v>900</v>
      </c>
      <c r="D89" s="771">
        <v>146832406.322</v>
      </c>
      <c r="E89" s="1303">
        <f t="shared" si="6"/>
        <v>0</v>
      </c>
      <c r="F89" s="58"/>
      <c r="G89" s="1304"/>
      <c r="H89" s="58"/>
      <c r="I89" s="1304"/>
      <c r="J89" s="1304">
        <f>D89</f>
        <v>146832406.322</v>
      </c>
      <c r="K89" s="1305">
        <f>J89</f>
        <v>146832406.322</v>
      </c>
      <c r="L89" s="18" t="s">
        <v>908</v>
      </c>
    </row>
    <row r="90" spans="1:12" ht="14.25">
      <c r="A90" s="63">
        <f>A89+1</f>
        <v>54</v>
      </c>
      <c r="B90" s="1360" t="s">
        <v>901</v>
      </c>
      <c r="C90" s="1359" t="s">
        <v>902</v>
      </c>
      <c r="D90" s="771">
        <v>0</v>
      </c>
      <c r="E90" s="1303">
        <f t="shared" si="6"/>
        <v>0</v>
      </c>
      <c r="F90" s="58"/>
      <c r="G90" s="1304"/>
      <c r="H90" s="58"/>
      <c r="I90" s="1304"/>
      <c r="J90" s="1304"/>
      <c r="K90" s="1305"/>
      <c r="L90" s="18" t="s">
        <v>114</v>
      </c>
    </row>
    <row r="91" spans="1:12" ht="14.25">
      <c r="A91" s="63">
        <f>A90+1</f>
        <v>55</v>
      </c>
      <c r="B91" s="1360" t="s">
        <v>903</v>
      </c>
      <c r="C91" s="1359" t="s">
        <v>904</v>
      </c>
      <c r="D91" s="771">
        <v>-146832406.322</v>
      </c>
      <c r="E91" s="1303">
        <f t="shared" si="6"/>
        <v>-146832406.322</v>
      </c>
      <c r="F91" s="58"/>
      <c r="G91" s="1304"/>
      <c r="H91" s="58"/>
      <c r="I91" s="1304"/>
      <c r="J91" s="1304"/>
      <c r="K91" s="1305">
        <f>G91</f>
        <v>0</v>
      </c>
      <c r="L91" s="18" t="s">
        <v>967</v>
      </c>
    </row>
    <row r="92" spans="1:12" ht="14.25">
      <c r="A92" s="63">
        <f t="shared" si="5"/>
        <v>56</v>
      </c>
      <c r="B92" s="1315"/>
      <c r="C92" s="770"/>
      <c r="D92" s="771"/>
      <c r="E92" s="1303"/>
      <c r="F92" s="58"/>
      <c r="G92" s="1304"/>
      <c r="H92" s="58"/>
      <c r="I92" s="1304"/>
      <c r="J92" s="1304"/>
      <c r="K92" s="1305"/>
      <c r="L92" s="18"/>
    </row>
    <row r="93" spans="1:12" ht="14.25">
      <c r="A93" s="63">
        <f t="shared" si="5"/>
        <v>57</v>
      </c>
      <c r="B93" s="1315"/>
      <c r="C93" s="770"/>
      <c r="D93" s="771"/>
      <c r="E93" s="1303"/>
      <c r="F93" s="58"/>
      <c r="G93" s="1304"/>
      <c r="H93" s="58"/>
      <c r="I93" s="1304"/>
      <c r="J93" s="1304"/>
      <c r="K93" s="1305"/>
      <c r="L93" s="18"/>
    </row>
    <row r="94" spans="1:12" ht="14.25">
      <c r="A94" s="63">
        <f t="shared" si="5"/>
        <v>58</v>
      </c>
      <c r="B94" s="772"/>
      <c r="C94" s="770"/>
      <c r="D94" s="771"/>
      <c r="E94" s="120"/>
      <c r="F94" s="58"/>
      <c r="G94" s="87"/>
      <c r="H94" s="58"/>
      <c r="I94" s="87"/>
      <c r="J94" s="87"/>
      <c r="K94" s="1305"/>
      <c r="L94" s="18"/>
    </row>
    <row r="95" spans="1:12" ht="13.5" thickBot="1">
      <c r="A95" s="63"/>
      <c r="B95" s="23"/>
      <c r="C95" s="23"/>
      <c r="D95" s="120"/>
      <c r="E95" s="84"/>
      <c r="F95" s="58"/>
      <c r="G95" s="87"/>
      <c r="H95" s="58"/>
      <c r="I95" s="87"/>
      <c r="J95" s="87"/>
      <c r="K95" s="87"/>
    </row>
    <row r="96" spans="1:12" ht="14.25">
      <c r="A96" s="63"/>
      <c r="B96" s="123"/>
      <c r="C96" s="28" t="s">
        <v>383</v>
      </c>
      <c r="D96" s="773">
        <f>IF(SUM(D71:D95)=0,"",SUM(D71:D95))</f>
        <v>16133954.574098945</v>
      </c>
      <c r="E96" s="182">
        <f>IF(SUM(E71:E95)=0,"",SUM(E71:E95))</f>
        <v>-294136320.21150166</v>
      </c>
      <c r="F96" s="58"/>
      <c r="G96" s="127" t="str">
        <f>IF(SUM(G71:G95)=0,"",SUM(G71:G95))</f>
        <v/>
      </c>
      <c r="H96" s="58"/>
      <c r="I96" s="127">
        <f>IF(SUM(I71:I95)=0,"",SUM(I71:I95))</f>
        <v>11076980.716934599</v>
      </c>
      <c r="J96" s="127">
        <f>IF(SUM(J71:J95)=0,"",SUM(J71:J95))</f>
        <v>299193294.06866598</v>
      </c>
      <c r="K96" s="127">
        <f>IF(SUM(K71:K95)=0,"",SUM(K71:K95))</f>
        <v>310270274.7856006</v>
      </c>
    </row>
    <row r="97" spans="1:12">
      <c r="A97" s="63"/>
      <c r="B97" s="63"/>
    </row>
    <row r="98" spans="1:12" ht="18.75" customHeight="1">
      <c r="A98" s="63" t="s">
        <v>634</v>
      </c>
      <c r="B98" s="1491" t="s">
        <v>827</v>
      </c>
      <c r="C98" s="1491"/>
      <c r="D98" s="1491"/>
      <c r="E98" s="1491"/>
      <c r="F98" s="1491"/>
      <c r="G98" s="1491"/>
      <c r="H98" s="1491"/>
      <c r="I98" s="1491"/>
      <c r="J98" s="1491"/>
      <c r="K98" s="1491"/>
      <c r="L98" s="1491"/>
    </row>
    <row r="99" spans="1:12" ht="18.75" customHeight="1">
      <c r="A99" s="5"/>
      <c r="B99" s="1491"/>
      <c r="C99" s="1491"/>
      <c r="D99" s="1491"/>
      <c r="E99" s="1491"/>
      <c r="F99" s="1491"/>
      <c r="G99" s="1491"/>
      <c r="H99" s="1491"/>
      <c r="I99" s="1491"/>
      <c r="J99" s="1491"/>
      <c r="K99" s="1491"/>
      <c r="L99" s="1491"/>
    </row>
  </sheetData>
  <mergeCells count="12">
    <mergeCell ref="B10:K10"/>
    <mergeCell ref="A3:L3"/>
    <mergeCell ref="A4:L4"/>
    <mergeCell ref="A5:L5"/>
    <mergeCell ref="A6:L6"/>
    <mergeCell ref="B98:L99"/>
    <mergeCell ref="B66:J66"/>
    <mergeCell ref="B24:K24"/>
    <mergeCell ref="E12:E13"/>
    <mergeCell ref="I12:I13"/>
    <mergeCell ref="B34:J34"/>
    <mergeCell ref="G12:G13"/>
  </mergeCells>
  <phoneticPr fontId="3" type="noConversion"/>
  <pageMargins left="1.08" right="0.75" top="1" bottom="0.41" header="0.86" footer="0.27"/>
  <pageSetup scale="37"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DM6MD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57878614-C649-44EE-BC18-6741B4E4F6D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A82A274-0E0D-4EA0-925E-09B205BF74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4</vt:i4>
      </vt:variant>
    </vt:vector>
  </HeadingPairs>
  <TitlesOfParts>
    <vt:vector size="35"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 Q NITS</vt:lpstr>
      <vt:lpstr>WS Q Schedule 12</vt:lpstr>
      <vt:lpstr>WSQ Schedule 1A</vt:lpstr>
      <vt:lpstr>TCOS!Print_Area</vt:lpstr>
      <vt:lpstr>'WS B-3-A'!Print_Area</vt:lpstr>
      <vt:lpstr>'WS G  State Tax Rate'!Print_Area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2023-10-31T11:25:47Z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06a4419f-9f91-4393-b846-f19c0c1c5f6f</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{57878614-C649-44EE-BC18-6741B4E4F6D1}</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