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userName="s273689" algorithmName="SHA-512" hashValue="piRVd1UW64e0TyZG+kFh1UcIQ47nrqf1UcV9jm5B9PdqGz+blLsIr4UG/Pd2NwQpGoFbS9VZoSXF1UU9RZMMlg==" saltValue="F3frYvZlR4HZz0RyaFKkSw==" spinCount="100000"/>
  <workbookPr filterPrivacy="1" showInkAnnotation="0" codeName="ThisWorkbook" defaultThemeVersion="124226"/>
  <xr:revisionPtr revIDLastSave="0" documentId="8_{50E08B98-8A5E-43F8-B3B0-2A51394F26DD}" xr6:coauthVersionLast="47" xr6:coauthVersionMax="47" xr10:uidLastSave="{00000000-0000-0000-0000-000000000000}"/>
  <bookViews>
    <workbookView xWindow="28680" yWindow="-120" windowWidth="29040" windowHeight="1572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2" r:id="rId7"/>
    <sheet name="WS C  - Working Capital" sheetId="6" r:id="rId8"/>
    <sheet name="WS D IPP Credits" sheetId="7" r:id="rId9"/>
    <sheet name="WS E Rev Credits" sheetId="8" r:id="rId10"/>
    <sheet name="WS F Misc Exp" sheetId="9" r:id="rId11"/>
    <sheet name="WS G  State Tax Rate" sheetId="10" r:id="rId12"/>
    <sheet name="WS H Other Taxes" sheetId="11" r:id="rId13"/>
    <sheet name="WS H-1-Detail of Tax Amts" sheetId="30" r:id="rId14"/>
    <sheet name="WS I Reserved" sheetId="12" r:id="rId15"/>
    <sheet name="WS J PROJECTED RTEP RR" sheetId="20" state="hidden" r:id="rId16"/>
    <sheet name="WS K TRUE-UP RTEP RR" sheetId="13" r:id="rId17"/>
    <sheet name="WS L Reserved" sheetId="14" r:id="rId18"/>
    <sheet name="WS M - Cost of Capital" sheetId="41" r:id="rId19"/>
    <sheet name="WS N - Sale of Plant Held" sheetId="21" r:id="rId20"/>
    <sheet name="WS O - PBOP" sheetId="48" r:id="rId21"/>
    <sheet name="APCo - WS P Dep. Rates" sheetId="31" r:id="rId22"/>
    <sheet name="IMC - WS P Dep. Rates" sheetId="51" r:id="rId23"/>
    <sheet name="KGP - WS P Dep. Rates" sheetId="43" r:id="rId24"/>
    <sheet name="KPC - WS P Dep. Rates" sheetId="44" r:id="rId25"/>
    <sheet name="OPC - WS P Dep. Rates" sheetId="45" r:id="rId26"/>
    <sheet name="WPC-WS P Dep. Rates" sheetId="46" r:id="rId27"/>
    <sheet name="KgPCO WS Q Interest" sheetId="32" r:id="rId28"/>
    <sheet name="KgPCO WS Q Interest (2)" sheetId="49" r:id="rId29"/>
  </sheets>
  <definedNames>
    <definedName name="_NPh1" localSheetId="22">#REF!</definedName>
    <definedName name="_NPh1" localSheetId="6">#REF!</definedName>
    <definedName name="_NPh1">#REF!</definedName>
    <definedName name="ActExcessAmt" localSheetId="22">#REF!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 localSheetId="6">#REF!</definedName>
    <definedName name="HEADA">#REF!</definedName>
    <definedName name="HEADB" localSheetId="6">#REF!</definedName>
    <definedName name="HEADB">#REF!</definedName>
    <definedName name="HEADC" localSheetId="6">#REF!</definedName>
    <definedName name="HEADC">#REF!</definedName>
    <definedName name="HEADD" localSheetId="6">#REF!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#REF!</definedName>
    <definedName name="NP_h">#REF!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 localSheetId="6">#REF!</definedName>
    <definedName name="PAGEA">#REF!</definedName>
    <definedName name="PAGEB" localSheetId="6">#REF!</definedName>
    <definedName name="PAGEB">#REF!</definedName>
    <definedName name="PAGEC" localSheetId="6">#REF!</definedName>
    <definedName name="PAGEC">#REF!</definedName>
    <definedName name="PAGED" localSheetId="6">#REF!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22">#REF!</definedName>
    <definedName name="_xlnm.Print_Area" localSheetId="27">'KgPCO WS Q Interest'!$A$1:$K$62</definedName>
    <definedName name="_xlnm.Print_Area" localSheetId="0">TCOS!$A$1:$L$374</definedName>
    <definedName name="_xlnm.Print_Area" localSheetId="26">'WPC-WS P Dep. Rates'!#REF!</definedName>
    <definedName name="_xlnm.Print_Area" localSheetId="5">'WS B-3'!$A$1:$R$55</definedName>
    <definedName name="_xlnm.Print_Area" localSheetId="6">'WS B-3-A'!$A$1:$N$59</definedName>
    <definedName name="_xlnm.Print_Area" localSheetId="8">'WS D IPP Credits'!$A$1:$G$29</definedName>
    <definedName name="_xlnm.Print_Area" localSheetId="14">'WS I Reserved'!$A$1:$J$58</definedName>
    <definedName name="_xlnm.Print_Area" localSheetId="19">'WS N - Sale of Plant Held'!$A$1:$U$38</definedName>
    <definedName name="_xlnm.Print_Area" localSheetId="20">'WS O - PBOP'!$A$1:$K$58</definedName>
    <definedName name="_xlnm.Print_Area">#REF!</definedName>
    <definedName name="_xlnm.Print_Titles" localSheetId="26">'WPC-WS P Dep. Rates'!#REF!</definedName>
    <definedName name="PRVCNT" localSheetId="22">#REF!</definedName>
    <definedName name="PRVCNT" localSheetId="6">#REF!</definedName>
    <definedName name="PRVCNT">#REF!</definedName>
    <definedName name="PRVDATE" localSheetId="22">#REF!</definedName>
    <definedName name="PRVDATE" localSheetId="6">#REF!</definedName>
    <definedName name="PRVDATE">#REF!</definedName>
    <definedName name="PRVFUEL" localSheetId="22">#REF!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7" hidden="1">'WS C  - Working Capital'!$A$10:$N$81</definedName>
    <definedName name="Z_3768C7C8_9953_11DA_B318_000FB55D51DC_.wvu.PrintTitles" localSheetId="7" hidden="1">'WS C  - Working Capital'!#REF!</definedName>
    <definedName name="Z_3768C7C8_9953_11DA_B318_000FB55D51DC_.wvu.Rows" localSheetId="7" hidden="1">'WS C  - Working Capital'!#REF!</definedName>
    <definedName name="Z_3BDD6235_B127_4929_8311_BDAF7BB89818_.wvu.PrintArea" localSheetId="7" hidden="1">'WS C  - Working Capital'!$A$10:$N$81</definedName>
    <definedName name="Z_3BDD6235_B127_4929_8311_BDAF7BB89818_.wvu.PrintTitles" localSheetId="7" hidden="1">'WS C  - Working Capital'!#REF!</definedName>
    <definedName name="Z_3BDD6235_B127_4929_8311_BDAF7BB89818_.wvu.Rows" localSheetId="7" hidden="1">'WS C  - Working Capital'!#REF!</definedName>
    <definedName name="Z_B0241363_5C8A_48FC_89A6_56D55586BABE_.wvu.PrintArea" localSheetId="7" hidden="1">'WS C  - Working Capital'!$A$10:$N$81</definedName>
    <definedName name="Z_B0241363_5C8A_48FC_89A6_56D55586BABE_.wvu.PrintTitles" localSheetId="7" hidden="1">'WS C  - Working Capital'!#REF!</definedName>
    <definedName name="Z_B0241363_5C8A_48FC_89A6_56D55586BABE_.wvu.Rows" localSheetId="7" hidden="1">'WS C  - Working Capital'!#REF!</definedName>
    <definedName name="Z_C0EA0F9F_7310_4201_82C9_7B8FC8DB9137_.wvu.PrintArea" localSheetId="7" hidden="1">'WS C  - Working Capital'!$A$10:$N$81</definedName>
    <definedName name="Z_C0EA0F9F_7310_4201_82C9_7B8FC8DB9137_.wvu.PrintTitles" localSheetId="7" hidden="1">'WS C  - Working Capital'!#REF!</definedName>
    <definedName name="Z_C0EA0F9F_7310_4201_82C9_7B8FC8DB9137_.wvu.Rows" localSheetId="7" hidden="1">'WS C  - Working Capital'!#REF!</definedName>
    <definedName name="Z_C5140E12_E05E_4473_9142_42F37320A417_.wvu.Cols" localSheetId="13" hidden="1">'WS H-1-Detail of Tax Amts'!#REF!</definedName>
    <definedName name="Z_C5140E12_E05E_4473_9142_42F37320A417_.wvu.PrintArea" localSheetId="13" hidden="1">'WS H-1-Detail of Tax Amts'!$A$3:$F$117</definedName>
    <definedName name="Z_C5140E12_E05E_4473_9142_42F37320A417_.wvu.PrintArea" localSheetId="15" hidden="1">'WS J PROJECTED RTEP RR'!$A$3:$O$81</definedName>
    <definedName name="Z_C5140E12_E05E_4473_9142_42F37320A417_.wvu.PrintTitles" localSheetId="13" hidden="1">'WS H-1-Detail of Tax Amts'!$3:$7</definedName>
    <definedName name="Zip" localSheetId="22">#REF!</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5" i="30" l="1"/>
  <c r="G142" i="2" l="1"/>
  <c r="J79" i="39" l="1"/>
  <c r="K79" i="39"/>
  <c r="I79" i="39"/>
  <c r="C79" i="39"/>
  <c r="D79" i="39" l="1"/>
  <c r="G79" i="39" s="1"/>
  <c r="K111" i="38"/>
  <c r="J111" i="38"/>
  <c r="I111" i="38"/>
  <c r="D111" i="38"/>
  <c r="C111" i="38"/>
  <c r="K110" i="38"/>
  <c r="J110" i="38"/>
  <c r="I110" i="38"/>
  <c r="D110" i="38"/>
  <c r="C110" i="38"/>
  <c r="K109" i="38"/>
  <c r="J109" i="38"/>
  <c r="I109" i="38"/>
  <c r="D109" i="38"/>
  <c r="C109" i="38"/>
  <c r="K108" i="38"/>
  <c r="J108" i="38"/>
  <c r="I108" i="38"/>
  <c r="D108" i="38"/>
  <c r="C108" i="38"/>
  <c r="K107" i="38"/>
  <c r="J107" i="38"/>
  <c r="I107" i="38"/>
  <c r="D107" i="38"/>
  <c r="C107" i="38"/>
  <c r="K106" i="38"/>
  <c r="J106" i="38"/>
  <c r="I106" i="38"/>
  <c r="D106" i="38"/>
  <c r="C106" i="38"/>
  <c r="K105" i="38"/>
  <c r="J105" i="38"/>
  <c r="I105" i="38"/>
  <c r="D105" i="38"/>
  <c r="C105" i="38"/>
  <c r="K104" i="38"/>
  <c r="J104" i="38"/>
  <c r="I104" i="38"/>
  <c r="D104" i="38"/>
  <c r="C104" i="38"/>
  <c r="K103" i="38"/>
  <c r="J103" i="38"/>
  <c r="I103" i="38"/>
  <c r="D103" i="38"/>
  <c r="C103" i="38"/>
  <c r="K102" i="38"/>
  <c r="J102" i="38"/>
  <c r="I102" i="38"/>
  <c r="D102" i="38"/>
  <c r="C102" i="38"/>
  <c r="K101" i="38"/>
  <c r="J101" i="38"/>
  <c r="I101" i="38"/>
  <c r="D101" i="38"/>
  <c r="C101" i="38"/>
  <c r="K100" i="38"/>
  <c r="J100" i="38"/>
  <c r="I100" i="38"/>
  <c r="D100" i="38"/>
  <c r="C100" i="38"/>
  <c r="K99" i="38"/>
  <c r="J99" i="38"/>
  <c r="I99" i="38"/>
  <c r="D99" i="38"/>
  <c r="C99" i="38"/>
  <c r="K98" i="38"/>
  <c r="J98" i="38"/>
  <c r="I98" i="38"/>
  <c r="D98" i="38"/>
  <c r="C98" i="38"/>
  <c r="K97" i="38"/>
  <c r="J97" i="38"/>
  <c r="I97" i="38"/>
  <c r="D97" i="38"/>
  <c r="C97" i="38"/>
  <c r="K63" i="38"/>
  <c r="J63" i="38"/>
  <c r="I63" i="38"/>
  <c r="D63" i="38"/>
  <c r="C63" i="38"/>
  <c r="K62" i="38"/>
  <c r="J62" i="38"/>
  <c r="I62" i="38"/>
  <c r="D62" i="38"/>
  <c r="C62" i="38"/>
  <c r="K61" i="38"/>
  <c r="J61" i="38"/>
  <c r="I61" i="38"/>
  <c r="D61" i="38"/>
  <c r="C61" i="38"/>
  <c r="K60" i="38"/>
  <c r="J60" i="38"/>
  <c r="I60" i="38"/>
  <c r="D60" i="38"/>
  <c r="C60" i="38"/>
  <c r="K59" i="38"/>
  <c r="J59" i="38"/>
  <c r="I59" i="38"/>
  <c r="D59" i="38"/>
  <c r="C59" i="38"/>
  <c r="K58" i="38"/>
  <c r="J58" i="38"/>
  <c r="I58" i="38"/>
  <c r="D58" i="38"/>
  <c r="C58" i="38"/>
  <c r="K57" i="38"/>
  <c r="J57" i="38"/>
  <c r="I57" i="38"/>
  <c r="D57" i="38"/>
  <c r="C57" i="38"/>
  <c r="K56" i="38"/>
  <c r="J56" i="38"/>
  <c r="I56" i="38"/>
  <c r="D56" i="38"/>
  <c r="C56" i="38"/>
  <c r="K55" i="38"/>
  <c r="J55" i="38"/>
  <c r="I55" i="38"/>
  <c r="D55" i="38"/>
  <c r="C55" i="38"/>
  <c r="K54" i="38"/>
  <c r="J54" i="38"/>
  <c r="I54" i="38"/>
  <c r="D54" i="38"/>
  <c r="C54" i="38"/>
  <c r="K53" i="38"/>
  <c r="J53" i="38"/>
  <c r="I53" i="38"/>
  <c r="D53" i="38"/>
  <c r="C53" i="38"/>
  <c r="K52" i="38"/>
  <c r="J52" i="38"/>
  <c r="I52" i="38"/>
  <c r="D52" i="38"/>
  <c r="C52" i="38"/>
  <c r="K51" i="38"/>
  <c r="J51" i="38"/>
  <c r="I51" i="38"/>
  <c r="D51" i="38"/>
  <c r="C51" i="38"/>
  <c r="K50" i="38"/>
  <c r="J50" i="38"/>
  <c r="I50" i="38"/>
  <c r="D50" i="38"/>
  <c r="C50" i="38"/>
  <c r="K49" i="38"/>
  <c r="J49" i="38"/>
  <c r="I49" i="38"/>
  <c r="D49" i="38"/>
  <c r="C49" i="38"/>
  <c r="G103" i="38" l="1"/>
  <c r="G111" i="38"/>
  <c r="G109" i="38"/>
  <c r="G100" i="38"/>
  <c r="G108" i="38"/>
  <c r="G101" i="38"/>
  <c r="G106" i="38"/>
  <c r="G97" i="38"/>
  <c r="G105" i="38"/>
  <c r="G99" i="38"/>
  <c r="G102" i="38"/>
  <c r="G104" i="38"/>
  <c r="G107" i="38"/>
  <c r="G110" i="38"/>
  <c r="G98" i="38"/>
  <c r="G50" i="38"/>
  <c r="G61" i="38"/>
  <c r="G49" i="38"/>
  <c r="G57" i="38"/>
  <c r="G53" i="38"/>
  <c r="G63" i="38"/>
  <c r="G52" i="38"/>
  <c r="G54" i="38"/>
  <c r="G62" i="38"/>
  <c r="G51" i="38"/>
  <c r="G58" i="38"/>
  <c r="G60" i="38"/>
  <c r="G56" i="38"/>
  <c r="G59" i="38"/>
  <c r="G55" i="38"/>
  <c r="C52" i="39" l="1"/>
  <c r="D52" i="39"/>
  <c r="I52" i="39"/>
  <c r="J52" i="39"/>
  <c r="K52" i="39"/>
  <c r="C53" i="39"/>
  <c r="D53" i="39"/>
  <c r="I53" i="39"/>
  <c r="J53" i="39"/>
  <c r="K53" i="39"/>
  <c r="C54" i="39"/>
  <c r="D54" i="39"/>
  <c r="I54" i="39"/>
  <c r="J54" i="39"/>
  <c r="K54" i="39"/>
  <c r="C55" i="39"/>
  <c r="D55" i="39"/>
  <c r="I55" i="39"/>
  <c r="J55" i="39"/>
  <c r="K55" i="39"/>
  <c r="C56" i="39"/>
  <c r="D56" i="39"/>
  <c r="I56" i="39"/>
  <c r="J56" i="39"/>
  <c r="K56" i="39"/>
  <c r="C57" i="39"/>
  <c r="D57" i="39"/>
  <c r="I57" i="39"/>
  <c r="J57" i="39"/>
  <c r="K57" i="39"/>
  <c r="C58" i="39"/>
  <c r="D58" i="39"/>
  <c r="I58" i="39"/>
  <c r="J58" i="39"/>
  <c r="K58" i="39"/>
  <c r="C59" i="39"/>
  <c r="D59" i="39"/>
  <c r="I59" i="39"/>
  <c r="J59" i="39"/>
  <c r="K59" i="39"/>
  <c r="C60" i="39"/>
  <c r="D60" i="39"/>
  <c r="I60" i="39"/>
  <c r="J60" i="39"/>
  <c r="K60" i="39"/>
  <c r="C61" i="39"/>
  <c r="D61" i="39"/>
  <c r="I61" i="39"/>
  <c r="J61" i="39"/>
  <c r="K61" i="39"/>
  <c r="C62" i="39"/>
  <c r="D62" i="39"/>
  <c r="I62" i="39"/>
  <c r="J62" i="39"/>
  <c r="K62" i="39"/>
  <c r="C63" i="39"/>
  <c r="D63" i="39"/>
  <c r="I63" i="39"/>
  <c r="J63" i="39"/>
  <c r="K63" i="39"/>
  <c r="C64" i="39"/>
  <c r="D64" i="39"/>
  <c r="I64" i="39"/>
  <c r="J64" i="39"/>
  <c r="K64" i="39"/>
  <c r="C65" i="39"/>
  <c r="D65" i="39"/>
  <c r="I65" i="39"/>
  <c r="J65" i="39"/>
  <c r="K65" i="39"/>
  <c r="C66" i="39"/>
  <c r="D66" i="39"/>
  <c r="I66" i="39"/>
  <c r="J66" i="39"/>
  <c r="K66" i="39"/>
  <c r="C67" i="39"/>
  <c r="D67" i="39"/>
  <c r="I67" i="39"/>
  <c r="J67" i="39"/>
  <c r="K67" i="39"/>
  <c r="C68" i="39"/>
  <c r="D68" i="39"/>
  <c r="I68" i="39"/>
  <c r="J68" i="39"/>
  <c r="K68" i="39"/>
  <c r="C69" i="39"/>
  <c r="D69" i="39"/>
  <c r="I69" i="39"/>
  <c r="J69" i="39"/>
  <c r="K69" i="39"/>
  <c r="C70" i="39"/>
  <c r="D70" i="39"/>
  <c r="I70" i="39"/>
  <c r="J70" i="39"/>
  <c r="K70" i="39"/>
  <c r="G60" i="39" l="1"/>
  <c r="G54" i="39"/>
  <c r="G66" i="39"/>
  <c r="G58" i="39"/>
  <c r="G59" i="39"/>
  <c r="G63" i="39"/>
  <c r="G55" i="39"/>
  <c r="G52" i="39"/>
  <c r="G70" i="39"/>
  <c r="G68" i="39"/>
  <c r="G61" i="39"/>
  <c r="G67" i="39"/>
  <c r="G64" i="39"/>
  <c r="G56" i="39"/>
  <c r="G62" i="39"/>
  <c r="G69" i="39"/>
  <c r="G53" i="39"/>
  <c r="G57" i="39"/>
  <c r="G65" i="39"/>
  <c r="F11" i="10" l="1"/>
  <c r="F15" i="10"/>
  <c r="F18" i="10" l="1"/>
  <c r="K78" i="6" l="1"/>
  <c r="E78" i="6"/>
  <c r="K77" i="6"/>
  <c r="J76" i="6"/>
  <c r="K76" i="6" s="1"/>
  <c r="K75" i="6"/>
  <c r="E75" i="6" s="1"/>
  <c r="I74" i="6"/>
  <c r="K74" i="6" s="1"/>
  <c r="K73" i="6"/>
  <c r="E73" i="6" s="1"/>
  <c r="K72" i="6"/>
  <c r="E72" i="6"/>
  <c r="J71" i="6"/>
  <c r="K71" i="6" s="1"/>
  <c r="K70" i="6"/>
  <c r="E70" i="6"/>
  <c r="K69" i="6"/>
  <c r="E69" i="6"/>
  <c r="K68" i="6"/>
  <c r="E68" i="6" s="1"/>
  <c r="K67" i="6"/>
  <c r="K66" i="6"/>
  <c r="E66" i="6"/>
  <c r="K65" i="6"/>
  <c r="E65" i="6" s="1"/>
  <c r="K64" i="6"/>
  <c r="E64" i="6"/>
  <c r="I63" i="6"/>
  <c r="K63" i="6" s="1"/>
  <c r="E63" i="6" s="1"/>
  <c r="E47" i="9" l="1"/>
  <c r="E40" i="9" l="1"/>
  <c r="D94" i="38" l="1"/>
  <c r="D80" i="6" l="1"/>
  <c r="F35" i="52" l="1"/>
  <c r="D35" i="52"/>
  <c r="H33" i="52"/>
  <c r="L30" i="52"/>
  <c r="N30" i="52" s="1"/>
  <c r="H30" i="52"/>
  <c r="J28" i="52"/>
  <c r="H28" i="52"/>
  <c r="F24" i="52"/>
  <c r="D24" i="52"/>
  <c r="H22" i="52"/>
  <c r="L19" i="52"/>
  <c r="N19" i="52" s="1"/>
  <c r="H19" i="52"/>
  <c r="L17" i="52"/>
  <c r="N17" i="52" s="1"/>
  <c r="A17" i="52"/>
  <c r="A19" i="52" s="1"/>
  <c r="A22" i="52" s="1"/>
  <c r="A24" i="52" s="1"/>
  <c r="A28" i="52" s="1"/>
  <c r="A30" i="52" s="1"/>
  <c r="A33" i="52" s="1"/>
  <c r="A35" i="52" s="1"/>
  <c r="J15" i="52"/>
  <c r="L15" i="52" s="1"/>
  <c r="N15" i="52" s="1"/>
  <c r="H15" i="52"/>
  <c r="J22" i="52" l="1"/>
  <c r="L22" i="52" s="1"/>
  <c r="N22" i="52" s="1"/>
  <c r="N24" i="52" s="1"/>
  <c r="L28" i="52"/>
  <c r="N28" i="52" s="1"/>
  <c r="J33" i="52"/>
  <c r="L33" i="52" s="1"/>
  <c r="N33" i="52" s="1"/>
  <c r="N35" i="52" l="1"/>
  <c r="L35" i="52"/>
  <c r="L24" i="52"/>
  <c r="J35" i="52"/>
  <c r="J24" i="52"/>
  <c r="K51" i="39" l="1"/>
  <c r="J51" i="39"/>
  <c r="I51" i="39"/>
  <c r="D51" i="39"/>
  <c r="C51" i="39"/>
  <c r="G51" i="39" l="1"/>
  <c r="C81" i="38"/>
  <c r="D81" i="38"/>
  <c r="I81" i="38"/>
  <c r="J81" i="38"/>
  <c r="K81" i="38"/>
  <c r="C94" i="38"/>
  <c r="G94" i="38" s="1"/>
  <c r="I94" i="38"/>
  <c r="J94" i="38"/>
  <c r="K94" i="38"/>
  <c r="C88" i="38"/>
  <c r="D88" i="38"/>
  <c r="I88" i="38"/>
  <c r="J88" i="38"/>
  <c r="K88" i="38"/>
  <c r="C89" i="38"/>
  <c r="D89" i="38"/>
  <c r="I89" i="38"/>
  <c r="J89" i="38"/>
  <c r="K89" i="38"/>
  <c r="G89" i="38" l="1"/>
  <c r="G88" i="38"/>
  <c r="G81" i="38"/>
  <c r="C47" i="38"/>
  <c r="D47" i="38"/>
  <c r="I47" i="38"/>
  <c r="J47" i="38"/>
  <c r="K47" i="38"/>
  <c r="G47" i="38" l="1"/>
  <c r="I71" i="39" l="1"/>
  <c r="C71" i="39"/>
  <c r="E72" i="39" s="1"/>
  <c r="C72" i="39" s="1"/>
  <c r="K112" i="38"/>
  <c r="J112" i="38"/>
  <c r="I112" i="38"/>
  <c r="D112" i="38"/>
  <c r="F113" i="38" s="1"/>
  <c r="D113" i="38" s="1"/>
  <c r="C112" i="38"/>
  <c r="E113" i="38" s="1"/>
  <c r="C113" i="38" s="1"/>
  <c r="C96" i="38"/>
  <c r="D96" i="38"/>
  <c r="I96" i="38"/>
  <c r="J96" i="38"/>
  <c r="K96" i="38"/>
  <c r="I64" i="38"/>
  <c r="J64" i="38"/>
  <c r="C64" i="38"/>
  <c r="E65" i="38" s="1"/>
  <c r="C65" i="38" s="1"/>
  <c r="D69" i="38"/>
  <c r="D68" i="38"/>
  <c r="C68" i="38"/>
  <c r="D117" i="38"/>
  <c r="C117" i="38"/>
  <c r="D76" i="39"/>
  <c r="C76" i="39"/>
  <c r="C69" i="38"/>
  <c r="G76" i="39" l="1"/>
  <c r="G69" i="38"/>
  <c r="G117" i="38"/>
  <c r="G113" i="38"/>
  <c r="G96" i="38"/>
  <c r="G68" i="38"/>
  <c r="G112" i="38"/>
  <c r="E41" i="9"/>
  <c r="E56" i="9"/>
  <c r="E57" i="9"/>
  <c r="E58" i="9"/>
  <c r="E60" i="9"/>
  <c r="E55" i="9"/>
  <c r="E46" i="9"/>
  <c r="E48" i="9"/>
  <c r="E50" i="9"/>
  <c r="E45" i="9"/>
  <c r="E37" i="9"/>
  <c r="E38" i="9"/>
  <c r="E39" i="9"/>
  <c r="I50" i="6"/>
  <c r="I39" i="6"/>
  <c r="O121" i="38"/>
  <c r="O127" i="38" s="1"/>
  <c r="N121" i="38"/>
  <c r="N127" i="38" s="1"/>
  <c r="M121" i="38"/>
  <c r="M72" i="38"/>
  <c r="O72" i="38"/>
  <c r="N72" i="38"/>
  <c r="M127" i="38" l="1"/>
  <c r="G33" i="5" s="1"/>
  <c r="G35" i="5"/>
  <c r="G27" i="5"/>
  <c r="G25" i="5"/>
  <c r="E59" i="9"/>
  <c r="E49" i="9"/>
  <c r="L46" i="2"/>
  <c r="L45" i="2"/>
  <c r="I39" i="51" l="1"/>
  <c r="E39" i="51"/>
  <c r="I38" i="51"/>
  <c r="E38" i="51"/>
  <c r="I37" i="51"/>
  <c r="E37" i="51"/>
  <c r="I36" i="51"/>
  <c r="E36" i="51"/>
  <c r="I35" i="51"/>
  <c r="E35" i="51"/>
  <c r="I34" i="51"/>
  <c r="E34" i="51"/>
  <c r="I33" i="51"/>
  <c r="E33" i="51"/>
  <c r="I32" i="51"/>
  <c r="E32" i="51"/>
  <c r="I31" i="51"/>
  <c r="E31" i="51"/>
  <c r="I27" i="51"/>
  <c r="E27" i="51"/>
  <c r="I26" i="51"/>
  <c r="E26" i="51"/>
  <c r="I25" i="51"/>
  <c r="E25" i="51"/>
  <c r="I24" i="51"/>
  <c r="E24" i="51"/>
  <c r="I23" i="51"/>
  <c r="E23" i="51"/>
  <c r="I22" i="51"/>
  <c r="E22" i="51"/>
  <c r="I21" i="51"/>
  <c r="E21" i="51"/>
  <c r="I20" i="51"/>
  <c r="E20" i="51"/>
  <c r="I19" i="51"/>
  <c r="E19" i="51"/>
  <c r="K38" i="51" l="1"/>
  <c r="K23" i="51"/>
  <c r="K27" i="51"/>
  <c r="K34" i="51"/>
  <c r="K31" i="51"/>
  <c r="K35" i="51"/>
  <c r="K22" i="51"/>
  <c r="K26" i="51"/>
  <c r="K19" i="51"/>
  <c r="K21" i="51"/>
  <c r="K25" i="51"/>
  <c r="K33" i="51"/>
  <c r="K20" i="51"/>
  <c r="K32" i="51"/>
  <c r="K37" i="51"/>
  <c r="K39" i="51"/>
  <c r="K24" i="51"/>
  <c r="K36" i="51"/>
  <c r="G44" i="48"/>
  <c r="O49" i="50" l="1"/>
  <c r="O30" i="50" l="1"/>
  <c r="P35" i="50" l="1"/>
  <c r="Q36" i="50"/>
  <c r="Q37" i="50"/>
  <c r="P38" i="50"/>
  <c r="P39" i="50"/>
  <c r="Q40" i="50"/>
  <c r="P41" i="50"/>
  <c r="P45" i="50"/>
  <c r="P46" i="50"/>
  <c r="N49" i="50" l="1"/>
  <c r="N30" i="50"/>
  <c r="K95" i="38" l="1"/>
  <c r="J95" i="38"/>
  <c r="I95" i="38"/>
  <c r="D95" i="38"/>
  <c r="C95" i="38"/>
  <c r="C46" i="38"/>
  <c r="D46" i="38"/>
  <c r="I46" i="38"/>
  <c r="J46" i="38"/>
  <c r="K46" i="38"/>
  <c r="G95" i="38" l="1"/>
  <c r="G46" i="38"/>
  <c r="Q21" i="50" l="1"/>
  <c r="Q18" i="50"/>
  <c r="Q17" i="50"/>
  <c r="Q15" i="50"/>
  <c r="P22" i="50"/>
  <c r="P20" i="50"/>
  <c r="P19" i="50"/>
  <c r="P16" i="50"/>
  <c r="P14" i="50"/>
  <c r="P13" i="50"/>
  <c r="M49" i="50"/>
  <c r="L49" i="50"/>
  <c r="K49" i="50"/>
  <c r="J49" i="50"/>
  <c r="I49" i="50"/>
  <c r="M30" i="50"/>
  <c r="L30" i="50"/>
  <c r="K30" i="50"/>
  <c r="J30" i="50"/>
  <c r="I30" i="50"/>
  <c r="Q30" i="50" l="1"/>
  <c r="Q49" i="50"/>
  <c r="C80" i="38" l="1"/>
  <c r="D80" i="38"/>
  <c r="I80" i="38"/>
  <c r="J80" i="38"/>
  <c r="K80" i="38"/>
  <c r="C82" i="38"/>
  <c r="D82" i="38"/>
  <c r="I82" i="38"/>
  <c r="J82" i="38"/>
  <c r="K82" i="38"/>
  <c r="C83" i="38"/>
  <c r="D83" i="38"/>
  <c r="I83" i="38"/>
  <c r="J83" i="38"/>
  <c r="K83" i="38"/>
  <c r="C35" i="38"/>
  <c r="D35" i="38"/>
  <c r="I35" i="38"/>
  <c r="J35" i="38"/>
  <c r="K35" i="38"/>
  <c r="C36" i="38"/>
  <c r="D36" i="38"/>
  <c r="I36" i="38"/>
  <c r="J36" i="38"/>
  <c r="K36" i="38"/>
  <c r="C37" i="38"/>
  <c r="D37" i="38"/>
  <c r="I37" i="38"/>
  <c r="J37" i="38"/>
  <c r="K37" i="38"/>
  <c r="C38" i="38"/>
  <c r="D38" i="38"/>
  <c r="I38" i="38"/>
  <c r="J38" i="38"/>
  <c r="K38" i="38"/>
  <c r="C39" i="38"/>
  <c r="D39" i="38"/>
  <c r="I39" i="38"/>
  <c r="J39" i="38"/>
  <c r="K39" i="38"/>
  <c r="C40" i="38"/>
  <c r="D40" i="38"/>
  <c r="I40" i="38"/>
  <c r="J40" i="38"/>
  <c r="K40" i="38"/>
  <c r="C41" i="38"/>
  <c r="D41" i="38"/>
  <c r="I41" i="38"/>
  <c r="J41" i="38"/>
  <c r="K41" i="38"/>
  <c r="C42" i="38"/>
  <c r="D42" i="38"/>
  <c r="I42" i="38"/>
  <c r="J42" i="38"/>
  <c r="K42" i="38"/>
  <c r="C43" i="38"/>
  <c r="D43" i="38"/>
  <c r="I43" i="38"/>
  <c r="J43" i="38"/>
  <c r="K43" i="38"/>
  <c r="C44" i="38"/>
  <c r="D44" i="38"/>
  <c r="I44" i="38"/>
  <c r="J44" i="38"/>
  <c r="K44" i="38"/>
  <c r="C45" i="38"/>
  <c r="D45" i="38"/>
  <c r="I45" i="38"/>
  <c r="J45" i="38"/>
  <c r="K45" i="38"/>
  <c r="C40" i="39"/>
  <c r="D40" i="39"/>
  <c r="C41" i="39"/>
  <c r="D41" i="39"/>
  <c r="C42" i="39"/>
  <c r="D42" i="39"/>
  <c r="C43" i="39"/>
  <c r="D43" i="39"/>
  <c r="C44" i="39"/>
  <c r="D44" i="39"/>
  <c r="C32" i="39"/>
  <c r="D32" i="39"/>
  <c r="I32" i="39"/>
  <c r="J32" i="39"/>
  <c r="K32" i="39"/>
  <c r="G43" i="38" l="1"/>
  <c r="G80" i="38"/>
  <c r="G83" i="38"/>
  <c r="G82" i="38"/>
  <c r="G44" i="39"/>
  <c r="G32" i="39"/>
  <c r="G43" i="39"/>
  <c r="G44" i="38"/>
  <c r="G41" i="38"/>
  <c r="G37" i="38"/>
  <c r="G45" i="38"/>
  <c r="G39" i="38"/>
  <c r="G40" i="38"/>
  <c r="G42" i="38"/>
  <c r="G38" i="38"/>
  <c r="G36" i="38"/>
  <c r="G35" i="38"/>
  <c r="G42" i="39"/>
  <c r="G41" i="39"/>
  <c r="G40" i="39"/>
  <c r="A10" i="49"/>
  <c r="F17" i="49"/>
  <c r="A10" i="32"/>
  <c r="H236" i="2" l="1"/>
  <c r="B49" i="50" l="1"/>
  <c r="B30" i="50"/>
  <c r="P26" i="50"/>
  <c r="P49" i="50" l="1"/>
  <c r="P27" i="50"/>
  <c r="P30" i="50" s="1"/>
  <c r="C33" i="38" l="1"/>
  <c r="D33" i="38"/>
  <c r="I33" i="38"/>
  <c r="J33" i="38"/>
  <c r="K33" i="38"/>
  <c r="C34" i="38"/>
  <c r="D34" i="38"/>
  <c r="I34" i="38"/>
  <c r="J34" i="38"/>
  <c r="K34" i="38"/>
  <c r="C29" i="38"/>
  <c r="D29" i="38"/>
  <c r="I29" i="38"/>
  <c r="J29" i="38"/>
  <c r="K29" i="38"/>
  <c r="A29" i="38"/>
  <c r="A30" i="38" s="1"/>
  <c r="A31" i="38" s="1"/>
  <c r="A32" i="38" s="1"/>
  <c r="A33" i="38" s="1"/>
  <c r="A34" i="38" s="1"/>
  <c r="A35" i="38" s="1"/>
  <c r="A36" i="38" s="1"/>
  <c r="A37" i="38" s="1"/>
  <c r="I42" i="39"/>
  <c r="J42" i="39"/>
  <c r="K42" i="39"/>
  <c r="G29" i="38" l="1"/>
  <c r="G33" i="38"/>
  <c r="G34" i="38"/>
  <c r="A38" i="38"/>
  <c r="A39" i="38" s="1"/>
  <c r="A40" i="38" s="1"/>
  <c r="A41" i="38" s="1"/>
  <c r="A42" i="38" s="1"/>
  <c r="A43" i="38" s="1"/>
  <c r="A44" i="38" l="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K45" i="6"/>
  <c r="K44" i="6"/>
  <c r="D42" i="9" l="1"/>
  <c r="A67" i="38" l="1"/>
  <c r="A69" i="38" s="1"/>
  <c r="A68" i="38"/>
  <c r="D48" i="38"/>
  <c r="C48" i="38"/>
  <c r="G34" i="5" l="1"/>
  <c r="E34" i="5"/>
  <c r="E26" i="5"/>
  <c r="G26" i="5"/>
  <c r="D125" i="38"/>
  <c r="C125" i="38"/>
  <c r="C115" i="38"/>
  <c r="D115" i="38"/>
  <c r="C116" i="38"/>
  <c r="D116" i="38"/>
  <c r="C118" i="38"/>
  <c r="D118" i="38"/>
  <c r="D114" i="38"/>
  <c r="C114" i="38"/>
  <c r="C67" i="38"/>
  <c r="D67" i="38"/>
  <c r="D66" i="38"/>
  <c r="C66" i="38"/>
  <c r="G67" i="38" l="1"/>
  <c r="G115" i="38"/>
  <c r="G118" i="38"/>
  <c r="G116" i="38"/>
  <c r="G42" i="5"/>
  <c r="C74" i="39"/>
  <c r="D74" i="39"/>
  <c r="C75" i="39"/>
  <c r="D75" i="39"/>
  <c r="C77" i="39"/>
  <c r="D77" i="39"/>
  <c r="C78" i="39"/>
  <c r="D78" i="39"/>
  <c r="D73" i="39"/>
  <c r="C73" i="39"/>
  <c r="J47" i="6" l="1"/>
  <c r="J52" i="6"/>
  <c r="K47" i="6" l="1"/>
  <c r="E54" i="6"/>
  <c r="E46" i="6"/>
  <c r="G154" i="13"/>
  <c r="G154" i="2"/>
  <c r="A6" i="49"/>
  <c r="A6" i="32"/>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F23" i="49"/>
  <c r="F24" i="49" s="1"/>
  <c r="F25" i="49" s="1"/>
  <c r="B23" i="49"/>
  <c r="B24" i="49" s="1"/>
  <c r="B25" i="49" s="1"/>
  <c r="B26" i="49" s="1"/>
  <c r="B27" i="49" s="1"/>
  <c r="B28" i="49" s="1"/>
  <c r="B29" i="49" s="1"/>
  <c r="B30" i="49" s="1"/>
  <c r="B31" i="49" s="1"/>
  <c r="B32" i="49" s="1"/>
  <c r="B33" i="49" s="1"/>
  <c r="B34" i="49" s="1"/>
  <c r="H12" i="49"/>
  <c r="I56" i="49" s="1"/>
  <c r="F12" i="49"/>
  <c r="B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D23" i="35"/>
  <c r="G67" i="2" s="1"/>
  <c r="L67" i="2" s="1"/>
  <c r="G42" i="41"/>
  <c r="F42" i="41"/>
  <c r="E42" i="41"/>
  <c r="D42" i="41"/>
  <c r="C42" i="41"/>
  <c r="F23" i="41"/>
  <c r="L251" i="2" s="1"/>
  <c r="E23" i="41"/>
  <c r="L250" i="2" s="1"/>
  <c r="D23" i="41"/>
  <c r="L249" i="2" s="1"/>
  <c r="C23" i="41"/>
  <c r="L248" i="2" s="1"/>
  <c r="F62" i="35"/>
  <c r="E62" i="35"/>
  <c r="L227" i="2" s="1"/>
  <c r="D62" i="35"/>
  <c r="C62" i="35"/>
  <c r="L228" i="2" s="1"/>
  <c r="K42" i="35"/>
  <c r="G86" i="2" s="1"/>
  <c r="J42" i="35"/>
  <c r="G85" i="2" s="1"/>
  <c r="I42" i="35"/>
  <c r="G84" i="2" s="1"/>
  <c r="H42" i="35"/>
  <c r="G83" i="2" s="1"/>
  <c r="L83" i="2" s="1"/>
  <c r="G42" i="35"/>
  <c r="G82" i="2" s="1"/>
  <c r="L82" i="2" s="1"/>
  <c r="F42" i="35"/>
  <c r="G81" i="2" s="1"/>
  <c r="E42" i="35"/>
  <c r="G80" i="2" s="1"/>
  <c r="D42" i="35"/>
  <c r="G79" i="2" s="1"/>
  <c r="L79" i="2" s="1"/>
  <c r="C42" i="35"/>
  <c r="G78" i="2" s="1"/>
  <c r="L78" i="2" s="1"/>
  <c r="K23" i="35"/>
  <c r="G74" i="2" s="1"/>
  <c r="J23" i="35"/>
  <c r="G73" i="2" s="1"/>
  <c r="I23" i="35"/>
  <c r="G72" i="2" s="1"/>
  <c r="H23" i="35"/>
  <c r="G71" i="2" s="1"/>
  <c r="L71" i="2" s="1"/>
  <c r="G23" i="35"/>
  <c r="G70" i="2" s="1"/>
  <c r="L70" i="2" s="1"/>
  <c r="F23" i="35"/>
  <c r="G69" i="2" s="1"/>
  <c r="E23" i="35"/>
  <c r="G68" i="2" s="1"/>
  <c r="L226" i="2" s="1"/>
  <c r="C23" i="35"/>
  <c r="G66" i="2" s="1"/>
  <c r="F17" i="48"/>
  <c r="B14" i="48"/>
  <c r="A6" i="48"/>
  <c r="K41" i="48"/>
  <c r="K37" i="48"/>
  <c r="E28" i="48"/>
  <c r="A23" i="48"/>
  <c r="A24" i="48" s="1"/>
  <c r="A25" i="48" s="1"/>
  <c r="A26" i="48" s="1"/>
  <c r="A27" i="48" s="1"/>
  <c r="E20" i="48"/>
  <c r="A4" i="48"/>
  <c r="C63" i="41"/>
  <c r="B48" i="41"/>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81" i="39"/>
  <c r="D43" i="5"/>
  <c r="D42" i="5"/>
  <c r="D27" i="5"/>
  <c r="D19" i="5"/>
  <c r="F86" i="35"/>
  <c r="F85" i="35"/>
  <c r="S121" i="38"/>
  <c r="R121" i="38"/>
  <c r="Q121" i="38"/>
  <c r="Q127" i="38" s="1"/>
  <c r="R72" i="38"/>
  <c r="Q72" i="38"/>
  <c r="F13" i="38"/>
  <c r="B3" i="38"/>
  <c r="A73" i="38"/>
  <c r="D26" i="5" s="1"/>
  <c r="A124" i="38"/>
  <c r="A127" i="38" s="1"/>
  <c r="A128" i="38" s="1"/>
  <c r="A130" i="38" s="1"/>
  <c r="A132" i="38" s="1"/>
  <c r="A134" i="38" s="1"/>
  <c r="A136" i="38" s="1"/>
  <c r="A137" i="38" s="1"/>
  <c r="A138" i="38" s="1"/>
  <c r="A139" i="38" s="1"/>
  <c r="A140" i="38" s="1"/>
  <c r="A141" i="38" s="1"/>
  <c r="D52" i="5" s="1"/>
  <c r="A18" i="39"/>
  <c r="A19" i="39" s="1"/>
  <c r="A20" i="39" s="1"/>
  <c r="A21" i="39" s="1"/>
  <c r="A22" i="39" s="1"/>
  <c r="A23" i="39" s="1"/>
  <c r="A24" i="39" s="1"/>
  <c r="A25" i="39" s="1"/>
  <c r="A26" i="39" s="1"/>
  <c r="A27" i="39" s="1"/>
  <c r="A28" i="39" s="1"/>
  <c r="A29" i="39" s="1"/>
  <c r="A78" i="38"/>
  <c r="A79" i="38" s="1"/>
  <c r="A80" i="38" s="1"/>
  <c r="A81" i="38" s="1"/>
  <c r="A82" i="38" s="1"/>
  <c r="A83" i="38" s="1"/>
  <c r="A84" i="38" s="1"/>
  <c r="A85" i="38" s="1"/>
  <c r="A86" i="38" s="1"/>
  <c r="A87" i="38" s="1"/>
  <c r="A88" i="38" s="1"/>
  <c r="A89" i="38" s="1"/>
  <c r="A90" i="38" s="1"/>
  <c r="A91" i="38" s="1"/>
  <c r="A92" i="38" s="1"/>
  <c r="A93" i="38" s="1"/>
  <c r="A94" i="38" s="1"/>
  <c r="A95" i="38" s="1"/>
  <c r="G18" i="5"/>
  <c r="E18" i="5"/>
  <c r="E42" i="5"/>
  <c r="K50" i="39"/>
  <c r="J50" i="39"/>
  <c r="I50" i="39"/>
  <c r="D49" i="39"/>
  <c r="K49" i="39"/>
  <c r="J49" i="39"/>
  <c r="I49" i="39"/>
  <c r="I48" i="39"/>
  <c r="K48" i="39"/>
  <c r="J48" i="39"/>
  <c r="D48" i="39"/>
  <c r="C48" i="39"/>
  <c r="J47" i="39"/>
  <c r="D47" i="39"/>
  <c r="K47" i="39"/>
  <c r="K46" i="39"/>
  <c r="D46" i="39"/>
  <c r="C46" i="39"/>
  <c r="I46" i="39"/>
  <c r="D45" i="39"/>
  <c r="J45" i="39"/>
  <c r="I45" i="39"/>
  <c r="C45" i="39"/>
  <c r="I44" i="39"/>
  <c r="J44" i="39"/>
  <c r="J43" i="39"/>
  <c r="K43" i="39"/>
  <c r="K41" i="39"/>
  <c r="J41" i="39"/>
  <c r="I41" i="39"/>
  <c r="K40" i="39"/>
  <c r="J40" i="39"/>
  <c r="I40" i="39"/>
  <c r="I39" i="39"/>
  <c r="K39" i="39"/>
  <c r="J39" i="39"/>
  <c r="D39" i="39"/>
  <c r="C39" i="39"/>
  <c r="J38" i="39"/>
  <c r="D38" i="39"/>
  <c r="K38" i="39"/>
  <c r="K37" i="39"/>
  <c r="D37" i="39"/>
  <c r="C37" i="39"/>
  <c r="I37" i="39"/>
  <c r="D36" i="39"/>
  <c r="J36" i="39"/>
  <c r="I36" i="39"/>
  <c r="C36" i="39"/>
  <c r="I35" i="39"/>
  <c r="C35" i="39"/>
  <c r="J35" i="39"/>
  <c r="J34" i="39"/>
  <c r="K34" i="39"/>
  <c r="K33" i="39"/>
  <c r="J33" i="39"/>
  <c r="I33"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41" i="38"/>
  <c r="R141" i="38"/>
  <c r="E52" i="5" s="1"/>
  <c r="Q141" i="38"/>
  <c r="O141" i="38"/>
  <c r="N141" i="38"/>
  <c r="G52" i="5" s="1"/>
  <c r="M141" i="38"/>
  <c r="F141" i="38"/>
  <c r="E141" i="38"/>
  <c r="K139" i="38"/>
  <c r="J139" i="38"/>
  <c r="I139" i="38"/>
  <c r="D139" i="38"/>
  <c r="C139" i="38"/>
  <c r="K138" i="38"/>
  <c r="J138" i="38"/>
  <c r="I138" i="38"/>
  <c r="D138" i="38"/>
  <c r="C138" i="38"/>
  <c r="K124" i="38"/>
  <c r="J124" i="38"/>
  <c r="I124" i="38"/>
  <c r="D124" i="38"/>
  <c r="C124" i="38"/>
  <c r="C93" i="38"/>
  <c r="I93" i="38"/>
  <c r="D92" i="38"/>
  <c r="J92" i="38"/>
  <c r="K91" i="38"/>
  <c r="J91" i="38"/>
  <c r="D91" i="38"/>
  <c r="D90" i="38"/>
  <c r="I90" i="38"/>
  <c r="J90" i="38"/>
  <c r="C90" i="38"/>
  <c r="C87" i="38"/>
  <c r="K87" i="38"/>
  <c r="J87" i="38"/>
  <c r="D86" i="38"/>
  <c r="K86" i="38"/>
  <c r="J86" i="38"/>
  <c r="C86" i="38"/>
  <c r="K85" i="38"/>
  <c r="D85" i="38"/>
  <c r="J85" i="38"/>
  <c r="I85" i="38"/>
  <c r="J84" i="38"/>
  <c r="I84" i="38"/>
  <c r="C84" i="38"/>
  <c r="D79" i="38"/>
  <c r="C79" i="38"/>
  <c r="K79" i="38"/>
  <c r="I78" i="38"/>
  <c r="I77" i="38"/>
  <c r="G66" i="38"/>
  <c r="I48" i="38"/>
  <c r="D32" i="38"/>
  <c r="J32" i="38"/>
  <c r="I32" i="38"/>
  <c r="D31" i="38"/>
  <c r="C31" i="38"/>
  <c r="K31" i="38"/>
  <c r="J31" i="38"/>
  <c r="K30" i="38"/>
  <c r="D30" i="38"/>
  <c r="J30" i="38"/>
  <c r="I30" i="38"/>
  <c r="D28" i="38"/>
  <c r="K28" i="38"/>
  <c r="I28" i="38"/>
  <c r="S23" i="38"/>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A29" i="41" s="1"/>
  <c r="A30" i="41" s="1"/>
  <c r="A31" i="41" s="1"/>
  <c r="A32" i="41" s="1"/>
  <c r="A33" i="41" s="1"/>
  <c r="A34" i="41" s="1"/>
  <c r="A35" i="41" s="1"/>
  <c r="A36" i="41" s="1"/>
  <c r="A37" i="41" s="1"/>
  <c r="A38" i="41" s="1"/>
  <c r="A39" i="41" s="1"/>
  <c r="A40" i="41" s="1"/>
  <c r="A41" i="41" s="1"/>
  <c r="A42" i="41" s="1"/>
  <c r="G12" i="41"/>
  <c r="G13" i="41"/>
  <c r="G16" i="41"/>
  <c r="G17" i="41"/>
  <c r="G18" i="41"/>
  <c r="G21" i="41"/>
  <c r="G22" i="4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s="1"/>
  <c r="B91" i="41"/>
  <c r="B92" i="41"/>
  <c r="B93" i="41"/>
  <c r="C94" i="41"/>
  <c r="C95" i="41" s="1"/>
  <c r="D94" i="41"/>
  <c r="D95" i="41" s="1"/>
  <c r="B97" i="41"/>
  <c r="B98" i="41"/>
  <c r="B99" i="41"/>
  <c r="C100" i="41"/>
  <c r="C101" i="41" s="1"/>
  <c r="D100" i="41"/>
  <c r="D101" i="41" s="1"/>
  <c r="G20" i="41"/>
  <c r="G10" i="41"/>
  <c r="H40" i="41"/>
  <c r="H38" i="41"/>
  <c r="H36" i="41"/>
  <c r="H34" i="41"/>
  <c r="H32" i="41"/>
  <c r="H30" i="41"/>
  <c r="G14" i="41"/>
  <c r="G19" i="41"/>
  <c r="G15" i="41"/>
  <c r="G11" i="41"/>
  <c r="E110" i="2"/>
  <c r="E87" i="35"/>
  <c r="D87" i="35"/>
  <c r="E67" i="35"/>
  <c r="F67" i="35"/>
  <c r="D67" i="35"/>
  <c r="A69" i="35"/>
  <c r="A71" i="35" s="1"/>
  <c r="A75" i="35" s="1"/>
  <c r="A76" i="35" s="1"/>
  <c r="A77" i="35" s="1"/>
  <c r="A78" i="35" s="1"/>
  <c r="A79" i="35" s="1"/>
  <c r="A80"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K27" i="8"/>
  <c r="K31" i="8" s="1"/>
  <c r="G15" i="2" s="1"/>
  <c r="L15" i="2" s="1"/>
  <c r="I27" i="8"/>
  <c r="I31" i="8" s="1"/>
  <c r="B11" i="7"/>
  <c r="E63" i="30"/>
  <c r="E27" i="11" s="1"/>
  <c r="I27" i="11" s="1"/>
  <c r="D33" i="9"/>
  <c r="G146" i="2" s="1"/>
  <c r="L44" i="2" s="1"/>
  <c r="O83" i="13"/>
  <c r="P83" i="13"/>
  <c r="J21" i="8"/>
  <c r="J19" i="8"/>
  <c r="J17" i="8"/>
  <c r="J15" i="8"/>
  <c r="J13" i="8"/>
  <c r="L89" i="13"/>
  <c r="L97" i="13"/>
  <c r="C102" i="13"/>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D102" i="13"/>
  <c r="M102" i="13"/>
  <c r="O102"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K96" i="20"/>
  <c r="I95" i="20"/>
  <c r="O82" i="20"/>
  <c r="N82" i="20"/>
  <c r="A6" i="30"/>
  <c r="E109" i="30"/>
  <c r="E40" i="11" s="1"/>
  <c r="M40" i="11" s="1"/>
  <c r="E100" i="30"/>
  <c r="E38" i="11" s="1"/>
  <c r="K38" i="11" s="1"/>
  <c r="E83" i="30"/>
  <c r="E36" i="11" s="1"/>
  <c r="K36" i="11" s="1"/>
  <c r="E75" i="30"/>
  <c r="E34" i="11" s="1"/>
  <c r="M34" i="11" s="1"/>
  <c r="E65" i="30"/>
  <c r="E28" i="11" s="1"/>
  <c r="I28" i="11" s="1"/>
  <c r="E50" i="30"/>
  <c r="E23" i="11" s="1"/>
  <c r="G23" i="11" s="1"/>
  <c r="D52" i="9"/>
  <c r="D21" i="9"/>
  <c r="G148" i="2" s="1"/>
  <c r="K52" i="6"/>
  <c r="K51" i="6"/>
  <c r="E51" i="6" s="1"/>
  <c r="K43" i="6"/>
  <c r="K50" i="6"/>
  <c r="E45" i="6"/>
  <c r="E42" i="6"/>
  <c r="D295" i="2"/>
  <c r="G24" i="32"/>
  <c r="G25" i="32" s="1"/>
  <c r="G26" i="32" s="1"/>
  <c r="G27" i="32" s="1"/>
  <c r="G28" i="32" s="1"/>
  <c r="G29" i="32" s="1"/>
  <c r="G30" i="32" s="1"/>
  <c r="G31" i="32" s="1"/>
  <c r="G32" i="32" s="1"/>
  <c r="G33" i="32" s="1"/>
  <c r="G34" i="32" s="1"/>
  <c r="F23" i="32"/>
  <c r="F24" i="32" s="1"/>
  <c r="F25" i="32" s="1"/>
  <c r="F26" i="32" s="1"/>
  <c r="F27" i="32" s="1"/>
  <c r="H12" i="32"/>
  <c r="D23"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C47" i="13" s="1"/>
  <c r="K54" i="6"/>
  <c r="K53" i="6"/>
  <c r="G80" i="6"/>
  <c r="G30" i="6" s="1"/>
  <c r="G31" i="6" s="1"/>
  <c r="G119" i="2" s="1"/>
  <c r="L119" i="2" s="1"/>
  <c r="G55" i="6"/>
  <c r="G29" i="6" s="1"/>
  <c r="D55" i="6"/>
  <c r="D29" i="6" s="1"/>
  <c r="O8" i="20"/>
  <c r="E44" i="30"/>
  <c r="E22" i="11" s="1"/>
  <c r="G22" i="11" s="1"/>
  <c r="E15" i="30"/>
  <c r="E71" i="30"/>
  <c r="E31" i="11" s="1"/>
  <c r="M31" i="11" s="1"/>
  <c r="L234" i="2"/>
  <c r="L236" i="2"/>
  <c r="L237" i="2"/>
  <c r="L238" i="2"/>
  <c r="F239" i="2"/>
  <c r="G239" i="2"/>
  <c r="K39" i="6"/>
  <c r="K49" i="6"/>
  <c r="E49" i="6" s="1"/>
  <c r="E40" i="6"/>
  <c r="K41" i="6"/>
  <c r="E41" i="6" s="1"/>
  <c r="E44" i="6"/>
  <c r="E48" i="6"/>
  <c r="C21" i="7"/>
  <c r="C23" i="7" s="1"/>
  <c r="E61" i="30"/>
  <c r="E26" i="11" s="1"/>
  <c r="I26" i="11" s="1"/>
  <c r="E33" i="30"/>
  <c r="E21" i="11" s="1"/>
  <c r="G21" i="11" s="1"/>
  <c r="E103" i="30"/>
  <c r="E39" i="11" s="1"/>
  <c r="M39" i="11" s="1"/>
  <c r="E112" i="30"/>
  <c r="E41" i="11" s="1"/>
  <c r="M41" i="11" s="1"/>
  <c r="E79" i="30"/>
  <c r="E35" i="11" s="1"/>
  <c r="K35" i="11" s="1"/>
  <c r="E93" i="30"/>
  <c r="F52" i="9"/>
  <c r="G162" i="2" s="1"/>
  <c r="F62" i="9"/>
  <c r="G163" i="2" s="1"/>
  <c r="L163" i="2" s="1"/>
  <c r="O17" i="21"/>
  <c r="O22" i="21"/>
  <c r="O27" i="21"/>
  <c r="I17" i="6"/>
  <c r="G114" i="2" s="1"/>
  <c r="I19" i="6"/>
  <c r="G115" i="2" s="1"/>
  <c r="I21" i="6"/>
  <c r="G116" i="2" s="1"/>
  <c r="D62" i="9"/>
  <c r="A24" i="9"/>
  <c r="A25" i="9" s="1"/>
  <c r="A26" i="9" s="1"/>
  <c r="A27" i="9" s="1"/>
  <c r="A28" i="9" s="1"/>
  <c r="A29" i="9" s="1"/>
  <c r="A30" i="9" s="1"/>
  <c r="A31" i="9" s="1"/>
  <c r="A32" i="9" s="1"/>
  <c r="A33"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K42" i="6"/>
  <c r="K48" i="6"/>
  <c r="K40" i="6"/>
  <c r="A15" i="30"/>
  <c r="A25" i="30" s="1"/>
  <c r="G207" i="2"/>
  <c r="L207" i="2"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E183" i="2" s="1"/>
  <c r="D30" i="6"/>
  <c r="I50" i="5"/>
  <c r="J29" i="8"/>
  <c r="A4" i="13"/>
  <c r="A4" i="20"/>
  <c r="C60" i="13"/>
  <c r="L173" i="2"/>
  <c r="G160" i="2"/>
  <c r="K33" i="21"/>
  <c r="A22" i="21"/>
  <c r="A27" i="21" s="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7" s="1"/>
  <c r="A15" i="8"/>
  <c r="A17" i="8" s="1"/>
  <c r="A19" i="8" s="1"/>
  <c r="A21" i="8" s="1"/>
  <c r="A27" i="8" s="1"/>
  <c r="A29" i="8" s="1"/>
  <c r="A31" i="8" s="1"/>
  <c r="A39" i="8" s="1"/>
  <c r="E12" i="6"/>
  <c r="C29" i="6"/>
  <c r="D36" i="6"/>
  <c r="B34" i="6" s="1"/>
  <c r="E10" i="5"/>
  <c r="A17" i="5"/>
  <c r="A18"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G145" i="2"/>
  <c r="D174" i="2"/>
  <c r="H237" i="2"/>
  <c r="H238" i="2"/>
  <c r="C34" i="39"/>
  <c r="I34" i="39"/>
  <c r="I43" i="39"/>
  <c r="K44" i="39"/>
  <c r="C27" i="39"/>
  <c r="O81" i="39"/>
  <c r="J18" i="39"/>
  <c r="K23" i="39"/>
  <c r="I25" i="39"/>
  <c r="D26" i="39"/>
  <c r="D34" i="39"/>
  <c r="K35" i="39"/>
  <c r="C17" i="39"/>
  <c r="K17" i="39"/>
  <c r="Q81" i="39"/>
  <c r="C19" i="39"/>
  <c r="J20" i="39"/>
  <c r="J22" i="39"/>
  <c r="J23" i="39"/>
  <c r="K27" i="39"/>
  <c r="J28" i="39"/>
  <c r="C29" i="39"/>
  <c r="I29" i="39"/>
  <c r="K36" i="39"/>
  <c r="J37" i="39"/>
  <c r="C38" i="39"/>
  <c r="I38" i="39"/>
  <c r="K45" i="39"/>
  <c r="J46" i="39"/>
  <c r="C47" i="39"/>
  <c r="I47" i="39"/>
  <c r="D17" i="39"/>
  <c r="I17" i="39"/>
  <c r="I20" i="39"/>
  <c r="C21" i="39"/>
  <c r="D23" i="39"/>
  <c r="J24" i="39"/>
  <c r="C31" i="39"/>
  <c r="C33" i="39"/>
  <c r="D33" i="39"/>
  <c r="D35" i="39"/>
  <c r="C49" i="39"/>
  <c r="C50" i="39"/>
  <c r="D50" i="39"/>
  <c r="N81" i="39"/>
  <c r="C32" i="38"/>
  <c r="C77" i="38"/>
  <c r="J77" i="38"/>
  <c r="I87" i="38"/>
  <c r="D87" i="38"/>
  <c r="K92" i="38"/>
  <c r="C92" i="38"/>
  <c r="C28" i="38"/>
  <c r="J28" i="38"/>
  <c r="K48" i="38"/>
  <c r="K78" i="38"/>
  <c r="K93" i="38"/>
  <c r="C30" i="38"/>
  <c r="I31" i="38"/>
  <c r="K32" i="38"/>
  <c r="J48" i="38"/>
  <c r="I79" i="38"/>
  <c r="D84" i="38"/>
  <c r="C91" i="38"/>
  <c r="I91" i="38"/>
  <c r="J93" i="38"/>
  <c r="D93" i="38"/>
  <c r="C78" i="38"/>
  <c r="J78" i="38"/>
  <c r="D77" i="38"/>
  <c r="K84" i="38"/>
  <c r="I86" i="38"/>
  <c r="K77" i="38"/>
  <c r="D78" i="38"/>
  <c r="J79" i="38"/>
  <c r="C85" i="38"/>
  <c r="K90" i="38"/>
  <c r="I92" i="38"/>
  <c r="G177" i="2"/>
  <c r="L172" i="2"/>
  <c r="E27" i="30"/>
  <c r="J99" i="13"/>
  <c r="E102" i="13" s="1"/>
  <c r="E67" i="11"/>
  <c r="G67" i="11"/>
  <c r="I67" i="11"/>
  <c r="E77" i="11"/>
  <c r="G77" i="11"/>
  <c r="I77" i="11"/>
  <c r="I45" i="30"/>
  <c r="M107" i="13"/>
  <c r="M103" i="13"/>
  <c r="M105" i="13"/>
  <c r="M106" i="13"/>
  <c r="M104" i="13"/>
  <c r="O105" i="13"/>
  <c r="O103" i="13"/>
  <c r="O104" i="13"/>
  <c r="O107" i="13"/>
  <c r="O106" i="13"/>
  <c r="O108" i="13"/>
  <c r="M109" i="13"/>
  <c r="M108" i="13"/>
  <c r="O109" i="13"/>
  <c r="K46" i="6"/>
  <c r="G114" i="38"/>
  <c r="I98" i="20"/>
  <c r="E101" i="20" s="1"/>
  <c r="E56" i="11"/>
  <c r="J80" i="6"/>
  <c r="J30" i="6" s="1"/>
  <c r="J55" i="6"/>
  <c r="J29" i="6" s="1"/>
  <c r="A96" i="38" l="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G256" i="2"/>
  <c r="J256" i="2" s="1"/>
  <c r="F48" i="13"/>
  <c r="D34" i="5"/>
  <c r="L48" i="2"/>
  <c r="D23" i="49"/>
  <c r="D24" i="49" s="1"/>
  <c r="D25" i="49" s="1"/>
  <c r="D26" i="49" s="1"/>
  <c r="D27" i="49" s="1"/>
  <c r="D28" i="49" s="1"/>
  <c r="D29" i="49" s="1"/>
  <c r="D30" i="49" s="1"/>
  <c r="D31" i="49" s="1"/>
  <c r="D32" i="49" s="1"/>
  <c r="D33" i="49" s="1"/>
  <c r="D34" i="49" s="1"/>
  <c r="E249" i="2"/>
  <c r="E250" i="2"/>
  <c r="D35" i="5"/>
  <c r="E248" i="2"/>
  <c r="A125" i="38"/>
  <c r="F87" i="35"/>
  <c r="G110" i="2" s="1"/>
  <c r="G124" i="38"/>
  <c r="E251" i="2"/>
  <c r="G48" i="20"/>
  <c r="G123" i="2"/>
  <c r="L123" i="2" s="1"/>
  <c r="A3" i="8"/>
  <c r="E19" i="5"/>
  <c r="E106" i="2"/>
  <c r="G32" i="38"/>
  <c r="E95" i="41"/>
  <c r="G138" i="38"/>
  <c r="F101" i="20"/>
  <c r="D102" i="20" s="1"/>
  <c r="E102" i="20" s="1"/>
  <c r="F102" i="20" s="1"/>
  <c r="D103" i="20" s="1"/>
  <c r="E103" i="20" s="1"/>
  <c r="F103" i="20" s="1"/>
  <c r="D104" i="20" s="1"/>
  <c r="G49" i="39"/>
  <c r="H23" i="32"/>
  <c r="K23" i="32" s="1"/>
  <c r="B23" i="7"/>
  <c r="A23" i="7"/>
  <c r="C47" i="20"/>
  <c r="E76" i="41"/>
  <c r="D64" i="35"/>
  <c r="L80" i="2" s="1"/>
  <c r="F102" i="13"/>
  <c r="D103" i="13" s="1"/>
  <c r="E103" i="13" s="1"/>
  <c r="B15" i="2"/>
  <c r="B18" i="2" s="1"/>
  <c r="E20" i="2" s="1"/>
  <c r="E88" i="41"/>
  <c r="S22" i="21"/>
  <c r="G93" i="2"/>
  <c r="K48" i="11" s="1"/>
  <c r="K62" i="11" s="1"/>
  <c r="K64" i="11" s="1"/>
  <c r="K66" i="11" s="1"/>
  <c r="C103" i="41"/>
  <c r="C105" i="41" s="1"/>
  <c r="G27" i="39"/>
  <c r="G41" i="5"/>
  <c r="G43" i="5"/>
  <c r="R127" i="38"/>
  <c r="E33" i="5"/>
  <c r="G17" i="39"/>
  <c r="C141" i="38"/>
  <c r="G31" i="38"/>
  <c r="G28" i="38"/>
  <c r="G21" i="39"/>
  <c r="G19" i="39"/>
  <c r="A30" i="39"/>
  <c r="A31" i="39" s="1"/>
  <c r="A32" i="39" s="1"/>
  <c r="A33" i="39" s="1"/>
  <c r="A34" i="39" s="1"/>
  <c r="A35" i="39" s="1"/>
  <c r="A36" i="39" s="1"/>
  <c r="A37" i="39" s="1"/>
  <c r="A38" i="39" s="1"/>
  <c r="A39" i="39" s="1"/>
  <c r="A40" i="39" s="1"/>
  <c r="A41" i="39" s="1"/>
  <c r="A42" i="39" s="1"/>
  <c r="A43" i="39" s="1"/>
  <c r="A44" i="39" s="1"/>
  <c r="A45" i="39" s="1"/>
  <c r="A46" i="39" s="1"/>
  <c r="A47" i="39" s="1"/>
  <c r="A48" i="39" s="1"/>
  <c r="S127" i="38"/>
  <c r="E35" i="5" s="1"/>
  <c r="G20" i="38"/>
  <c r="G19" i="38"/>
  <c r="G21" i="38"/>
  <c r="I18" i="5"/>
  <c r="G31" i="39"/>
  <c r="G25" i="39"/>
  <c r="G24" i="39"/>
  <c r="K141" i="38"/>
  <c r="F340" i="2"/>
  <c r="G189" i="2" s="1"/>
  <c r="D31" i="6"/>
  <c r="G87" i="38"/>
  <c r="D141" i="38"/>
  <c r="G78" i="38"/>
  <c r="G77" i="38"/>
  <c r="E17" i="5"/>
  <c r="I121" i="38"/>
  <c r="I127" i="38" s="1"/>
  <c r="F23" i="38"/>
  <c r="I72" i="38"/>
  <c r="G93" i="38"/>
  <c r="G84" i="38"/>
  <c r="G48" i="38"/>
  <c r="G30" i="38"/>
  <c r="G85" i="38"/>
  <c r="G19" i="5"/>
  <c r="G86" i="38"/>
  <c r="G17" i="38"/>
  <c r="G139" i="38"/>
  <c r="G91" i="38"/>
  <c r="G17" i="5"/>
  <c r="G23" i="39"/>
  <c r="G20" i="39"/>
  <c r="G28" i="39"/>
  <c r="G46" i="39"/>
  <c r="G73" i="39"/>
  <c r="G18" i="39"/>
  <c r="G22" i="39"/>
  <c r="G26" i="39"/>
  <c r="G33" i="39"/>
  <c r="G29" i="39"/>
  <c r="G75" i="39"/>
  <c r="G37" i="39"/>
  <c r="G74" i="39"/>
  <c r="G34" i="39"/>
  <c r="E81" i="39"/>
  <c r="G47" i="39"/>
  <c r="G38" i="39"/>
  <c r="G30" i="39"/>
  <c r="G36" i="39"/>
  <c r="G45" i="39"/>
  <c r="I34" i="5"/>
  <c r="J121" i="38"/>
  <c r="J127" i="38" s="1"/>
  <c r="D121" i="38"/>
  <c r="D127" i="38" s="1"/>
  <c r="G90" i="38"/>
  <c r="J72" i="38"/>
  <c r="I26" i="5"/>
  <c r="E37" i="11"/>
  <c r="K37" i="11" s="1"/>
  <c r="K43" i="11" s="1"/>
  <c r="G185" i="2" s="1"/>
  <c r="A27" i="30"/>
  <c r="A33" i="30" s="1"/>
  <c r="A44" i="30" s="1"/>
  <c r="A51" i="30" s="1"/>
  <c r="A60" i="30" s="1"/>
  <c r="A61" i="30" s="1"/>
  <c r="A63" i="30" s="1"/>
  <c r="A65" i="30" s="1"/>
  <c r="A71" i="30" s="1"/>
  <c r="A72" i="30" s="1"/>
  <c r="A74" i="30" s="1"/>
  <c r="A75" i="30" s="1"/>
  <c r="A79" i="30" s="1"/>
  <c r="A83" i="30" s="1"/>
  <c r="A93" i="30" s="1"/>
  <c r="A100" i="30" s="1"/>
  <c r="A103" i="30" s="1"/>
  <c r="A109" i="30" s="1"/>
  <c r="A112" i="30" s="1"/>
  <c r="A115" i="30" s="1"/>
  <c r="I44" i="30"/>
  <c r="E25" i="30"/>
  <c r="E115" i="30" s="1"/>
  <c r="P107" i="13"/>
  <c r="G149" i="2"/>
  <c r="G113" i="2" s="1"/>
  <c r="H42" i="41"/>
  <c r="G255" i="2" s="1"/>
  <c r="G23" i="41"/>
  <c r="I55" i="6"/>
  <c r="I29" i="6" s="1"/>
  <c r="P146" i="13"/>
  <c r="P138" i="13"/>
  <c r="P118" i="13"/>
  <c r="H239" i="2"/>
  <c r="P110" i="13"/>
  <c r="P161" i="13"/>
  <c r="P149" i="13"/>
  <c r="P113" i="13"/>
  <c r="S17" i="21"/>
  <c r="P104" i="13"/>
  <c r="P156" i="13"/>
  <c r="P152" i="13"/>
  <c r="P148" i="13"/>
  <c r="P140" i="13"/>
  <c r="P153" i="13"/>
  <c r="P145" i="13"/>
  <c r="P129" i="13"/>
  <c r="P125" i="13"/>
  <c r="P121" i="13"/>
  <c r="P117" i="13"/>
  <c r="P109" i="13"/>
  <c r="P106" i="13"/>
  <c r="P159" i="13"/>
  <c r="P155" i="13"/>
  <c r="P151" i="13"/>
  <c r="P147" i="13"/>
  <c r="P143" i="13"/>
  <c r="P139" i="13"/>
  <c r="P135" i="13"/>
  <c r="P127" i="13"/>
  <c r="P123" i="13"/>
  <c r="P119" i="13"/>
  <c r="P115" i="13"/>
  <c r="P111" i="13"/>
  <c r="P158" i="13"/>
  <c r="P154" i="13"/>
  <c r="P142" i="13"/>
  <c r="P134" i="13"/>
  <c r="P130" i="13"/>
  <c r="P126" i="13"/>
  <c r="P122" i="13"/>
  <c r="P114" i="13"/>
  <c r="P103" i="13"/>
  <c r="P137" i="13"/>
  <c r="P108" i="13"/>
  <c r="P136" i="13"/>
  <c r="P150" i="13"/>
  <c r="P120" i="13"/>
  <c r="P124" i="13"/>
  <c r="P102" i="13"/>
  <c r="L252" i="2"/>
  <c r="G257" i="2" s="1"/>
  <c r="L229" i="2"/>
  <c r="G92" i="2"/>
  <c r="I48" i="11" s="1"/>
  <c r="I62" i="11" s="1"/>
  <c r="I64" i="11" s="1"/>
  <c r="I66" i="11" s="1"/>
  <c r="G94" i="2"/>
  <c r="L92" i="2"/>
  <c r="P133" i="13"/>
  <c r="P160" i="13"/>
  <c r="P144" i="13"/>
  <c r="E39" i="6"/>
  <c r="E55" i="6" s="1"/>
  <c r="E29" i="6" s="1"/>
  <c r="K55" i="6"/>
  <c r="K29" i="6" s="1"/>
  <c r="E146" i="2"/>
  <c r="A36" i="9"/>
  <c r="A37" i="9" s="1"/>
  <c r="A38" i="9" s="1"/>
  <c r="A29" i="35"/>
  <c r="A30" i="35" s="1"/>
  <c r="A31" i="35" s="1"/>
  <c r="A32" i="35" s="1"/>
  <c r="A33" i="35" s="1"/>
  <c r="A34" i="35" s="1"/>
  <c r="A35" i="35" s="1"/>
  <c r="A36" i="35" s="1"/>
  <c r="A37" i="35" s="1"/>
  <c r="A38" i="35" s="1"/>
  <c r="A39" i="35" s="1"/>
  <c r="A40" i="35" s="1"/>
  <c r="A41" i="35" s="1"/>
  <c r="A42" i="35" s="1"/>
  <c r="E84" i="2" s="1"/>
  <c r="E70" i="2"/>
  <c r="E71" i="2"/>
  <c r="E73" i="2"/>
  <c r="E69" i="2"/>
  <c r="E67" i="2"/>
  <c r="E74" i="2"/>
  <c r="E66" i="2"/>
  <c r="E72" i="2"/>
  <c r="E101" i="41"/>
  <c r="C104" i="41"/>
  <c r="A28" i="48"/>
  <c r="A37" i="48" s="1"/>
  <c r="A39" i="48" s="1"/>
  <c r="A41" i="48" s="1"/>
  <c r="E154" i="2" s="1"/>
  <c r="B28" i="48"/>
  <c r="I42" i="5"/>
  <c r="L66" i="2"/>
  <c r="G90" i="2"/>
  <c r="E48" i="11" s="1"/>
  <c r="K121" i="38"/>
  <c r="K127" i="38" s="1"/>
  <c r="C72" i="38"/>
  <c r="E72" i="38"/>
  <c r="E121" i="38"/>
  <c r="E127" i="38" s="1"/>
  <c r="G50" i="39"/>
  <c r="G35" i="39"/>
  <c r="P131" i="13"/>
  <c r="F80" i="35"/>
  <c r="G108" i="2" s="1"/>
  <c r="L108" i="2" s="1"/>
  <c r="F121" i="38"/>
  <c r="F127" i="38" s="1"/>
  <c r="E49" i="5"/>
  <c r="E51" i="5" s="1"/>
  <c r="G48" i="39"/>
  <c r="G79" i="38"/>
  <c r="M90" i="13"/>
  <c r="N21" i="13" s="1"/>
  <c r="G75" i="2"/>
  <c r="C81" i="39"/>
  <c r="I81" i="39"/>
  <c r="G87" i="2"/>
  <c r="E20" i="11"/>
  <c r="G20" i="11" s="1"/>
  <c r="G43" i="11" s="1"/>
  <c r="G183" i="2" s="1"/>
  <c r="P157" i="13"/>
  <c r="P141" i="13"/>
  <c r="E89" i="41"/>
  <c r="I141" i="38"/>
  <c r="P105" i="13"/>
  <c r="E62" i="9"/>
  <c r="J141" i="38"/>
  <c r="G39" i="39"/>
  <c r="C121" i="38"/>
  <c r="C127" i="38" s="1"/>
  <c r="D103" i="41"/>
  <c r="D105" i="41" s="1"/>
  <c r="D104" i="41"/>
  <c r="S27" i="21"/>
  <c r="G77" i="39"/>
  <c r="E100" i="41"/>
  <c r="G92" i="38"/>
  <c r="O33" i="21"/>
  <c r="G209" i="2" s="1"/>
  <c r="P132" i="13"/>
  <c r="P128" i="13"/>
  <c r="P116" i="13"/>
  <c r="P112" i="13"/>
  <c r="I52" i="5"/>
  <c r="L103" i="2" s="1"/>
  <c r="D24" i="32"/>
  <c r="D25" i="32" s="1"/>
  <c r="H25" i="32" s="1"/>
  <c r="K25" i="32" s="1"/>
  <c r="I56" i="32"/>
  <c r="C158" i="20"/>
  <c r="C159" i="20" s="1"/>
  <c r="C160" i="20" s="1"/>
  <c r="A48" i="41"/>
  <c r="A49" i="41" s="1"/>
  <c r="F28" i="32"/>
  <c r="G91" i="2"/>
  <c r="J31" i="6"/>
  <c r="G117" i="2" s="1"/>
  <c r="E185" i="2"/>
  <c r="E184" i="2"/>
  <c r="A48" i="11"/>
  <c r="E181" i="2"/>
  <c r="A19" i="5"/>
  <c r="A20" i="5" s="1"/>
  <c r="A23" i="5" s="1"/>
  <c r="A25" i="5" s="1"/>
  <c r="E108" i="2"/>
  <c r="A84" i="35"/>
  <c r="F26" i="49"/>
  <c r="N90" i="13"/>
  <c r="G49" i="5"/>
  <c r="E52" i="9"/>
  <c r="E80" i="6"/>
  <c r="E30" i="6" s="1"/>
  <c r="I80" i="6"/>
  <c r="I30" i="6" s="1"/>
  <c r="J27" i="8"/>
  <c r="J31" i="8" s="1"/>
  <c r="E23" i="38"/>
  <c r="G78" i="39"/>
  <c r="I43" i="11"/>
  <c r="G181" i="2" s="1"/>
  <c r="E94" i="41"/>
  <c r="G125" i="38"/>
  <c r="E17" i="11"/>
  <c r="L90" i="2" l="1"/>
  <c r="G193" i="2"/>
  <c r="J80" i="2"/>
  <c r="J174" i="2" s="1"/>
  <c r="L174" i="2" s="1"/>
  <c r="H23" i="49"/>
  <c r="K23" i="49" s="1"/>
  <c r="H24" i="49"/>
  <c r="K24" i="49" s="1"/>
  <c r="H25" i="49"/>
  <c r="K25" i="49" s="1"/>
  <c r="A39" i="9"/>
  <c r="A40" i="9" s="1"/>
  <c r="I19" i="5"/>
  <c r="A43" i="48"/>
  <c r="A45" i="48" s="1"/>
  <c r="B47" i="48" s="1"/>
  <c r="E20" i="5"/>
  <c r="G102" i="13"/>
  <c r="F103" i="13"/>
  <c r="D104" i="13" s="1"/>
  <c r="G141" i="38"/>
  <c r="H24" i="32"/>
  <c r="K24" i="32" s="1"/>
  <c r="E103" i="41"/>
  <c r="E105" i="41" s="1"/>
  <c r="K51" i="11"/>
  <c r="K72" i="11" s="1"/>
  <c r="K74" i="11" s="1"/>
  <c r="K76" i="11" s="1"/>
  <c r="E81" i="2"/>
  <c r="B43" i="48"/>
  <c r="E78" i="2"/>
  <c r="E153" i="2"/>
  <c r="I31" i="6"/>
  <c r="G118" i="2" s="1"/>
  <c r="E82" i="2"/>
  <c r="A49" i="35"/>
  <c r="A50" i="35" s="1"/>
  <c r="A51" i="35" s="1"/>
  <c r="A52" i="35" s="1"/>
  <c r="A53" i="35" s="1"/>
  <c r="A54" i="35" s="1"/>
  <c r="A55" i="35" s="1"/>
  <c r="A56" i="35" s="1"/>
  <c r="A57" i="35" s="1"/>
  <c r="A58" i="35" s="1"/>
  <c r="A59" i="35" s="1"/>
  <c r="A60" i="35" s="1"/>
  <c r="A61" i="35" s="1"/>
  <c r="A62" i="35" s="1"/>
  <c r="D228" i="2" s="1"/>
  <c r="E86" i="2"/>
  <c r="I51" i="11"/>
  <c r="I53" i="11" s="1"/>
  <c r="I55" i="11" s="1"/>
  <c r="B20" i="2"/>
  <c r="B27" i="2" s="1"/>
  <c r="B29" i="2" s="1"/>
  <c r="B30" i="2" s="1"/>
  <c r="D33" i="2" s="1"/>
  <c r="E83" i="2"/>
  <c r="E80" i="2"/>
  <c r="D26" i="32"/>
  <c r="E104" i="41"/>
  <c r="A49" i="39"/>
  <c r="E36" i="5"/>
  <c r="I17" i="5"/>
  <c r="I35" i="5"/>
  <c r="G44" i="5"/>
  <c r="G23" i="38"/>
  <c r="E31" i="6"/>
  <c r="G120" i="2" s="1"/>
  <c r="L120" i="2" s="1"/>
  <c r="G258" i="2"/>
  <c r="H255" i="2" s="1"/>
  <c r="I33" i="5"/>
  <c r="G101" i="2" s="1"/>
  <c r="G36" i="5"/>
  <c r="G28" i="5"/>
  <c r="G20" i="5"/>
  <c r="G121" i="38"/>
  <c r="G127" i="38" s="1"/>
  <c r="S33" i="21"/>
  <c r="L209" i="2" s="1"/>
  <c r="L231" i="2"/>
  <c r="L68" i="2"/>
  <c r="E79" i="2"/>
  <c r="E85" i="2"/>
  <c r="D20" i="5"/>
  <c r="K80" i="6"/>
  <c r="K30" i="6" s="1"/>
  <c r="K31" i="6" s="1"/>
  <c r="E62" i="11"/>
  <c r="E64" i="11" s="1"/>
  <c r="E66" i="11" s="1"/>
  <c r="E51" i="11"/>
  <c r="E104" i="20"/>
  <c r="F104" i="20" s="1"/>
  <c r="D105" i="20" s="1"/>
  <c r="F29" i="32"/>
  <c r="G51" i="5"/>
  <c r="I49" i="5"/>
  <c r="I51" i="5" s="1"/>
  <c r="G103" i="2" s="1"/>
  <c r="H26" i="49"/>
  <c r="K26" i="49" s="1"/>
  <c r="F27" i="49"/>
  <c r="K68" i="11"/>
  <c r="K69" i="11" s="1"/>
  <c r="I68" i="11"/>
  <c r="I69" i="11" s="1"/>
  <c r="E68" i="11"/>
  <c r="G68" i="11"/>
  <c r="G48" i="11"/>
  <c r="G95" i="2"/>
  <c r="O21" i="13"/>
  <c r="P21" i="13" s="1"/>
  <c r="O90" i="13"/>
  <c r="A50" i="11"/>
  <c r="A51" i="11" s="1"/>
  <c r="E43" i="11"/>
  <c r="M17" i="11"/>
  <c r="M43" i="11" s="1"/>
  <c r="G184" i="2" s="1"/>
  <c r="L184" i="2" s="1"/>
  <c r="A26" i="5"/>
  <c r="A27" i="5" s="1"/>
  <c r="A28" i="5" s="1"/>
  <c r="A31" i="5" s="1"/>
  <c r="A33" i="5" s="1"/>
  <c r="E22" i="13"/>
  <c r="E22" i="20"/>
  <c r="A50" i="41"/>
  <c r="A51" i="41" s="1"/>
  <c r="A52" i="41" s="1"/>
  <c r="A53" i="41" s="1"/>
  <c r="A54" i="41" s="1"/>
  <c r="A55" i="41" s="1"/>
  <c r="A56" i="41" s="1"/>
  <c r="J81" i="2" l="1"/>
  <c r="L81" i="2" s="1"/>
  <c r="G199" i="2"/>
  <c r="L246" i="2"/>
  <c r="A41" i="9"/>
  <c r="A42" i="9" s="1"/>
  <c r="I20" i="5"/>
  <c r="L99" i="2" s="1"/>
  <c r="G103" i="13"/>
  <c r="K53" i="11"/>
  <c r="K55" i="11" s="1"/>
  <c r="E57" i="11" s="1"/>
  <c r="B31" i="2"/>
  <c r="B33" i="2" s="1"/>
  <c r="B34" i="2" s="1"/>
  <c r="B36" i="2" s="1"/>
  <c r="B37" i="2" s="1"/>
  <c r="E31" i="2"/>
  <c r="D227" i="2"/>
  <c r="D27" i="32"/>
  <c r="H26" i="32"/>
  <c r="K26" i="32" s="1"/>
  <c r="A50" i="39"/>
  <c r="G99" i="2"/>
  <c r="I72" i="11"/>
  <c r="I74" i="11" s="1"/>
  <c r="I76" i="11" s="1"/>
  <c r="G121" i="2"/>
  <c r="I36" i="5"/>
  <c r="L101" i="2" s="1"/>
  <c r="H256" i="2"/>
  <c r="E77" i="41"/>
  <c r="E79" i="41" s="1"/>
  <c r="E80" i="41" s="1"/>
  <c r="E51" i="41" s="1"/>
  <c r="E56" i="41" s="1"/>
  <c r="E58" i="41" s="1"/>
  <c r="J255" i="2" s="1"/>
  <c r="H257" i="2"/>
  <c r="J76" i="2"/>
  <c r="H75" i="13"/>
  <c r="G75" i="20"/>
  <c r="J161" i="2"/>
  <c r="J235" i="2"/>
  <c r="L235" i="2" s="1"/>
  <c r="J162" i="2"/>
  <c r="L162" i="2" s="1"/>
  <c r="J114" i="2"/>
  <c r="L114" i="2" s="1"/>
  <c r="J149" i="2"/>
  <c r="L149" i="2" s="1"/>
  <c r="J69" i="2"/>
  <c r="L69" i="2" s="1"/>
  <c r="G59" i="20"/>
  <c r="G76" i="20"/>
  <c r="F59" i="13"/>
  <c r="H76" i="13"/>
  <c r="E72" i="11"/>
  <c r="E74" i="11" s="1"/>
  <c r="E76" i="11" s="1"/>
  <c r="E53" i="11"/>
  <c r="E55" i="11" s="1"/>
  <c r="G186" i="2"/>
  <c r="A52" i="11"/>
  <c r="A53" i="11" s="1"/>
  <c r="D28" i="5"/>
  <c r="M68" i="11"/>
  <c r="E69" i="11"/>
  <c r="E78" i="11"/>
  <c r="G78" i="11"/>
  <c r="K78" i="11"/>
  <c r="K79" i="11" s="1"/>
  <c r="I78" i="11"/>
  <c r="E105" i="20"/>
  <c r="F105" i="20" s="1"/>
  <c r="D106" i="20" s="1"/>
  <c r="F28" i="49"/>
  <c r="H27" i="49"/>
  <c r="K27" i="49" s="1"/>
  <c r="A34" i="5"/>
  <c r="A35" i="5" s="1"/>
  <c r="A36" i="5" s="1"/>
  <c r="A39" i="5" s="1"/>
  <c r="A41" i="5" s="1"/>
  <c r="B58" i="41"/>
  <c r="E245" i="2"/>
  <c r="A58" i="41"/>
  <c r="E155" i="2"/>
  <c r="A47" i="48"/>
  <c r="C21" i="48" s="1"/>
  <c r="E104" i="13"/>
  <c r="F104" i="13" s="1"/>
  <c r="D105" i="13" s="1"/>
  <c r="G51" i="11"/>
  <c r="G62" i="11"/>
  <c r="M48" i="11"/>
  <c r="D21" i="13"/>
  <c r="D21" i="20"/>
  <c r="F30" i="32"/>
  <c r="C51" i="11"/>
  <c r="B56" i="41"/>
  <c r="A51" i="39" l="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I256" i="2"/>
  <c r="L256" i="2" s="1"/>
  <c r="L239" i="2"/>
  <c r="L241" i="2" s="1"/>
  <c r="L113" i="2"/>
  <c r="I257" i="2"/>
  <c r="L257" i="2" s="1"/>
  <c r="L91" i="2"/>
  <c r="K57" i="11"/>
  <c r="K58" i="11" s="1"/>
  <c r="A45" i="9"/>
  <c r="E161" i="2"/>
  <c r="I79" i="11"/>
  <c r="C70" i="20"/>
  <c r="C70" i="13"/>
  <c r="D36" i="2"/>
  <c r="H77" i="13"/>
  <c r="H78" i="13" s="1"/>
  <c r="H79" i="13" s="1"/>
  <c r="D98" i="13" s="1"/>
  <c r="D28" i="32"/>
  <c r="H27" i="32"/>
  <c r="K27" i="32" s="1"/>
  <c r="G77" i="20"/>
  <c r="G78" i="20" s="1"/>
  <c r="G79" i="20" s="1"/>
  <c r="D97" i="20" s="1"/>
  <c r="D22" i="13"/>
  <c r="F22" i="13" s="1"/>
  <c r="D22" i="20"/>
  <c r="F22" i="20" s="1"/>
  <c r="L245" i="2"/>
  <c r="D23" i="13"/>
  <c r="F23" i="13" s="1"/>
  <c r="D23" i="20"/>
  <c r="F23" i="20" s="1"/>
  <c r="I255" i="2"/>
  <c r="L255" i="2" s="1"/>
  <c r="A42" i="5"/>
  <c r="A43" i="5" s="1"/>
  <c r="A44" i="5" s="1"/>
  <c r="A47" i="5" s="1"/>
  <c r="A49" i="5" s="1"/>
  <c r="M62" i="11"/>
  <c r="G64" i="11"/>
  <c r="G72" i="11"/>
  <c r="E105" i="13"/>
  <c r="F105" i="13" s="1"/>
  <c r="F29" i="49"/>
  <c r="H28" i="49"/>
  <c r="F31" i="32"/>
  <c r="G53" i="11"/>
  <c r="M51" i="11"/>
  <c r="E79" i="11"/>
  <c r="C53" i="11"/>
  <c r="B39" i="2"/>
  <c r="B42" i="2" s="1"/>
  <c r="B44" i="2" s="1"/>
  <c r="B24" i="2"/>
  <c r="A61" i="41"/>
  <c r="D255" i="2"/>
  <c r="D36" i="5"/>
  <c r="G104" i="13"/>
  <c r="E106" i="20"/>
  <c r="F106" i="20" s="1"/>
  <c r="D107" i="20" s="1"/>
  <c r="A54" i="11"/>
  <c r="A55" i="11" s="1"/>
  <c r="E21" i="13"/>
  <c r="F21" i="13" s="1"/>
  <c r="E21" i="20"/>
  <c r="F21" i="20" s="1"/>
  <c r="E58" i="11"/>
  <c r="F64" i="13" l="1"/>
  <c r="J164" i="2"/>
  <c r="A46" i="9"/>
  <c r="J73" i="2"/>
  <c r="L73" i="2" s="1"/>
  <c r="J117" i="2"/>
  <c r="L117" i="2" s="1"/>
  <c r="J159" i="2"/>
  <c r="J74" i="2"/>
  <c r="L74" i="2" s="1"/>
  <c r="J110" i="2"/>
  <c r="L110" i="2" s="1"/>
  <c r="J176" i="2"/>
  <c r="L176" i="2" s="1"/>
  <c r="J86" i="2"/>
  <c r="L86" i="2" s="1"/>
  <c r="J85" i="2"/>
  <c r="L85" i="2" s="1"/>
  <c r="J115" i="2"/>
  <c r="L115" i="2" s="1"/>
  <c r="G64" i="20"/>
  <c r="J72" i="2"/>
  <c r="L72" i="2" s="1"/>
  <c r="J84" i="2"/>
  <c r="L84" i="2" s="1"/>
  <c r="J175" i="2"/>
  <c r="L175" i="2" s="1"/>
  <c r="J181" i="2"/>
  <c r="L181" i="2" s="1"/>
  <c r="L258" i="2"/>
  <c r="D29" i="32"/>
  <c r="H28" i="32"/>
  <c r="K28" i="32" s="1"/>
  <c r="F24" i="13"/>
  <c r="E29" i="13" s="1"/>
  <c r="F24" i="20"/>
  <c r="F29" i="20" s="1"/>
  <c r="C55" i="11"/>
  <c r="E107" i="20"/>
  <c r="F107" i="20" s="1"/>
  <c r="D108" i="20" s="1"/>
  <c r="D106" i="13"/>
  <c r="G105" i="13"/>
  <c r="G55" i="11"/>
  <c r="M53" i="11"/>
  <c r="G74" i="11"/>
  <c r="M72" i="11"/>
  <c r="G66" i="11"/>
  <c r="G69" i="11" s="1"/>
  <c r="M64" i="11"/>
  <c r="F32" i="32"/>
  <c r="B45" i="2"/>
  <c r="K28" i="49"/>
  <c r="F30" i="49"/>
  <c r="H29" i="49"/>
  <c r="K29" i="49" s="1"/>
  <c r="D63" i="41"/>
  <c r="A64" i="41"/>
  <c r="A50" i="5"/>
  <c r="A51" i="5" s="1"/>
  <c r="A52" i="5" s="1"/>
  <c r="A56" i="11"/>
  <c r="C56" i="11"/>
  <c r="D44" i="5"/>
  <c r="A47" i="9" l="1"/>
  <c r="A48" i="9" s="1"/>
  <c r="A49" i="9" s="1"/>
  <c r="A50" i="9" s="1"/>
  <c r="A52" i="9" s="1"/>
  <c r="L94" i="2"/>
  <c r="L87" i="2"/>
  <c r="L177" i="2"/>
  <c r="L93" i="2"/>
  <c r="L75" i="2"/>
  <c r="J75" i="2" s="1"/>
  <c r="H51" i="30" s="1"/>
  <c r="G190" i="2"/>
  <c r="D51" i="5"/>
  <c r="E36" i="9"/>
  <c r="E42" i="9" s="1"/>
  <c r="F42" i="9"/>
  <c r="G161" i="2" s="1"/>
  <c r="D30" i="32"/>
  <c r="H29" i="32"/>
  <c r="K29" i="32" s="1"/>
  <c r="G76" i="11"/>
  <c r="G79" i="11" s="1"/>
  <c r="M74" i="11"/>
  <c r="A65" i="41"/>
  <c r="A66" i="41" s="1"/>
  <c r="A67" i="41" s="1"/>
  <c r="A68" i="41" s="1"/>
  <c r="A69" i="41" s="1"/>
  <c r="A70" i="41" s="1"/>
  <c r="A71" i="41" s="1"/>
  <c r="A72" i="41" s="1"/>
  <c r="A73" i="41" s="1"/>
  <c r="A74" i="41" s="1"/>
  <c r="A57" i="11"/>
  <c r="C57" i="11"/>
  <c r="G56" i="11"/>
  <c r="G57" i="11" s="1"/>
  <c r="G58" i="11" s="1"/>
  <c r="I56" i="11"/>
  <c r="I57" i="11" s="1"/>
  <c r="I58" i="11" s="1"/>
  <c r="F31" i="49"/>
  <c r="H30" i="49"/>
  <c r="K30" i="49" s="1"/>
  <c r="F33" i="32"/>
  <c r="E106" i="13"/>
  <c r="F106" i="13" s="1"/>
  <c r="B46" i="2"/>
  <c r="B48" i="2" s="1"/>
  <c r="B66" i="2" s="1"/>
  <c r="E108" i="20"/>
  <c r="F108" i="20" s="1"/>
  <c r="D109" i="20" s="1"/>
  <c r="M69" i="11"/>
  <c r="J118" i="2" l="1"/>
  <c r="L118" i="2" s="1"/>
  <c r="H34" i="30"/>
  <c r="I34" i="30" s="1"/>
  <c r="I33" i="30" s="1"/>
  <c r="E162" i="2"/>
  <c r="A55" i="9"/>
  <c r="A56" i="9" s="1"/>
  <c r="A57" i="9" s="1"/>
  <c r="A58" i="9" s="1"/>
  <c r="A59" i="9" s="1"/>
  <c r="A60" i="9" s="1"/>
  <c r="A62" i="9" s="1"/>
  <c r="E163" i="2" s="1"/>
  <c r="J116" i="2"/>
  <c r="L116" i="2" s="1"/>
  <c r="J160" i="2"/>
  <c r="L160" i="2" s="1"/>
  <c r="L95" i="2"/>
  <c r="J95" i="2" s="1"/>
  <c r="I51" i="30"/>
  <c r="I50" i="30" s="1"/>
  <c r="J199" i="2"/>
  <c r="L199" i="2" s="1"/>
  <c r="J185" i="2"/>
  <c r="L185" i="2" s="1"/>
  <c r="G211" i="2"/>
  <c r="F35" i="20"/>
  <c r="E35" i="13"/>
  <c r="L211" i="2"/>
  <c r="L161" i="2"/>
  <c r="D31" i="32"/>
  <c r="H30" i="32"/>
  <c r="K30" i="32" s="1"/>
  <c r="D107" i="13"/>
  <c r="E107" i="13" s="1"/>
  <c r="F107" i="13" s="1"/>
  <c r="G106" i="13"/>
  <c r="M57" i="11"/>
  <c r="E48" i="2"/>
  <c r="D303" i="2"/>
  <c r="E109" i="20"/>
  <c r="F109" i="20" s="1"/>
  <c r="D110" i="20" s="1"/>
  <c r="A58" i="11"/>
  <c r="C58" i="11"/>
  <c r="M58" i="11"/>
  <c r="E59" i="11" s="1"/>
  <c r="A76" i="41"/>
  <c r="B50" i="41"/>
  <c r="F32" i="49"/>
  <c r="H31" i="49"/>
  <c r="K31" i="49" s="1"/>
  <c r="B76" i="41"/>
  <c r="B67" i="2"/>
  <c r="B68" i="2" s="1"/>
  <c r="I70" i="11"/>
  <c r="E70" i="11"/>
  <c r="F34" i="32"/>
  <c r="G70" i="11"/>
  <c r="M79" i="11"/>
  <c r="F37" i="20" l="1"/>
  <c r="L121" i="2"/>
  <c r="E37" i="13"/>
  <c r="D32" i="32"/>
  <c r="H31" i="32"/>
  <c r="K31" i="32" s="1"/>
  <c r="I59" i="11"/>
  <c r="G59" i="11"/>
  <c r="D108" i="13"/>
  <c r="G107" i="13"/>
  <c r="E110" i="20"/>
  <c r="F110" i="20" s="1"/>
  <c r="D111" i="20" s="1"/>
  <c r="I80" i="11"/>
  <c r="E80" i="11"/>
  <c r="A77" i="41"/>
  <c r="A78" i="41" s="1"/>
  <c r="A79" i="41" s="1"/>
  <c r="A80" i="41" s="1"/>
  <c r="G80" i="11"/>
  <c r="C75" i="13"/>
  <c r="C75" i="20"/>
  <c r="B69" i="2"/>
  <c r="B70" i="2" s="1"/>
  <c r="E226" i="2"/>
  <c r="F33" i="49"/>
  <c r="H32" i="49"/>
  <c r="K32" i="49" s="1"/>
  <c r="F41" i="32"/>
  <c r="F38" i="32"/>
  <c r="A59" i="11"/>
  <c r="A61" i="11" s="1"/>
  <c r="C59" i="11"/>
  <c r="D33" i="32" l="1"/>
  <c r="H32" i="32"/>
  <c r="K32" i="32" s="1"/>
  <c r="I28" i="30"/>
  <c r="H29" i="30"/>
  <c r="I29" i="30" s="1"/>
  <c r="E111" i="20"/>
  <c r="F111" i="20" s="1"/>
  <c r="D112" i="20" s="1"/>
  <c r="F42" i="32"/>
  <c r="B51" i="41"/>
  <c r="A85" i="41"/>
  <c r="E108" i="13"/>
  <c r="F108" i="13" s="1"/>
  <c r="D109" i="13" s="1"/>
  <c r="H33" i="49"/>
  <c r="K33" i="49" s="1"/>
  <c r="F34" i="49"/>
  <c r="B80" i="41"/>
  <c r="A62" i="11"/>
  <c r="C62" i="11"/>
  <c r="B71" i="2"/>
  <c r="B72" i="2" s="1"/>
  <c r="D34" i="32" l="1"/>
  <c r="H34" i="32" s="1"/>
  <c r="K34" i="32" s="1"/>
  <c r="H33" i="32"/>
  <c r="I27" i="30"/>
  <c r="I25" i="30" s="1"/>
  <c r="L183" i="2" s="1"/>
  <c r="G108" i="13"/>
  <c r="F38" i="49"/>
  <c r="H34" i="49"/>
  <c r="F41" i="49"/>
  <c r="B73" i="2"/>
  <c r="B74" i="2" s="1"/>
  <c r="A63" i="11"/>
  <c r="A64" i="11" s="1"/>
  <c r="C72" i="11"/>
  <c r="A86" i="41"/>
  <c r="F43" i="32"/>
  <c r="E109" i="13"/>
  <c r="F109" i="13" s="1"/>
  <c r="D110" i="13" s="1"/>
  <c r="E112" i="20"/>
  <c r="F112" i="20" s="1"/>
  <c r="L186" i="2" l="1"/>
  <c r="K33" i="32"/>
  <c r="K35" i="32" s="1"/>
  <c r="D38" i="32" s="1"/>
  <c r="H38" i="32" s="1"/>
  <c r="K38" i="32" s="1"/>
  <c r="H35" i="32"/>
  <c r="D113" i="20"/>
  <c r="C64" i="11"/>
  <c r="F44" i="32"/>
  <c r="A65" i="11"/>
  <c r="A66" i="11" s="1"/>
  <c r="B75" i="2"/>
  <c r="B77" i="2" s="1"/>
  <c r="B78" i="2" s="1"/>
  <c r="E75" i="2"/>
  <c r="E110" i="13"/>
  <c r="F110" i="13" s="1"/>
  <c r="D111" i="13" s="1"/>
  <c r="A87" i="41"/>
  <c r="A88" i="41" s="1"/>
  <c r="F42" i="49"/>
  <c r="K34" i="49"/>
  <c r="K35" i="49" s="1"/>
  <c r="D38" i="49" s="1"/>
  <c r="H35" i="49"/>
  <c r="G109" i="13"/>
  <c r="B88" i="41" l="1"/>
  <c r="D41" i="32"/>
  <c r="I41" i="32"/>
  <c r="C66" i="11"/>
  <c r="E111" i="13"/>
  <c r="F111" i="13" s="1"/>
  <c r="D112" i="13" s="1"/>
  <c r="F45" i="32"/>
  <c r="F43" i="49"/>
  <c r="G110" i="13"/>
  <c r="H38" i="49"/>
  <c r="K38" i="49" s="1"/>
  <c r="A89" i="41"/>
  <c r="B89" i="41"/>
  <c r="B79" i="2"/>
  <c r="B80" i="2" s="1"/>
  <c r="C67" i="11"/>
  <c r="A67" i="11"/>
  <c r="E113" i="20"/>
  <c r="F113" i="20" s="1"/>
  <c r="I42" i="32" l="1"/>
  <c r="I43" i="32" s="1"/>
  <c r="I44" i="32" s="1"/>
  <c r="I45" i="32" s="1"/>
  <c r="I46" i="32" s="1"/>
  <c r="I47" i="32" s="1"/>
  <c r="I48" i="32" s="1"/>
  <c r="I49" i="32" s="1"/>
  <c r="I50" i="32" s="1"/>
  <c r="I51" i="32" s="1"/>
  <c r="I52" i="32" s="1"/>
  <c r="H41" i="32"/>
  <c r="K41" i="32"/>
  <c r="D42" i="32" s="1"/>
  <c r="D41" i="49"/>
  <c r="I41" i="49"/>
  <c r="F46" i="32"/>
  <c r="E112" i="13"/>
  <c r="F112" i="13" s="1"/>
  <c r="D113" i="13" s="1"/>
  <c r="A91" i="41"/>
  <c r="D114" i="20"/>
  <c r="E90" i="2"/>
  <c r="G111" i="13"/>
  <c r="B81" i="2"/>
  <c r="B82" i="2" s="1"/>
  <c r="A68" i="11"/>
  <c r="C68" i="11"/>
  <c r="F44" i="49"/>
  <c r="E91" i="2" l="1"/>
  <c r="I55" i="32"/>
  <c r="I57" i="32" s="1"/>
  <c r="H42" i="32"/>
  <c r="K42" i="32"/>
  <c r="D43" i="32" s="1"/>
  <c r="G112" i="13"/>
  <c r="E113" i="13"/>
  <c r="F113" i="13" s="1"/>
  <c r="E114" i="20"/>
  <c r="F114" i="20" s="1"/>
  <c r="D115" i="20" s="1"/>
  <c r="B83" i="2"/>
  <c r="B84" i="2" s="1"/>
  <c r="F47" i="32"/>
  <c r="A69" i="11"/>
  <c r="C69" i="11"/>
  <c r="A92" i="41"/>
  <c r="I42" i="49"/>
  <c r="I43" i="49" s="1"/>
  <c r="I44" i="49" s="1"/>
  <c r="I45" i="49" s="1"/>
  <c r="I46" i="49" s="1"/>
  <c r="I47" i="49" s="1"/>
  <c r="I48" i="49" s="1"/>
  <c r="I49" i="49" s="1"/>
  <c r="I50" i="49" s="1"/>
  <c r="I51" i="49" s="1"/>
  <c r="I52" i="49" s="1"/>
  <c r="F45" i="49"/>
  <c r="K41" i="49"/>
  <c r="D42" i="49" s="1"/>
  <c r="H41" i="49"/>
  <c r="E92" i="2" l="1"/>
  <c r="K43" i="32"/>
  <c r="D44" i="32" s="1"/>
  <c r="H43" i="32"/>
  <c r="D114" i="13"/>
  <c r="G113" i="13"/>
  <c r="E115" i="20"/>
  <c r="F115" i="20" s="1"/>
  <c r="K42" i="49"/>
  <c r="D43" i="49" s="1"/>
  <c r="H42" i="49"/>
  <c r="A93" i="41"/>
  <c r="A94" i="41" s="1"/>
  <c r="C70" i="11"/>
  <c r="A70" i="11"/>
  <c r="A72" i="11" s="1"/>
  <c r="A73" i="11" s="1"/>
  <c r="A74" i="11" s="1"/>
  <c r="B85" i="2"/>
  <c r="B86" i="2" s="1"/>
  <c r="F48" i="32"/>
  <c r="F46" i="49"/>
  <c r="I55" i="49"/>
  <c r="I57" i="49" s="1"/>
  <c r="E93" i="2" l="1"/>
  <c r="K44" i="32"/>
  <c r="D45" i="32" s="1"/>
  <c r="H44" i="32"/>
  <c r="D116" i="20"/>
  <c r="B87" i="2"/>
  <c r="B89" i="2" s="1"/>
  <c r="B90" i="2" s="1"/>
  <c r="E94" i="2"/>
  <c r="E87" i="2"/>
  <c r="K43" i="49"/>
  <c r="D44" i="49" s="1"/>
  <c r="H43" i="49"/>
  <c r="A95" i="41"/>
  <c r="B95" i="41"/>
  <c r="A75" i="11"/>
  <c r="A76" i="11" s="1"/>
  <c r="F49" i="32"/>
  <c r="B94" i="41"/>
  <c r="F47" i="49"/>
  <c r="E114" i="13"/>
  <c r="F114" i="13" s="1"/>
  <c r="D115" i="13" s="1"/>
  <c r="K45" i="32" l="1"/>
  <c r="D46" i="32" s="1"/>
  <c r="H45" i="32"/>
  <c r="G114" i="13"/>
  <c r="A97" i="41"/>
  <c r="A77" i="11"/>
  <c r="A78" i="11" s="1"/>
  <c r="C79" i="11" s="1"/>
  <c r="C77" i="11"/>
  <c r="F50" i="32"/>
  <c r="E115" i="13"/>
  <c r="F115" i="13" s="1"/>
  <c r="E116" i="20"/>
  <c r="F116" i="20" s="1"/>
  <c r="D117" i="20" s="1"/>
  <c r="K44" i="49"/>
  <c r="D45" i="49" s="1"/>
  <c r="H44" i="49"/>
  <c r="F48" i="49"/>
  <c r="B91" i="2"/>
  <c r="C76" i="11"/>
  <c r="H46" i="32" l="1"/>
  <c r="K46" i="32"/>
  <c r="D47" i="32" s="1"/>
  <c r="D116" i="13"/>
  <c r="G115" i="13"/>
  <c r="F49" i="49"/>
  <c r="C78" i="11"/>
  <c r="A79" i="11"/>
  <c r="K45" i="49"/>
  <c r="D46" i="49" s="1"/>
  <c r="H45" i="49"/>
  <c r="E117" i="20"/>
  <c r="F117" i="20" s="1"/>
  <c r="F51" i="32"/>
  <c r="C64" i="20"/>
  <c r="B92" i="2"/>
  <c r="B93" i="2" s="1"/>
  <c r="B94" i="2" s="1"/>
  <c r="C64" i="13"/>
  <c r="A98" i="41"/>
  <c r="H47" i="32" l="1"/>
  <c r="K47" i="32"/>
  <c r="D48" i="32" s="1"/>
  <c r="D118" i="20"/>
  <c r="A80" i="11"/>
  <c r="C80" i="11"/>
  <c r="K46" i="49"/>
  <c r="D47" i="49" s="1"/>
  <c r="H46" i="49"/>
  <c r="F52" i="32"/>
  <c r="A99" i="41"/>
  <c r="A100" i="41" s="1"/>
  <c r="F50" i="49"/>
  <c r="B95" i="2"/>
  <c r="E95" i="2"/>
  <c r="E116" i="13"/>
  <c r="F116" i="13" s="1"/>
  <c r="K48" i="32" l="1"/>
  <c r="D49" i="32" s="1"/>
  <c r="H48" i="32"/>
  <c r="D117" i="13"/>
  <c r="G116" i="13"/>
  <c r="A101" i="41"/>
  <c r="B103" i="41"/>
  <c r="B101" i="41"/>
  <c r="B98" i="2"/>
  <c r="B99" i="2" s="1"/>
  <c r="C48" i="11"/>
  <c r="B100" i="41"/>
  <c r="K47" i="49"/>
  <c r="D48" i="49" s="1"/>
  <c r="H47" i="49"/>
  <c r="F51" i="49"/>
  <c r="E118" i="20"/>
  <c r="F118" i="20" s="1"/>
  <c r="K49" i="32" l="1"/>
  <c r="D50" i="32" s="1"/>
  <c r="H49" i="32"/>
  <c r="D119" i="20"/>
  <c r="K48" i="49"/>
  <c r="D49" i="49" s="1"/>
  <c r="H48" i="49"/>
  <c r="A103" i="41"/>
  <c r="B104" i="41"/>
  <c r="F52" i="49"/>
  <c r="B100" i="2"/>
  <c r="B101" i="2" s="1"/>
  <c r="B102" i="2" s="1"/>
  <c r="B103" i="2" s="1"/>
  <c r="B104" i="2" s="1"/>
  <c r="E117" i="13"/>
  <c r="F117" i="13" s="1"/>
  <c r="K50" i="32" l="1"/>
  <c r="D51" i="32" s="1"/>
  <c r="H50" i="32"/>
  <c r="D118" i="13"/>
  <c r="G117" i="13"/>
  <c r="E246" i="2"/>
  <c r="A104" i="41"/>
  <c r="K49" i="49"/>
  <c r="D50" i="49" s="1"/>
  <c r="H49" i="49"/>
  <c r="B106" i="2"/>
  <c r="B108" i="2" s="1"/>
  <c r="B110" i="2" s="1"/>
  <c r="B112" i="2" s="1"/>
  <c r="B113" i="2" s="1"/>
  <c r="E104" i="2"/>
  <c r="E119" i="20"/>
  <c r="F119" i="20" s="1"/>
  <c r="K51" i="32" l="1"/>
  <c r="D52" i="32" s="1"/>
  <c r="H51" i="32"/>
  <c r="D120" i="20"/>
  <c r="E120" i="20" s="1"/>
  <c r="F120" i="20" s="1"/>
  <c r="K50" i="49"/>
  <c r="D51" i="49" s="1"/>
  <c r="H50" i="49"/>
  <c r="B105" i="41"/>
  <c r="A105" i="41"/>
  <c r="B114" i="2"/>
  <c r="B115" i="2" s="1"/>
  <c r="B116" i="2" s="1"/>
  <c r="B117" i="2" s="1"/>
  <c r="B118" i="2" s="1"/>
  <c r="B119" i="2" s="1"/>
  <c r="B120" i="2" s="1"/>
  <c r="B121" i="2" s="1"/>
  <c r="E118" i="13"/>
  <c r="F118" i="13" s="1"/>
  <c r="H52" i="32" l="1"/>
  <c r="H53" i="32" s="1"/>
  <c r="K52" i="32"/>
  <c r="D119" i="13"/>
  <c r="E119" i="13" s="1"/>
  <c r="F119" i="13" s="1"/>
  <c r="G118" i="13"/>
  <c r="D121" i="20"/>
  <c r="B123" i="2"/>
  <c r="D125" i="2" s="1"/>
  <c r="E121" i="2"/>
  <c r="K51" i="49"/>
  <c r="D52" i="49" s="1"/>
  <c r="H51" i="49"/>
  <c r="D120" i="13" l="1"/>
  <c r="G119" i="13"/>
  <c r="B125" i="2"/>
  <c r="D299" i="2"/>
  <c r="K52" i="49"/>
  <c r="H52" i="49"/>
  <c r="H53" i="49" s="1"/>
  <c r="E121" i="20"/>
  <c r="F121" i="20" s="1"/>
  <c r="D122" i="20" s="1"/>
  <c r="E122" i="20" l="1"/>
  <c r="F122" i="20" s="1"/>
  <c r="C28" i="13"/>
  <c r="B140" i="2"/>
  <c r="C28" i="20"/>
  <c r="E120" i="13"/>
  <c r="F120" i="13" s="1"/>
  <c r="D121" i="13" l="1"/>
  <c r="G120" i="13"/>
  <c r="D123" i="20"/>
  <c r="B141" i="2"/>
  <c r="B142" i="2" s="1"/>
  <c r="B143" i="2" s="1"/>
  <c r="B144" i="2" s="1"/>
  <c r="E121" i="13" l="1"/>
  <c r="F121" i="13" s="1"/>
  <c r="D122" i="13" s="1"/>
  <c r="B145" i="2"/>
  <c r="B146" i="2" s="1"/>
  <c r="E123" i="20"/>
  <c r="F123" i="20" s="1"/>
  <c r="E145" i="2"/>
  <c r="D124" i="20" l="1"/>
  <c r="D294" i="2"/>
  <c r="E44" i="2"/>
  <c r="B147" i="2"/>
  <c r="E122" i="13"/>
  <c r="F122" i="13" s="1"/>
  <c r="G121" i="13"/>
  <c r="D123" i="13" l="1"/>
  <c r="G122" i="13"/>
  <c r="B148" i="2"/>
  <c r="E149" i="2" s="1"/>
  <c r="E124" i="20"/>
  <c r="F124" i="20" s="1"/>
  <c r="D125" i="20" l="1"/>
  <c r="B149" i="2"/>
  <c r="D296" i="2"/>
  <c r="E123" i="13"/>
  <c r="F123" i="13" s="1"/>
  <c r="D124" i="13" s="1"/>
  <c r="G123" i="13" l="1"/>
  <c r="E125" i="20"/>
  <c r="F125" i="20" s="1"/>
  <c r="D126" i="20" s="1"/>
  <c r="E113" i="2"/>
  <c r="B151" i="2"/>
  <c r="D293" i="2"/>
  <c r="E124" i="13"/>
  <c r="F124" i="13" s="1"/>
  <c r="D125" i="13" s="1"/>
  <c r="G124" i="13" l="1"/>
  <c r="E126" i="20"/>
  <c r="F126" i="20" s="1"/>
  <c r="E125" i="13"/>
  <c r="F125" i="13" s="1"/>
  <c r="D126" i="13" s="1"/>
  <c r="B152" i="2"/>
  <c r="D127" i="20" l="1"/>
  <c r="G125" i="13"/>
  <c r="E126" i="13"/>
  <c r="F126" i="13" s="1"/>
  <c r="B153" i="2"/>
  <c r="B154" i="2" s="1"/>
  <c r="B155" i="2" s="1"/>
  <c r="B156" i="2" s="1"/>
  <c r="B157" i="2" s="1"/>
  <c r="B158" i="2" s="1"/>
  <c r="E160" i="2"/>
  <c r="D127" i="13" l="1"/>
  <c r="E127" i="13" s="1"/>
  <c r="F127" i="13" s="1"/>
  <c r="D128" i="13" s="1"/>
  <c r="G126" i="13"/>
  <c r="E127" i="20"/>
  <c r="F127" i="20" s="1"/>
  <c r="D128" i="20" s="1"/>
  <c r="B159" i="2"/>
  <c r="E159" i="2"/>
  <c r="B160" i="2" l="1"/>
  <c r="B161" i="2" s="1"/>
  <c r="B162" i="2" s="1"/>
  <c r="B163" i="2" s="1"/>
  <c r="B164" i="2" s="1"/>
  <c r="B165" i="2" s="1"/>
  <c r="E128" i="13"/>
  <c r="F128" i="13" s="1"/>
  <c r="D129" i="13" s="1"/>
  <c r="E128" i="20"/>
  <c r="F128" i="20" s="1"/>
  <c r="D129" i="20" s="1"/>
  <c r="G127" i="13"/>
  <c r="G128" i="13" l="1"/>
  <c r="B167" i="2"/>
  <c r="D297" i="2"/>
  <c r="E167" i="2"/>
  <c r="E129" i="20"/>
  <c r="F129" i="20" s="1"/>
  <c r="E129" i="13"/>
  <c r="F129" i="13" s="1"/>
  <c r="E165" i="2"/>
  <c r="D130" i="13" l="1"/>
  <c r="G129" i="13"/>
  <c r="D130" i="20"/>
  <c r="B168" i="2"/>
  <c r="E169" i="2" s="1"/>
  <c r="E130" i="13" l="1"/>
  <c r="F130" i="13" s="1"/>
  <c r="C48" i="20"/>
  <c r="C48" i="13"/>
  <c r="D310" i="2"/>
  <c r="B169" i="2"/>
  <c r="D312" i="2"/>
  <c r="E30" i="2"/>
  <c r="D307" i="2"/>
  <c r="E130" i="20"/>
  <c r="F130" i="20" s="1"/>
  <c r="D131" i="20" l="1"/>
  <c r="E131" i="20" s="1"/>
  <c r="F131" i="20" s="1"/>
  <c r="D131" i="13"/>
  <c r="G130" i="13"/>
  <c r="B171" i="2"/>
  <c r="B172" i="2" s="1"/>
  <c r="D132" i="20" l="1"/>
  <c r="B173" i="2"/>
  <c r="B174" i="2" s="1"/>
  <c r="E131" i="13"/>
  <c r="F131" i="13" s="1"/>
  <c r="D132" i="13" l="1"/>
  <c r="E132" i="13" s="1"/>
  <c r="F132" i="13" s="1"/>
  <c r="D133" i="13" s="1"/>
  <c r="G131" i="13"/>
  <c r="E132" i="20"/>
  <c r="F132" i="20" s="1"/>
  <c r="D133" i="20" s="1"/>
  <c r="C76" i="13"/>
  <c r="B175" i="2"/>
  <c r="B176" i="2" s="1"/>
  <c r="B177" i="2" s="1"/>
  <c r="C59" i="20"/>
  <c r="C76" i="20"/>
  <c r="C59" i="13"/>
  <c r="E34" i="2"/>
  <c r="E177" i="2" l="1"/>
  <c r="E133" i="13"/>
  <c r="F133" i="13" s="1"/>
  <c r="B179" i="2"/>
  <c r="B180" i="2" s="1"/>
  <c r="B181" i="2" s="1"/>
  <c r="G132" i="13"/>
  <c r="E133" i="20"/>
  <c r="F133" i="20" s="1"/>
  <c r="D134" i="20" s="1"/>
  <c r="D134" i="13" l="1"/>
  <c r="E134" i="13" s="1"/>
  <c r="F134" i="13" s="1"/>
  <c r="D135" i="13" s="1"/>
  <c r="G133" i="13"/>
  <c r="E134" i="20"/>
  <c r="F134" i="20" s="1"/>
  <c r="B182" i="2"/>
  <c r="B183" i="2" s="1"/>
  <c r="B184" i="2" s="1"/>
  <c r="B185" i="2" s="1"/>
  <c r="B186" i="2" s="1"/>
  <c r="D135" i="20" l="1"/>
  <c r="E135" i="20" s="1"/>
  <c r="F135" i="20" s="1"/>
  <c r="E135" i="13"/>
  <c r="F135" i="13" s="1"/>
  <c r="B188" i="2"/>
  <c r="B189" i="2" s="1"/>
  <c r="E186" i="2"/>
  <c r="G134" i="13"/>
  <c r="D136" i="20" l="1"/>
  <c r="D136" i="13"/>
  <c r="G135" i="13"/>
  <c r="D193" i="2"/>
  <c r="B190" i="2"/>
  <c r="B191" i="2" l="1"/>
  <c r="B192" i="2" s="1"/>
  <c r="B193" i="2" s="1"/>
  <c r="C35" i="13"/>
  <c r="C35" i="20"/>
  <c r="E136" i="20"/>
  <c r="F136" i="20" s="1"/>
  <c r="E136" i="13"/>
  <c r="F136" i="13" s="1"/>
  <c r="D137" i="13" l="1"/>
  <c r="G136" i="13"/>
  <c r="D137" i="20"/>
  <c r="B194" i="2"/>
  <c r="B195" i="2" l="1"/>
  <c r="D338" i="2"/>
  <c r="E137" i="20"/>
  <c r="F137" i="20" s="1"/>
  <c r="E199" i="2"/>
  <c r="E137" i="13"/>
  <c r="F137" i="13" s="1"/>
  <c r="D138" i="13" s="1"/>
  <c r="D138" i="20" l="1"/>
  <c r="E138" i="20" s="1"/>
  <c r="F138" i="20" s="1"/>
  <c r="E138" i="13"/>
  <c r="F138" i="13" s="1"/>
  <c r="B196" i="2"/>
  <c r="E200" i="2"/>
  <c r="G137" i="13"/>
  <c r="D139" i="20" l="1"/>
  <c r="D139" i="13"/>
  <c r="G138" i="13"/>
  <c r="B198" i="2"/>
  <c r="E201" i="2"/>
  <c r="B199" i="2" l="1"/>
  <c r="B200" i="2" s="1"/>
  <c r="B201" i="2" s="1"/>
  <c r="B203" i="2" s="1"/>
  <c r="E139" i="13"/>
  <c r="F139" i="13" s="1"/>
  <c r="D140" i="13" s="1"/>
  <c r="E139" i="20"/>
  <c r="F139" i="20" s="1"/>
  <c r="E203" i="2" l="1"/>
  <c r="D140" i="20"/>
  <c r="G139" i="13"/>
  <c r="E140" i="13"/>
  <c r="F140" i="13" s="1"/>
  <c r="C50" i="20"/>
  <c r="B205" i="2"/>
  <c r="E37" i="2" s="1"/>
  <c r="C50" i="13"/>
  <c r="D141" i="13" l="1"/>
  <c r="G140" i="13"/>
  <c r="C49" i="20"/>
  <c r="C49" i="13"/>
  <c r="B207" i="2"/>
  <c r="E198" i="2"/>
  <c r="E140" i="20"/>
  <c r="F140" i="20" s="1"/>
  <c r="D141" i="20" l="1"/>
  <c r="E141" i="20" s="1"/>
  <c r="F141" i="20" s="1"/>
  <c r="D301" i="2"/>
  <c r="B209" i="2"/>
  <c r="E141" i="13"/>
  <c r="F141" i="13" s="1"/>
  <c r="D142" i="13" s="1"/>
  <c r="D142" i="20" l="1"/>
  <c r="G141" i="13"/>
  <c r="E142" i="13"/>
  <c r="F142" i="13" s="1"/>
  <c r="D143" i="13" s="1"/>
  <c r="B211" i="2"/>
  <c r="D211" i="2"/>
  <c r="E143" i="13" l="1"/>
  <c r="F143" i="13" s="1"/>
  <c r="D144" i="13" s="1"/>
  <c r="B213" i="2"/>
  <c r="D214" i="2"/>
  <c r="G142" i="13"/>
  <c r="E142" i="20"/>
  <c r="F142" i="20" s="1"/>
  <c r="D143" i="20" l="1"/>
  <c r="B226" i="2"/>
  <c r="E13" i="2"/>
  <c r="E144" i="13"/>
  <c r="F144" i="13" s="1"/>
  <c r="G143" i="13"/>
  <c r="D145" i="13" l="1"/>
  <c r="G144" i="13"/>
  <c r="B227" i="2"/>
  <c r="B228" i="2" s="1"/>
  <c r="B229" i="2" s="1"/>
  <c r="E143" i="20"/>
  <c r="F143" i="20" s="1"/>
  <c r="D144" i="20" s="1"/>
  <c r="E144" i="20" l="1"/>
  <c r="F144" i="20" s="1"/>
  <c r="E231" i="2"/>
  <c r="B231" i="2"/>
  <c r="B233" i="2" s="1"/>
  <c r="B234" i="2" s="1"/>
  <c r="E68" i="2"/>
  <c r="E229" i="2"/>
  <c r="E145" i="13"/>
  <c r="F145" i="13" s="1"/>
  <c r="D145" i="20" l="1"/>
  <c r="E145" i="20" s="1"/>
  <c r="F145" i="20" s="1"/>
  <c r="D146" i="13"/>
  <c r="E146" i="13" s="1"/>
  <c r="F146" i="13" s="1"/>
  <c r="D147" i="13" s="1"/>
  <c r="G145" i="13"/>
  <c r="B235" i="2"/>
  <c r="B236" i="2" s="1"/>
  <c r="B237" i="2" s="1"/>
  <c r="B238" i="2" s="1"/>
  <c r="B239" i="2" s="1"/>
  <c r="B241" i="2" s="1"/>
  <c r="B244" i="2" s="1"/>
  <c r="B245" i="2" s="1"/>
  <c r="E239" i="2" l="1"/>
  <c r="D146" i="20"/>
  <c r="B246" i="2"/>
  <c r="B247" i="2" s="1"/>
  <c r="B248" i="2" s="1"/>
  <c r="E147" i="13"/>
  <c r="F147" i="13" s="1"/>
  <c r="G146" i="13"/>
  <c r="D148" i="13" l="1"/>
  <c r="G147" i="13"/>
  <c r="B249" i="2"/>
  <c r="E146" i="20"/>
  <c r="F146" i="20" s="1"/>
  <c r="D147" i="20" l="1"/>
  <c r="D256" i="2"/>
  <c r="B250" i="2"/>
  <c r="E148" i="13"/>
  <c r="F148" i="13" s="1"/>
  <c r="D149" i="13" l="1"/>
  <c r="G148" i="13"/>
  <c r="B251" i="2"/>
  <c r="B252" i="2" s="1"/>
  <c r="E147" i="20"/>
  <c r="F147" i="20" s="1"/>
  <c r="E252" i="2" l="1"/>
  <c r="D148" i="20"/>
  <c r="D257" i="2"/>
  <c r="B254" i="2"/>
  <c r="B255" i="2" s="1"/>
  <c r="E149" i="13"/>
  <c r="F149" i="13" s="1"/>
  <c r="D150" i="13" s="1"/>
  <c r="E150" i="13" l="1"/>
  <c r="F150" i="13" s="1"/>
  <c r="D359" i="2"/>
  <c r="B256" i="2"/>
  <c r="B257" i="2" s="1"/>
  <c r="C19" i="13" s="1"/>
  <c r="G149" i="13"/>
  <c r="E148" i="20"/>
  <c r="F148" i="20" s="1"/>
  <c r="D151" i="13" l="1"/>
  <c r="E151" i="13" s="1"/>
  <c r="F151" i="13" s="1"/>
  <c r="G150" i="13"/>
  <c r="D149" i="20"/>
  <c r="E149" i="20" s="1"/>
  <c r="D258" i="2"/>
  <c r="C19" i="20"/>
  <c r="C16" i="20"/>
  <c r="B258" i="2"/>
  <c r="B260" i="2" s="1"/>
  <c r="C16" i="13"/>
  <c r="F149" i="20" l="1"/>
  <c r="D150" i="20" s="1"/>
  <c r="E150" i="20" s="1"/>
  <c r="F150" i="20" s="1"/>
  <c r="D152" i="13"/>
  <c r="E152" i="13" s="1"/>
  <c r="F152" i="13" s="1"/>
  <c r="G151" i="13"/>
  <c r="B77" i="41"/>
  <c r="E205" i="2"/>
  <c r="D191" i="2"/>
  <c r="D153" i="13" l="1"/>
  <c r="E153" i="13" s="1"/>
  <c r="G152" i="13"/>
  <c r="D151" i="20"/>
  <c r="F153" i="13" l="1"/>
  <c r="D154" i="13" s="1"/>
  <c r="E151" i="20"/>
  <c r="F151" i="20" s="1"/>
  <c r="D152" i="20" l="1"/>
  <c r="E154" i="13"/>
  <c r="F154" i="13" s="1"/>
  <c r="D155" i="13" s="1"/>
  <c r="E155" i="13" l="1"/>
  <c r="F155" i="13" s="1"/>
  <c r="D156" i="13" s="1"/>
  <c r="E152" i="20"/>
  <c r="F152" i="20" s="1"/>
  <c r="D153" i="20" l="1"/>
  <c r="E156" i="13"/>
  <c r="F156" i="13" s="1"/>
  <c r="D157" i="13" l="1"/>
  <c r="G156" i="13"/>
  <c r="E153" i="20"/>
  <c r="F153" i="20" s="1"/>
  <c r="D154" i="20" l="1"/>
  <c r="E154" i="20" s="1"/>
  <c r="F154" i="20" s="1"/>
  <c r="E157" i="13"/>
  <c r="F157" i="13" s="1"/>
  <c r="D155" i="20" l="1"/>
  <c r="E155" i="20" s="1"/>
  <c r="F155" i="20" s="1"/>
  <c r="D158" i="13"/>
  <c r="E158" i="13" s="1"/>
  <c r="F158" i="13" s="1"/>
  <c r="G157" i="13"/>
  <c r="D159" i="13" l="1"/>
  <c r="E159" i="13" s="1"/>
  <c r="F159" i="13" s="1"/>
  <c r="G158" i="13"/>
  <c r="D156" i="20"/>
  <c r="D160" i="13" l="1"/>
  <c r="G159" i="13"/>
  <c r="E156" i="20"/>
  <c r="F156" i="20" s="1"/>
  <c r="D157" i="20" s="1"/>
  <c r="E157" i="20" l="1"/>
  <c r="F157" i="20" s="1"/>
  <c r="E160" i="13"/>
  <c r="F160" i="13" s="1"/>
  <c r="D161" i="13" s="1"/>
  <c r="D158" i="20" l="1"/>
  <c r="E158" i="20" s="1"/>
  <c r="F158" i="20" s="1"/>
  <c r="E161" i="13"/>
  <c r="E162" i="13" s="1"/>
  <c r="G160" i="13"/>
  <c r="D159" i="20" l="1"/>
  <c r="E159" i="20" s="1"/>
  <c r="F159" i="20" s="1"/>
  <c r="D160" i="20" s="1"/>
  <c r="F161" i="13"/>
  <c r="G161" i="13" s="1"/>
  <c r="E160" i="20" l="1"/>
  <c r="E161" i="20" s="1"/>
  <c r="F160" i="20" l="1"/>
  <c r="G201" i="2" l="1"/>
  <c r="L201" i="2" l="1"/>
  <c r="F39" i="20" l="1"/>
  <c r="E39" i="13"/>
  <c r="G200" i="2" l="1"/>
  <c r="L200" i="2" l="1"/>
  <c r="F38" i="20" l="1"/>
  <c r="E38" i="13"/>
  <c r="G155" i="2" l="1"/>
  <c r="K45" i="48" l="1"/>
  <c r="D47" i="48" l="1"/>
  <c r="F47" i="48"/>
  <c r="C23" i="48" s="1"/>
  <c r="D43" i="48" l="1"/>
  <c r="F43" i="48"/>
  <c r="C22" i="48"/>
  <c r="G22" i="48" l="1"/>
  <c r="G47" i="48" l="1"/>
  <c r="G43" i="48" l="1"/>
  <c r="C24" i="48"/>
  <c r="H43" i="48" l="1"/>
  <c r="G24" i="48"/>
  <c r="G153" i="2" l="1"/>
  <c r="G159" i="2" s="1"/>
  <c r="L159" i="2" s="1"/>
  <c r="H47" i="48"/>
  <c r="C25" i="48" s="1"/>
  <c r="I47" i="48" l="1"/>
  <c r="G25" i="48"/>
  <c r="I43" i="48" l="1"/>
  <c r="C26" i="48"/>
  <c r="J43" i="48" l="1"/>
  <c r="K43" i="48" s="1"/>
  <c r="G26" i="48"/>
  <c r="J47" i="48" l="1"/>
  <c r="K47" i="48" s="1"/>
  <c r="C27" i="48" l="1"/>
  <c r="C28" i="48" s="1"/>
  <c r="G27" i="48" l="1"/>
  <c r="D22" i="48"/>
  <c r="E22" i="48" s="1"/>
  <c r="H22" i="48" s="1"/>
  <c r="I22" i="48" s="1"/>
  <c r="D23" i="48"/>
  <c r="E23" i="48" s="1"/>
  <c r="D24" i="48"/>
  <c r="E24" i="48" s="1"/>
  <c r="H24" i="48" s="1"/>
  <c r="I24" i="48" s="1"/>
  <c r="D25" i="48"/>
  <c r="E25" i="48" s="1"/>
  <c r="D26" i="48"/>
  <c r="E26" i="48" s="1"/>
  <c r="H26" i="48" s="1"/>
  <c r="I26" i="48" s="1"/>
  <c r="D27" i="48"/>
  <c r="E27" i="48" s="1"/>
  <c r="H27" i="48" s="1"/>
  <c r="I27" i="48" l="1"/>
  <c r="G164" i="2"/>
  <c r="H25" i="48"/>
  <c r="I25" i="48" s="1"/>
  <c r="L164" i="2" l="1"/>
  <c r="L165" i="2" s="1"/>
  <c r="L167" i="2" s="1"/>
  <c r="L169" i="2" s="1"/>
  <c r="G165" i="2"/>
  <c r="G167" i="2" s="1"/>
  <c r="G169" i="2" s="1"/>
  <c r="H23" i="48" l="1"/>
  <c r="H28" i="48" s="1"/>
  <c r="G23" i="48" l="1"/>
  <c r="I23" i="48" s="1"/>
  <c r="I28" i="48" s="1"/>
  <c r="G28" i="48" l="1"/>
  <c r="D64" i="38" l="1"/>
  <c r="K64" i="38"/>
  <c r="K72" i="38" s="1"/>
  <c r="S72" i="38"/>
  <c r="E27" i="5" l="1"/>
  <c r="I27" i="5" s="1"/>
  <c r="E25" i="5"/>
  <c r="F65" i="38"/>
  <c r="G64" i="38"/>
  <c r="D65" i="38" l="1"/>
  <c r="F72" i="38"/>
  <c r="E28" i="5"/>
  <c r="I25" i="5"/>
  <c r="G100" i="2" l="1"/>
  <c r="I28" i="5"/>
  <c r="L100" i="2" s="1"/>
  <c r="G65" i="38"/>
  <c r="G72" i="38" s="1"/>
  <c r="D72" i="38"/>
  <c r="K71" i="39" l="1"/>
  <c r="K81" i="39" s="1"/>
  <c r="S81" i="39"/>
  <c r="R81" i="39"/>
  <c r="J71" i="39"/>
  <c r="J81" i="39" s="1"/>
  <c r="D71" i="39"/>
  <c r="G71" i="39" l="1"/>
  <c r="F72" i="39"/>
  <c r="E43" i="5"/>
  <c r="I43" i="5" s="1"/>
  <c r="E41" i="5"/>
  <c r="E44" i="5" l="1"/>
  <c r="I41" i="5"/>
  <c r="F81" i="39"/>
  <c r="D72" i="39"/>
  <c r="G72" i="39" l="1"/>
  <c r="G81" i="39" s="1"/>
  <c r="D81" i="39"/>
  <c r="G102" i="2"/>
  <c r="G104" i="2" s="1"/>
  <c r="G125" i="2" s="1"/>
  <c r="G205" i="2" s="1"/>
  <c r="G198" i="2" s="1"/>
  <c r="G203" i="2" s="1"/>
  <c r="G213" i="2" s="1"/>
  <c r="I44" i="5"/>
  <c r="L102" i="2" s="1"/>
  <c r="L104" i="2" s="1"/>
  <c r="L125" i="2" s="1"/>
  <c r="E28" i="13" l="1"/>
  <c r="E30" i="13" s="1"/>
  <c r="F28" i="20"/>
  <c r="F30" i="20" s="1"/>
  <c r="L205" i="2"/>
  <c r="F49" i="13" l="1"/>
  <c r="G49" i="20"/>
  <c r="L198" i="2"/>
  <c r="L203" i="2" s="1"/>
  <c r="F34" i="20"/>
  <c r="F36" i="20" s="1"/>
  <c r="F40" i="20" s="1"/>
  <c r="G57" i="20" s="1"/>
  <c r="G56" i="20"/>
  <c r="E34" i="13"/>
  <c r="E36" i="13" s="1"/>
  <c r="E40" i="13" s="1"/>
  <c r="F57" i="13" s="1"/>
  <c r="F56" i="13"/>
  <c r="L213" i="2" l="1"/>
  <c r="L13" i="2" s="1"/>
  <c r="G50" i="20"/>
  <c r="F50" i="13"/>
  <c r="G47" i="20" l="1"/>
  <c r="G51" i="20" s="1"/>
  <c r="G55" i="20" s="1"/>
  <c r="G58" i="20" s="1"/>
  <c r="L30" i="2"/>
  <c r="L31" i="2" s="1"/>
  <c r="L37" i="2"/>
  <c r="F47" i="13"/>
  <c r="F51" i="13" s="1"/>
  <c r="F55" i="13" s="1"/>
  <c r="F58" i="13" s="1"/>
  <c r="L20" i="2"/>
  <c r="L34" i="2"/>
  <c r="F70" i="13" l="1"/>
  <c r="J97" i="13" s="1"/>
  <c r="G70" i="20"/>
  <c r="I96" i="20" s="1"/>
  <c r="F65" i="13"/>
  <c r="F66" i="13" s="1"/>
  <c r="F60" i="13"/>
  <c r="F68" i="13" s="1"/>
  <c r="F69" i="13" s="1"/>
  <c r="G65" i="20"/>
  <c r="G66" i="20" s="1"/>
  <c r="G60" i="20"/>
  <c r="G68" i="20" s="1"/>
  <c r="G69" i="20" s="1"/>
  <c r="G71" i="20" l="1"/>
  <c r="F71" i="13"/>
  <c r="G106" i="20"/>
  <c r="G122" i="20"/>
  <c r="G108" i="20"/>
  <c r="G132" i="20"/>
  <c r="G154" i="20"/>
  <c r="G120" i="20"/>
  <c r="G137" i="20"/>
  <c r="G114" i="20"/>
  <c r="G144" i="20"/>
  <c r="G128" i="20"/>
  <c r="G159" i="20"/>
  <c r="G125" i="20"/>
  <c r="G112" i="20"/>
  <c r="G105" i="20"/>
  <c r="G142" i="20"/>
  <c r="G131" i="20"/>
  <c r="G160" i="20"/>
  <c r="N88" i="20" s="1"/>
  <c r="M26" i="20" s="1"/>
  <c r="G27" i="2" s="1"/>
  <c r="L27" i="2" s="1"/>
  <c r="G113" i="20"/>
  <c r="G146" i="20"/>
  <c r="G151" i="20"/>
  <c r="G140" i="20"/>
  <c r="G158" i="20"/>
  <c r="G121" i="20"/>
  <c r="G147" i="20"/>
  <c r="G109" i="20"/>
  <c r="G101" i="20"/>
  <c r="G129" i="20"/>
  <c r="G136" i="20"/>
  <c r="G148" i="20"/>
  <c r="G118" i="20"/>
  <c r="G152" i="20"/>
  <c r="G115" i="20"/>
  <c r="G141" i="20"/>
  <c r="G130" i="20"/>
  <c r="G138" i="20"/>
  <c r="G102" i="20"/>
  <c r="G111" i="20"/>
  <c r="G119" i="20"/>
  <c r="G145" i="20"/>
  <c r="G153" i="20"/>
  <c r="G126" i="20"/>
  <c r="G135" i="20"/>
  <c r="G107" i="20"/>
  <c r="G155" i="20"/>
  <c r="G104" i="20"/>
  <c r="G156" i="20"/>
  <c r="G124" i="20"/>
  <c r="G150" i="20"/>
  <c r="G134" i="20"/>
  <c r="G127" i="20"/>
  <c r="G149" i="20"/>
  <c r="G117" i="20"/>
  <c r="G116" i="20"/>
  <c r="G123" i="20"/>
  <c r="G157" i="20"/>
  <c r="G103" i="20"/>
  <c r="G143" i="20"/>
  <c r="G133" i="20"/>
  <c r="G139" i="20"/>
  <c r="I97" i="20"/>
  <c r="G110" i="20"/>
  <c r="H131" i="13"/>
  <c r="H135" i="13"/>
  <c r="H151" i="13"/>
  <c r="H103" i="13"/>
  <c r="H124" i="13"/>
  <c r="H160" i="13"/>
  <c r="H112" i="13"/>
  <c r="H107" i="13"/>
  <c r="H157" i="13"/>
  <c r="H108" i="13"/>
  <c r="H142" i="13"/>
  <c r="H111" i="13"/>
  <c r="H141" i="13"/>
  <c r="H121" i="13"/>
  <c r="H119" i="13"/>
  <c r="H138" i="13"/>
  <c r="H115" i="13"/>
  <c r="H150" i="13"/>
  <c r="H123" i="13"/>
  <c r="H106" i="13"/>
  <c r="H122" i="13"/>
  <c r="H146" i="13"/>
  <c r="H109" i="13"/>
  <c r="H154" i="13"/>
  <c r="H133" i="13"/>
  <c r="H125" i="13"/>
  <c r="H127" i="13"/>
  <c r="H132" i="13"/>
  <c r="H137" i="13"/>
  <c r="H134" i="13"/>
  <c r="H149" i="13"/>
  <c r="H136" i="13"/>
  <c r="H147" i="13"/>
  <c r="H104" i="13"/>
  <c r="H159" i="13"/>
  <c r="H126" i="13"/>
  <c r="H161" i="13"/>
  <c r="M91" i="13" s="1"/>
  <c r="H156" i="13"/>
  <c r="H158" i="13"/>
  <c r="H129" i="13"/>
  <c r="H110" i="13"/>
  <c r="H102" i="13"/>
  <c r="H117" i="13"/>
  <c r="H114" i="13"/>
  <c r="H152" i="13"/>
  <c r="J98" i="13"/>
  <c r="H120" i="13"/>
  <c r="H145" i="13"/>
  <c r="H116" i="13"/>
  <c r="H130" i="13"/>
  <c r="H105" i="13"/>
  <c r="H148" i="13"/>
  <c r="H140" i="13"/>
  <c r="H113" i="13"/>
  <c r="H153" i="13"/>
  <c r="H155" i="13"/>
  <c r="H143" i="13"/>
  <c r="H128" i="13"/>
  <c r="H139" i="13"/>
  <c r="H118" i="13"/>
  <c r="H144" i="13"/>
  <c r="H162" i="13" l="1"/>
  <c r="H157" i="20"/>
  <c r="I157" i="20" s="1"/>
  <c r="H137" i="20"/>
  <c r="I137" i="20" s="1"/>
  <c r="H155" i="20"/>
  <c r="I155" i="20" s="1"/>
  <c r="H118" i="20"/>
  <c r="I118" i="20" s="1"/>
  <c r="H154" i="20"/>
  <c r="I154" i="20" s="1"/>
  <c r="H110" i="20"/>
  <c r="I110" i="20" s="1"/>
  <c r="H131" i="20"/>
  <c r="I131" i="20" s="1"/>
  <c r="H101" i="20"/>
  <c r="H153" i="20"/>
  <c r="I153" i="20" s="1"/>
  <c r="H141" i="20"/>
  <c r="I141" i="20" s="1"/>
  <c r="H103" i="20"/>
  <c r="I103" i="20" s="1"/>
  <c r="H151" i="20"/>
  <c r="I151" i="20" s="1"/>
  <c r="H121" i="20"/>
  <c r="I121" i="20" s="1"/>
  <c r="H159" i="20"/>
  <c r="I159" i="20" s="1"/>
  <c r="H150" i="20"/>
  <c r="I150" i="20" s="1"/>
  <c r="H156" i="20"/>
  <c r="I156" i="20" s="1"/>
  <c r="H105" i="20"/>
  <c r="I105" i="20" s="1"/>
  <c r="H112" i="20"/>
  <c r="I112" i="20" s="1"/>
  <c r="H144" i="20"/>
  <c r="I144" i="20" s="1"/>
  <c r="H104" i="20"/>
  <c r="I104" i="20" s="1"/>
  <c r="H134" i="20"/>
  <c r="I134" i="20" s="1"/>
  <c r="H114" i="20"/>
  <c r="I114" i="20" s="1"/>
  <c r="H122" i="20"/>
  <c r="I122" i="20" s="1"/>
  <c r="H125" i="20"/>
  <c r="I125" i="20" s="1"/>
  <c r="H142" i="20"/>
  <c r="I142" i="20" s="1"/>
  <c r="H102" i="20"/>
  <c r="I102" i="20" s="1"/>
  <c r="H108" i="20"/>
  <c r="I108" i="20" s="1"/>
  <c r="H117" i="20"/>
  <c r="I117" i="20" s="1"/>
  <c r="H149" i="20"/>
  <c r="I149" i="20" s="1"/>
  <c r="H111" i="20"/>
  <c r="I111" i="20" s="1"/>
  <c r="H107" i="20"/>
  <c r="I107" i="20" s="1"/>
  <c r="H139" i="20"/>
  <c r="I139" i="20" s="1"/>
  <c r="H133" i="20"/>
  <c r="I133" i="20" s="1"/>
  <c r="H106" i="20"/>
  <c r="I106" i="20" s="1"/>
  <c r="H145" i="20"/>
  <c r="I145" i="20" s="1"/>
  <c r="H152" i="20"/>
  <c r="I152" i="20" s="1"/>
  <c r="H116" i="20"/>
  <c r="I116" i="20" s="1"/>
  <c r="H119" i="20"/>
  <c r="I119" i="20" s="1"/>
  <c r="H124" i="20"/>
  <c r="I124" i="20" s="1"/>
  <c r="H147" i="20"/>
  <c r="I147" i="20" s="1"/>
  <c r="H148" i="20"/>
  <c r="I148" i="20" s="1"/>
  <c r="H128" i="20"/>
  <c r="I128" i="20" s="1"/>
  <c r="H113" i="20"/>
  <c r="I113" i="20" s="1"/>
  <c r="H130" i="20"/>
  <c r="I130" i="20" s="1"/>
  <c r="H129" i="20"/>
  <c r="I129" i="20" s="1"/>
  <c r="H109" i="20"/>
  <c r="I109" i="20" s="1"/>
  <c r="H140" i="20"/>
  <c r="I140" i="20" s="1"/>
  <c r="H158" i="20"/>
  <c r="I158" i="20" s="1"/>
  <c r="H136" i="20"/>
  <c r="I136" i="20" s="1"/>
  <c r="H123" i="20"/>
  <c r="I123" i="20" s="1"/>
  <c r="H127" i="20"/>
  <c r="I127" i="20" s="1"/>
  <c r="H115" i="20"/>
  <c r="I115" i="20" s="1"/>
  <c r="H135" i="20"/>
  <c r="I135" i="20" s="1"/>
  <c r="H120" i="20"/>
  <c r="I120" i="20" s="1"/>
  <c r="H138" i="20"/>
  <c r="I138" i="20" s="1"/>
  <c r="H132" i="20"/>
  <c r="I132" i="20" s="1"/>
  <c r="H126" i="20"/>
  <c r="I126" i="20" s="1"/>
  <c r="H160" i="20"/>
  <c r="H143" i="20"/>
  <c r="I143" i="20" s="1"/>
  <c r="H146" i="20"/>
  <c r="I146" i="20" s="1"/>
  <c r="I119" i="13"/>
  <c r="J119" i="13" s="1"/>
  <c r="I145" i="13"/>
  <c r="J145" i="13" s="1"/>
  <c r="I139" i="13"/>
  <c r="J139" i="13" s="1"/>
  <c r="I134" i="13"/>
  <c r="J134" i="13" s="1"/>
  <c r="I107" i="13"/>
  <c r="J107" i="13" s="1"/>
  <c r="I161" i="13"/>
  <c r="I148" i="13"/>
  <c r="J148" i="13" s="1"/>
  <c r="I118" i="13"/>
  <c r="J118" i="13" s="1"/>
  <c r="I122" i="13"/>
  <c r="J122" i="13" s="1"/>
  <c r="I133" i="13"/>
  <c r="J133" i="13" s="1"/>
  <c r="I135" i="13"/>
  <c r="J135" i="13" s="1"/>
  <c r="I124" i="13"/>
  <c r="J124" i="13" s="1"/>
  <c r="I149" i="13"/>
  <c r="J149" i="13" s="1"/>
  <c r="I104" i="13"/>
  <c r="J104" i="13" s="1"/>
  <c r="I146" i="13"/>
  <c r="J146" i="13" s="1"/>
  <c r="I114" i="13"/>
  <c r="J114" i="13" s="1"/>
  <c r="I158" i="13"/>
  <c r="J158" i="13" s="1"/>
  <c r="I130" i="13"/>
  <c r="J130" i="13" s="1"/>
  <c r="I144" i="13"/>
  <c r="J144" i="13" s="1"/>
  <c r="I143" i="13"/>
  <c r="J143" i="13" s="1"/>
  <c r="I109" i="13"/>
  <c r="J109" i="13" s="1"/>
  <c r="I156" i="13"/>
  <c r="J156" i="13" s="1"/>
  <c r="I160" i="13"/>
  <c r="J160" i="13" s="1"/>
  <c r="I150" i="13"/>
  <c r="J150" i="13" s="1"/>
  <c r="I157" i="13"/>
  <c r="J157" i="13" s="1"/>
  <c r="I152" i="13"/>
  <c r="J152" i="13" s="1"/>
  <c r="I137" i="13"/>
  <c r="J137" i="13" s="1"/>
  <c r="I106" i="13"/>
  <c r="J106" i="13" s="1"/>
  <c r="I102" i="13"/>
  <c r="I151" i="13"/>
  <c r="J151" i="13" s="1"/>
  <c r="I116" i="13"/>
  <c r="J116" i="13" s="1"/>
  <c r="I117" i="13"/>
  <c r="J117" i="13" s="1"/>
  <c r="I112" i="13"/>
  <c r="J112" i="13" s="1"/>
  <c r="I132" i="13"/>
  <c r="J132" i="13" s="1"/>
  <c r="I138" i="13"/>
  <c r="J138" i="13" s="1"/>
  <c r="I120" i="13"/>
  <c r="J120" i="13" s="1"/>
  <c r="I153" i="13"/>
  <c r="J153" i="13" s="1"/>
  <c r="I142" i="13"/>
  <c r="J142" i="13" s="1"/>
  <c r="I111" i="13"/>
  <c r="J111" i="13" s="1"/>
  <c r="I128" i="13"/>
  <c r="J128" i="13" s="1"/>
  <c r="I129" i="13"/>
  <c r="J129" i="13" s="1"/>
  <c r="I136" i="13"/>
  <c r="J136" i="13" s="1"/>
  <c r="I113" i="13"/>
  <c r="J113" i="13" s="1"/>
  <c r="I105" i="13"/>
  <c r="J105" i="13" s="1"/>
  <c r="I125" i="13"/>
  <c r="J125" i="13" s="1"/>
  <c r="I147" i="13"/>
  <c r="J147" i="13" s="1"/>
  <c r="I123" i="13"/>
  <c r="J123" i="13" s="1"/>
  <c r="I108" i="13"/>
  <c r="J108" i="13" s="1"/>
  <c r="I140" i="13"/>
  <c r="J140" i="13" s="1"/>
  <c r="I141" i="13"/>
  <c r="J141" i="13" s="1"/>
  <c r="I121" i="13"/>
  <c r="J121" i="13" s="1"/>
  <c r="I154" i="13"/>
  <c r="J154" i="13" s="1"/>
  <c r="I115" i="13"/>
  <c r="J115" i="13" s="1"/>
  <c r="I103" i="13"/>
  <c r="J103" i="13" s="1"/>
  <c r="I159" i="13"/>
  <c r="J159" i="13" s="1"/>
  <c r="I110" i="13"/>
  <c r="J110" i="13" s="1"/>
  <c r="I155" i="13"/>
  <c r="J155" i="13" s="1"/>
  <c r="I131" i="13"/>
  <c r="J131" i="13" s="1"/>
  <c r="I126" i="13"/>
  <c r="J126" i="13" s="1"/>
  <c r="I127" i="13"/>
  <c r="J127" i="13" s="1"/>
  <c r="N22" i="13"/>
  <c r="N23" i="13" s="1"/>
  <c r="M92" i="13"/>
  <c r="G161" i="20"/>
  <c r="I101" i="20" l="1"/>
  <c r="H161" i="20"/>
  <c r="N91" i="13"/>
  <c r="J161" i="13"/>
  <c r="N89" i="20"/>
  <c r="I160" i="20"/>
  <c r="I162" i="13"/>
  <c r="J102" i="13"/>
  <c r="J162" i="13" l="1"/>
  <c r="N92" i="13"/>
  <c r="O91" i="13"/>
  <c r="O92" i="13" s="1"/>
  <c r="O22" i="13"/>
  <c r="I161" i="20"/>
  <c r="N26" i="20"/>
  <c r="O26" i="20" s="1"/>
  <c r="N90" i="20"/>
  <c r="O23" i="13" l="1"/>
  <c r="P22" i="13"/>
  <c r="P23" i="13" s="1"/>
  <c r="L39" i="2" s="1"/>
</calcChain>
</file>

<file path=xl/sharedStrings.xml><?xml version="1.0" encoding="utf-8"?>
<sst xmlns="http://schemas.openxmlformats.org/spreadsheetml/2006/main" count="2365" uniqueCount="1283">
  <si>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</si>
  <si>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</si>
  <si>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</si>
  <si>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</si>
  <si>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</si>
  <si>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</si>
  <si>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</si>
  <si>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</si>
  <si>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</si>
  <si>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</si>
  <si>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</si>
  <si>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</si>
  <si>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</si>
  <si>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</si>
  <si>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</si>
  <si>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</si>
  <si>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</si>
  <si>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</si>
  <si>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</si>
  <si>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</si>
  <si>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</si>
  <si>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</si>
  <si>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</si>
  <si>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</si>
  <si>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</si>
  <si>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</si>
  <si>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</si>
  <si>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</si>
  <si>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</si>
  <si>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</si>
  <si>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</si>
  <si>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</si>
  <si>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</si>
  <si>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</si>
  <si>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</si>
  <si>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</si>
  <si>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</si>
  <si>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</si>
  <si>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</si>
  <si>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</si>
  <si>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</si>
  <si>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</si>
  <si>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</si>
  <si>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</si>
  <si>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</si>
  <si>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</si>
  <si>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</si>
  <si>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</si>
  <si>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</si>
  <si>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</si>
  <si>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</si>
  <si>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</si>
  <si>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</si>
  <si>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</si>
  <si>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</si>
  <si>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</si>
  <si>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</si>
  <si>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</si>
  <si>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</si>
  <si>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</si>
  <si>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</si>
  <si>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</si>
  <si>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</si>
  <si>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</si>
  <si>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</si>
  <si>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</si>
  <si>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</si>
  <si>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</si>
  <si>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</si>
  <si>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</si>
  <si>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</si>
  <si>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</si>
  <si>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</si>
  <si>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</si>
  <si>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</si>
  <si>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</si>
  <si>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</si>
  <si>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</si>
  <si>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</si>
  <si>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</si>
  <si>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</si>
  <si>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</si>
  <si>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</si>
  <si>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</si>
  <si>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</si>
  <si>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</si>
  <si>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</si>
  <si>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</si>
  <si>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</si>
  <si>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</si>
  <si>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</si>
  <si>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</si>
  <si>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</si>
  <si>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</si>
  <si>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</si>
  <si>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</si>
  <si>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</si>
  <si>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</si>
  <si>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</si>
  <si>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</si>
  <si>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</si>
  <si>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</si>
  <si>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</si>
  <si>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</si>
  <si>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</si>
  <si>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</si>
  <si>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</si>
  <si>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</si>
  <si>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</si>
  <si>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</si>
  <si>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</si>
  <si>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</si>
  <si>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</si>
  <si>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</si>
  <si>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</si>
  <si>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</si>
  <si>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</si>
  <si>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</si>
  <si>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</si>
  <si>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</si>
  <si>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</si>
  <si>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</si>
  <si>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</si>
  <si>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</si>
  <si>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</si>
  <si>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</si>
  <si>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</si>
  <si>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</si>
  <si>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</si>
  <si>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</si>
  <si>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</si>
  <si>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</si>
  <si>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</si>
  <si>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</si>
  <si>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</si>
  <si>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</si>
  <si>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</si>
  <si>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</si>
  <si>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</si>
  <si>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</si>
  <si>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</si>
  <si>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</si>
  <si>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</si>
  <si>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</si>
  <si>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</si>
  <si>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</si>
  <si>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</si>
  <si>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</si>
  <si>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</si>
  <si>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</si>
  <si>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</si>
  <si>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</si>
  <si>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</si>
  <si>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</si>
  <si>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</si>
  <si>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</si>
  <si>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</si>
  <si>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</si>
  <si>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</si>
  <si>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</si>
  <si>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</si>
  <si>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</si>
  <si>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</si>
  <si>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</si>
  <si>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</si>
  <si>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</si>
  <si>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</si>
  <si>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</si>
  <si>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</si>
  <si>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</si>
  <si>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</si>
  <si>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</si>
  <si>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</si>
  <si>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</si>
  <si>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</si>
  <si>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</si>
  <si>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</si>
  <si>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</si>
  <si>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</si>
  <si>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</si>
  <si>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</si>
  <si>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</si>
  <si>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</si>
  <si>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</si>
  <si>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</si>
  <si>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</si>
  <si>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</si>
  <si>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</si>
  <si>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</si>
  <si>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</si>
  <si>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</si>
  <si>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</si>
  <si>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</si>
  <si>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</si>
  <si>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</si>
  <si>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</si>
  <si>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</si>
  <si>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</si>
  <si>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</si>
  <si>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</si>
  <si>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</si>
  <si>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</si>
  <si>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</si>
  <si>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</si>
  <si>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</si>
  <si>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</si>
  <si>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</si>
  <si>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</si>
  <si>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</si>
  <si>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</si>
  <si>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</si>
  <si>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</si>
  <si>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</si>
  <si>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</si>
  <si>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</si>
  <si>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</si>
  <si>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</si>
  <si>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</si>
  <si>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</si>
  <si>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</si>
  <si>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</si>
  <si>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</si>
  <si>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</si>
  <si>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</si>
  <si>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</si>
  <si>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</si>
  <si>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</si>
  <si>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</si>
  <si>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</si>
  <si>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</si>
  <si>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</si>
  <si>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</si>
  <si>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</si>
  <si>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</si>
  <si>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</si>
  <si>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</si>
  <si>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</si>
  <si>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</si>
  <si>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</si>
  <si>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</si>
  <si>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</si>
  <si>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</si>
  <si>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</si>
  <si>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</si>
  <si>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</si>
  <si>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</si>
  <si>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</si>
  <si>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</si>
  <si>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</si>
  <si>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</si>
  <si>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</si>
  <si>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</si>
  <si>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</si>
  <si>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</si>
  <si>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</si>
  <si>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</si>
  <si>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</si>
  <si>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</si>
  <si>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</si>
  <si>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</si>
  <si>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</si>
  <si>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</si>
  <si>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</si>
  <si>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</si>
  <si>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</si>
  <si>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</si>
  <si>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</si>
  <si>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</si>
  <si>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</si>
  <si>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</si>
  <si>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</si>
  <si>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</si>
  <si>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</si>
  <si>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</si>
  <si>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</si>
  <si>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</si>
  <si>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</si>
  <si>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</si>
  <si>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</si>
  <si>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</si>
  <si>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</si>
  <si>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</si>
  <si>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</si>
  <si>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</si>
  <si>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</si>
  <si>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</si>
  <si>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</si>
  <si>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</si>
  <si>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</si>
  <si>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</si>
  <si>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</si>
  <si>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</si>
  <si>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</si>
  <si>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</si>
  <si>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</si>
  <si>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</si>
  <si>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</si>
  <si>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</si>
  <si>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</si>
  <si>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</si>
  <si>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</si>
  <si>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</si>
  <si>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</si>
  <si>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</si>
  <si>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</si>
  <si>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</si>
  <si>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</si>
  <si>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</si>
  <si>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</si>
  <si>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</si>
  <si>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</si>
  <si>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</si>
  <si>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</si>
  <si>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</si>
  <si>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</si>
  <si>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</si>
  <si>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</si>
  <si>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</si>
  <si>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</si>
  <si>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</si>
  <si>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</si>
  <si>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</si>
  <si>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</si>
  <si>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</si>
  <si>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</si>
  <si>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</si>
  <si>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</si>
  <si>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</si>
  <si>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</si>
  <si>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</si>
  <si>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</si>
  <si>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</si>
  <si>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</si>
  <si>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</si>
  <si>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</si>
  <si>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</si>
  <si>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</si>
  <si>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</si>
  <si>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</si>
  <si>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</si>
  <si>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</si>
  <si>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</si>
  <si>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</si>
  <si>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</si>
  <si>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</si>
  <si>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</si>
  <si>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</si>
  <si>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</si>
  <si>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</si>
  <si>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</si>
  <si>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</si>
  <si>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</si>
  <si>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</si>
  <si>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</si>
  <si>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</si>
  <si>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</si>
  <si>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</si>
  <si>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</si>
  <si>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</si>
  <si>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</si>
  <si>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</si>
  <si>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</si>
  <si>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</si>
  <si>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</si>
  <si>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</si>
  <si>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</si>
  <si>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</si>
  <si>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</si>
  <si>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</si>
  <si>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</si>
  <si>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</si>
  <si>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</si>
  <si>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</si>
  <si>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</si>
  <si>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</si>
  <si>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</si>
  <si>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</si>
  <si>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</si>
  <si>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</si>
  <si>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</si>
  <si>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</si>
  <si>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</si>
  <si>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</si>
  <si>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</si>
  <si>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</si>
  <si>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</si>
  <si>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</si>
  <si>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</si>
  <si>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</si>
  <si>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</si>
  <si>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</si>
  <si>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</si>
  <si>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</si>
  <si>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</si>
  <si>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</si>
  <si>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</si>
  <si>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</si>
  <si>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</si>
  <si>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</si>
  <si>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</si>
  <si>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</si>
  <si>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</si>
  <si>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</si>
  <si>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</si>
  <si>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</si>
  <si>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</si>
  <si>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</si>
  <si>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</si>
  <si>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</si>
  <si>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</si>
  <si>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</si>
  <si>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</si>
  <si>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</si>
  <si>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</si>
  <si>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</si>
  <si>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</si>
  <si>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</si>
  <si>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</si>
  <si>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</si>
  <si>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</si>
  <si>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</si>
  <si>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</si>
  <si>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</si>
  <si>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</si>
  <si>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</si>
  <si>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</si>
  <si>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</si>
  <si>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</si>
  <si>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</si>
  <si>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</si>
  <si>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</si>
  <si>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</si>
  <si>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</si>
  <si>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</si>
  <si>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</si>
  <si>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</si>
  <si>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</si>
  <si>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</si>
  <si>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</si>
  <si>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</si>
  <si>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</si>
  <si>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</si>
  <si>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</si>
  <si>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</si>
  <si>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</si>
  <si>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</si>
  <si>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</si>
  <si>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</si>
  <si>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</si>
  <si>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</si>
  <si>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</si>
  <si>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</si>
  <si>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</si>
  <si>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</si>
  <si>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</si>
  <si>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</si>
  <si>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</si>
  <si>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</si>
  <si>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</si>
  <si>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</si>
  <si>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</si>
  <si>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</si>
  <si>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</si>
  <si>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</si>
  <si>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</si>
  <si>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</si>
  <si>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</si>
  <si>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</si>
  <si>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</si>
  <si>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</si>
  <si>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</si>
  <si>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</si>
  <si>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</si>
  <si>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</si>
  <si>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</si>
  <si>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</si>
  <si>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</si>
  <si>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</si>
  <si>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</si>
  <si>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</si>
  <si>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</si>
  <si>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</si>
  <si>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</si>
  <si>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</si>
  <si>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</si>
  <si>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</si>
  <si>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</si>
  <si>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</si>
  <si>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</si>
  <si>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</si>
  <si>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</si>
  <si>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</si>
  <si>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</si>
  <si>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</si>
  <si>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</si>
  <si>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</si>
  <si>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</si>
  <si>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</si>
  <si>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</si>
  <si>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</si>
  <si>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</si>
  <si>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</si>
  <si>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</si>
  <si>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</si>
  <si>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</si>
  <si>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</si>
  <si>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</si>
  <si>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</si>
  <si>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</si>
  <si>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</si>
  <si>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</si>
  <si>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</si>
  <si>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</si>
  <si>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</si>
  <si>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</si>
  <si>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</si>
  <si>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</si>
  <si>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</si>
  <si>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</si>
  <si>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</si>
  <si>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</si>
  <si>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</si>
  <si>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</si>
  <si>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</si>
  <si>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</si>
  <si>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</si>
  <si>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</si>
  <si>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</si>
  <si>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</si>
  <si>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</si>
  <si>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</si>
  <si>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</si>
  <si>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</si>
  <si>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</si>
  <si>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</si>
  <si>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</si>
  <si>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</si>
  <si>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</si>
  <si>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</si>
  <si>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</si>
  <si>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</si>
  <si>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</si>
  <si>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</si>
  <si>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</si>
  <si>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</si>
  <si>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</si>
  <si>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</si>
  <si>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</si>
  <si>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</si>
  <si>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</si>
  <si>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</si>
  <si>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</si>
  <si>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</si>
  <si>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</si>
  <si>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</si>
  <si>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</si>
  <si>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</si>
  <si>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</si>
  <si>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</si>
  <si>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</si>
  <si>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</si>
  <si>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</si>
  <si>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</si>
  <si>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</si>
  <si>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</si>
  <si>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</si>
  <si>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</si>
  <si>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</si>
  <si>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</si>
  <si>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</si>
  <si>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</si>
  <si>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</si>
  <si>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An over or under collection will be recovered prorata over 2018, held for 2019 and returned prorate over 2020</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</si>
  <si>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</si>
  <si>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</si>
  <si>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</si>
  <si>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</si>
  <si>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</si>
  <si>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</si>
  <si>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</si>
  <si>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</si>
  <si>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</si>
  <si>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</si>
  <si>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</si>
  <si>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</si>
  <si>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</si>
  <si>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</si>
  <si>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</si>
  <si>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</si>
  <si>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</si>
  <si>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</si>
  <si>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</si>
  <si>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</si>
  <si>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</si>
  <si>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</si>
  <si>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</si>
  <si>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</si>
  <si>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</si>
  <si>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</si>
  <si>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</si>
  <si>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</si>
  <si>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</si>
  <si>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</si>
  <si>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</si>
  <si>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</si>
  <si>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</si>
  <si>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</si>
  <si>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</si>
  <si>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</si>
  <si>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</si>
  <si>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</si>
  <si>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</si>
  <si>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</si>
  <si>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</si>
  <si>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</si>
  <si>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</si>
  <si>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</si>
  <si>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</si>
  <si>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</si>
  <si>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</si>
  <si>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</si>
  <si>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</si>
  <si>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</si>
  <si>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</si>
  <si>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</si>
  <si>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</si>
  <si>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</si>
  <si>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</si>
  <si>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</si>
  <si>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</si>
  <si>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</si>
  <si>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</si>
  <si>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</si>
  <si>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</si>
  <si>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</si>
  <si>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</si>
  <si>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</si>
  <si>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</si>
  <si>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</si>
  <si>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</si>
  <si>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</si>
  <si>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</si>
  <si>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</si>
  <si>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</si>
  <si>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</si>
  <si>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</si>
  <si>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</si>
  <si>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</si>
  <si>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</si>
  <si>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</si>
  <si>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</si>
  <si>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</si>
  <si>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</si>
  <si>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</si>
  <si>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</si>
  <si>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</si>
  <si>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</si>
  <si>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</si>
  <si>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</si>
  <si>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</si>
  <si>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</si>
  <si>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</si>
  <si>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</si>
  <si>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</si>
  <si>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</si>
  <si>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</si>
  <si>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</si>
  <si>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</si>
  <si>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</si>
  <si>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</si>
  <si>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</si>
  <si>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</si>
  <si>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</si>
  <si>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</si>
  <si>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</si>
  <si>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</si>
  <si>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</si>
  <si>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</si>
  <si>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</si>
  <si>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</si>
  <si>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</si>
  <si>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</si>
  <si>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</si>
  <si>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</si>
  <si>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</si>
  <si>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</si>
  <si>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</si>
  <si>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</si>
  <si>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</si>
  <si>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</si>
  <si>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</si>
  <si>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</si>
  <si>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</si>
  <si>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</si>
  <si>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</si>
  <si>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</si>
  <si>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</si>
  <si>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</si>
  <si>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</si>
  <si>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</si>
  <si>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</si>
  <si>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</si>
  <si>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</si>
  <si>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</si>
  <si>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</si>
  <si>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</si>
  <si>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</si>
  <si>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</si>
  <si>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</si>
  <si>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</si>
  <si>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</si>
  <si>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</si>
  <si>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</si>
  <si>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</si>
  <si>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</si>
  <si>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</si>
  <si>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</si>
  <si>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</si>
  <si>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</si>
  <si>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</si>
  <si>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</si>
  <si>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</si>
  <si>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</si>
  <si>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</si>
  <si>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</si>
  <si>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</si>
  <si>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</si>
  <si>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</si>
  <si>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</si>
  <si>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</si>
  <si>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</si>
  <si>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</si>
  <si>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</si>
  <si>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</si>
  <si>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</si>
  <si>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</si>
  <si>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</si>
  <si>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</si>
  <si>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</si>
  <si>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</si>
  <si>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</si>
  <si>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</si>
  <si>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</si>
  <si>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</si>
  <si>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</si>
  <si>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</si>
  <si>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</si>
  <si>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</si>
  <si>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</si>
  <si>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</si>
  <si>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</si>
  <si>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</si>
  <si>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</si>
  <si>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</si>
  <si>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</si>
  <si>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</si>
  <si>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</si>
  <si>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</si>
  <si>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</si>
  <si>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</si>
  <si>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</si>
  <si>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</si>
  <si>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</si>
  <si>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</si>
  <si>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</si>
  <si>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</si>
  <si>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</si>
  <si>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</si>
  <si>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</si>
  <si>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</si>
  <si>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</si>
  <si>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</si>
  <si>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</si>
  <si>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</si>
  <si>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</si>
  <si>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</si>
  <si>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</si>
  <si>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</si>
  <si>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</si>
  <si>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</si>
  <si>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</si>
  <si>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</si>
  <si>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</si>
  <si>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</si>
  <si>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</si>
  <si>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</si>
  <si>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</si>
  <si>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</si>
  <si>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</si>
  <si>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</si>
  <si>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</si>
  <si>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</si>
  <si>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</si>
  <si>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</si>
  <si>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</si>
  <si>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</si>
  <si>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</si>
  <si>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</si>
  <si>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</si>
  <si>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</si>
  <si>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</si>
  <si>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</si>
  <si>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</si>
  <si>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</si>
  <si>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</si>
  <si>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</si>
  <si>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</si>
  <si>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General Note:</t>
  </si>
  <si>
    <t>WHEELING POWER COMPANY</t>
  </si>
  <si>
    <t>-</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</si>
  <si>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</si>
  <si>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</si>
  <si>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</si>
  <si>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</si>
  <si>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</si>
  <si>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</si>
  <si>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</si>
  <si>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</si>
  <si>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</si>
  <si>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</si>
  <si>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</si>
  <si>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</si>
  <si>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</si>
  <si>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</si>
  <si>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</si>
  <si>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</si>
  <si>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</si>
  <si>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</si>
  <si>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</si>
  <si>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</si>
  <si>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</si>
  <si>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</si>
  <si>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</si>
  <si>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</si>
  <si>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</si>
  <si>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</si>
  <si>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</si>
  <si>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</si>
  <si>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</si>
  <si>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</si>
  <si>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</si>
  <si>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</si>
  <si>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</si>
  <si>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</si>
  <si>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</si>
  <si>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</si>
  <si>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</si>
  <si>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</si>
  <si>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</si>
  <si>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</si>
  <si>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</si>
  <si>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</si>
  <si>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</si>
  <si>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</si>
  <si>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</si>
  <si>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</si>
  <si>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</si>
  <si>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</si>
  <si>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</si>
  <si>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</si>
  <si>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</si>
  <si>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List Individual Taxes Here</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</si>
  <si>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</si>
  <si>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</si>
  <si>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</si>
  <si>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</si>
  <si>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</si>
  <si>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</si>
  <si>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</si>
  <si>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</si>
  <si>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</si>
  <si>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</si>
  <si>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</si>
  <si>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</si>
  <si>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</si>
  <si>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</si>
  <si>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</si>
  <si>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</si>
  <si>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</si>
  <si>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</si>
  <si>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</si>
  <si>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</si>
  <si>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</si>
  <si>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</si>
  <si>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</si>
  <si>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</si>
  <si>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</si>
  <si>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Regulatory Commission Exp</t>
  </si>
  <si>
    <t>9302000</t>
  </si>
  <si>
    <t>Misc General Expenses</t>
  </si>
  <si>
    <t>9302003</t>
  </si>
  <si>
    <t>Corporate &amp; Fiscal Expenses</t>
  </si>
  <si>
    <t>9302004</t>
  </si>
  <si>
    <t>Research, Develop&amp;Demonstr Exp</t>
  </si>
  <si>
    <t>9302006</t>
  </si>
  <si>
    <t>9302007</t>
  </si>
  <si>
    <t>Assoc Business Development Exp</t>
  </si>
  <si>
    <t>1650003</t>
  </si>
  <si>
    <t>Prepaid Rents</t>
  </si>
  <si>
    <t>1650004</t>
  </si>
  <si>
    <t>Prepaid Interest</t>
  </si>
  <si>
    <t>1650006</t>
  </si>
  <si>
    <t>Other Prepayments</t>
  </si>
  <si>
    <t>1650009</t>
  </si>
  <si>
    <t>Prepaid Carry Cost-Factored AR</t>
  </si>
  <si>
    <t>1650023</t>
  </si>
  <si>
    <t>Prepaid Lease</t>
  </si>
  <si>
    <t>Acct 359.1                                   FF1, page 207 Col.(g) &amp; pg. 206 Col. (b), ln 57</t>
  </si>
  <si>
    <t>Tennessee Income Tax Rate</t>
  </si>
  <si>
    <t>West Virginia Net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</si>
  <si>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</si>
  <si>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</si>
  <si>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</si>
  <si>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</si>
  <si>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</si>
  <si>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</si>
  <si>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</si>
  <si>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</si>
  <si>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</si>
  <si>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</si>
  <si>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</si>
  <si>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</si>
  <si>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</si>
  <si>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No Applicable Charges for KgP</t>
  </si>
  <si>
    <t>9280000</t>
  </si>
  <si>
    <t>9280002</t>
  </si>
  <si>
    <t>9280003</t>
  </si>
  <si>
    <t>Regulatory Commission Exp-Case</t>
  </si>
  <si>
    <t>Rate Case Amort</t>
  </si>
  <si>
    <t>9301001</t>
  </si>
  <si>
    <t>9301010</t>
  </si>
  <si>
    <t>9301012</t>
  </si>
  <si>
    <t>9301015</t>
  </si>
  <si>
    <t>Newspaper Advertising Space</t>
  </si>
  <si>
    <t>Publicity</t>
  </si>
  <si>
    <t>Public Opinion Surveys</t>
  </si>
  <si>
    <t>Other Corporate Comm Exp</t>
  </si>
  <si>
    <t>9280005</t>
  </si>
  <si>
    <t>Reg Com Exp-FERC Trans Cases</t>
  </si>
  <si>
    <t>NOL &amp; TAX CREDIT C/F - DEF TAX ASSET</t>
  </si>
  <si>
    <t>CIAC - BOOK RECEIPTS</t>
  </si>
  <si>
    <t>INT EXP CAPITALIZED FOR TAX</t>
  </si>
  <si>
    <t>PROVS POSS REV REFDS-A/L</t>
  </si>
  <si>
    <t>PROV FOR RATE REFUND-EXCESS PROTECTED</t>
  </si>
  <si>
    <t>ACCRUED BK PENSION EXPENSE</t>
  </si>
  <si>
    <t>EMPLOYER SAVINGS PLAN MATCH</t>
  </si>
  <si>
    <t>ACCRD COMPANYWIDE INCENTV PLAN</t>
  </si>
  <si>
    <t>ACCRUED BOOK VACATION PAY</t>
  </si>
  <si>
    <t>ACCRUED INTEREST EXPENSE - STATE</t>
  </si>
  <si>
    <t>ACCRUED INTEREST-LONG-TERM - FIN 48</t>
  </si>
  <si>
    <t>ACCRUED INTEREST-SHORT-TERM - FIN 48</t>
  </si>
  <si>
    <t>ACCRUED STATE INCOME TAX EXP</t>
  </si>
  <si>
    <t>ACCRUED RTO CARRYING CHARGES</t>
  </si>
  <si>
    <t>ADVANCE RENTAL INC (CUR MO)</t>
  </si>
  <si>
    <t>CAPITALIZED SOFTWARE COSTS-TAX</t>
  </si>
  <si>
    <t>BOOK LEASES CAPITALIZED FOR TAX</t>
  </si>
  <si>
    <t>ACCRD SFAS 106 PST RETIRE EXP</t>
  </si>
  <si>
    <t>SFAS 106 PST RETIRE EXP - NON-DEDUCT CONT</t>
  </si>
  <si>
    <t>ACCRD OPEB COSTS - SFAS 158</t>
  </si>
  <si>
    <t>ACCRD SFAS 112 PST EMPLOY BEN</t>
  </si>
  <si>
    <t>ACCRD SIT/FRANCHISE TAX RESERVE</t>
  </si>
  <si>
    <t>ACCRUED SALES &amp; USE TAX RESERVE</t>
  </si>
  <si>
    <t>ACCRD SIT TX RESERVE-LNG-TERM-FIN 48</t>
  </si>
  <si>
    <t>ACCRD SIT TX RESERVE-SHRT-TERM-FIN 48</t>
  </si>
  <si>
    <t>IRS AUDIT SETTLEMENT</t>
  </si>
  <si>
    <t>AMT CREDIT - DEFERRED</t>
  </si>
  <si>
    <t>NOL - DEFERRED TAX ASSET RECLASS</t>
  </si>
  <si>
    <t>DEFERRED SIT  1901002</t>
  </si>
  <si>
    <t xml:space="preserve">NON-UTILITY DEFERRED FIT </t>
  </si>
  <si>
    <t>SFAS 109 FLOW-THRU 190.3</t>
  </si>
  <si>
    <t>SFAS 109 EXCESS DFIT 190.4</t>
  </si>
  <si>
    <t>SFAS 133 ADIT FED - SFAS NONAFFIL 1900006</t>
  </si>
  <si>
    <t>ADIT FED - PENSION OCI NAF 1900009</t>
  </si>
  <si>
    <t>TX AMORT POLLUTION CONT EQPT</t>
  </si>
  <si>
    <t>SFAS 109 FLOW-THRU 281.3</t>
  </si>
  <si>
    <t>SFAS 109 EXCESS DFIT 281.4</t>
  </si>
  <si>
    <t>BOOK VS. TAX DEPRECIATION</t>
  </si>
  <si>
    <t>ABFUDC</t>
  </si>
  <si>
    <t>CAPD INTEREST - SECTION 481(a) - CHANGE IN METHD</t>
  </si>
  <si>
    <t>R &amp; D DEDUCTION - SECTION 174</t>
  </si>
  <si>
    <t>RELOCATION COST - SECTION 481(a) - CHANGE IN METH</t>
  </si>
  <si>
    <t>GAIN/LOSS ON ACRS/MACRS PROPERTY</t>
  </si>
  <si>
    <t>SEC 481 PENS/OPEB ADJUSTMENT</t>
  </si>
  <si>
    <t>PERCENT REPAIR ALLOWANCE</t>
  </si>
  <si>
    <t>BOOK/TAX UNIT OF PROPERTY ADJ</t>
  </si>
  <si>
    <t>BK/TX UNIT OF PROPERTY ADJ-SEC 481 ADJ</t>
  </si>
  <si>
    <t>TX ACCEL AMORT - CAPITALIZED SOFTWARE</t>
  </si>
  <si>
    <t>CAPITALIZED RELOCATION COSTS</t>
  </si>
  <si>
    <t>CAPITALIZED LEASES - A/C 1011 ASSETS</t>
  </si>
  <si>
    <t>REMOVAL CST - NORMALIZED</t>
  </si>
  <si>
    <t>EXCESS ADFIT</t>
  </si>
  <si>
    <t>SFAS 109 FLOW-THRU 282.3</t>
  </si>
  <si>
    <t>SFAS 109 EXCESS DFIT 282.4</t>
  </si>
  <si>
    <t>NOL - STATE C/F - DEF STATE TAX ASSET - L/T</t>
  </si>
  <si>
    <t>ACCRUED BK PENSION COSTS - SFAS 158</t>
  </si>
  <si>
    <t>DEFD STORM DAMAGE</t>
  </si>
  <si>
    <t>REG ASSET - DEFERRED RTO COSTS</t>
  </si>
  <si>
    <t>REG ASSET-SFAS 158 - PENSIONS</t>
  </si>
  <si>
    <t>REG ASSET-SFAS 158 - OPEB</t>
  </si>
  <si>
    <t>REG ASSET-TN UNDER RECOV FPPA RIDER</t>
  </si>
  <si>
    <t>REG ASSET-TARG REL &amp; MAJ STORM UNDR REC</t>
  </si>
  <si>
    <t>CAPITALIZED SOFTWARE COST - BOOK</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</si>
  <si>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</si>
  <si>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</si>
  <si>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</si>
  <si>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</si>
  <si>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</si>
  <si>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</si>
  <si>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</si>
  <si>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</si>
  <si>
    <t>Regulatory Commission Exp-Adm</t>
  </si>
  <si>
    <t>pg. 263, Ln. 14(i)</t>
  </si>
  <si>
    <t xml:space="preserve"> GENERAL PLANT</t>
  </si>
  <si>
    <t>Transportation Equipment</t>
  </si>
  <si>
    <t>Power Operated Equipment</t>
  </si>
  <si>
    <t>BOOK OPERATING LEASE - ASSET</t>
  </si>
  <si>
    <t>481 a BONUS DEPRECIATION</t>
  </si>
  <si>
    <t>TAX DEPRECIATION LOOKBACK</t>
  </si>
  <si>
    <t>BOOK OPERATING LEASE - LIAB</t>
  </si>
  <si>
    <t>KINGSPORT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</si>
  <si>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</si>
  <si>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</si>
  <si>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</si>
  <si>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</si>
  <si>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</si>
  <si>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</si>
  <si>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</si>
  <si>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</si>
  <si>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</si>
  <si>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Description of Account</t>
  </si>
  <si>
    <t>Protected
Unprotected</t>
  </si>
  <si>
    <t>Tax Rate Change Act</t>
  </si>
  <si>
    <t>Amotization Period</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</si>
  <si>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</si>
  <si>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</si>
  <si>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</si>
  <si>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</si>
  <si>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</si>
  <si>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</si>
  <si>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</si>
  <si>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</si>
  <si>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</si>
  <si>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</si>
  <si>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</si>
  <si>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190</t>
    </r>
    <r>
      <rPr>
        <sz val="9"/>
        <color rgb="FFFF0000"/>
        <rFont val="Arial"/>
        <family val="2"/>
      </rPr>
      <t>3</t>
    </r>
    <r>
      <rPr>
        <sz val="9"/>
        <rFont val="Arial"/>
        <family val="2"/>
      </rPr>
      <t>001</t>
    </r>
  </si>
  <si>
    <t>1c</t>
  </si>
  <si>
    <r>
      <t>281</t>
    </r>
    <r>
      <rPr>
        <sz val="9"/>
        <color rgb="FFFF0000"/>
        <rFont val="Arial"/>
        <family val="2"/>
      </rPr>
      <t>1</t>
    </r>
    <r>
      <rPr>
        <sz val="9"/>
        <rFont val="Arial"/>
        <family val="2"/>
      </rPr>
      <t>001</t>
    </r>
  </si>
  <si>
    <t>ADFIT - Accel Amortization Property</t>
  </si>
  <si>
    <t>Protected</t>
  </si>
  <si>
    <t>1d</t>
  </si>
  <si>
    <r>
      <t>281</t>
    </r>
    <r>
      <rPr>
        <sz val="9"/>
        <color rgb="FFFF0000"/>
        <rFont val="Arial"/>
        <family val="2"/>
      </rPr>
      <t>4</t>
    </r>
    <r>
      <rPr>
        <sz val="9"/>
        <rFont val="Arial"/>
        <family val="2"/>
      </rPr>
      <t>001</t>
    </r>
  </si>
  <si>
    <t>ADFIT - Accel Amort FAS 109 Excess</t>
  </si>
  <si>
    <t>1e</t>
  </si>
  <si>
    <r>
      <t>282</t>
    </r>
    <r>
      <rPr>
        <sz val="9"/>
        <color rgb="FFFF0000"/>
        <rFont val="Arial"/>
        <family val="2"/>
      </rPr>
      <t>1</t>
    </r>
    <r>
      <rPr>
        <sz val="9"/>
        <rFont val="Arial"/>
        <family val="2"/>
      </rPr>
      <t>001</t>
    </r>
  </si>
  <si>
    <t>ADFIT - Utility Property</t>
  </si>
  <si>
    <t>ARAM</t>
  </si>
  <si>
    <t>Life of Asset</t>
  </si>
  <si>
    <t>1f</t>
  </si>
  <si>
    <t>Unprotected</t>
  </si>
  <si>
    <t>10 Years</t>
  </si>
  <si>
    <t>1/2018 - 12/2027</t>
  </si>
  <si>
    <t>1g</t>
  </si>
  <si>
    <r>
      <t>282</t>
    </r>
    <r>
      <rPr>
        <sz val="9"/>
        <color rgb="FFFF0000"/>
        <rFont val="Arial"/>
        <family val="2"/>
      </rPr>
      <t>4</t>
    </r>
    <r>
      <rPr>
        <sz val="9"/>
        <rFont val="Arial"/>
        <family val="2"/>
      </rPr>
      <t>001</t>
    </r>
  </si>
  <si>
    <t>ADFIT - Utility Property FAS 109 Excess</t>
  </si>
  <si>
    <t>1h</t>
  </si>
  <si>
    <t>1i</t>
  </si>
  <si>
    <r>
      <t>283</t>
    </r>
    <r>
      <rPr>
        <sz val="9"/>
        <color rgb="FFFF0000"/>
        <rFont val="Arial"/>
        <family val="2"/>
      </rPr>
      <t>1</t>
    </r>
    <r>
      <rPr>
        <sz val="9"/>
        <rFont val="Arial"/>
        <family val="2"/>
      </rPr>
      <t>001</t>
    </r>
  </si>
  <si>
    <t>ADFIT - Other Utility Deferrals</t>
  </si>
  <si>
    <t>1k</t>
  </si>
  <si>
    <r>
      <t>283</t>
    </r>
    <r>
      <rPr>
        <sz val="9"/>
        <color rgb="FFFF0000"/>
        <rFont val="Arial"/>
        <family val="2"/>
      </rPr>
      <t>4</t>
    </r>
    <r>
      <rPr>
        <sz val="9"/>
        <rFont val="Arial"/>
        <family val="2"/>
      </rPr>
      <t>001</t>
    </r>
  </si>
  <si>
    <t>ADFIT - Other FAS 109 Excess</t>
  </si>
  <si>
    <t>1l</t>
  </si>
  <si>
    <t>NOTE E</t>
  </si>
  <si>
    <t>Regulatory Deferral Accounts</t>
  </si>
  <si>
    <t>2a</t>
  </si>
  <si>
    <t xml:space="preserve">Regulatory Asset  </t>
  </si>
  <si>
    <t xml:space="preserve"> Company Records</t>
  </si>
  <si>
    <t>2b</t>
  </si>
  <si>
    <t>Regulatory Liability</t>
  </si>
  <si>
    <t>2c</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</si>
  <si>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</si>
  <si>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</si>
  <si>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</si>
  <si>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</si>
  <si>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</si>
  <si>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</si>
  <si>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</si>
  <si>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</si>
  <si>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</si>
  <si>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</si>
  <si>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</si>
  <si>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</si>
  <si>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NOTE B:</t>
  </si>
  <si>
    <t>The amount of the FIT gross up to recorded on regulatory assets and liabilities will be reported on the first line of ADIT accounts provided for each specific change in tax rates.</t>
  </si>
  <si>
    <t>NOTE C:</t>
  </si>
  <si>
    <t>NOTE D:</t>
  </si>
  <si>
    <t>NOTE E:</t>
  </si>
  <si>
    <t>NOTE F:</t>
  </si>
  <si>
    <t>State Franchise Tax</t>
  </si>
  <si>
    <t>VA License/Registration</t>
  </si>
  <si>
    <t>Misc. State &amp; Local Tax</t>
  </si>
  <si>
    <t>Sales &amp; Use</t>
  </si>
  <si>
    <t>2018 Forecasted Revenue Requirement For Year 2018</t>
  </si>
  <si>
    <t>2282003</t>
  </si>
  <si>
    <t>9301014</t>
  </si>
  <si>
    <t>Video Communications</t>
  </si>
  <si>
    <t>INSURANCE PREMIUMS ACCRUED</t>
  </si>
  <si>
    <t>BOOK LEASES DEFERRED</t>
  </si>
  <si>
    <t>FICA - NON-CUURENT</t>
  </si>
  <si>
    <t>ACCRD BOOK ARO EXPENSE - SFAS 143</t>
  </si>
  <si>
    <t>BK PLANT IN SERVICE - SFAS 143 - ARO</t>
  </si>
  <si>
    <t>RATE CASE DEFD CHGS</t>
  </si>
  <si>
    <t>282 EXCESS ADJUSTMENT</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</si>
  <si>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</si>
  <si>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</si>
  <si>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</si>
  <si>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</si>
  <si>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</si>
  <si>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</si>
  <si>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</si>
  <si>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</si>
  <si>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</si>
  <si>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</si>
  <si>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</si>
  <si>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</si>
  <si>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Assoc Bus Dev - Materials Sold</t>
  </si>
  <si>
    <t>9302017</t>
  </si>
  <si>
    <t>SellingPrice Normalization Exp</t>
  </si>
  <si>
    <t>Accum Defd Property FIT - TBBS 282.6</t>
  </si>
  <si>
    <t>Accum Defd Other FIT-TBBS 283.6</t>
  </si>
  <si>
    <t>Accum Deferred FIT-TBBS 190.6</t>
  </si>
  <si>
    <t>NOL ADJUSTMENT</t>
  </si>
  <si>
    <t>NOL CONTRA</t>
  </si>
  <si>
    <t>Appalachian Power Company</t>
  </si>
  <si>
    <t xml:space="preserve"> 282-ACCUM DEFD FEDERAL TBBS ADJ</t>
  </si>
  <si>
    <t xml:space="preserve">REG ASSET-TN FTRAR UNDER-RECOVERY  </t>
  </si>
  <si>
    <t>REG ASSET-LSE Formula Rate Defer-Dep</t>
  </si>
  <si>
    <t>Accrued COVID-19 Incremental Costs - non-TX</t>
  </si>
  <si>
    <t xml:space="preserve">Long Term Debt cost rate = long-term interest (ln 145) /average long term debt (ln 154). Preferred Stock cost rate = preferred dividends (ln 146) /preferred outstanding (ln 155). </t>
  </si>
  <si>
    <t xml:space="preserve">Common Stock cost rate (ROE) = 10.35%, per the settlement in FERC Docket No. EL17-13. It includes an additional 50 basis points for PJM RTO membership. </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</si>
  <si>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</si>
  <si>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AEP EAST OPERATING COMPANIES</t>
  </si>
  <si>
    <t>Docket ER20-1886-000</t>
  </si>
  <si>
    <t>Compliance Filing</t>
  </si>
  <si>
    <t>ATTACHMENT H-14B</t>
  </si>
  <si>
    <t>Attachment 4</t>
  </si>
  <si>
    <t>WORKSHEET B-3-A</t>
  </si>
  <si>
    <t>Page 4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</si>
  <si>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</si>
  <si>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</si>
  <si>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</si>
  <si>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</si>
  <si>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</si>
  <si>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</si>
  <si>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</si>
  <si>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</si>
  <si>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</si>
  <si>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</si>
  <si>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</si>
  <si>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</si>
  <si>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</si>
  <si>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</si>
  <si>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</si>
  <si>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1901001</t>
  </si>
  <si>
    <t>2018 FF1 P. 234 Col (b) Line 8</t>
  </si>
  <si>
    <t>2811001</t>
  </si>
  <si>
    <t>2018 FF1 P. 272 Col (b) Line 8</t>
  </si>
  <si>
    <t>2821001</t>
  </si>
  <si>
    <t>2018 FF1 P. 274 Col (b) Line 5</t>
  </si>
  <si>
    <t>2831001</t>
  </si>
  <si>
    <t>2018 FF1 P. 276 Col (b) Line 9</t>
  </si>
  <si>
    <t>(Sum of Lns. 1+2+3+4)</t>
  </si>
  <si>
    <t>TRANSMISSION FUNCTION</t>
  </si>
  <si>
    <t>(Sum of Lns. 7+8+9)</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</si>
  <si>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</si>
  <si>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</si>
  <si>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</si>
  <si>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</si>
  <si>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</si>
  <si>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</si>
  <si>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</si>
  <si>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</si>
  <si>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Company's Workpaper B-3, Column F, showing the intial remeasurement value determined as a result of the Tax Cut and Jobs Act of 2017.</t>
  </si>
  <si>
    <t>Utility Account (NOTE A)</t>
  </si>
  <si>
    <t xml:space="preserve">Excess / Deficient Balance at Remeasurement </t>
  </si>
  <si>
    <t>Amortization Methodology (NOTE C)</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</si>
  <si>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</si>
  <si>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</si>
  <si>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</si>
  <si>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</si>
  <si>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</si>
  <si>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NOTE D</t>
  </si>
  <si>
    <t xml:space="preserve">In order to ensure rate base neutrality, AEP utilizes the fourth digit of its seven digit FERC Tax subaccount numbers to identify balances associated with utility operations vs regulatory reporting requirements.  A "1" in the fourth digit of a FERC deferred tax account refers to the utility operations balance or entry.  Accounts with the "1" designation will be included in the determination of rate 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 base, but at the total FERC account level the tax asset or liability will be recorded at the current Federal FIT rate.  The amounts recorded in 4 will be offset on a net basis in the regulatory asset or liability account established for this purpose. </t>
  </si>
  <si>
    <t xml:space="preserve">The ten year amortization period for unprotected excess ADIT is consistent with the period agreed upon by the Company and its customers and approved for the Company's PJM formula rates. Appalachian Power Company, et al, 166 FERC ¶ 61,135 (2019). </t>
  </si>
  <si>
    <t>In the event of future tax rate changes, additional lines will be inserted as required to reflect any new ADIT or regulatory deferral accounts that may be necessary to track that tax rate change.</t>
  </si>
  <si>
    <t>The amount of excess amortization entries shown in lines 1a through 1_  are shown as a debit or credit to the ADIT account from which it is being amortized.  The total in line # is the offset as charged to the 410/411 account. This total amount of amortization is then reported in line 24a of the TCOS.</t>
  </si>
  <si>
    <t xml:space="preserve">Deficient remeasurement amounts will be recorded in 410.1 as a debit (expense) to cost of service,, excess remeasurement amounts will be recorded in 411.1 as credit to cost of service. </t>
  </si>
  <si>
    <t>WS B - 2 Col B/C, ADIT item 2.40</t>
  </si>
  <si>
    <t>283-ACCUM DEFD FEDERAL TBBS ADJ</t>
  </si>
  <si>
    <t>EXCESS ADFIT 283 - UNPROTECTED.</t>
  </si>
  <si>
    <t>WS B - 1 Cols M+N+O , ADIT 5.21</t>
  </si>
  <si>
    <t>WS B - 1 Col B/C, ADIT Item 5.25</t>
  </si>
  <si>
    <t>WS B - 1 Cols M+N+O , ADIT 9.20</t>
  </si>
  <si>
    <t>WS B - 1 Col B/C, ADIT Item 9.25</t>
  </si>
  <si>
    <t>WS B - 1 Cols N , ADIT Item 9.20</t>
  </si>
  <si>
    <t>WS B - 1 Col N, ADIT Item 5.21</t>
  </si>
  <si>
    <t>9280006</t>
  </si>
  <si>
    <t>State Publ Serv CommissionFees</t>
  </si>
  <si>
    <t>9301000</t>
  </si>
  <si>
    <t>General Advertising Expenses</t>
  </si>
  <si>
    <t>REG ASSET-FERC Formula Rates Under Recvr</t>
  </si>
  <si>
    <t>EFFECTIVE AS OF 1/1/2023</t>
  </si>
  <si>
    <t xml:space="preserve">  (1) As stated in the order in VA Case No. in Case No. PUR-2020-00015, depreciation rates should be implemented at the time depreciation study is preformed.  This is the final update made to depreciation rates as a result of the order issued in PUR-2023-00002.</t>
  </si>
  <si>
    <t xml:space="preserve">Transmission allocation factors are changed annually in January based on </t>
  </si>
  <si>
    <t>September factors as per the PJM tariff approved in FERC Docket ER08-1329</t>
  </si>
  <si>
    <t xml:space="preserve">        Depreciation rates were made effective January 1, 2023.</t>
  </si>
  <si>
    <t xml:space="preserve">(7)  </t>
  </si>
  <si>
    <t>Initial depreciation rates for the jurisdictional shares of CCR/ELG investment at Amos and Mountaineer approved in VA Case No. PUR-2020-00015 and WV Case No. 20-1040-E-CN.</t>
  </si>
  <si>
    <t>EFFECTIVE AS OF12/1/2021</t>
  </si>
  <si>
    <t xml:space="preserve">Note 1:   No change in Transmission plant depreciation rates which were established in </t>
  </si>
  <si>
    <t>OPCo and CSP's FERC Commission Order in Docket No EC11-37-000.</t>
  </si>
  <si>
    <t>EFFECTIVE AS OF 3/6/2019</t>
  </si>
  <si>
    <t>Note 1:  Approved by PSC of WV Order dated 2/27/2019 in Case No. 18-0645-E-D effective 03/06/2019.</t>
  </si>
  <si>
    <t>For Year Ended December 31, 2024</t>
  </si>
  <si>
    <t>1/1/2024 Beginning  Balances</t>
  </si>
  <si>
    <t>12/31/2024 Ending Balance</t>
  </si>
  <si>
    <t>3091 - TAX CREDIT C/F W DEF TAX</t>
  </si>
  <si>
    <t>3094 - CAMT CREDIT C/F W Def Tax</t>
  </si>
  <si>
    <t>3501 - TAX CREDIT C/F - DEF TAX ASSET(OLD)</t>
  </si>
  <si>
    <t>7002 - CUST ADV for Construction</t>
  </si>
  <si>
    <t>7021 - PROVS POSS REV REFDS-A/L</t>
  </si>
  <si>
    <t>7027 - INSURANCE PREMIUMS ACCRUED</t>
  </si>
  <si>
    <t>7032 - ACCRUED BK PENSION EXPENSE</t>
  </si>
  <si>
    <t>7048 - ACCRD COMPANYWIDE INCENTV PLAN</t>
  </si>
  <si>
    <t>7052 - ACCRUED BOOK VACATION PAY</t>
  </si>
  <si>
    <t>7054 - BOOK LEASES DEFERRED</t>
  </si>
  <si>
    <t>7104 - ADVANCE RENTAL INC (CUR MO)</t>
  </si>
  <si>
    <t>7575 - ACCRD SFAS 106 PST RETIRE EXP</t>
  </si>
  <si>
    <t>7577 - ACCRD OPEB COSTS - SFAS 158</t>
  </si>
  <si>
    <t>7580 - ACCRD SFAS 112 PST EMPLOY BEN</t>
  </si>
  <si>
    <t>7581 - ACCRD BOOK ARO EXPENSE - SFAS 143</t>
  </si>
  <si>
    <t>7584 - BOOK OPERATING LEASE - LIAB</t>
  </si>
  <si>
    <t>8060 - IRS AUDIT SETTLEMENT</t>
  </si>
  <si>
    <t>7023 - PROV FOR RATE REFUND-EXCESS PROTECTED</t>
  </si>
  <si>
    <t>8053 - SFAS 106 PST RETIRE EXP - NON-DEDUCT CONT</t>
  </si>
  <si>
    <t>2006 - 282-ACCUM DEFD FEDERAL TBBS ADJ</t>
  </si>
  <si>
    <t>2010 - EXCESS ADFIT 282 - PROTECTED.</t>
  </si>
  <si>
    <t>2011 - EXCESS ADFIT 282 - UNPROTECTED.</t>
  </si>
  <si>
    <t>6004 - PT ARO - NORM</t>
  </si>
  <si>
    <t>6006 - PT Basis Adj - NORM</t>
  </si>
  <si>
    <t>6007 - PT CIAC - NORM</t>
  </si>
  <si>
    <t>6009 - PT COR - NORM</t>
  </si>
  <si>
    <t>6018 - PT Method/Life - NORM</t>
  </si>
  <si>
    <t>6021 - PT R&amp;D Adjustment - NORM</t>
  </si>
  <si>
    <t>6022 - PT Relocation Cost - NORM</t>
  </si>
  <si>
    <t>6024 - PT Repairs UOP - NORM</t>
  </si>
  <si>
    <t>6026 - PT Software - NORM</t>
  </si>
  <si>
    <t>6028 - EFB Basis Adj - NORM</t>
  </si>
  <si>
    <t>6523 - 2020 712L 481(a) Software</t>
  </si>
  <si>
    <t>7585 - BOOK OPERATING LEASE - ASSET</t>
  </si>
  <si>
    <t>2007 - 283-ACCUM DEFD FEDERAL TBBS ADJ</t>
  </si>
  <si>
    <t>2012 - EXCESS ADFIT 283 - UNPROTECTED.</t>
  </si>
  <si>
    <t>7086 - RATE CASE DEFD CHGS</t>
  </si>
  <si>
    <t>7094 - Accrued COVID-19 Incremental Costs - non-TX</t>
  </si>
  <si>
    <t>7137 - REG ASSET-SFAS 158 - PENSIONS</t>
  </si>
  <si>
    <t>7139 - REG ASSET-SFAS 158 - OPEB</t>
  </si>
  <si>
    <t>7423 - REG ASSET-FERC Formula Rates Under Recvr</t>
  </si>
  <si>
    <t>7583 - SFAS 106 - MEDICARE SUBSIDY - (PPACA)-REG ASSET</t>
  </si>
  <si>
    <t>7593 - REG ASSET-ACCRUED SFAS 112</t>
  </si>
  <si>
    <t>4035 - NOL-STATE C/F-DEF TAX ASSET-L/T - TN</t>
  </si>
  <si>
    <t>4040 - NOL-STATE C/F-DEF TAX ASSET-L/T - WV</t>
  </si>
  <si>
    <t>7033 - ACCRUED BK PENSION COSTS - SFAS 158</t>
  </si>
  <si>
    <t>7377 - REG ASSET-TN UNDER RECOV FPPA RIDER</t>
  </si>
  <si>
    <t>7395 - REG ASSET-TARG REL &amp; MAJ STORM UNDR REC</t>
  </si>
  <si>
    <t>7419 - REG ASSET-TN FTRAR UNDER-RECOVERY</t>
  </si>
  <si>
    <t>pg. 263, Ln. 3(l)</t>
  </si>
  <si>
    <t>pg. 263, Ln. 1(l)</t>
  </si>
  <si>
    <t>pg. 263, Ln. 5(l)</t>
  </si>
  <si>
    <t>pg. 263, Ln. 6(l)</t>
  </si>
  <si>
    <t>pg. 263, Ln. 8(l)</t>
  </si>
  <si>
    <t>pg. 263, Ln. 19(l)</t>
  </si>
  <si>
    <t>pg. 263, Ln. 21(l)</t>
  </si>
  <si>
    <t>pg. 263, Ln. 26(l)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</si>
</sst>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mm/dd/yy_)"/>
  </numFmts>
  <fonts count="1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sz val="10"/>
      <name val="Arial"/>
      <family val="2"/>
    </font>
    <font>
      <b/>
      <u/>
      <sz val="11"/>
      <name val="Arial"/>
      <family val="2"/>
    </font>
    <font>
      <sz val="12"/>
      <name val="Arial MT"/>
      <family val="2"/>
    </font>
    <font>
      <sz val="9"/>
      <color rgb="FFFF0000"/>
      <name val="Arial"/>
      <family val="2"/>
    </font>
    <font>
      <sz val="9"/>
      <name val="Arial MT"/>
      <family val="2"/>
    </font>
    <font>
      <sz val="10"/>
      <color theme="1"/>
      <name val="Arial"/>
      <family val="2"/>
    </font>
    <font>
      <sz val="11"/>
      <color indexed="8"/>
      <name val="Calibri"/>
      <family val="2"/>
    </font>
    <font>
      <i/>
      <sz val="12"/>
      <name val="Arial MT"/>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theme="0" tint="-0.24991607409894101"/>
        <bgColor indexed="64"/>
      </patternFill>
    </fill>
    <fill>
      <patternFill patternType="darkUp">
        <bgColor theme="0" tint="-0.14990691854609822"/>
      </patternFill>
    </fill>
    <fill>
      <patternFill patternType="solid">
        <fgColor rgb="FFFFC000"/>
        <bgColor indexed="64"/>
      </patternFill>
    </fill>
  </fills>
  <borders count="97">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diagonal/>
    </border>
    <border>
      <left/>
      <right/>
      <top style="thin">
        <color auto="1"/>
      </top>
      <bottom style="thin">
        <color auto="1"/>
      </bottom>
      <diagonal/>
    </border>
  </borders>
  <cellStyleXfs count="917">
    <xf numFmtId="0" fontId="0" fillId="0" borderId="0"/>
    <xf numFmtId="0" fontId="39" fillId="2" borderId="0" applyNumberFormat="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172" fontId="42" fillId="0" borderId="0" applyFill="0"/>
    <xf numFmtId="172" fontId="42" fillId="0" borderId="0">
      <alignment horizontal="center"/>
    </xf>
    <xf numFmtId="0" fontId="42" fillId="0" borderId="0" applyFill="0">
      <alignment horizontal="center"/>
    </xf>
    <xf numFmtId="172" fontId="8" fillId="0" borderId="1" applyFill="0"/>
    <xf numFmtId="0" fontId="16" fillId="0" borderId="0" applyFont="0" applyAlignment="0"/>
    <xf numFmtId="0" fontId="43" fillId="0" borderId="0" applyFill="0">
      <alignment vertical="top"/>
    </xf>
    <xf numFmtId="0" fontId="8" fillId="0" borderId="0" applyFill="0">
      <alignment horizontal="left" vertical="top"/>
    </xf>
    <xf numFmtId="172" fontId="10" fillId="0" borderId="2" applyFill="0"/>
    <xf numFmtId="0" fontId="16" fillId="0" borderId="0" applyNumberFormat="0" applyFont="0" applyAlignment="0"/>
    <xf numFmtId="0" fontId="43" fillId="0" borderId="0" applyFill="0">
      <alignment wrapText="1"/>
    </xf>
    <xf numFmtId="0" fontId="8" fillId="0" borderId="0" applyFill="0">
      <alignment horizontal="left" vertical="top" wrapText="1"/>
    </xf>
    <xf numFmtId="172" fontId="44" fillId="0" borderId="0" applyFill="0"/>
    <xf numFmtId="0" fontId="45" fillId="0" borderId="0" applyNumberFormat="0" applyFont="0" applyAlignment="0">
      <alignment horizontal="center"/>
    </xf>
    <xf numFmtId="0" fontId="46" fillId="0" borderId="0" applyFill="0">
      <alignment vertical="top" wrapText="1"/>
    </xf>
    <xf numFmtId="0" fontId="10" fillId="0" borderId="0" applyFill="0">
      <alignment horizontal="left" vertical="top" wrapText="1"/>
    </xf>
    <xf numFmtId="172" fontId="16" fillId="0" borderId="0" applyFill="0"/>
    <xf numFmtId="0" fontId="45" fillId="0" borderId="0" applyNumberFormat="0" applyFont="0" applyAlignment="0">
      <alignment horizontal="center"/>
    </xf>
    <xf numFmtId="0" fontId="32" fillId="0" borderId="0" applyFill="0">
      <alignment vertical="center" wrapText="1"/>
    </xf>
    <xf numFmtId="0" fontId="9" fillId="0" borderId="0">
      <alignment horizontal="left" vertical="center" wrapText="1"/>
    </xf>
    <xf numFmtId="172" fontId="28" fillId="0" borderId="0" applyFill="0"/>
    <xf numFmtId="0" fontId="45" fillId="0" borderId="0" applyNumberFormat="0" applyFont="0" applyAlignment="0">
      <alignment horizontal="center"/>
    </xf>
    <xf numFmtId="0" fontId="20" fillId="0" borderId="0" applyFill="0">
      <alignment horizontal="center" vertical="center" wrapText="1"/>
    </xf>
    <xf numFmtId="0" fontId="16" fillId="0" borderId="0" applyFill="0">
      <alignment horizontal="center" vertical="center" wrapText="1"/>
    </xf>
    <xf numFmtId="172" fontId="47" fillId="0" borderId="0" applyFill="0"/>
    <xf numFmtId="0" fontId="45"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172" fontId="50" fillId="0" borderId="0" applyFill="0"/>
    <xf numFmtId="0" fontId="45" fillId="0" borderId="0" applyNumberFormat="0" applyFont="0" applyAlignment="0">
      <alignment horizontal="center"/>
    </xf>
    <xf numFmtId="0" fontId="51" fillId="0" borderId="0">
      <alignment horizontal="center" wrapText="1"/>
    </xf>
    <xf numFmtId="0" fontId="47" fillId="0" borderId="0" applyFill="0">
      <alignment horizontal="center" wrapText="1"/>
    </xf>
    <xf numFmtId="0" fontId="52" fillId="20" borderId="3" applyNumberFormat="0" applyAlignment="0" applyProtection="0"/>
    <xf numFmtId="0" fontId="52" fillId="20" borderId="3" applyNumberFormat="0" applyAlignment="0" applyProtection="0"/>
    <xf numFmtId="0" fontId="53" fillId="21" borderId="4" applyNumberFormat="0" applyAlignment="0" applyProtection="0"/>
    <xf numFmtId="0" fontId="53" fillId="21" borderId="4" applyNumberFormat="0" applyAlignment="0" applyProtection="0"/>
    <xf numFmtId="43" fontId="6" fillId="0" borderId="0" applyFont="0" applyFill="0" applyBorder="0" applyAlignment="0" applyProtection="0"/>
    <xf numFmtId="43" fontId="16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3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9" fillId="0" borderId="0" applyFont="0" applyFill="0" applyBorder="0" applyAlignment="0" applyProtection="0"/>
    <xf numFmtId="43" fontId="16" fillId="0" borderId="0" applyFont="0" applyFill="0" applyBorder="0" applyAlignment="0" applyProtection="0"/>
    <xf numFmtId="43" fontId="142" fillId="0" borderId="0" applyFont="0" applyFill="0" applyBorder="0" applyAlignment="0" applyProtection="0"/>
    <xf numFmtId="43" fontId="16" fillId="0" borderId="0" applyFont="0" applyFill="0" applyBorder="0" applyAlignment="0" applyProtection="0"/>
    <xf numFmtId="43" fontId="159" fillId="0" borderId="0" applyFont="0" applyFill="0" applyBorder="0" applyAlignment="0" applyProtection="0"/>
    <xf numFmtId="43" fontId="160" fillId="0" borderId="0" applyFont="0" applyFill="0" applyBorder="0" applyAlignment="0" applyProtection="0"/>
    <xf numFmtId="43" fontId="16" fillId="0" borderId="0" applyFont="0" applyFill="0" applyBorder="0" applyAlignment="0" applyProtection="0"/>
    <xf numFmtId="43" fontId="139" fillId="0" borderId="0" applyFont="0" applyFill="0" applyBorder="0" applyAlignment="0" applyProtection="0"/>
    <xf numFmtId="43" fontId="16" fillId="0" borderId="0" applyFont="0" applyFill="0" applyBorder="0" applyAlignment="0" applyProtection="0"/>
    <xf numFmtId="43" fontId="160" fillId="0" borderId="0" applyFont="0" applyFill="0" applyBorder="0" applyAlignment="0" applyProtection="0"/>
    <xf numFmtId="43" fontId="16" fillId="0" borderId="0" applyFont="0" applyFill="0" applyBorder="0" applyAlignment="0" applyProtection="0"/>
    <xf numFmtId="43" fontId="160" fillId="0" borderId="0" applyFont="0" applyFill="0" applyBorder="0" applyAlignment="0" applyProtection="0"/>
    <xf numFmtId="43" fontId="148" fillId="0" borderId="0" applyFont="0" applyFill="0" applyBorder="0" applyAlignment="0" applyProtection="0"/>
    <xf numFmtId="43" fontId="159" fillId="0" borderId="0" applyFont="0" applyFill="0" applyBorder="0" applyAlignment="0" applyProtection="0"/>
    <xf numFmtId="43" fontId="6" fillId="0" borderId="0" applyFont="0" applyFill="0" applyBorder="0" applyAlignment="0" applyProtection="0"/>
    <xf numFmtId="3"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34"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9" fillId="0" borderId="0" applyFont="0" applyFill="0" applyBorder="0" applyAlignment="0" applyProtection="0"/>
    <xf numFmtId="44" fontId="16" fillId="0" borderId="0" applyFont="0" applyFill="0" applyBorder="0" applyAlignment="0" applyProtection="0"/>
    <xf numFmtId="44" fontId="159" fillId="0" borderId="0" applyFont="0" applyFill="0" applyBorder="0" applyAlignment="0" applyProtection="0"/>
    <xf numFmtId="44" fontId="160" fillId="0" borderId="0" applyFont="0" applyFill="0" applyBorder="0" applyAlignment="0" applyProtection="0"/>
    <xf numFmtId="44" fontId="16" fillId="0" borderId="0" applyFont="0" applyFill="0" applyBorder="0" applyAlignment="0" applyProtection="0"/>
    <xf numFmtId="44" fontId="139" fillId="0" borderId="0" applyFont="0" applyFill="0" applyBorder="0" applyAlignment="0" applyProtection="0"/>
    <xf numFmtId="44" fontId="16" fillId="0" borderId="0" applyFont="0" applyFill="0" applyBorder="0" applyAlignment="0" applyProtection="0"/>
    <xf numFmtId="44" fontId="160" fillId="0" borderId="0" applyFont="0" applyFill="0" applyBorder="0" applyAlignment="0" applyProtection="0"/>
    <xf numFmtId="44" fontId="159" fillId="0" borderId="0" applyFont="0" applyFill="0" applyBorder="0" applyAlignment="0" applyProtection="0"/>
    <xf numFmtId="5" fontId="16" fillId="0" borderId="0" applyFont="0" applyFill="0" applyBorder="0" applyAlignment="0" applyProtection="0"/>
    <xf numFmtId="14" fontId="16"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2" fontId="16" fillId="0" borderId="0" applyFont="0" applyFill="0" applyBorder="0" applyAlignment="0" applyProtection="0"/>
    <xf numFmtId="0" fontId="55" fillId="4" borderId="0" applyNumberFormat="0" applyBorder="0" applyAlignment="0" applyProtection="0"/>
    <xf numFmtId="0" fontId="55" fillId="4" borderId="0" applyNumberFormat="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56" fillId="0" borderId="5" applyNumberFormat="0" applyFill="0" applyAlignment="0" applyProtection="0"/>
    <xf numFmtId="0" fontId="56" fillId="0" borderId="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6"/>
    <xf numFmtId="0" fontId="58" fillId="0" borderId="0"/>
    <xf numFmtId="0" fontId="59" fillId="7" borderId="3" applyNumberFormat="0" applyAlignment="0" applyProtection="0"/>
    <xf numFmtId="0" fontId="59" fillId="7" borderId="3" applyNumberFormat="0" applyAlignment="0" applyProtection="0"/>
    <xf numFmtId="0" fontId="60" fillId="0" borderId="7" applyNumberFormat="0" applyFill="0" applyAlignment="0" applyProtection="0"/>
    <xf numFmtId="0" fontId="60" fillId="0" borderId="7" applyNumberFormat="0" applyFill="0" applyAlignment="0" applyProtection="0"/>
    <xf numFmtId="0" fontId="61" fillId="22" borderId="0" applyNumberFormat="0" applyBorder="0" applyAlignment="0" applyProtection="0"/>
    <xf numFmtId="0" fontId="61" fillId="22" borderId="0" applyNumberFormat="0" applyBorder="0" applyAlignment="0" applyProtection="0"/>
    <xf numFmtId="3" fontId="134" fillId="0" borderId="0"/>
    <xf numFmtId="3" fontId="16" fillId="0" borderId="0"/>
    <xf numFmtId="3" fontId="16" fillId="0" borderId="0"/>
    <xf numFmtId="3" fontId="134" fillId="0" borderId="0"/>
    <xf numFmtId="0" fontId="16" fillId="0" borderId="0"/>
    <xf numFmtId="3" fontId="16" fillId="0" borderId="0"/>
    <xf numFmtId="3" fontId="134" fillId="0" borderId="0"/>
    <xf numFmtId="3" fontId="16" fillId="0" borderId="0"/>
    <xf numFmtId="0" fontId="160" fillId="0" borderId="0"/>
    <xf numFmtId="3" fontId="134" fillId="0" borderId="0"/>
    <xf numFmtId="3" fontId="16" fillId="0" borderId="0"/>
    <xf numFmtId="3" fontId="134" fillId="0" borderId="0"/>
    <xf numFmtId="3" fontId="16" fillId="0" borderId="0"/>
    <xf numFmtId="0" fontId="16" fillId="0" borderId="0"/>
    <xf numFmtId="3" fontId="134" fillId="0" borderId="0"/>
    <xf numFmtId="3" fontId="16" fillId="0" borderId="0"/>
    <xf numFmtId="3" fontId="134" fillId="0" borderId="0"/>
    <xf numFmtId="3" fontId="16" fillId="0" borderId="0"/>
    <xf numFmtId="3" fontId="134" fillId="0" borderId="0"/>
    <xf numFmtId="3" fontId="16" fillId="0" borderId="0"/>
    <xf numFmtId="3" fontId="135" fillId="0" borderId="0"/>
    <xf numFmtId="3" fontId="16" fillId="0" borderId="0"/>
    <xf numFmtId="0" fontId="16" fillId="0" borderId="0"/>
    <xf numFmtId="0" fontId="133" fillId="0" borderId="0"/>
    <xf numFmtId="0" fontId="161" fillId="0" borderId="0"/>
    <xf numFmtId="0" fontId="16" fillId="0" borderId="0"/>
    <xf numFmtId="0" fontId="16" fillId="0" borderId="0"/>
    <xf numFmtId="0" fontId="161" fillId="0" borderId="0"/>
    <xf numFmtId="0" fontId="16" fillId="0" borderId="0"/>
    <xf numFmtId="0"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6" fillId="0" borderId="0"/>
    <xf numFmtId="3" fontId="142" fillId="0" borderId="0"/>
    <xf numFmtId="3" fontId="16" fillId="0" borderId="0"/>
    <xf numFmtId="3" fontId="142" fillId="0" borderId="0"/>
    <xf numFmtId="3" fontId="16" fillId="0" borderId="0"/>
    <xf numFmtId="0" fontId="16" fillId="0" borderId="0"/>
    <xf numFmtId="0" fontId="16" fillId="0" borderId="0"/>
    <xf numFmtId="3" fontId="16" fillId="0" borderId="0"/>
    <xf numFmtId="0" fontId="16" fillId="0" borderId="0"/>
    <xf numFmtId="0" fontId="6" fillId="0" borderId="0"/>
    <xf numFmtId="0" fontId="16" fillId="0" borderId="0"/>
    <xf numFmtId="0" fontId="134" fillId="0" borderId="0"/>
    <xf numFmtId="0" fontId="16" fillId="0" borderId="0"/>
    <xf numFmtId="0" fontId="16" fillId="0" borderId="0"/>
    <xf numFmtId="0" fontId="135" fillId="0" borderId="0"/>
    <xf numFmtId="0" fontId="16" fillId="0" borderId="0"/>
    <xf numFmtId="0" fontId="16" fillId="0" borderId="0"/>
    <xf numFmtId="0" fontId="16" fillId="0" borderId="0"/>
    <xf numFmtId="0" fontId="139" fillId="0" borderId="0"/>
    <xf numFmtId="0" fontId="16" fillId="0" borderId="0"/>
    <xf numFmtId="0" fontId="142" fillId="0" borderId="0"/>
    <xf numFmtId="0" fontId="16" fillId="0" borderId="0"/>
    <xf numFmtId="0" fontId="159" fillId="0" borderId="0"/>
    <xf numFmtId="0" fontId="16" fillId="0" borderId="0"/>
    <xf numFmtId="3" fontId="126" fillId="0" borderId="0"/>
    <xf numFmtId="3" fontId="16" fillId="0" borderId="0"/>
    <xf numFmtId="0" fontId="16" fillId="0" borderId="0"/>
    <xf numFmtId="3" fontId="16" fillId="0" borderId="0"/>
    <xf numFmtId="0" fontId="16" fillId="0" borderId="0"/>
    <xf numFmtId="0" fontId="160" fillId="0" borderId="0"/>
    <xf numFmtId="0" fontId="134" fillId="0" borderId="0"/>
    <xf numFmtId="0" fontId="16" fillId="0" borderId="0"/>
    <xf numFmtId="0" fontId="16" fillId="0" borderId="0"/>
    <xf numFmtId="0" fontId="135" fillId="0" borderId="0"/>
    <xf numFmtId="0" fontId="16" fillId="0" borderId="0"/>
    <xf numFmtId="0" fontId="142" fillId="0" borderId="0"/>
    <xf numFmtId="0" fontId="16" fillId="0" borderId="0"/>
    <xf numFmtId="0" fontId="160" fillId="0" borderId="0"/>
    <xf numFmtId="0" fontId="16" fillId="0" borderId="0"/>
    <xf numFmtId="0" fontId="160" fillId="0" borderId="0"/>
    <xf numFmtId="0" fontId="16" fillId="0" borderId="0"/>
    <xf numFmtId="0" fontId="160" fillId="0" borderId="0"/>
    <xf numFmtId="0" fontId="16" fillId="0" borderId="0"/>
    <xf numFmtId="0" fontId="7" fillId="0" borderId="0" applyProtection="0"/>
    <xf numFmtId="0" fontId="6" fillId="0" borderId="0"/>
    <xf numFmtId="0" fontId="135" fillId="0" borderId="0"/>
    <xf numFmtId="0" fontId="16" fillId="0" borderId="0"/>
    <xf numFmtId="0" fontId="16" fillId="0" borderId="0"/>
    <xf numFmtId="0" fontId="139" fillId="0" borderId="0"/>
    <xf numFmtId="172" fontId="7" fillId="0" borderId="0" applyProtection="0"/>
    <xf numFmtId="0" fontId="6" fillId="0" borderId="0"/>
    <xf numFmtId="0" fontId="6" fillId="0" borderId="0"/>
    <xf numFmtId="172" fontId="7" fillId="0" borderId="0" applyProtection="0"/>
    <xf numFmtId="0" fontId="74" fillId="0" borderId="0"/>
    <xf numFmtId="0" fontId="7" fillId="0" borderId="0"/>
    <xf numFmtId="0" fontId="16" fillId="0" borderId="0"/>
    <xf numFmtId="0" fontId="6" fillId="0" borderId="0"/>
    <xf numFmtId="0" fontId="7" fillId="23" borderId="8" applyNumberFormat="0" applyFont="0" applyAlignment="0" applyProtection="0"/>
    <xf numFmtId="0" fontId="7" fillId="23" borderId="8" applyNumberFormat="0" applyFont="0" applyAlignment="0" applyProtection="0"/>
    <xf numFmtId="0" fontId="62" fillId="20" borderId="9" applyNumberFormat="0" applyAlignment="0" applyProtection="0"/>
    <xf numFmtId="0" fontId="62" fillId="20" borderId="9" applyNumberFormat="0" applyAlignment="0" applyProtection="0"/>
    <xf numFmtId="9" fontId="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13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9" fillId="0" borderId="0" applyFont="0" applyFill="0" applyBorder="0" applyAlignment="0" applyProtection="0"/>
    <xf numFmtId="9" fontId="16" fillId="0" borderId="0" applyFont="0" applyFill="0" applyBorder="0" applyAlignment="0" applyProtection="0"/>
    <xf numFmtId="9" fontId="159" fillId="0" borderId="0" applyFont="0" applyFill="0" applyBorder="0" applyAlignment="0" applyProtection="0"/>
    <xf numFmtId="9" fontId="16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9" fillId="0" borderId="0" applyFont="0" applyFill="0" applyBorder="0" applyAlignment="0" applyProtection="0"/>
    <xf numFmtId="9" fontId="16" fillId="0" borderId="0" applyFont="0" applyFill="0" applyBorder="0" applyAlignment="0" applyProtection="0"/>
    <xf numFmtId="9" fontId="160" fillId="0" borderId="0" applyFont="0" applyFill="0" applyBorder="0" applyAlignment="0" applyProtection="0"/>
    <xf numFmtId="9" fontId="148" fillId="0" borderId="0" applyFont="0" applyFill="0" applyBorder="0" applyAlignment="0" applyProtection="0"/>
    <xf numFmtId="9" fontId="159"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6" fillId="0" borderId="0">
      <alignment horizontal="left" vertical="top"/>
    </xf>
    <xf numFmtId="0" fontId="38" fillId="0" borderId="6">
      <alignment horizontal="center"/>
    </xf>
    <xf numFmtId="3" fontId="37" fillId="0" borderId="0" applyFont="0" applyFill="0" applyBorder="0" applyAlignment="0" applyProtection="0"/>
    <xf numFmtId="0" fontId="37" fillId="24" borderId="0" applyNumberFormat="0" applyFont="0" applyBorder="0" applyAlignment="0" applyProtection="0"/>
    <xf numFmtId="3" fontId="16" fillId="0" borderId="0">
      <alignment horizontal="right" vertical="top"/>
    </xf>
    <xf numFmtId="41" fontId="9" fillId="25" borderId="10" applyFill="0"/>
    <xf numFmtId="0" fontId="63" fillId="0" borderId="0">
      <alignment horizontal="left" indent="7"/>
    </xf>
    <xf numFmtId="41" fontId="9" fillId="0" borderId="10" applyFill="0">
      <alignment horizontal="left" indent="2"/>
    </xf>
    <xf numFmtId="172" fontId="29" fillId="0" borderId="11" applyFill="0">
      <alignment horizontal="right"/>
    </xf>
    <xf numFmtId="0" fontId="13" fillId="0" borderId="12" applyNumberFormat="0" applyFont="0" applyBorder="0">
      <alignment horizontal="right"/>
    </xf>
    <xf numFmtId="0" fontId="64" fillId="0" borderId="0" applyFill="0"/>
    <xf numFmtId="0" fontId="10" fillId="0" borderId="0" applyFill="0"/>
    <xf numFmtId="4" fontId="29" fillId="0" borderId="11" applyFill="0"/>
    <xf numFmtId="0" fontId="16" fillId="0" borderId="0" applyNumberFormat="0" applyFont="0" applyBorder="0" applyAlignment="0"/>
    <xf numFmtId="0" fontId="46" fillId="0" borderId="0" applyFill="0">
      <alignment horizontal="left" indent="1"/>
    </xf>
    <xf numFmtId="0" fontId="65" fillId="0" borderId="0" applyFill="0">
      <alignment horizontal="left" indent="1"/>
    </xf>
    <xf numFmtId="4" fontId="28" fillId="0" borderId="0" applyFill="0"/>
    <xf numFmtId="0" fontId="16" fillId="0" borderId="0" applyNumberFormat="0" applyFont="0" applyFill="0" applyBorder="0" applyAlignment="0"/>
    <xf numFmtId="0" fontId="46" fillId="0" borderId="0" applyFill="0">
      <alignment horizontal="left" indent="2"/>
    </xf>
    <xf numFmtId="0" fontId="10" fillId="0" borderId="0" applyFill="0">
      <alignment horizontal="left" indent="2"/>
    </xf>
    <xf numFmtId="4" fontId="28" fillId="0" borderId="0" applyFill="0"/>
    <xf numFmtId="0" fontId="16" fillId="0" borderId="0" applyNumberFormat="0" applyFont="0" applyBorder="0" applyAlignment="0"/>
    <xf numFmtId="0" fontId="66" fillId="0" borderId="0">
      <alignment horizontal="left" indent="3"/>
    </xf>
    <xf numFmtId="0" fontId="67" fillId="0" borderId="0" applyFill="0">
      <alignment horizontal="left" indent="3"/>
    </xf>
    <xf numFmtId="4" fontId="28" fillId="0" borderId="0" applyFill="0"/>
    <xf numFmtId="0" fontId="16" fillId="0" borderId="0" applyNumberFormat="0" applyFont="0" applyBorder="0" applyAlignment="0"/>
    <xf numFmtId="0" fontId="20" fillId="0" borderId="0">
      <alignment horizontal="left" indent="4"/>
    </xf>
    <xf numFmtId="0" fontId="16" fillId="0" borderId="0" applyFill="0">
      <alignment horizontal="left" indent="4"/>
    </xf>
    <xf numFmtId="4" fontId="47" fillId="0" borderId="0" applyFill="0"/>
    <xf numFmtId="0" fontId="16" fillId="0" borderId="0" applyNumberFormat="0" applyFont="0" applyBorder="0" applyAlignment="0"/>
    <xf numFmtId="0" fontId="48" fillId="0" borderId="0">
      <alignment horizontal="left" indent="5"/>
    </xf>
    <xf numFmtId="0" fontId="49" fillId="0" borderId="0" applyFill="0">
      <alignment horizontal="left" indent="5"/>
    </xf>
    <xf numFmtId="4" fontId="50" fillId="0" borderId="0" applyFill="0"/>
    <xf numFmtId="0" fontId="16" fillId="0" borderId="0" applyNumberFormat="0" applyFont="0" applyFill="0" applyBorder="0" applyAlignment="0"/>
    <xf numFmtId="0" fontId="51" fillId="0" borderId="0" applyFill="0">
      <alignment horizontal="left" indent="6"/>
    </xf>
    <xf numFmtId="0" fontId="47" fillId="0" borderId="0" applyFill="0">
      <alignment horizontal="left" indent="6"/>
    </xf>
    <xf numFmtId="0" fontId="68" fillId="0" borderId="0" applyNumberFormat="0" applyFill="0" applyBorder="0" applyAlignment="0" applyProtection="0"/>
    <xf numFmtId="0" fontId="68"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3" fontId="171" fillId="0" borderId="0" applyFont="0" applyFill="0" applyBorder="0" applyAlignment="0" applyProtection="0"/>
    <xf numFmtId="43" fontId="171" fillId="0" borderId="0" applyFont="0" applyFill="0" applyBorder="0" applyAlignment="0" applyProtection="0"/>
    <xf numFmtId="43" fontId="16" fillId="0" borderId="0" applyFont="0" applyFill="0" applyBorder="0" applyAlignment="0" applyProtection="0"/>
    <xf numFmtId="44" fontId="171" fillId="0" borderId="0" applyFont="0" applyFill="0" applyBorder="0" applyAlignment="0" applyProtection="0"/>
    <xf numFmtId="44" fontId="171" fillId="0" borderId="0" applyFont="0" applyFill="0" applyBorder="0" applyAlignment="0" applyProtection="0"/>
    <xf numFmtId="0" fontId="171" fillId="0" borderId="0"/>
    <xf numFmtId="9" fontId="171" fillId="0" borderId="0" applyFont="0" applyFill="0" applyBorder="0" applyAlignment="0" applyProtection="0"/>
    <xf numFmtId="9" fontId="171" fillId="0" borderId="0" applyFont="0" applyFill="0" applyBorder="0" applyAlignment="0" applyProtection="0"/>
    <xf numFmtId="9" fontId="16" fillId="0" borderId="0" applyFont="0" applyFill="0" applyBorder="0" applyAlignment="0" applyProtection="0"/>
    <xf numFmtId="0" fontId="6" fillId="0" borderId="0"/>
    <xf numFmtId="0" fontId="5" fillId="0" borderId="0"/>
    <xf numFmtId="0" fontId="6" fillId="0" borderId="0"/>
    <xf numFmtId="9" fontId="173" fillId="0" borderId="0" applyFont="0" applyFill="0" applyBorder="0" applyAlignment="0" applyProtection="0"/>
    <xf numFmtId="9" fontId="6" fillId="0" borderId="0" applyFont="0" applyFill="0" applyBorder="0" applyAlignment="0" applyProtection="0"/>
    <xf numFmtId="172" fontId="173" fillId="0" borderId="0" applyProtection="0"/>
    <xf numFmtId="43" fontId="5" fillId="0" borderId="0" applyFont="0" applyFill="0" applyBorder="0" applyAlignment="0" applyProtection="0"/>
    <xf numFmtId="43" fontId="173" fillId="0" borderId="0" applyFont="0" applyFill="0" applyBorder="0" applyAlignment="0" applyProtection="0"/>
    <xf numFmtId="172" fontId="8" fillId="0" borderId="55" applyFill="0"/>
    <xf numFmtId="0" fontId="6" fillId="0" borderId="0" applyFont="0" applyAlignment="0"/>
    <xf numFmtId="0" fontId="6" fillId="0" borderId="0" applyNumberFormat="0" applyFont="0" applyAlignment="0"/>
    <xf numFmtId="172" fontId="6" fillId="0" borderId="0" applyFill="0"/>
    <xf numFmtId="0" fontId="6" fillId="0" borderId="0" applyFill="0">
      <alignment horizontal="center" vertical="center" wrapText="1"/>
    </xf>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7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7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4" fillId="0" borderId="0"/>
    <xf numFmtId="3" fontId="6" fillId="0" borderId="0"/>
    <xf numFmtId="3" fontId="6" fillId="0" borderId="0"/>
    <xf numFmtId="3" fontId="6" fillId="0" borderId="0"/>
    <xf numFmtId="3"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3" fontId="6" fillId="0" borderId="0"/>
    <xf numFmtId="3"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0" fontId="6" fillId="0" borderId="0"/>
    <xf numFmtId="3"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4" fillId="0" borderId="0"/>
    <xf numFmtId="0" fontId="6" fillId="0" borderId="0"/>
    <xf numFmtId="0" fontId="4"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3" fontId="6" fillId="0" borderId="0">
      <alignment horizontal="left" vertical="top"/>
    </xf>
    <xf numFmtId="3" fontId="6" fillId="0" borderId="0">
      <alignment horizontal="right" vertical="top"/>
    </xf>
    <xf numFmtId="0" fontId="6" fillId="0" borderId="0" applyNumberFormat="0" applyFont="0" applyBorder="0" applyAlignment="0"/>
    <xf numFmtId="0" fontId="6" fillId="0" borderId="0" applyNumberFormat="0" applyFont="0" applyFill="0" applyBorder="0" applyAlignment="0"/>
    <xf numFmtId="0" fontId="6" fillId="0" borderId="0" applyNumberFormat="0" applyFont="0" applyBorder="0" applyAlignment="0"/>
    <xf numFmtId="0" fontId="6" fillId="0" borderId="0" applyNumberFormat="0" applyFont="0" applyBorder="0" applyAlignment="0"/>
    <xf numFmtId="0" fontId="6" fillId="0" borderId="0" applyFill="0">
      <alignment horizontal="left" indent="4"/>
    </xf>
    <xf numFmtId="0" fontId="6" fillId="0" borderId="0" applyNumberFormat="0" applyFont="0" applyBorder="0" applyAlignment="0"/>
    <xf numFmtId="0" fontId="6" fillId="0" borderId="0" applyNumberFormat="0" applyFont="0" applyFill="0" applyBorder="0" applyAlignment="0"/>
    <xf numFmtId="0" fontId="6" fillId="0" borderId="0" applyFont="0" applyFill="0" applyBorder="0" applyAlignment="0" applyProtection="0"/>
    <xf numFmtId="0" fontId="6" fillId="0" borderId="0" applyFont="0" applyFill="0" applyBorder="0" applyAlignment="0" applyProtection="0"/>
    <xf numFmtId="0" fontId="4" fillId="0" borderId="0"/>
    <xf numFmtId="9" fontId="173" fillId="0" borderId="0" applyFont="0" applyFill="0" applyBorder="0" applyAlignment="0" applyProtection="0"/>
    <xf numFmtId="172" fontId="173" fillId="0" borderId="0" applyProtection="0"/>
    <xf numFmtId="43" fontId="4" fillId="0" borderId="0" applyFont="0" applyFill="0" applyBorder="0" applyAlignment="0" applyProtection="0"/>
    <xf numFmtId="43" fontId="173" fillId="0" borderId="0" applyFont="0" applyFill="0" applyBorder="0" applyAlignment="0" applyProtection="0"/>
    <xf numFmtId="172" fontId="173" fillId="0" borderId="0" applyProtection="0"/>
    <xf numFmtId="44" fontId="176" fillId="0" borderId="0" applyFont="0" applyFill="0" applyBorder="0" applyAlignment="0" applyProtection="0"/>
    <xf numFmtId="42" fontId="176" fillId="0" borderId="0" applyFont="0" applyFill="0" applyBorder="0" applyAlignment="0" applyProtection="0"/>
    <xf numFmtId="41" fontId="176" fillId="0" borderId="0" applyFont="0" applyFill="0" applyBorder="0" applyAlignment="0" applyProtection="0"/>
    <xf numFmtId="0" fontId="4"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72" fontId="10" fillId="0" borderId="56" applyFill="0"/>
    <xf numFmtId="0" fontId="52" fillId="20" borderId="57" applyNumberFormat="0" applyAlignment="0" applyProtection="0"/>
    <xf numFmtId="0" fontId="52" fillId="20" borderId="57" applyNumberFormat="0" applyAlignment="0" applyProtection="0"/>
    <xf numFmtId="0" fontId="59" fillId="7" borderId="57" applyNumberFormat="0" applyAlignment="0" applyProtection="0"/>
    <xf numFmtId="0" fontId="59" fillId="7" borderId="57" applyNumberFormat="0" applyAlignment="0" applyProtection="0"/>
    <xf numFmtId="0" fontId="3" fillId="0" borderId="0"/>
    <xf numFmtId="0" fontId="3" fillId="0" borderId="0"/>
    <xf numFmtId="0" fontId="3" fillId="0" borderId="0"/>
    <xf numFmtId="0" fontId="3" fillId="0" borderId="0"/>
    <xf numFmtId="0" fontId="3" fillId="0" borderId="0"/>
    <xf numFmtId="0" fontId="7" fillId="23" borderId="58" applyNumberFormat="0" applyFont="0" applyAlignment="0" applyProtection="0"/>
    <xf numFmtId="0" fontId="7" fillId="23" borderId="58" applyNumberFormat="0" applyFont="0" applyAlignment="0" applyProtection="0"/>
    <xf numFmtId="0" fontId="62" fillId="20" borderId="59" applyNumberFormat="0" applyAlignment="0" applyProtection="0"/>
    <xf numFmtId="0" fontId="62" fillId="20" borderId="59" applyNumberFormat="0" applyAlignment="0" applyProtection="0"/>
    <xf numFmtId="0" fontId="13" fillId="0" borderId="12" applyNumberFormat="0" applyFont="0" applyBorder="0">
      <alignment horizontal="right"/>
    </xf>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6" fillId="0" borderId="0"/>
    <xf numFmtId="0" fontId="7" fillId="23" borderId="69" applyNumberFormat="0" applyFont="0" applyAlignment="0" applyProtection="0"/>
    <xf numFmtId="0" fontId="7" fillId="23" borderId="69" applyNumberFormat="0" applyFont="0" applyAlignment="0" applyProtection="0"/>
    <xf numFmtId="0" fontId="52" fillId="20" borderId="82" applyNumberFormat="0" applyAlignment="0" applyProtection="0"/>
    <xf numFmtId="0" fontId="52" fillId="20" borderId="82" applyNumberFormat="0" applyAlignment="0" applyProtection="0"/>
    <xf numFmtId="0" fontId="2" fillId="0" borderId="0"/>
    <xf numFmtId="0" fontId="59" fillId="7" borderId="91" applyNumberFormat="0" applyAlignment="0" applyProtection="0"/>
    <xf numFmtId="0" fontId="59" fillId="7" borderId="6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52" fillId="20" borderId="86" applyNumberFormat="0" applyAlignment="0" applyProtection="0"/>
    <xf numFmtId="0" fontId="52" fillId="20" borderId="8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59" fillId="7" borderId="86" applyNumberFormat="0" applyAlignment="0" applyProtection="0"/>
    <xf numFmtId="0" fontId="52" fillId="20" borderId="68" applyNumberFormat="0" applyAlignment="0" applyProtection="0"/>
    <xf numFmtId="172" fontId="10" fillId="0" borderId="67" applyFill="0"/>
    <xf numFmtId="0" fontId="7" fillId="23" borderId="87" applyNumberFormat="0" applyFont="0" applyAlignment="0" applyProtection="0"/>
    <xf numFmtId="44" fontId="2" fillId="0" borderId="0" applyFont="0" applyFill="0" applyBorder="0" applyAlignment="0" applyProtection="0"/>
    <xf numFmtId="44" fontId="2" fillId="0" borderId="0" applyFont="0" applyFill="0" applyBorder="0" applyAlignment="0" applyProtection="0"/>
    <xf numFmtId="0" fontId="13" fillId="0" borderId="60" applyNumberFormat="0" applyFont="0" applyBorder="0">
      <alignment horizontal="right"/>
    </xf>
    <xf numFmtId="0" fontId="2" fillId="0" borderId="0"/>
    <xf numFmtId="0" fontId="59" fillId="7" borderId="91" applyNumberFormat="0" applyAlignment="0" applyProtection="0"/>
    <xf numFmtId="0" fontId="2" fillId="0" borderId="0"/>
    <xf numFmtId="0" fontId="2" fillId="0" borderId="0"/>
    <xf numFmtId="0" fontId="2" fillId="0" borderId="0"/>
    <xf numFmtId="0" fontId="2" fillId="0" borderId="0"/>
    <xf numFmtId="0" fontId="52" fillId="20" borderId="86" applyNumberFormat="0" applyAlignment="0" applyProtection="0"/>
    <xf numFmtId="172" fontId="10" fillId="0" borderId="81" applyFill="0"/>
    <xf numFmtId="0" fontId="59" fillId="7" borderId="82" applyNumberFormat="0" applyAlignment="0" applyProtection="0"/>
    <xf numFmtId="0" fontId="62" fillId="20" borderId="88" applyNumberFormat="0" applyAlignment="0" applyProtection="0"/>
    <xf numFmtId="0" fontId="7" fillId="23" borderId="8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62" fillId="20" borderId="93" applyNumberFormat="0" applyAlignment="0" applyProtection="0"/>
    <xf numFmtId="0" fontId="7" fillId="23" borderId="92" applyNumberFormat="0" applyFont="0" applyAlignment="0" applyProtection="0"/>
    <xf numFmtId="0" fontId="59" fillId="7" borderId="91" applyNumberFormat="0" applyAlignment="0" applyProtection="0"/>
    <xf numFmtId="0" fontId="59" fillId="7" borderId="91" applyNumberFormat="0" applyAlignment="0" applyProtection="0"/>
    <xf numFmtId="0" fontId="59" fillId="7" borderId="91" applyNumberFormat="0" applyAlignment="0" applyProtection="0"/>
    <xf numFmtId="0" fontId="52" fillId="20" borderId="91" applyNumberFormat="0" applyAlignment="0" applyProtection="0"/>
    <xf numFmtId="0" fontId="13" fillId="0" borderId="51" applyNumberFormat="0" applyFont="0" applyBorder="0">
      <alignment horizontal="right"/>
    </xf>
    <xf numFmtId="0" fontId="52" fillId="20" borderId="91" applyNumberFormat="0" applyAlignment="0" applyProtection="0"/>
    <xf numFmtId="0" fontId="7" fillId="23" borderId="87" applyNumberFormat="0" applyFont="0" applyAlignment="0" applyProtection="0"/>
    <xf numFmtId="0" fontId="7" fillId="23" borderId="92" applyNumberFormat="0" applyFont="0" applyAlignment="0" applyProtection="0"/>
    <xf numFmtId="0" fontId="62" fillId="20" borderId="93" applyNumberFormat="0" applyAlignment="0" applyProtection="0"/>
    <xf numFmtId="0" fontId="62" fillId="20" borderId="93" applyNumberFormat="0" applyAlignment="0" applyProtection="0"/>
    <xf numFmtId="172" fontId="10" fillId="0" borderId="90" applyFill="0"/>
    <xf numFmtId="0" fontId="7" fillId="23" borderId="92" applyNumberFormat="0" applyFont="0" applyAlignment="0" applyProtection="0"/>
    <xf numFmtId="0" fontId="52" fillId="20" borderId="91" applyNumberFormat="0" applyAlignment="0" applyProtection="0"/>
    <xf numFmtId="0" fontId="2" fillId="0" borderId="0"/>
    <xf numFmtId="9" fontId="173" fillId="0" borderId="0" applyFont="0" applyFill="0" applyBorder="0" applyAlignment="0" applyProtection="0"/>
    <xf numFmtId="0" fontId="52" fillId="20" borderId="82" applyNumberFormat="0" applyAlignment="0" applyProtection="0"/>
    <xf numFmtId="172" fontId="173" fillId="0" borderId="0" applyProtection="0"/>
    <xf numFmtId="43" fontId="2" fillId="0" borderId="0" applyFont="0" applyFill="0" applyBorder="0" applyAlignment="0" applyProtection="0"/>
    <xf numFmtId="44" fontId="17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176" fillId="0" borderId="0" applyFont="0" applyFill="0" applyBorder="0" applyAlignment="0" applyProtection="0"/>
    <xf numFmtId="0" fontId="59" fillId="7" borderId="82" applyNumberFormat="0" applyAlignment="0" applyProtection="0"/>
    <xf numFmtId="172" fontId="10" fillId="0" borderId="56" applyFill="0"/>
    <xf numFmtId="0" fontId="52" fillId="20" borderId="57" applyNumberFormat="0" applyAlignment="0" applyProtection="0"/>
    <xf numFmtId="0" fontId="52" fillId="20" borderId="57" applyNumberFormat="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7" fillId="23" borderId="87"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59" fillId="7" borderId="86"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 fillId="23" borderId="92" applyNumberFormat="0" applyFont="0" applyAlignment="0" applyProtection="0"/>
    <xf numFmtId="0" fontId="7" fillId="23" borderId="83" applyNumberFormat="0" applyFont="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59" fillId="7" borderId="57" applyNumberFormat="0" applyAlignment="0" applyProtection="0"/>
    <xf numFmtId="0" fontId="59" fillId="7" borderId="57" applyNumberFormat="0" applyAlignment="0" applyProtection="0"/>
    <xf numFmtId="172" fontId="10" fillId="0" borderId="90" applyFill="0"/>
    <xf numFmtId="0" fontId="2" fillId="0" borderId="0"/>
    <xf numFmtId="0" fontId="7" fillId="23" borderId="92" applyNumberFormat="0" applyFont="0" applyAlignment="0" applyProtection="0"/>
    <xf numFmtId="0" fontId="6" fillId="0" borderId="0"/>
    <xf numFmtId="0" fontId="2" fillId="0" borderId="0"/>
    <xf numFmtId="0" fontId="2" fillId="0" borderId="0"/>
    <xf numFmtId="0" fontId="2" fillId="0" borderId="0"/>
    <xf numFmtId="0" fontId="2" fillId="0" borderId="0"/>
    <xf numFmtId="0" fontId="7" fillId="23" borderId="58" applyNumberFormat="0" applyFont="0" applyAlignment="0" applyProtection="0"/>
    <xf numFmtId="0" fontId="7" fillId="23" borderId="58" applyNumberFormat="0" applyFont="0" applyAlignment="0" applyProtection="0"/>
    <xf numFmtId="0" fontId="59" fillId="7" borderId="82" applyNumberFormat="0" applyAlignment="0" applyProtection="0"/>
    <xf numFmtId="0" fontId="62" fillId="20" borderId="88" applyNumberFormat="0" applyAlignment="0" applyProtection="0"/>
    <xf numFmtId="172" fontId="10" fillId="0" borderId="85" applyFill="0"/>
    <xf numFmtId="9" fontId="6" fillId="0" borderId="0" applyFont="0" applyFill="0" applyBorder="0" applyAlignment="0" applyProtection="0"/>
    <xf numFmtId="0" fontId="13" fillId="0" borderId="84" applyNumberFormat="0" applyFont="0" applyBorder="0">
      <alignment horizontal="right"/>
    </xf>
    <xf numFmtId="9" fontId="2" fillId="0" borderId="0" applyFont="0" applyFill="0" applyBorder="0" applyAlignment="0" applyProtection="0"/>
    <xf numFmtId="9" fontId="2" fillId="0" borderId="0" applyFont="0" applyFill="0" applyBorder="0" applyAlignment="0" applyProtection="0"/>
    <xf numFmtId="172" fontId="10" fillId="0" borderId="90" applyFill="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9" fillId="7" borderId="91" applyNumberFormat="0" applyAlignment="0" applyProtection="0"/>
    <xf numFmtId="0" fontId="7" fillId="23" borderId="87" applyNumberFormat="0" applyFont="0" applyAlignment="0" applyProtection="0"/>
    <xf numFmtId="0" fontId="13" fillId="0" borderId="89" applyNumberFormat="0" applyFont="0" applyBorder="0">
      <alignment horizontal="right"/>
    </xf>
    <xf numFmtId="172" fontId="173" fillId="0" borderId="0" applyProtection="0"/>
    <xf numFmtId="43" fontId="2" fillId="0" borderId="0" applyFont="0" applyFill="0" applyBorder="0" applyAlignment="0" applyProtection="0"/>
    <xf numFmtId="172" fontId="10" fillId="0" borderId="62" applyFill="0"/>
    <xf numFmtId="0" fontId="62" fillId="20" borderId="65" applyNumberFormat="0" applyAlignment="0" applyProtection="0"/>
    <xf numFmtId="0" fontId="62" fillId="20" borderId="65" applyNumberFormat="0" applyAlignment="0" applyProtection="0"/>
    <xf numFmtId="0" fontId="7" fillId="23" borderId="64" applyNumberFormat="0" applyFont="0" applyAlignment="0" applyProtection="0"/>
    <xf numFmtId="0" fontId="7" fillId="23" borderId="64" applyNumberFormat="0" applyFont="0" applyAlignment="0" applyProtection="0"/>
    <xf numFmtId="0" fontId="52" fillId="20" borderId="63" applyNumberFormat="0" applyAlignment="0" applyProtection="0"/>
    <xf numFmtId="0" fontId="52" fillId="20" borderId="63" applyNumberFormat="0" applyAlignment="0" applyProtection="0"/>
    <xf numFmtId="0" fontId="59" fillId="7" borderId="68" applyNumberFormat="0" applyAlignment="0" applyProtection="0"/>
    <xf numFmtId="43" fontId="6" fillId="0" borderId="0" applyFont="0" applyFill="0" applyBorder="0" applyAlignment="0" applyProtection="0"/>
    <xf numFmtId="43" fontId="2" fillId="0" borderId="0" applyFont="0" applyFill="0" applyBorder="0" applyAlignment="0" applyProtection="0"/>
    <xf numFmtId="0" fontId="62" fillId="20" borderId="8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9" fillId="7" borderId="63" applyNumberFormat="0" applyAlignment="0" applyProtection="0"/>
    <xf numFmtId="0" fontId="59" fillId="7" borderId="63" applyNumberFormat="0" applyAlignment="0" applyProtection="0"/>
    <xf numFmtId="0" fontId="59" fillId="7" borderId="63" applyNumberFormat="0" applyAlignment="0" applyProtection="0"/>
    <xf numFmtId="0" fontId="59" fillId="7" borderId="63" applyNumberFormat="0" applyAlignment="0" applyProtection="0"/>
    <xf numFmtId="0" fontId="2" fillId="0" borderId="0"/>
    <xf numFmtId="0" fontId="2" fillId="0" borderId="0"/>
    <xf numFmtId="0" fontId="52" fillId="20" borderId="63" applyNumberFormat="0" applyAlignment="0" applyProtection="0"/>
    <xf numFmtId="0" fontId="2" fillId="0" borderId="0"/>
    <xf numFmtId="0" fontId="52" fillId="20" borderId="63" applyNumberFormat="0" applyAlignment="0" applyProtection="0"/>
    <xf numFmtId="0" fontId="2" fillId="0" borderId="0"/>
    <xf numFmtId="0" fontId="2" fillId="0" borderId="0"/>
    <xf numFmtId="0" fontId="7" fillId="23" borderId="64" applyNumberFormat="0" applyFont="0" applyAlignment="0" applyProtection="0"/>
    <xf numFmtId="0" fontId="62" fillId="20" borderId="65" applyNumberFormat="0" applyAlignment="0" applyProtection="0"/>
    <xf numFmtId="0" fontId="62" fillId="20" borderId="65" applyNumberFormat="0" applyAlignment="0" applyProtection="0"/>
    <xf numFmtId="172" fontId="10" fillId="0" borderId="62" applyFill="0"/>
    <xf numFmtId="9" fontId="2" fillId="0" borderId="0" applyFont="0" applyFill="0" applyBorder="0" applyAlignment="0" applyProtection="0"/>
    <xf numFmtId="9" fontId="2" fillId="0" borderId="0" applyFont="0" applyFill="0" applyBorder="0" applyAlignment="0" applyProtection="0"/>
    <xf numFmtId="0" fontId="7" fillId="23" borderId="92" applyNumberFormat="0" applyFont="0" applyAlignment="0" applyProtection="0"/>
    <xf numFmtId="0" fontId="52" fillId="20" borderId="91" applyNumberFormat="0" applyAlignment="0" applyProtection="0"/>
    <xf numFmtId="0" fontId="7" fillId="23" borderId="64" applyNumberFormat="0" applyFont="0" applyAlignment="0" applyProtection="0"/>
    <xf numFmtId="43" fontId="2" fillId="0" borderId="0" applyFont="0" applyFill="0" applyBorder="0" applyAlignment="0" applyProtection="0"/>
    <xf numFmtId="0" fontId="13" fillId="0" borderId="61" applyNumberFormat="0" applyFont="0" applyBorder="0">
      <alignment horizontal="righ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72" fontId="10" fillId="0" borderId="67" applyFill="0"/>
    <xf numFmtId="0" fontId="62" fillId="20" borderId="70" applyNumberFormat="0" applyAlignment="0" applyProtection="0"/>
    <xf numFmtId="0" fontId="62" fillId="20" borderId="70" applyNumberFormat="0" applyAlignment="0" applyProtection="0"/>
    <xf numFmtId="0" fontId="7" fillId="23" borderId="69" applyNumberFormat="0" applyFont="0" applyAlignment="0" applyProtection="0"/>
    <xf numFmtId="0" fontId="7" fillId="23" borderId="69" applyNumberFormat="0" applyFont="0" applyAlignment="0" applyProtection="0"/>
    <xf numFmtId="0" fontId="52" fillId="20" borderId="68" applyNumberFormat="0" applyAlignment="0" applyProtection="0"/>
    <xf numFmtId="0" fontId="52" fillId="20" borderId="6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9" fillId="7" borderId="68" applyNumberFormat="0" applyAlignment="0" applyProtection="0"/>
    <xf numFmtId="0" fontId="59" fillId="7" borderId="68" applyNumberFormat="0" applyAlignment="0" applyProtection="0"/>
    <xf numFmtId="0" fontId="59" fillId="7" borderId="68" applyNumberFormat="0" applyAlignment="0" applyProtection="0"/>
    <xf numFmtId="0" fontId="59" fillId="7" borderId="68" applyNumberFormat="0" applyAlignment="0" applyProtection="0"/>
    <xf numFmtId="0" fontId="2" fillId="0" borderId="0"/>
    <xf numFmtId="0" fontId="2" fillId="0" borderId="0"/>
    <xf numFmtId="0" fontId="52" fillId="20" borderId="68" applyNumberFormat="0" applyAlignment="0" applyProtection="0"/>
    <xf numFmtId="0" fontId="2" fillId="0" borderId="0"/>
    <xf numFmtId="0" fontId="52" fillId="20" borderId="68" applyNumberFormat="0" applyAlignment="0" applyProtection="0"/>
    <xf numFmtId="0" fontId="2" fillId="0" borderId="0"/>
    <xf numFmtId="0" fontId="2" fillId="0" borderId="0"/>
    <xf numFmtId="0" fontId="7" fillId="23" borderId="64" applyNumberFormat="0" applyFont="0" applyAlignment="0" applyProtection="0"/>
    <xf numFmtId="0" fontId="7" fillId="23" borderId="64" applyNumberFormat="0" applyFont="0" applyAlignment="0" applyProtection="0"/>
    <xf numFmtId="0" fontId="7" fillId="23" borderId="69" applyNumberFormat="0" applyFont="0" applyAlignment="0" applyProtection="0"/>
    <xf numFmtId="0" fontId="62" fillId="20" borderId="70" applyNumberFormat="0" applyAlignment="0" applyProtection="0"/>
    <xf numFmtId="0" fontId="62" fillId="20" borderId="70" applyNumberFormat="0" applyAlignment="0" applyProtection="0"/>
    <xf numFmtId="172" fontId="10" fillId="0" borderId="67" applyFill="0"/>
    <xf numFmtId="9" fontId="2" fillId="0" borderId="0" applyFont="0" applyFill="0" applyBorder="0" applyAlignment="0" applyProtection="0"/>
    <xf numFmtId="9" fontId="2" fillId="0" borderId="0" applyFont="0" applyFill="0" applyBorder="0" applyAlignment="0" applyProtection="0"/>
    <xf numFmtId="0" fontId="2" fillId="0" borderId="0"/>
    <xf numFmtId="0" fontId="7" fillId="23" borderId="69" applyNumberFormat="0" applyFont="0" applyAlignment="0" applyProtection="0"/>
    <xf numFmtId="43" fontId="2" fillId="0" borderId="0" applyFont="0" applyFill="0" applyBorder="0" applyAlignment="0" applyProtection="0"/>
    <xf numFmtId="0" fontId="13" fillId="0" borderId="66" applyNumberFormat="0" applyFont="0" applyBorder="0">
      <alignment horizontal="right"/>
    </xf>
    <xf numFmtId="0" fontId="6" fillId="0" borderId="0"/>
    <xf numFmtId="43" fontId="177" fillId="0" borderId="0" applyFont="0" applyFill="0" applyBorder="0" applyAlignment="0" applyProtection="0"/>
    <xf numFmtId="172" fontId="10" fillId="0" borderId="85" applyFill="0"/>
    <xf numFmtId="43" fontId="6" fillId="0" borderId="0" applyFont="0" applyFill="0" applyBorder="0" applyAlignment="0" applyProtection="0"/>
    <xf numFmtId="43" fontId="177" fillId="0" borderId="0" applyFont="0" applyFill="0" applyBorder="0" applyAlignment="0" applyProtection="0"/>
    <xf numFmtId="43" fontId="177" fillId="0" borderId="0" applyFont="0" applyFill="0" applyBorder="0" applyAlignment="0" applyProtection="0"/>
    <xf numFmtId="43" fontId="177" fillId="0" borderId="0" applyFont="0" applyFill="0" applyBorder="0" applyAlignment="0" applyProtection="0"/>
    <xf numFmtId="0" fontId="52" fillId="20" borderId="68" applyNumberFormat="0" applyAlignment="0" applyProtection="0"/>
    <xf numFmtId="44" fontId="6" fillId="0" borderId="0" applyFont="0" applyFill="0" applyBorder="0" applyAlignment="0" applyProtection="0"/>
    <xf numFmtId="44" fontId="177" fillId="0" borderId="0" applyFont="0" applyFill="0" applyBorder="0" applyAlignment="0" applyProtection="0"/>
    <xf numFmtId="44" fontId="177" fillId="0" borderId="0" applyFont="0" applyFill="0" applyBorder="0" applyAlignment="0" applyProtection="0"/>
    <xf numFmtId="44" fontId="6" fillId="0" borderId="0" applyFont="0" applyFill="0" applyBorder="0" applyAlignment="0" applyProtection="0"/>
    <xf numFmtId="0" fontId="6" fillId="0" borderId="0"/>
    <xf numFmtId="0" fontId="2" fillId="0" borderId="0"/>
    <xf numFmtId="3" fontId="6" fillId="0" borderId="0"/>
    <xf numFmtId="0" fontId="6" fillId="0" borderId="0"/>
    <xf numFmtId="0" fontId="2" fillId="0" borderId="0"/>
    <xf numFmtId="0" fontId="2" fillId="0" borderId="0"/>
    <xf numFmtId="0" fontId="2" fillId="0" borderId="0"/>
    <xf numFmtId="0" fontId="2" fillId="0" borderId="0"/>
    <xf numFmtId="0" fontId="62" fillId="20" borderId="88"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7" fillId="0" borderId="0" applyFont="0" applyFill="0" applyBorder="0" applyAlignment="0" applyProtection="0"/>
    <xf numFmtId="9" fontId="177" fillId="0" borderId="0" applyFont="0" applyFill="0" applyBorder="0" applyAlignment="0" applyProtection="0"/>
    <xf numFmtId="0" fontId="62" fillId="20" borderId="93" applyNumberFormat="0" applyAlignment="0" applyProtection="0"/>
    <xf numFmtId="0" fontId="2" fillId="0" borderId="0"/>
    <xf numFmtId="0" fontId="7" fillId="23" borderId="87" applyNumberFormat="0" applyFont="0" applyAlignment="0" applyProtection="0"/>
    <xf numFmtId="43" fontId="2" fillId="0" borderId="0" applyFont="0" applyFill="0" applyBorder="0" applyAlignment="0" applyProtection="0"/>
    <xf numFmtId="43" fontId="173" fillId="0" borderId="0" applyFont="0" applyFill="0" applyBorder="0" applyAlignment="0" applyProtection="0"/>
    <xf numFmtId="44" fontId="176"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2" fillId="0" borderId="0"/>
    <xf numFmtId="0" fontId="2" fillId="0" borderId="0"/>
    <xf numFmtId="172" fontId="173" fillId="0" borderId="0" applyProtection="0"/>
    <xf numFmtId="43" fontId="2" fillId="0" borderId="0" applyFont="0" applyFill="0" applyBorder="0" applyAlignment="0" applyProtection="0"/>
    <xf numFmtId="0" fontId="52" fillId="20" borderId="91" applyNumberFormat="0" applyAlignment="0" applyProtection="0"/>
    <xf numFmtId="172" fontId="10" fillId="0" borderId="72" applyFill="0"/>
    <xf numFmtId="0" fontId="62" fillId="20" borderId="75" applyNumberFormat="0" applyAlignment="0" applyProtection="0"/>
    <xf numFmtId="0" fontId="62" fillId="20" borderId="75" applyNumberFormat="0" applyAlignment="0" applyProtection="0"/>
    <xf numFmtId="0" fontId="7" fillId="23" borderId="74" applyNumberFormat="0" applyFont="0" applyAlignment="0" applyProtection="0"/>
    <xf numFmtId="0" fontId="7" fillId="23" borderId="74" applyNumberFormat="0" applyFont="0" applyAlignment="0" applyProtection="0"/>
    <xf numFmtId="0" fontId="52" fillId="20" borderId="73" applyNumberFormat="0" applyAlignment="0" applyProtection="0"/>
    <xf numFmtId="0" fontId="52" fillId="20" borderId="73" applyNumberFormat="0" applyAlignment="0" applyProtection="0"/>
    <xf numFmtId="172" fontId="10" fillId="0" borderId="67" applyFill="0"/>
    <xf numFmtId="0" fontId="52" fillId="20" borderId="68" applyNumberFormat="0" applyAlignment="0" applyProtection="0"/>
    <xf numFmtId="0" fontId="52" fillId="20" borderId="68" applyNumberFormat="0" applyAlignment="0" applyProtection="0"/>
    <xf numFmtId="0" fontId="52" fillId="20" borderId="86" applyNumberFormat="0" applyAlignment="0" applyProtection="0"/>
    <xf numFmtId="0" fontId="59" fillId="7" borderId="73" applyNumberFormat="0" applyAlignment="0" applyProtection="0"/>
    <xf numFmtId="0" fontId="59" fillId="7" borderId="73" applyNumberFormat="0" applyAlignment="0" applyProtection="0"/>
    <xf numFmtId="0" fontId="59" fillId="7" borderId="68" applyNumberFormat="0" applyAlignment="0" applyProtection="0"/>
    <xf numFmtId="0" fontId="59" fillId="7" borderId="68" applyNumberFormat="0" applyAlignment="0" applyProtection="0"/>
    <xf numFmtId="0" fontId="59" fillId="7" borderId="73" applyNumberFormat="0" applyAlignment="0" applyProtection="0"/>
    <xf numFmtId="0" fontId="59" fillId="7" borderId="73" applyNumberFormat="0" applyAlignment="0" applyProtection="0"/>
    <xf numFmtId="0" fontId="52" fillId="20" borderId="73" applyNumberFormat="0" applyAlignment="0" applyProtection="0"/>
    <xf numFmtId="0" fontId="52" fillId="20" borderId="73" applyNumberFormat="0" applyAlignment="0" applyProtection="0"/>
    <xf numFmtId="0" fontId="7" fillId="23" borderId="69" applyNumberFormat="0" applyFont="0" applyAlignment="0" applyProtection="0"/>
    <xf numFmtId="0" fontId="7" fillId="23" borderId="69" applyNumberFormat="0" applyFont="0" applyAlignment="0" applyProtection="0"/>
    <xf numFmtId="0" fontId="7" fillId="23" borderId="74" applyNumberFormat="0" applyFont="0" applyAlignment="0" applyProtection="0"/>
    <xf numFmtId="0" fontId="62" fillId="20" borderId="75" applyNumberFormat="0" applyAlignment="0" applyProtection="0"/>
    <xf numFmtId="0" fontId="62" fillId="20" borderId="75" applyNumberFormat="0" applyAlignment="0" applyProtection="0"/>
    <xf numFmtId="172" fontId="10" fillId="0" borderId="72" applyFill="0"/>
    <xf numFmtId="0" fontId="52" fillId="20" borderId="91" applyNumberFormat="0" applyAlignment="0" applyProtection="0"/>
    <xf numFmtId="0" fontId="7" fillId="23" borderId="74" applyNumberFormat="0" applyFont="0" applyAlignment="0" applyProtection="0"/>
    <xf numFmtId="0" fontId="13" fillId="0" borderId="71" applyNumberFormat="0" applyFont="0" applyBorder="0">
      <alignment horizontal="right"/>
    </xf>
    <xf numFmtId="0" fontId="59" fillId="7" borderId="86" applyNumberFormat="0" applyAlignment="0" applyProtection="0"/>
    <xf numFmtId="172" fontId="10" fillId="0" borderId="77" applyFill="0"/>
    <xf numFmtId="0" fontId="62" fillId="20" borderId="80" applyNumberFormat="0" applyAlignment="0" applyProtection="0"/>
    <xf numFmtId="0" fontId="62" fillId="20" borderId="80" applyNumberFormat="0" applyAlignment="0" applyProtection="0"/>
    <xf numFmtId="0" fontId="7" fillId="23" borderId="79" applyNumberFormat="0" applyFont="0" applyAlignment="0" applyProtection="0"/>
    <xf numFmtId="0" fontId="7" fillId="23" borderId="79" applyNumberFormat="0" applyFont="0" applyAlignment="0" applyProtection="0"/>
    <xf numFmtId="0" fontId="52" fillId="20" borderId="78" applyNumberFormat="0" applyAlignment="0" applyProtection="0"/>
    <xf numFmtId="0" fontId="52" fillId="20" borderId="78" applyNumberFormat="0" applyAlignment="0" applyProtection="0"/>
    <xf numFmtId="0" fontId="59" fillId="7" borderId="78" applyNumberFormat="0" applyAlignment="0" applyProtection="0"/>
    <xf numFmtId="0" fontId="59" fillId="7" borderId="78" applyNumberFormat="0" applyAlignment="0" applyProtection="0"/>
    <xf numFmtId="0" fontId="59" fillId="7" borderId="78" applyNumberFormat="0" applyAlignment="0" applyProtection="0"/>
    <xf numFmtId="0" fontId="59" fillId="7" borderId="78" applyNumberFormat="0" applyAlignment="0" applyProtection="0"/>
    <xf numFmtId="172" fontId="10" fillId="0" borderId="81" applyFill="0"/>
    <xf numFmtId="0" fontId="52" fillId="20" borderId="78" applyNumberFormat="0" applyAlignment="0" applyProtection="0"/>
    <xf numFmtId="0" fontId="52" fillId="20" borderId="78" applyNumberFormat="0" applyAlignment="0" applyProtection="0"/>
    <xf numFmtId="0" fontId="7" fillId="23" borderId="74" applyNumberFormat="0" applyFont="0" applyAlignment="0" applyProtection="0"/>
    <xf numFmtId="0" fontId="7" fillId="23" borderId="74" applyNumberFormat="0" applyFont="0" applyAlignment="0" applyProtection="0"/>
    <xf numFmtId="0" fontId="7" fillId="23" borderId="79" applyNumberFormat="0" applyFont="0" applyAlignment="0" applyProtection="0"/>
    <xf numFmtId="0" fontId="62" fillId="20" borderId="80" applyNumberFormat="0" applyAlignment="0" applyProtection="0"/>
    <xf numFmtId="0" fontId="62" fillId="20" borderId="80" applyNumberFormat="0" applyAlignment="0" applyProtection="0"/>
    <xf numFmtId="172" fontId="10" fillId="0" borderId="77" applyFill="0"/>
    <xf numFmtId="0" fontId="7" fillId="23" borderId="79" applyNumberFormat="0" applyFont="0" applyAlignment="0" applyProtection="0"/>
    <xf numFmtId="0" fontId="13" fillId="0" borderId="76" applyNumberFormat="0" applyFont="0" applyBorder="0">
      <alignment horizontal="right"/>
    </xf>
    <xf numFmtId="0" fontId="7" fillId="23" borderId="83" applyNumberFormat="0" applyFont="0" applyAlignment="0" applyProtection="0"/>
    <xf numFmtId="0" fontId="7" fillId="23" borderId="83" applyNumberFormat="0" applyFont="0" applyAlignment="0" applyProtection="0"/>
    <xf numFmtId="0" fontId="59" fillId="7" borderId="82" applyNumberFormat="0" applyAlignment="0" applyProtection="0"/>
    <xf numFmtId="0" fontId="52" fillId="20" borderId="86" applyNumberFormat="0" applyAlignment="0" applyProtection="0"/>
    <xf numFmtId="0" fontId="59" fillId="7" borderId="86" applyNumberFormat="0" applyAlignment="0" applyProtection="0"/>
    <xf numFmtId="0" fontId="7" fillId="23" borderId="83" applyNumberFormat="0" applyFont="0" applyAlignment="0" applyProtection="0"/>
    <xf numFmtId="172" fontId="7" fillId="0" borderId="0" applyProtection="0"/>
    <xf numFmtId="43" fontId="7" fillId="0" borderId="0" applyFont="0" applyFill="0" applyBorder="0" applyAlignment="0" applyProtection="0"/>
    <xf numFmtId="0" fontId="1" fillId="0" borderId="0"/>
    <xf numFmtId="9" fontId="7" fillId="0" borderId="0" applyFont="0" applyFill="0" applyBorder="0" applyAlignment="0" applyProtection="0"/>
  </cellStyleXfs>
  <cellXfs count="1651">
    <xf numFmtId="0" fontId="0" fillId="0" borderId="0" xfId="0"/>
    <xf numFmtId="0" fontId="0" fillId="0" borderId="0" xfId="0" applyAlignment="1">
      <alignment horizontal="center"/>
    </xf>
    <xf numFmtId="0" fontId="9" fillId="0" borderId="0" xfId="0" applyFont="1"/>
    <xf numFmtId="0" fontId="0" fillId="0" borderId="0" xfId="0" applyAlignment="1"/>
    <xf numFmtId="3" fontId="9" fillId="0" borderId="0" xfId="0" applyNumberFormat="1" applyFont="1" applyAlignment="1">
      <alignment horizontal="center"/>
    </xf>
    <xf numFmtId="0" fontId="16" fillId="0" borderId="0" xfId="0" applyFont="1" applyFill="1"/>
    <xf numFmtId="0" fontId="16" fillId="0" borderId="0" xfId="0" applyFont="1"/>
    <xf numFmtId="0" fontId="16" fillId="0" borderId="0" xfId="0" applyFont="1" applyFill="1" applyBorder="1"/>
    <xf numFmtId="0" fontId="13" fillId="0" borderId="0" xfId="247" applyFont="1" applyFill="1" applyAlignment="1">
      <alignment horizontal="center"/>
    </xf>
    <xf numFmtId="0" fontId="19" fillId="0" borderId="0" xfId="247" applyFont="1" applyFill="1"/>
    <xf numFmtId="9" fontId="13" fillId="0" borderId="0" xfId="247" quotePrefix="1" applyNumberFormat="1" applyFont="1" applyFill="1" applyAlignment="1">
      <alignment horizontal="center"/>
    </xf>
    <xf numFmtId="0" fontId="21" fillId="0" borderId="0" xfId="247" applyFont="1" applyAlignment="1">
      <alignment horizontal="right"/>
    </xf>
    <xf numFmtId="0" fontId="21" fillId="0" borderId="0" xfId="247" applyFont="1" applyAlignment="1">
      <alignment horizontal="center"/>
    </xf>
    <xf numFmtId="0" fontId="21" fillId="0" borderId="0" xfId="247" applyFont="1" applyFill="1" applyAlignment="1">
      <alignment horizontal="center"/>
    </xf>
    <xf numFmtId="9" fontId="13" fillId="0" borderId="0" xfId="247" applyNumberFormat="1" applyFont="1" applyFill="1" applyAlignment="1">
      <alignment horizontal="center"/>
    </xf>
    <xf numFmtId="0" fontId="22" fillId="0" borderId="0" xfId="0" applyFont="1" applyAlignment="1">
      <alignment horizontal="right"/>
    </xf>
    <xf numFmtId="0" fontId="0" fillId="0" borderId="0" xfId="0" applyBorder="1"/>
    <xf numFmtId="0" fontId="9" fillId="0" borderId="0" xfId="0" applyFont="1" applyFill="1" applyAlignment="1"/>
    <xf numFmtId="0" fontId="0" fillId="0" borderId="0" xfId="0" applyAlignment="1">
      <alignment wrapText="1"/>
    </xf>
    <xf numFmtId="0" fontId="8" fillId="0" borderId="0" xfId="0" applyFont="1"/>
    <xf numFmtId="0" fontId="9" fillId="0" borderId="0" xfId="0" applyFont="1" applyFill="1"/>
    <xf numFmtId="0" fontId="0" fillId="0" borderId="0" xfId="0" applyFill="1"/>
    <xf numFmtId="0" fontId="0" fillId="0" borderId="0" xfId="0" applyFont="1" applyFill="1" applyAlignment="1">
      <alignment horizontal="center"/>
    </xf>
    <xf numFmtId="0" fontId="19" fillId="0" borderId="0" xfId="0" applyFont="1" applyFill="1"/>
    <xf numFmtId="0" fontId="22" fillId="0" borderId="0" xfId="0" applyFont="1"/>
    <xf numFmtId="0" fontId="8" fillId="0" borderId="0" xfId="0" applyFont="1" applyAlignment="1">
      <alignment wrapText="1"/>
    </xf>
    <xf numFmtId="0" fontId="16" fillId="0" borderId="0" xfId="247" applyFont="1" applyFill="1"/>
    <xf numFmtId="41" fontId="16" fillId="0" borderId="0" xfId="247" applyNumberFormat="1" applyFont="1" applyFill="1"/>
    <xf numFmtId="0" fontId="19" fillId="0" borderId="0" xfId="247" applyFont="1" applyFill="1" applyAlignment="1">
      <alignment horizontal="left"/>
    </xf>
    <xf numFmtId="3" fontId="16" fillId="0" borderId="0" xfId="0" applyNumberFormat="1" applyFont="1" applyFill="1"/>
    <xf numFmtId="0" fontId="9" fillId="0" borderId="0" xfId="247" applyFont="1" applyFill="1" applyAlignment="1">
      <alignment horizontal="right"/>
    </xf>
    <xf numFmtId="40" fontId="16" fillId="0" borderId="0" xfId="0" applyNumberFormat="1" applyFont="1" applyFill="1"/>
    <xf numFmtId="0" fontId="16" fillId="0" borderId="0" xfId="247" applyFont="1"/>
    <xf numFmtId="0" fontId="9" fillId="0" borderId="0" xfId="247" applyFont="1" applyFill="1"/>
    <xf numFmtId="0" fontId="13" fillId="0" borderId="0" xfId="247" applyFont="1" applyFill="1" applyBorder="1" applyAlignment="1">
      <alignment horizontal="left"/>
    </xf>
    <xf numFmtId="0" fontId="13" fillId="0" borderId="0" xfId="247" applyFont="1" applyFill="1" applyBorder="1"/>
    <xf numFmtId="0" fontId="16" fillId="0" borderId="0" xfId="247" applyFont="1" applyAlignment="1">
      <alignment horizontal="left"/>
    </xf>
    <xf numFmtId="0" fontId="10" fillId="0" borderId="0" xfId="247" applyFont="1" applyFill="1" applyAlignment="1">
      <alignment horizontal="center"/>
    </xf>
    <xf numFmtId="37" fontId="9" fillId="0" borderId="0" xfId="0" applyNumberFormat="1" applyFont="1" applyFill="1" applyAlignment="1"/>
    <xf numFmtId="0" fontId="30" fillId="0" borderId="0" xfId="0" applyFont="1" applyFill="1"/>
    <xf numFmtId="0" fontId="9" fillId="0" borderId="0" xfId="0" applyFont="1" applyAlignment="1">
      <alignment horizontal="center"/>
    </xf>
    <xf numFmtId="37" fontId="9" fillId="0" borderId="0" xfId="0" applyNumberFormat="1" applyFont="1" applyFill="1" applyAlignment="1">
      <alignment horizontal="center"/>
    </xf>
    <xf numFmtId="10" fontId="9" fillId="0" borderId="0" xfId="0" applyNumberFormat="1" applyFont="1" applyFill="1" applyBorder="1" applyAlignment="1"/>
    <xf numFmtId="176" fontId="9" fillId="0" borderId="0" xfId="0" applyNumberFormat="1" applyFont="1" applyFill="1"/>
    <xf numFmtId="3" fontId="23" fillId="0" borderId="0" xfId="0" applyNumberFormat="1" applyFont="1" applyFill="1" applyAlignment="1"/>
    <xf numFmtId="41" fontId="31" fillId="0" borderId="0" xfId="247" applyNumberFormat="1" applyFont="1" applyFill="1" applyBorder="1"/>
    <xf numFmtId="0" fontId="32" fillId="0" borderId="0" xfId="247" applyFont="1" applyFill="1" applyAlignment="1">
      <alignment horizontal="left"/>
    </xf>
    <xf numFmtId="0" fontId="30" fillId="0" borderId="0" xfId="247" applyFont="1" applyFill="1"/>
    <xf numFmtId="0" fontId="30" fillId="0" borderId="0" xfId="247" applyFont="1" applyFill="1" applyAlignment="1">
      <alignment horizontal="left"/>
    </xf>
    <xf numFmtId="0" fontId="33" fillId="0" borderId="0" xfId="247" applyFont="1" applyFill="1" applyBorder="1"/>
    <xf numFmtId="0" fontId="30" fillId="0" borderId="0" xfId="247" applyFont="1" applyFill="1" applyAlignment="1">
      <alignment horizontal="center"/>
    </xf>
    <xf numFmtId="0" fontId="14" fillId="0" borderId="0" xfId="247" applyFont="1" applyFill="1" applyAlignment="1">
      <alignment horizontal="center"/>
    </xf>
    <xf numFmtId="173" fontId="30" fillId="0" borderId="0" xfId="247" applyNumberFormat="1" applyFont="1" applyFill="1"/>
    <xf numFmtId="173" fontId="30" fillId="0" borderId="0" xfId="247" applyNumberFormat="1" applyFont="1" applyFill="1" applyBorder="1" applyAlignment="1">
      <alignment vertical="top"/>
    </xf>
    <xf numFmtId="41" fontId="30" fillId="0" borderId="13" xfId="247" applyNumberFormat="1" applyFont="1" applyFill="1" applyBorder="1"/>
    <xf numFmtId="173" fontId="10" fillId="0" borderId="0" xfId="86" applyNumberFormat="1" applyFont="1" applyFill="1" applyAlignment="1">
      <alignment horizontal="center"/>
    </xf>
    <xf numFmtId="0" fontId="9" fillId="0" borderId="0" xfId="247" applyFont="1" applyFill="1" applyAlignment="1">
      <alignment horizontal="center"/>
    </xf>
    <xf numFmtId="0" fontId="34" fillId="0" borderId="0" xfId="247" applyFont="1" applyFill="1" applyBorder="1"/>
    <xf numFmtId="0" fontId="14" fillId="0" borderId="0" xfId="247" applyFont="1" applyAlignment="1">
      <alignment horizontal="center"/>
    </xf>
    <xf numFmtId="41" fontId="9" fillId="0" borderId="13" xfId="247" applyNumberFormat="1" applyFont="1" applyFill="1" applyBorder="1"/>
    <xf numFmtId="38" fontId="16" fillId="0" borderId="0" xfId="0" applyNumberFormat="1" applyFont="1" applyFill="1" applyBorder="1" applyAlignment="1"/>
    <xf numFmtId="3" fontId="16" fillId="0" borderId="0" xfId="0" applyNumberFormat="1" applyFont="1"/>
    <xf numFmtId="40" fontId="16" fillId="0" borderId="0" xfId="0" applyNumberFormat="1" applyFont="1"/>
    <xf numFmtId="43" fontId="9" fillId="0" borderId="0" xfId="247" applyNumberFormat="1" applyFont="1" applyFill="1"/>
    <xf numFmtId="3" fontId="9" fillId="0" borderId="0" xfId="0" applyNumberFormat="1" applyFont="1" applyFill="1" applyAlignment="1"/>
    <xf numFmtId="41" fontId="31" fillId="25" borderId="0" xfId="247" applyNumberFormat="1" applyFont="1" applyFill="1" applyBorder="1"/>
    <xf numFmtId="0" fontId="11" fillId="0" borderId="0" xfId="209" applyFont="1" applyFill="1" applyBorder="1" applyAlignment="1">
      <alignment horizontal="left"/>
    </xf>
    <xf numFmtId="0" fontId="16" fillId="0" borderId="0" xfId="209" applyFont="1" applyBorder="1" applyAlignment="1"/>
    <xf numFmtId="0" fontId="16" fillId="0" borderId="0" xfId="209" applyFont="1" applyBorder="1" applyAlignment="1">
      <alignment horizontal="center"/>
    </xf>
    <xf numFmtId="0" fontId="16" fillId="0" borderId="0" xfId="209" applyFont="1" applyBorder="1"/>
    <xf numFmtId="0" fontId="16" fillId="0" borderId="0" xfId="209" applyNumberFormat="1" applyFont="1" applyFill="1" applyBorder="1" applyAlignment="1">
      <alignment horizontal="left"/>
    </xf>
    <xf numFmtId="0" fontId="13" fillId="0" borderId="0" xfId="209" applyNumberFormat="1" applyFont="1" applyFill="1" applyBorder="1" applyAlignment="1">
      <alignment horizontal="left"/>
    </xf>
    <xf numFmtId="0" fontId="16" fillId="0" borderId="0" xfId="209" applyFont="1" applyFill="1" applyBorder="1" applyAlignment="1">
      <alignment horizontal="center" wrapText="1"/>
    </xf>
    <xf numFmtId="3" fontId="16" fillId="0" borderId="0" xfId="209" applyNumberFormat="1" applyFont="1" applyFill="1" applyBorder="1" applyAlignment="1"/>
    <xf numFmtId="0" fontId="16" fillId="0" borderId="0" xfId="209" applyFont="1" applyFill="1" applyBorder="1" applyAlignment="1"/>
    <xf numFmtId="0" fontId="16" fillId="0" borderId="0" xfId="209" applyNumberFormat="1" applyFont="1" applyFill="1" applyBorder="1" applyAlignment="1">
      <alignment horizontal="center"/>
    </xf>
    <xf numFmtId="173" fontId="16" fillId="0" borderId="0" xfId="89" applyNumberFormat="1" applyFont="1" applyFill="1" applyBorder="1" applyAlignment="1">
      <alignment horizontal="right"/>
    </xf>
    <xf numFmtId="0" fontId="12" fillId="0" borderId="0" xfId="209" applyFont="1" applyFill="1" applyBorder="1" applyAlignment="1"/>
    <xf numFmtId="0" fontId="16" fillId="0" borderId="0" xfId="209" applyFont="1" applyFill="1" applyBorder="1"/>
    <xf numFmtId="0" fontId="13" fillId="0" borderId="0" xfId="209" applyFont="1" applyBorder="1" applyAlignment="1"/>
    <xf numFmtId="0" fontId="13" fillId="0" borderId="0" xfId="209" applyNumberFormat="1" applyFont="1" applyFill="1" applyBorder="1" applyAlignment="1">
      <alignment horizontal="center"/>
    </xf>
    <xf numFmtId="164" fontId="16" fillId="0" borderId="0" xfId="266" applyNumberFormat="1" applyFont="1" applyFill="1" applyBorder="1" applyAlignment="1"/>
    <xf numFmtId="173" fontId="16" fillId="0" borderId="0" xfId="89" applyNumberFormat="1" applyFont="1" applyFill="1" applyBorder="1" applyAlignment="1">
      <alignment horizontal="left"/>
    </xf>
    <xf numFmtId="0" fontId="16" fillId="0" borderId="0" xfId="209" applyFont="1" applyFill="1" applyBorder="1" applyAlignment="1">
      <alignment horizontal="center"/>
    </xf>
    <xf numFmtId="3" fontId="16" fillId="0" borderId="0" xfId="209" applyNumberFormat="1" applyFont="1" applyFill="1" applyBorder="1" applyAlignment="1">
      <alignment horizontal="right"/>
    </xf>
    <xf numFmtId="3" fontId="16" fillId="0" borderId="0" xfId="209" applyNumberFormat="1" applyFont="1" applyFill="1" applyBorder="1" applyAlignment="1">
      <alignment horizontal="center"/>
    </xf>
    <xf numFmtId="0" fontId="0" fillId="0" borderId="0" xfId="0" applyAlignment="1">
      <alignment horizontal="center" wrapText="1"/>
    </xf>
    <xf numFmtId="0" fontId="36" fillId="0" borderId="0" xfId="0" applyFont="1" applyFill="1"/>
    <xf numFmtId="0" fontId="23" fillId="0" borderId="0" xfId="247" applyFont="1" applyFill="1"/>
    <xf numFmtId="0" fontId="21" fillId="0" borderId="0" xfId="209" applyFont="1" applyFill="1" applyBorder="1" applyAlignment="1">
      <alignment horizontal="left"/>
    </xf>
    <xf numFmtId="0" fontId="13" fillId="0" borderId="0" xfId="209" applyFont="1" applyFill="1" applyBorder="1" applyAlignment="1">
      <alignment horizontal="left"/>
    </xf>
    <xf numFmtId="0" fontId="13" fillId="0" borderId="0" xfId="209" applyFont="1" applyFill="1" applyBorder="1" applyAlignment="1">
      <alignment horizontal="center"/>
    </xf>
    <xf numFmtId="173" fontId="16" fillId="0" borderId="14" xfId="89" applyNumberFormat="1" applyFont="1" applyFill="1" applyBorder="1" applyAlignment="1">
      <alignment horizontal="right"/>
    </xf>
    <xf numFmtId="0" fontId="13" fillId="0" borderId="0" xfId="209" applyFont="1" applyBorder="1" applyAlignment="1">
      <alignment horizontal="center"/>
    </xf>
    <xf numFmtId="0" fontId="16" fillId="0" borderId="0" xfId="247" applyFont="1" applyAlignment="1">
      <alignment horizontal="center"/>
    </xf>
    <xf numFmtId="0" fontId="9" fillId="0" borderId="0" xfId="209" applyFont="1" applyBorder="1" applyAlignment="1">
      <alignment horizontal="center"/>
    </xf>
    <xf numFmtId="49" fontId="9" fillId="0" borderId="0" xfId="247" applyNumberFormat="1" applyFont="1" applyAlignment="1">
      <alignment horizontal="center"/>
    </xf>
    <xf numFmtId="0" fontId="0" fillId="0" borderId="0" xfId="0" applyAlignment="1">
      <alignment horizontal="right"/>
    </xf>
    <xf numFmtId="0" fontId="13" fillId="0" borderId="0" xfId="209" applyFont="1" applyBorder="1"/>
    <xf numFmtId="3" fontId="14" fillId="0" borderId="0" xfId="0" applyNumberFormat="1" applyFont="1" applyFill="1" applyAlignment="1">
      <alignment horizontal="center"/>
    </xf>
    <xf numFmtId="0" fontId="8" fillId="0" borderId="0" xfId="0" applyFont="1" applyFill="1"/>
    <xf numFmtId="0" fontId="16" fillId="0" borderId="0" xfId="0" applyFont="1" applyBorder="1"/>
    <xf numFmtId="0" fontId="16" fillId="0" borderId="0" xfId="0" applyFont="1" applyAlignment="1">
      <alignment horizontal="center"/>
    </xf>
    <xf numFmtId="173" fontId="16" fillId="0" borderId="0" xfId="86" applyNumberFormat="1" applyFont="1"/>
    <xf numFmtId="10" fontId="16" fillId="0" borderId="0" xfId="0" applyNumberFormat="1" applyFont="1"/>
    <xf numFmtId="10" fontId="0" fillId="0" borderId="0" xfId="0" applyNumberFormat="1"/>
    <xf numFmtId="184" fontId="22" fillId="0" borderId="0" xfId="256" applyNumberFormat="1" applyFont="1"/>
    <xf numFmtId="0" fontId="75" fillId="0" borderId="0" xfId="256" applyFont="1"/>
    <xf numFmtId="184" fontId="22" fillId="0" borderId="0" xfId="256" applyNumberFormat="1" applyFont="1" applyAlignment="1">
      <alignment horizontal="center"/>
    </xf>
    <xf numFmtId="0" fontId="16" fillId="0" borderId="0" xfId="256" applyFont="1"/>
    <xf numFmtId="0" fontId="22" fillId="0" borderId="0" xfId="256" applyFont="1"/>
    <xf numFmtId="0" fontId="22" fillId="0" borderId="0" xfId="256" applyNumberFormat="1" applyFont="1" applyAlignment="1">
      <alignment horizontal="center"/>
    </xf>
    <xf numFmtId="0" fontId="22" fillId="0" borderId="0" xfId="256" applyNumberFormat="1" applyFont="1"/>
    <xf numFmtId="0" fontId="22" fillId="0" borderId="0" xfId="256" applyNumberFormat="1" applyFont="1" applyBorder="1" applyAlignment="1">
      <alignment horizontal="center"/>
    </xf>
    <xf numFmtId="184" fontId="76" fillId="0" borderId="0" xfId="256" applyNumberFormat="1" applyFont="1"/>
    <xf numFmtId="0" fontId="77" fillId="0" borderId="0" xfId="256" applyFont="1"/>
    <xf numFmtId="173" fontId="75" fillId="0" borderId="0" xfId="256" applyNumberFormat="1" applyFont="1"/>
    <xf numFmtId="0" fontId="78" fillId="0" borderId="0" xfId="256" applyFont="1"/>
    <xf numFmtId="184" fontId="16" fillId="0" borderId="0" xfId="256" applyNumberFormat="1" applyFont="1"/>
    <xf numFmtId="0" fontId="79" fillId="0" borderId="0" xfId="253" applyFont="1" applyFill="1" applyAlignment="1">
      <alignment horizontal="center"/>
    </xf>
    <xf numFmtId="0" fontId="79" fillId="0" borderId="0" xfId="253" applyFont="1" applyFill="1" applyAlignment="1">
      <alignment horizontal="left" indent="2"/>
    </xf>
    <xf numFmtId="39" fontId="79" fillId="0" borderId="0" xfId="253" applyNumberFormat="1" applyFont="1" applyFill="1"/>
    <xf numFmtId="0" fontId="75" fillId="0" borderId="0" xfId="256" applyFont="1" applyFill="1"/>
    <xf numFmtId="0" fontId="16" fillId="0" borderId="0" xfId="256" applyNumberFormat="1" applyFont="1" applyAlignment="1">
      <alignment horizontal="center"/>
    </xf>
    <xf numFmtId="0" fontId="16" fillId="0" borderId="0" xfId="256" applyNumberFormat="1" applyFont="1"/>
    <xf numFmtId="43" fontId="75" fillId="0" borderId="0" xfId="86" applyFont="1"/>
    <xf numFmtId="173" fontId="80" fillId="0" borderId="0" xfId="256" applyNumberFormat="1" applyFont="1"/>
    <xf numFmtId="184" fontId="9" fillId="0" borderId="0" xfId="256" applyNumberFormat="1" applyFont="1"/>
    <xf numFmtId="43" fontId="80" fillId="0" borderId="0" xfId="86" applyFont="1"/>
    <xf numFmtId="43" fontId="9" fillId="0" borderId="0" xfId="86" applyFont="1"/>
    <xf numFmtId="173" fontId="80" fillId="0" borderId="0" xfId="86" applyNumberFormat="1" applyFont="1"/>
    <xf numFmtId="173" fontId="9" fillId="0" borderId="0" xfId="86" applyNumberFormat="1" applyFont="1"/>
    <xf numFmtId="173" fontId="75" fillId="0" borderId="14" xfId="86" applyNumberFormat="1" applyFont="1" applyBorder="1"/>
    <xf numFmtId="0" fontId="75" fillId="0" borderId="0" xfId="0" applyFont="1"/>
    <xf numFmtId="173" fontId="75" fillId="0" borderId="0" xfId="256" applyNumberFormat="1" applyFont="1" applyBorder="1"/>
    <xf numFmtId="10" fontId="9" fillId="0" borderId="14" xfId="0" applyNumberFormat="1" applyFont="1" applyFill="1" applyBorder="1" applyAlignment="1"/>
    <xf numFmtId="0" fontId="83" fillId="0" borderId="0" xfId="256" applyFont="1" applyAlignment="1">
      <alignment horizontal="center"/>
    </xf>
    <xf numFmtId="173" fontId="0" fillId="0" borderId="0" xfId="86" applyNumberFormat="1" applyFont="1" applyFill="1"/>
    <xf numFmtId="173" fontId="0" fillId="0" borderId="0" xfId="0" applyNumberFormat="1"/>
    <xf numFmtId="41" fontId="16" fillId="0" borderId="0" xfId="247" applyNumberFormat="1" applyFont="1"/>
    <xf numFmtId="173" fontId="16" fillId="0" borderId="0" xfId="86" applyNumberFormat="1" applyFont="1" applyFill="1"/>
    <xf numFmtId="0" fontId="13" fillId="0" borderId="0" xfId="247" applyFont="1" applyAlignment="1">
      <alignment horizontal="center" wrapText="1"/>
    </xf>
    <xf numFmtId="38" fontId="16" fillId="0" borderId="0" xfId="0" applyNumberFormat="1" applyFont="1" applyFill="1" applyBorder="1" applyAlignment="1">
      <alignment horizontal="center"/>
    </xf>
    <xf numFmtId="0" fontId="6" fillId="0" borderId="0" xfId="247" applyFill="1" applyAlignment="1">
      <alignment horizontal="left"/>
    </xf>
    <xf numFmtId="0" fontId="84" fillId="0" borderId="0" xfId="247" applyFont="1" applyFill="1" applyBorder="1" applyAlignment="1">
      <alignment horizontal="left"/>
    </xf>
    <xf numFmtId="0" fontId="6" fillId="0" borderId="0" xfId="247" applyFill="1"/>
    <xf numFmtId="0" fontId="84" fillId="0" borderId="0" xfId="247" applyFont="1" applyFill="1" applyBorder="1"/>
    <xf numFmtId="0" fontId="73" fillId="0" borderId="0" xfId="247" applyFont="1" applyFill="1" applyAlignment="1">
      <alignment horizontal="center"/>
    </xf>
    <xf numFmtId="38" fontId="16" fillId="0" borderId="0" xfId="0" applyNumberFormat="1" applyFont="1" applyFill="1" applyBorder="1"/>
    <xf numFmtId="0" fontId="85" fillId="0" borderId="0" xfId="209" applyNumberFormat="1" applyFont="1" applyFill="1" applyBorder="1" applyAlignment="1">
      <alignment horizontal="left"/>
    </xf>
    <xf numFmtId="38" fontId="16" fillId="0" borderId="0" xfId="209" applyNumberFormat="1" applyFont="1" applyFill="1" applyBorder="1" applyAlignment="1">
      <alignment horizontal="right"/>
    </xf>
    <xf numFmtId="0" fontId="16" fillId="0" borderId="0" xfId="209" applyNumberFormat="1" applyFont="1" applyFill="1" applyBorder="1" applyAlignment="1">
      <alignment horizontal="right"/>
    </xf>
    <xf numFmtId="38" fontId="16" fillId="0" borderId="0" xfId="0" applyNumberFormat="1" applyFont="1" applyBorder="1" applyAlignment="1">
      <alignment horizontal="right"/>
    </xf>
    <xf numFmtId="0" fontId="8" fillId="0" borderId="0" xfId="0" applyFont="1" applyAlignment="1">
      <alignment horizontal="center"/>
    </xf>
    <xf numFmtId="0" fontId="8" fillId="0" borderId="0" xfId="209" applyFont="1" applyBorder="1" applyAlignment="1">
      <alignment horizontal="center"/>
    </xf>
    <xf numFmtId="38" fontId="12" fillId="0" borderId="0" xfId="209" applyNumberFormat="1" applyFont="1" applyFill="1" applyBorder="1" applyAlignment="1"/>
    <xf numFmtId="173" fontId="12" fillId="0" borderId="14" xfId="86" applyNumberFormat="1" applyFont="1" applyFill="1" applyBorder="1" applyAlignment="1"/>
    <xf numFmtId="0" fontId="16" fillId="0" borderId="14" xfId="209" applyNumberFormat="1" applyFont="1" applyFill="1" applyBorder="1" applyAlignment="1">
      <alignment horizontal="left"/>
    </xf>
    <xf numFmtId="0" fontId="22" fillId="0" borderId="0" xfId="256" applyNumberFormat="1" applyFont="1" applyFill="1" applyAlignment="1">
      <alignment horizontal="center"/>
    </xf>
    <xf numFmtId="0" fontId="16" fillId="0" borderId="0" xfId="256" applyNumberFormat="1" applyFont="1" applyFill="1"/>
    <xf numFmtId="41" fontId="75" fillId="0" borderId="0" xfId="256" applyNumberFormat="1" applyFont="1" applyFill="1"/>
    <xf numFmtId="41" fontId="75" fillId="0" borderId="0" xfId="256" applyNumberFormat="1" applyFont="1" applyFill="1" applyBorder="1"/>
    <xf numFmtId="173" fontId="75" fillId="0" borderId="0" xfId="256" applyNumberFormat="1" applyFont="1" applyFill="1"/>
    <xf numFmtId="10" fontId="75" fillId="0" borderId="11" xfId="264" applyNumberFormat="1" applyFont="1" applyFill="1" applyBorder="1"/>
    <xf numFmtId="173" fontId="75" fillId="0" borderId="0" xfId="86" applyNumberFormat="1" applyFont="1" applyFill="1"/>
    <xf numFmtId="3" fontId="8" fillId="0" borderId="0" xfId="0" applyNumberFormat="1" applyFont="1" applyAlignment="1">
      <alignment horizontal="center"/>
    </xf>
    <xf numFmtId="10" fontId="16" fillId="0" borderId="0" xfId="264" applyNumberFormat="1" applyFont="1" applyAlignment="1">
      <alignment horizontal="right"/>
    </xf>
    <xf numFmtId="0" fontId="13" fillId="0" borderId="0" xfId="0" applyFont="1" applyAlignment="1">
      <alignment horizontal="center" wrapText="1"/>
    </xf>
    <xf numFmtId="0" fontId="13" fillId="0" borderId="0" xfId="0" applyFont="1" applyAlignment="1">
      <alignment wrapText="1"/>
    </xf>
    <xf numFmtId="10" fontId="12" fillId="0" borderId="0" xfId="264" applyNumberFormat="1" applyFont="1"/>
    <xf numFmtId="174" fontId="6" fillId="0" borderId="0" xfId="115" applyNumberFormat="1"/>
    <xf numFmtId="0" fontId="8" fillId="0" borderId="0" xfId="0" applyFont="1" applyAlignment="1">
      <alignment horizontal="right"/>
    </xf>
    <xf numFmtId="0" fontId="16" fillId="0" borderId="0" xfId="0" applyFont="1" applyAlignment="1">
      <alignment horizontal="centerContinuous"/>
    </xf>
    <xf numFmtId="0" fontId="21" fillId="0" borderId="0" xfId="0" applyFont="1" applyAlignment="1">
      <alignment horizontal="center"/>
    </xf>
    <xf numFmtId="0" fontId="13"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21" fillId="0" borderId="0" xfId="0" applyFont="1" applyAlignment="1">
      <alignment horizontal="left"/>
    </xf>
    <xf numFmtId="0" fontId="8" fillId="0" borderId="0" xfId="0" applyFont="1" applyAlignment="1">
      <alignment horizontal="left"/>
    </xf>
    <xf numFmtId="0" fontId="21"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9" fillId="0" borderId="0" xfId="247" applyFont="1"/>
    <xf numFmtId="0" fontId="6" fillId="0" borderId="0" xfId="247" applyAlignment="1">
      <alignment horizontal="left"/>
    </xf>
    <xf numFmtId="0" fontId="6" fillId="0" borderId="0" xfId="247"/>
    <xf numFmtId="0" fontId="19" fillId="0" borderId="0" xfId="247" applyFont="1" applyAlignment="1">
      <alignment horizontal="left"/>
    </xf>
    <xf numFmtId="173" fontId="16" fillId="0" borderId="0" xfId="209" applyNumberFormat="1" applyFont="1" applyFill="1" applyBorder="1"/>
    <xf numFmtId="0" fontId="16" fillId="25" borderId="0" xfId="209" applyNumberFormat="1" applyFont="1" applyFill="1" applyBorder="1" applyAlignment="1">
      <alignment horizontal="center"/>
    </xf>
    <xf numFmtId="0" fontId="13" fillId="25" borderId="0" xfId="209" applyNumberFormat="1" applyFont="1" applyFill="1" applyBorder="1" applyAlignment="1">
      <alignment horizontal="left"/>
    </xf>
    <xf numFmtId="0" fontId="12" fillId="25" borderId="0" xfId="209" applyFont="1" applyFill="1" applyBorder="1" applyAlignment="1"/>
    <xf numFmtId="0" fontId="16" fillId="25" borderId="0" xfId="209" applyNumberFormat="1" applyFont="1" applyFill="1" applyBorder="1" applyAlignment="1">
      <alignment horizontal="left"/>
    </xf>
    <xf numFmtId="0" fontId="16" fillId="25" borderId="0" xfId="209" applyFont="1" applyFill="1" applyBorder="1"/>
    <xf numFmtId="173" fontId="16" fillId="25" borderId="0" xfId="89" applyNumberFormat="1" applyFont="1" applyFill="1" applyBorder="1" applyAlignment="1">
      <alignment horizontal="right"/>
    </xf>
    <xf numFmtId="0" fontId="0" fillId="25" borderId="0" xfId="0" applyFill="1" applyBorder="1"/>
    <xf numFmtId="164" fontId="16" fillId="25" borderId="0" xfId="266" applyNumberFormat="1" applyFont="1" applyFill="1" applyBorder="1" applyAlignment="1"/>
    <xf numFmtId="173" fontId="16" fillId="25" borderId="0" xfId="89" applyNumberFormat="1" applyFont="1" applyFill="1" applyBorder="1" applyAlignment="1">
      <alignment horizontal="left"/>
    </xf>
    <xf numFmtId="0" fontId="19" fillId="0" borderId="0" xfId="247" applyFont="1" applyAlignment="1"/>
    <xf numFmtId="0" fontId="17" fillId="0" borderId="0" xfId="0" applyFont="1" applyBorder="1"/>
    <xf numFmtId="0" fontId="21" fillId="0" borderId="0" xfId="209" applyFont="1" applyFill="1" applyBorder="1" applyAlignment="1">
      <alignment horizontal="center"/>
    </xf>
    <xf numFmtId="0" fontId="17" fillId="0" borderId="0" xfId="209" applyNumberFormat="1" applyFont="1" applyFill="1" applyBorder="1" applyAlignment="1">
      <alignment horizontal="left"/>
    </xf>
    <xf numFmtId="173" fontId="17" fillId="0" borderId="0" xfId="89" applyNumberFormat="1" applyFont="1" applyFill="1" applyBorder="1" applyAlignment="1">
      <alignment horizontal="right"/>
    </xf>
    <xf numFmtId="0" fontId="18" fillId="0" borderId="0" xfId="247" applyFont="1" applyFill="1"/>
    <xf numFmtId="0" fontId="87" fillId="0" borderId="0" xfId="247" applyFont="1" applyFill="1"/>
    <xf numFmtId="9" fontId="14" fillId="0" borderId="0" xfId="247" quotePrefix="1" applyNumberFormat="1" applyFont="1" applyFill="1" applyAlignment="1">
      <alignment horizontal="center"/>
    </xf>
    <xf numFmtId="0" fontId="8" fillId="0" borderId="0" xfId="256" applyNumberFormat="1" applyFont="1" applyAlignment="1">
      <alignment horizontal="center"/>
    </xf>
    <xf numFmtId="0" fontId="8" fillId="0" borderId="0" xfId="256" applyNumberFormat="1" applyFont="1"/>
    <xf numFmtId="184" fontId="8" fillId="0" borderId="0" xfId="256" applyNumberFormat="1" applyFont="1" applyAlignment="1">
      <alignment horizontal="center"/>
    </xf>
    <xf numFmtId="0" fontId="13" fillId="0" borderId="0" xfId="256" applyFont="1"/>
    <xf numFmtId="0" fontId="8" fillId="0" borderId="11" xfId="256" applyNumberFormat="1" applyFont="1" applyBorder="1" applyAlignment="1">
      <alignment horizontal="center"/>
    </xf>
    <xf numFmtId="184" fontId="8" fillId="0" borderId="11" xfId="256" applyNumberFormat="1" applyFont="1" applyBorder="1" applyAlignment="1">
      <alignment horizontal="center"/>
    </xf>
    <xf numFmtId="0" fontId="78" fillId="0" borderId="11" xfId="256" applyFont="1" applyBorder="1" applyAlignment="1">
      <alignment horizontal="center"/>
    </xf>
    <xf numFmtId="0" fontId="13" fillId="0" borderId="0" xfId="256" applyFont="1" applyAlignment="1">
      <alignment horizontal="center"/>
    </xf>
    <xf numFmtId="0" fontId="88" fillId="0" borderId="0" xfId="256" applyFont="1" applyFill="1"/>
    <xf numFmtId="6" fontId="16" fillId="0" borderId="0" xfId="0" applyNumberFormat="1" applyFont="1" applyAlignment="1">
      <alignment horizontal="right"/>
    </xf>
    <xf numFmtId="0" fontId="13" fillId="0" borderId="0" xfId="0" applyFont="1" applyAlignment="1">
      <alignment horizontal="left"/>
    </xf>
    <xf numFmtId="173" fontId="90" fillId="0" borderId="0" xfId="86" applyNumberFormat="1" applyFont="1" applyFill="1"/>
    <xf numFmtId="173" fontId="75" fillId="0" borderId="0" xfId="86" applyNumberFormat="1" applyFont="1" applyFill="1" applyBorder="1"/>
    <xf numFmtId="9" fontId="75" fillId="0" borderId="0" xfId="264" applyFont="1" applyFill="1"/>
    <xf numFmtId="41" fontId="91" fillId="26" borderId="0" xfId="256" applyNumberFormat="1" applyFont="1" applyFill="1"/>
    <xf numFmtId="41" fontId="91" fillId="26" borderId="0" xfId="256" applyNumberFormat="1" applyFont="1" applyFill="1" applyBorder="1"/>
    <xf numFmtId="10" fontId="75" fillId="0" borderId="0" xfId="264" applyNumberFormat="1" applyFont="1" applyFill="1"/>
    <xf numFmtId="10" fontId="75" fillId="0" borderId="0" xfId="264" applyNumberFormat="1" applyFont="1" applyFill="1" applyBorder="1"/>
    <xf numFmtId="0" fontId="95" fillId="0" borderId="0" xfId="0" applyFont="1" applyBorder="1" applyAlignment="1">
      <alignment horizontal="center"/>
    </xf>
    <xf numFmtId="0" fontId="94" fillId="0" borderId="0" xfId="247" applyFont="1" applyFill="1" applyAlignment="1">
      <alignment horizontal="center"/>
    </xf>
    <xf numFmtId="164" fontId="75" fillId="0" borderId="0" xfId="264" applyNumberFormat="1" applyFont="1" applyFill="1"/>
    <xf numFmtId="0" fontId="9" fillId="0" borderId="0" xfId="256" applyFont="1"/>
    <xf numFmtId="173" fontId="9" fillId="0" borderId="0" xfId="256" applyNumberFormat="1" applyFont="1"/>
    <xf numFmtId="164" fontId="0" fillId="0" borderId="0" xfId="264" applyNumberFormat="1" applyFont="1"/>
    <xf numFmtId="173" fontId="98" fillId="0" borderId="0" xfId="256" applyNumberFormat="1" applyFont="1" applyFill="1" applyBorder="1"/>
    <xf numFmtId="0" fontId="27" fillId="0" borderId="0" xfId="247" applyFont="1" applyFill="1" applyAlignment="1">
      <alignment horizontal="center"/>
    </xf>
    <xf numFmtId="37" fontId="16" fillId="0" borderId="0" xfId="209" applyNumberFormat="1" applyFont="1" applyFill="1" applyBorder="1" applyAlignment="1">
      <alignment horizontal="right"/>
    </xf>
    <xf numFmtId="37" fontId="12" fillId="0" borderId="0" xfId="209" applyNumberFormat="1" applyFont="1" applyFill="1" applyBorder="1" applyAlignment="1"/>
    <xf numFmtId="0" fontId="101" fillId="0" borderId="0" xfId="247" applyFont="1" applyFill="1" applyBorder="1"/>
    <xf numFmtId="0" fontId="16" fillId="0" borderId="0" xfId="0" applyFont="1" applyAlignment="1"/>
    <xf numFmtId="0" fontId="16" fillId="0" borderId="0" xfId="0" applyFont="1" applyAlignment="1">
      <alignment horizontal="center" wrapText="1"/>
    </xf>
    <xf numFmtId="0" fontId="36" fillId="0" borderId="0" xfId="0" applyFont="1" applyAlignment="1">
      <alignment wrapText="1"/>
    </xf>
    <xf numFmtId="0" fontId="36" fillId="0" borderId="0" xfId="0" applyFont="1"/>
    <xf numFmtId="0" fontId="36" fillId="0" borderId="0" xfId="0" applyFont="1" applyAlignment="1">
      <alignment horizontal="center" wrapText="1"/>
    </xf>
    <xf numFmtId="173" fontId="0" fillId="0" borderId="14" xfId="0" applyNumberFormat="1" applyBorder="1"/>
    <xf numFmtId="9" fontId="0" fillId="0" borderId="0" xfId="264" applyFont="1"/>
    <xf numFmtId="0" fontId="103" fillId="0" borderId="0" xfId="0" applyFont="1" applyAlignment="1">
      <alignment horizontal="center" wrapText="1"/>
    </xf>
    <xf numFmtId="0" fontId="22" fillId="0" borderId="0" xfId="253" applyFont="1" applyFill="1" applyAlignment="1">
      <alignment horizontal="center"/>
    </xf>
    <xf numFmtId="0" fontId="36" fillId="0" borderId="0" xfId="247" applyFont="1" applyFill="1" applyAlignment="1">
      <alignment horizontal="left"/>
    </xf>
    <xf numFmtId="0" fontId="36" fillId="0" borderId="0" xfId="247" applyFont="1" applyFill="1"/>
    <xf numFmtId="0" fontId="105" fillId="0" borderId="0" xfId="247" applyFont="1" applyFill="1" applyAlignment="1">
      <alignment horizontal="center"/>
    </xf>
    <xf numFmtId="0" fontId="106" fillId="0" borderId="0" xfId="247" applyFont="1" applyFill="1" applyBorder="1"/>
    <xf numFmtId="188" fontId="107" fillId="0" borderId="0" xfId="209" applyNumberFormat="1" applyFont="1" applyFill="1" applyBorder="1" applyAlignment="1">
      <alignment horizontal="center"/>
    </xf>
    <xf numFmtId="38" fontId="0" fillId="0" borderId="0" xfId="0" applyNumberFormat="1" applyBorder="1"/>
    <xf numFmtId="0" fontId="6" fillId="0" borderId="0" xfId="0" applyFont="1"/>
    <xf numFmtId="3" fontId="17" fillId="0" borderId="0" xfId="209" applyNumberFormat="1" applyFont="1" applyBorder="1" applyAlignment="1">
      <alignment horizontal="center"/>
    </xf>
    <xf numFmtId="0" fontId="108" fillId="0" borderId="0" xfId="256" applyFont="1" applyFill="1"/>
    <xf numFmtId="41" fontId="108" fillId="0" borderId="0" xfId="256" applyNumberFormat="1" applyFont="1" applyFill="1"/>
    <xf numFmtId="41" fontId="108" fillId="0" borderId="0" xfId="256" applyNumberFormat="1" applyFont="1" applyFill="1" applyBorder="1"/>
    <xf numFmtId="0" fontId="0" fillId="0" borderId="0" xfId="0" applyFill="1" applyAlignment="1"/>
    <xf numFmtId="0" fontId="16" fillId="0" borderId="0" xfId="0" applyFont="1" applyFill="1" applyAlignment="1">
      <alignment horizontal="centerContinuous"/>
    </xf>
    <xf numFmtId="43" fontId="9" fillId="0" borderId="0" xfId="86" applyFont="1" applyAlignment="1">
      <alignment horizontal="center"/>
    </xf>
    <xf numFmtId="43" fontId="9" fillId="0" borderId="0" xfId="86" applyFont="1" applyBorder="1" applyAlignment="1">
      <alignment horizontal="center"/>
    </xf>
    <xf numFmtId="43" fontId="8" fillId="0" borderId="0" xfId="86" applyFont="1" applyBorder="1" applyAlignment="1">
      <alignment horizontal="center"/>
    </xf>
    <xf numFmtId="43" fontId="8" fillId="0" borderId="0" xfId="86" applyFont="1" applyAlignment="1">
      <alignment horizontal="center"/>
    </xf>
    <xf numFmtId="43" fontId="19" fillId="0" borderId="0" xfId="86" applyFont="1"/>
    <xf numFmtId="0" fontId="10" fillId="0" borderId="0" xfId="247" applyFont="1" applyFill="1" applyBorder="1" applyAlignment="1">
      <alignment horizontal="center"/>
    </xf>
    <xf numFmtId="0" fontId="9" fillId="0" borderId="0" xfId="0" applyFont="1" applyBorder="1" applyAlignment="1">
      <alignment horizontal="center"/>
    </xf>
    <xf numFmtId="0" fontId="8" fillId="0" borderId="0" xfId="256" applyNumberFormat="1" applyFont="1" applyBorder="1" applyAlignment="1">
      <alignment horizontal="center"/>
    </xf>
    <xf numFmtId="0" fontId="16" fillId="0" borderId="0" xfId="256" applyFont="1" applyBorder="1"/>
    <xf numFmtId="0" fontId="8" fillId="0" borderId="11" xfId="256" applyNumberFormat="1" applyFont="1" applyBorder="1"/>
    <xf numFmtId="184" fontId="8" fillId="0" borderId="0" xfId="256" applyNumberFormat="1" applyFont="1" applyBorder="1" applyAlignment="1">
      <alignment horizontal="center"/>
    </xf>
    <xf numFmtId="0" fontId="16" fillId="0" borderId="0" xfId="256" applyFont="1" applyFill="1"/>
    <xf numFmtId="0" fontId="75" fillId="0" borderId="0" xfId="256" applyFont="1" applyAlignment="1">
      <alignment horizontal="center"/>
    </xf>
    <xf numFmtId="173" fontId="82" fillId="0" borderId="0" xfId="256" applyNumberFormat="1" applyFont="1" applyFill="1" applyBorder="1"/>
    <xf numFmtId="0" fontId="22" fillId="0" borderId="0" xfId="256" applyFont="1" applyFill="1"/>
    <xf numFmtId="3" fontId="82" fillId="0" borderId="0" xfId="256" applyNumberFormat="1" applyFont="1" applyFill="1" applyBorder="1"/>
    <xf numFmtId="173" fontId="82" fillId="0" borderId="0" xfId="256" applyNumberFormat="1" applyFont="1" applyFill="1"/>
    <xf numFmtId="0" fontId="0" fillId="0" borderId="0" xfId="0" applyBorder="1" applyAlignment="1">
      <alignment horizontal="center"/>
    </xf>
    <xf numFmtId="0" fontId="75" fillId="0" borderId="0" xfId="256" applyFont="1" applyFill="1" applyBorder="1"/>
    <xf numFmtId="173" fontId="75" fillId="0" borderId="0" xfId="256" applyNumberFormat="1" applyFont="1" applyFill="1" applyBorder="1"/>
    <xf numFmtId="0" fontId="26" fillId="0" borderId="0" xfId="247" applyFont="1" applyFill="1" applyBorder="1"/>
    <xf numFmtId="38" fontId="30" fillId="0" borderId="13" xfId="247" applyNumberFormat="1" applyFont="1" applyFill="1" applyBorder="1" applyAlignment="1">
      <alignment horizontal="right"/>
    </xf>
    <xf numFmtId="0" fontId="36" fillId="0" borderId="0" xfId="247" applyFont="1" applyAlignment="1">
      <alignment horizontal="center"/>
    </xf>
    <xf numFmtId="0" fontId="79" fillId="0" borderId="0" xfId="256" applyNumberFormat="1" applyFont="1" applyFill="1"/>
    <xf numFmtId="10" fontId="7" fillId="0" borderId="0" xfId="257" applyNumberFormat="1" applyProtection="1"/>
    <xf numFmtId="10" fontId="7" fillId="0" borderId="15" xfId="257" applyNumberFormat="1" applyBorder="1" applyProtection="1"/>
    <xf numFmtId="194" fontId="7" fillId="0" borderId="0" xfId="257" applyNumberFormat="1" applyProtection="1"/>
    <xf numFmtId="176" fontId="7" fillId="0" borderId="0" xfId="257" applyNumberFormat="1" applyProtection="1"/>
    <xf numFmtId="10" fontId="121" fillId="0" borderId="0" xfId="257" applyNumberFormat="1" applyFont="1" applyProtection="1"/>
    <xf numFmtId="173" fontId="124" fillId="0" borderId="0" xfId="0" applyNumberFormat="1" applyFont="1"/>
    <xf numFmtId="0" fontId="111" fillId="0" borderId="0" xfId="209" applyFont="1" applyFill="1" applyBorder="1" applyAlignment="1">
      <alignment horizontal="center"/>
    </xf>
    <xf numFmtId="0" fontId="103" fillId="0" borderId="0" xfId="209" applyFont="1" applyFill="1" applyBorder="1" applyAlignment="1">
      <alignment horizontal="left"/>
    </xf>
    <xf numFmtId="0" fontId="36" fillId="0" borderId="0" xfId="209" applyNumberFormat="1" applyFont="1" applyFill="1" applyBorder="1" applyAlignment="1">
      <alignment horizontal="center"/>
    </xf>
    <xf numFmtId="0" fontId="36" fillId="0" borderId="0" xfId="209" applyNumberFormat="1" applyFont="1" applyFill="1" applyBorder="1" applyAlignment="1">
      <alignment horizontal="left"/>
    </xf>
    <xf numFmtId="0" fontId="36" fillId="0" borderId="0" xfId="209" applyFont="1" applyFill="1" applyBorder="1" applyAlignment="1"/>
    <xf numFmtId="0" fontId="36" fillId="0" borderId="0" xfId="209" applyFont="1" applyFill="1" applyBorder="1" applyAlignment="1">
      <alignment horizontal="center"/>
    </xf>
    <xf numFmtId="0" fontId="36" fillId="0" borderId="0" xfId="209" applyFont="1" applyBorder="1"/>
    <xf numFmtId="0" fontId="36" fillId="0" borderId="0" xfId="209" applyFont="1" applyFill="1" applyBorder="1"/>
    <xf numFmtId="3" fontId="36" fillId="0" borderId="0" xfId="209" applyNumberFormat="1" applyFont="1" applyFill="1" applyBorder="1" applyAlignment="1"/>
    <xf numFmtId="0" fontId="111" fillId="0" borderId="0" xfId="209" applyFont="1" applyFill="1" applyBorder="1"/>
    <xf numFmtId="38" fontId="16" fillId="0" borderId="0" xfId="0" applyNumberFormat="1" applyFont="1" applyBorder="1"/>
    <xf numFmtId="0" fontId="36" fillId="0" borderId="0" xfId="247" applyFont="1" applyFill="1" applyBorder="1"/>
    <xf numFmtId="0" fontId="123" fillId="0" borderId="0" xfId="247" applyFont="1" applyFill="1" applyAlignment="1">
      <alignment horizontal="center"/>
    </xf>
    <xf numFmtId="0" fontId="16" fillId="0" borderId="0" xfId="247" applyFont="1" applyFill="1" applyBorder="1"/>
    <xf numFmtId="0" fontId="103" fillId="0" borderId="0" xfId="0" applyFont="1" applyAlignment="1">
      <alignment horizontal="center"/>
    </xf>
    <xf numFmtId="41" fontId="0" fillId="0" borderId="0" xfId="0" applyNumberFormat="1" applyFill="1"/>
    <xf numFmtId="37" fontId="125" fillId="0" borderId="13" xfId="0" applyNumberFormat="1" applyFont="1" applyBorder="1"/>
    <xf numFmtId="0" fontId="30" fillId="0" borderId="0" xfId="0" applyFont="1" applyFill="1" applyAlignment="1">
      <alignment horizontal="left"/>
    </xf>
    <xf numFmtId="0" fontId="30" fillId="0" borderId="0" xfId="0" applyFont="1" applyFill="1" applyBorder="1"/>
    <xf numFmtId="41" fontId="30" fillId="0" borderId="11" xfId="247" applyNumberFormat="1" applyFont="1" applyFill="1" applyBorder="1"/>
    <xf numFmtId="3" fontId="23" fillId="31" borderId="0" xfId="0" applyNumberFormat="1" applyFont="1" applyFill="1" applyAlignment="1"/>
    <xf numFmtId="3" fontId="23" fillId="31" borderId="0" xfId="0" applyNumberFormat="1" applyFont="1" applyFill="1" applyBorder="1" applyAlignment="1"/>
    <xf numFmtId="173" fontId="82" fillId="31" borderId="0" xfId="256" applyNumberFormat="1" applyFont="1" applyFill="1" applyBorder="1"/>
    <xf numFmtId="0" fontId="75" fillId="31" borderId="0" xfId="256" applyFont="1" applyFill="1" applyAlignment="1">
      <alignment horizontal="center"/>
    </xf>
    <xf numFmtId="174" fontId="0" fillId="0" borderId="0" xfId="115" applyNumberFormat="1" applyFont="1"/>
    <xf numFmtId="0" fontId="16" fillId="0" borderId="0" xfId="247" applyFont="1" applyFill="1" applyAlignment="1">
      <alignment horizontal="center"/>
    </xf>
    <xf numFmtId="3" fontId="36" fillId="31" borderId="0" xfId="209" applyNumberFormat="1" applyFont="1" applyFill="1" applyBorder="1" applyAlignment="1"/>
    <xf numFmtId="0" fontId="0" fillId="31" borderId="0" xfId="0" applyFill="1"/>
    <xf numFmtId="0" fontId="9" fillId="31" borderId="0" xfId="0" applyFont="1" applyFill="1"/>
    <xf numFmtId="10" fontId="16" fillId="0" borderId="0" xfId="264" applyNumberFormat="1" applyFont="1" applyFill="1"/>
    <xf numFmtId="174" fontId="0" fillId="0" borderId="0" xfId="0" applyNumberFormat="1" applyBorder="1"/>
    <xf numFmtId="6" fontId="16" fillId="0" borderId="0" xfId="0" applyNumberFormat="1" applyFont="1" applyBorder="1" applyAlignment="1">
      <alignment horizontal="right"/>
    </xf>
    <xf numFmtId="10" fontId="75" fillId="31" borderId="0" xfId="264" applyNumberFormat="1" applyFont="1" applyFill="1"/>
    <xf numFmtId="0" fontId="78" fillId="0" borderId="0" xfId="256" applyFont="1" applyFill="1"/>
    <xf numFmtId="41" fontId="75" fillId="31" borderId="0" xfId="256" applyNumberFormat="1" applyFont="1" applyFill="1"/>
    <xf numFmtId="0" fontId="75" fillId="31" borderId="0" xfId="256" applyFont="1" applyFill="1"/>
    <xf numFmtId="10" fontId="75" fillId="31" borderId="0" xfId="264" applyNumberFormat="1" applyFont="1" applyFill="1" applyBorder="1"/>
    <xf numFmtId="41" fontId="91" fillId="32" borderId="0" xfId="256" applyNumberFormat="1" applyFont="1" applyFill="1"/>
    <xf numFmtId="41" fontId="91" fillId="32" borderId="0" xfId="256" applyNumberFormat="1" applyFont="1" applyFill="1" applyBorder="1"/>
    <xf numFmtId="10" fontId="75" fillId="31" borderId="11" xfId="264" applyNumberFormat="1" applyFont="1" applyFill="1" applyBorder="1"/>
    <xf numFmtId="173" fontId="75" fillId="31" borderId="0" xfId="86" applyNumberFormat="1" applyFont="1" applyFill="1"/>
    <xf numFmtId="41" fontId="75" fillId="31" borderId="0" xfId="256" applyNumberFormat="1" applyFont="1" applyFill="1" applyBorder="1"/>
    <xf numFmtId="10" fontId="7" fillId="0" borderId="0" xfId="257" applyNumberFormat="1" applyBorder="1" applyProtection="1"/>
    <xf numFmtId="172" fontId="7" fillId="0" borderId="0" xfId="255" applyFont="1" applyAlignment="1" applyProtection="1"/>
    <xf numFmtId="172" fontId="9" fillId="0" borderId="0" xfId="255" applyFont="1" applyAlignment="1" applyProtection="1"/>
    <xf numFmtId="0" fontId="0" fillId="0" borderId="0" xfId="0" applyBorder="1" applyProtection="1"/>
    <xf numFmtId="0" fontId="10" fillId="0" borderId="0" xfId="255" applyNumberFormat="1" applyFont="1" applyBorder="1" applyAlignment="1" applyProtection="1">
      <alignment horizontal="left"/>
    </xf>
    <xf numFmtId="14" fontId="10" fillId="0" borderId="0" xfId="255" applyNumberFormat="1" applyFont="1" applyBorder="1" applyAlignment="1" applyProtection="1"/>
    <xf numFmtId="172" fontId="10" fillId="0" borderId="0" xfId="255" applyFont="1" applyFill="1" applyAlignment="1" applyProtection="1"/>
    <xf numFmtId="172" fontId="9" fillId="0" borderId="0" xfId="255" applyFont="1" applyFill="1" applyAlignment="1" applyProtection="1"/>
    <xf numFmtId="0" fontId="9" fillId="0" borderId="0" xfId="255" applyNumberFormat="1" applyFont="1" applyAlignment="1" applyProtection="1"/>
    <xf numFmtId="0" fontId="9" fillId="0" borderId="0" xfId="0" applyNumberFormat="1" applyFont="1" applyAlignment="1" applyProtection="1">
      <alignment horizontal="center"/>
    </xf>
    <xf numFmtId="0" fontId="9" fillId="0" borderId="0" xfId="0" applyFont="1" applyAlignment="1" applyProtection="1"/>
    <xf numFmtId="0" fontId="9" fillId="0" borderId="0" xfId="255" applyNumberFormat="1" applyFont="1" applyProtection="1"/>
    <xf numFmtId="0" fontId="9" fillId="0" borderId="0" xfId="255" applyNumberFormat="1" applyFont="1" applyAlignment="1" applyProtection="1">
      <alignment horizontal="right"/>
    </xf>
    <xf numFmtId="0" fontId="23" fillId="0" borderId="0" xfId="86" applyNumberFormat="1" applyFont="1" applyFill="1" applyAlignment="1" applyProtection="1"/>
    <xf numFmtId="3" fontId="9" fillId="0" borderId="0" xfId="255" applyNumberFormat="1" applyFont="1" applyAlignment="1" applyProtection="1"/>
    <xf numFmtId="3" fontId="9" fillId="0" borderId="0" xfId="0" applyNumberFormat="1" applyFont="1" applyAlignment="1" applyProtection="1">
      <alignment horizontal="center"/>
    </xf>
    <xf numFmtId="0" fontId="7" fillId="0" borderId="0" xfId="255" applyNumberFormat="1" applyFont="1" applyAlignment="1" applyProtection="1">
      <alignment horizontal="center"/>
    </xf>
    <xf numFmtId="0" fontId="9" fillId="0" borderId="0" xfId="255" applyNumberFormat="1" applyFont="1" applyAlignment="1" applyProtection="1">
      <alignment horizontal="center"/>
    </xf>
    <xf numFmtId="49" fontId="9" fillId="0" borderId="0" xfId="255" applyNumberFormat="1" applyFont="1" applyAlignment="1" applyProtection="1">
      <alignment horizontal="center"/>
    </xf>
    <xf numFmtId="0" fontId="0" fillId="0" borderId="0" xfId="0" applyProtection="1"/>
    <xf numFmtId="3" fontId="25" fillId="0" borderId="0" xfId="0" applyNumberFormat="1" applyFont="1" applyAlignment="1" applyProtection="1">
      <alignment horizontal="center"/>
    </xf>
    <xf numFmtId="49" fontId="9" fillId="0" borderId="0" xfId="255" applyNumberFormat="1" applyFont="1" applyProtection="1"/>
    <xf numFmtId="39" fontId="9" fillId="0" borderId="0" xfId="86" applyNumberFormat="1" applyFont="1" applyAlignment="1" applyProtection="1">
      <alignment horizontal="center"/>
    </xf>
    <xf numFmtId="0" fontId="7" fillId="0" borderId="6" xfId="255" applyNumberFormat="1" applyFont="1" applyBorder="1" applyAlignment="1" applyProtection="1">
      <alignment horizontal="center"/>
    </xf>
    <xf numFmtId="0" fontId="9" fillId="0" borderId="0" xfId="255" applyNumberFormat="1" applyFont="1" applyBorder="1" applyAlignment="1" applyProtection="1">
      <alignment horizontal="center"/>
    </xf>
    <xf numFmtId="0" fontId="9" fillId="0" borderId="6" xfId="255" applyNumberFormat="1" applyFont="1" applyBorder="1" applyAlignment="1" applyProtection="1">
      <alignment horizontal="center"/>
    </xf>
    <xf numFmtId="0" fontId="9" fillId="0" borderId="0" xfId="0" applyNumberFormat="1" applyFont="1" applyProtection="1"/>
    <xf numFmtId="0" fontId="9" fillId="0" borderId="0" xfId="255" applyNumberFormat="1" applyFont="1" applyFill="1" applyProtection="1"/>
    <xf numFmtId="3" fontId="9" fillId="0" borderId="0" xfId="255" applyNumberFormat="1" applyFont="1" applyProtection="1"/>
    <xf numFmtId="0" fontId="9" fillId="0" borderId="0" xfId="255" applyNumberFormat="1" applyFont="1" applyAlignment="1" applyProtection="1">
      <alignment horizontal="left"/>
    </xf>
    <xf numFmtId="170" fontId="9" fillId="0" borderId="0" xfId="255" applyNumberFormat="1" applyFont="1" applyProtection="1"/>
    <xf numFmtId="3" fontId="9" fillId="0" borderId="0" xfId="255" applyNumberFormat="1" applyFont="1" applyFill="1" applyAlignment="1" applyProtection="1">
      <alignment horizontal="left"/>
    </xf>
    <xf numFmtId="3" fontId="9" fillId="0" borderId="0" xfId="255" applyNumberFormat="1" applyFont="1" applyFill="1" applyAlignment="1" applyProtection="1"/>
    <xf numFmtId="0" fontId="9" fillId="0" borderId="6" xfId="255" applyNumberFormat="1" applyFont="1" applyBorder="1" applyAlignment="1" applyProtection="1">
      <alignment horizontal="centerContinuous"/>
    </xf>
    <xf numFmtId="0" fontId="9" fillId="0" borderId="0" xfId="0" applyNumberFormat="1" applyFont="1" applyAlignment="1" applyProtection="1"/>
    <xf numFmtId="41" fontId="9" fillId="0" borderId="0" xfId="255" applyNumberFormat="1" applyFont="1" applyFill="1" applyBorder="1" applyAlignment="1" applyProtection="1"/>
    <xf numFmtId="3" fontId="9" fillId="0" borderId="0" xfId="255" applyNumberFormat="1" applyFont="1" applyFill="1" applyAlignment="1" applyProtection="1">
      <alignment horizontal="center"/>
    </xf>
    <xf numFmtId="165" fontId="9" fillId="0" borderId="0" xfId="255" applyNumberFormat="1" applyFont="1" applyFill="1" applyAlignment="1" applyProtection="1">
      <alignment horizontal="right"/>
    </xf>
    <xf numFmtId="42" fontId="9" fillId="0" borderId="0" xfId="255" applyNumberFormat="1" applyFont="1" applyBorder="1" applyAlignment="1" applyProtection="1"/>
    <xf numFmtId="172" fontId="9" fillId="0" borderId="11" xfId="255" applyFont="1" applyBorder="1" applyAlignment="1" applyProtection="1"/>
    <xf numFmtId="172" fontId="9" fillId="0" borderId="0" xfId="255" applyFont="1" applyBorder="1" applyAlignment="1" applyProtection="1"/>
    <xf numFmtId="0" fontId="7" fillId="0" borderId="0" xfId="255" applyNumberFormat="1" applyFont="1" applyFill="1" applyAlignment="1" applyProtection="1">
      <alignment horizontal="center"/>
    </xf>
    <xf numFmtId="0" fontId="9" fillId="0" borderId="0" xfId="255" applyNumberFormat="1" applyFont="1" applyFill="1" applyAlignment="1" applyProtection="1">
      <alignment horizontal="center"/>
    </xf>
    <xf numFmtId="0" fontId="9" fillId="0" borderId="0" xfId="0" applyNumberFormat="1" applyFont="1" applyAlignment="1" applyProtection="1">
      <alignment wrapText="1"/>
    </xf>
    <xf numFmtId="3" fontId="9" fillId="0" borderId="0" xfId="255" applyNumberFormat="1" applyFont="1" applyAlignment="1" applyProtection="1">
      <alignment horizontal="left"/>
    </xf>
    <xf numFmtId="3" fontId="9" fillId="0" borderId="0" xfId="255" applyNumberFormat="1" applyFont="1" applyAlignment="1" applyProtection="1">
      <alignment horizontal="center"/>
    </xf>
    <xf numFmtId="174" fontId="9" fillId="0" borderId="14" xfId="255" applyNumberFormat="1" applyFont="1" applyBorder="1" applyAlignment="1" applyProtection="1"/>
    <xf numFmtId="42" fontId="9" fillId="0" borderId="0" xfId="255" applyNumberFormat="1" applyFont="1" applyAlignment="1" applyProtection="1"/>
    <xf numFmtId="172" fontId="81" fillId="0" borderId="0" xfId="255" applyFont="1" applyAlignment="1" applyProtection="1">
      <alignment horizontal="center" wrapText="1"/>
    </xf>
    <xf numFmtId="0" fontId="9" fillId="0" borderId="0" xfId="0" applyNumberFormat="1" applyFont="1" applyFill="1" applyAlignment="1" applyProtection="1"/>
    <xf numFmtId="41" fontId="9" fillId="0" borderId="0" xfId="255" applyNumberFormat="1" applyFont="1" applyFill="1" applyAlignment="1" applyProtection="1"/>
    <xf numFmtId="42" fontId="9" fillId="0" borderId="0" xfId="255" applyNumberFormat="1" applyFont="1" applyFill="1" applyAlignment="1" applyProtection="1"/>
    <xf numFmtId="43" fontId="9" fillId="0" borderId="0" xfId="86" applyFont="1" applyProtection="1"/>
    <xf numFmtId="0" fontId="9" fillId="0" borderId="0" xfId="255" applyNumberFormat="1" applyFont="1" applyFill="1" applyAlignment="1" applyProtection="1"/>
    <xf numFmtId="171" fontId="9" fillId="0" borderId="0" xfId="255" applyNumberFormat="1" applyFont="1" applyProtection="1"/>
    <xf numFmtId="10" fontId="9" fillId="0" borderId="0" xfId="255" applyNumberFormat="1" applyFont="1" applyAlignment="1" applyProtection="1"/>
    <xf numFmtId="10" fontId="9" fillId="0" borderId="0" xfId="255" applyNumberFormat="1" applyFont="1" applyProtection="1"/>
    <xf numFmtId="0" fontId="36" fillId="0" borderId="0" xfId="0" applyFont="1" applyProtection="1"/>
    <xf numFmtId="10" fontId="9" fillId="0" borderId="0" xfId="264" applyNumberFormat="1" applyFont="1" applyAlignment="1" applyProtection="1"/>
    <xf numFmtId="185" fontId="9" fillId="0" borderId="0" xfId="255" applyNumberFormat="1" applyFont="1" applyProtection="1"/>
    <xf numFmtId="0" fontId="9" fillId="0" borderId="0" xfId="0" applyNumberFormat="1" applyFont="1" applyFill="1" applyProtection="1"/>
    <xf numFmtId="43" fontId="9" fillId="0" borderId="0" xfId="86" applyFont="1" applyAlignment="1" applyProtection="1"/>
    <xf numFmtId="41" fontId="9" fillId="0" borderId="0" xfId="255" applyNumberFormat="1" applyFont="1" applyAlignment="1" applyProtection="1">
      <alignment horizontal="center"/>
    </xf>
    <xf numFmtId="41" fontId="9" fillId="0" borderId="14" xfId="255" applyNumberFormat="1" applyFont="1" applyBorder="1" applyAlignment="1" applyProtection="1">
      <alignment horizontal="center"/>
    </xf>
    <xf numFmtId="41" fontId="9" fillId="0" borderId="0" xfId="255" applyNumberFormat="1" applyFont="1" applyFill="1" applyAlignment="1" applyProtection="1">
      <alignment horizontal="right"/>
    </xf>
    <xf numFmtId="42" fontId="9" fillId="0" borderId="0" xfId="264" applyNumberFormat="1" applyFont="1" applyAlignment="1" applyProtection="1"/>
    <xf numFmtId="43" fontId="9" fillId="0" borderId="0" xfId="255" applyNumberFormat="1" applyFont="1" applyFill="1" applyAlignment="1" applyProtection="1">
      <alignment horizontal="right"/>
    </xf>
    <xf numFmtId="172" fontId="9" fillId="0" borderId="0" xfId="255" applyFont="1" applyFill="1" applyAlignment="1" applyProtection="1">
      <alignment horizontal="right"/>
    </xf>
    <xf numFmtId="0" fontId="36" fillId="0" borderId="0" xfId="0" applyFont="1" applyAlignment="1" applyProtection="1">
      <alignment horizontal="center"/>
    </xf>
    <xf numFmtId="49" fontId="9" fillId="0" borderId="0" xfId="255" applyNumberFormat="1" applyFont="1" applyAlignment="1" applyProtection="1">
      <alignment horizontal="left"/>
    </xf>
    <xf numFmtId="0" fontId="7" fillId="0" borderId="0" xfId="255" applyNumberFormat="1" applyFont="1" applyAlignment="1" applyProtection="1">
      <alignment horizontal="center" vertical="center"/>
    </xf>
    <xf numFmtId="3" fontId="10" fillId="0" borderId="0" xfId="255" applyNumberFormat="1" applyFont="1" applyAlignment="1" applyProtection="1">
      <alignment horizontal="center"/>
    </xf>
    <xf numFmtId="172" fontId="10" fillId="0" borderId="0" xfId="255" applyFont="1" applyAlignment="1" applyProtection="1">
      <alignment horizontal="center"/>
    </xf>
    <xf numFmtId="49" fontId="10" fillId="0" borderId="0" xfId="255" applyNumberFormat="1" applyFont="1" applyAlignment="1" applyProtection="1">
      <alignment horizontal="center"/>
    </xf>
    <xf numFmtId="0" fontId="14" fillId="0" borderId="0" xfId="255" applyNumberFormat="1" applyFont="1" applyAlignment="1" applyProtection="1">
      <alignment horizontal="center"/>
    </xf>
    <xf numFmtId="172" fontId="14" fillId="0" borderId="0" xfId="255" applyFont="1" applyBorder="1" applyAlignment="1" applyProtection="1">
      <alignment horizontal="center"/>
    </xf>
    <xf numFmtId="3" fontId="10" fillId="0" borderId="0" xfId="255" applyNumberFormat="1" applyFont="1" applyAlignment="1" applyProtection="1"/>
    <xf numFmtId="3" fontId="9" fillId="0" borderId="0" xfId="255" applyNumberFormat="1" applyFont="1" applyFill="1" applyBorder="1" applyAlignment="1" applyProtection="1">
      <alignment horizontal="center"/>
    </xf>
    <xf numFmtId="0" fontId="9" fillId="0" borderId="0" xfId="255" applyNumberFormat="1" applyFont="1" applyBorder="1" applyAlignment="1" applyProtection="1"/>
    <xf numFmtId="173" fontId="9" fillId="0" borderId="0" xfId="86" applyNumberFormat="1" applyFont="1" applyFill="1" applyAlignment="1" applyProtection="1"/>
    <xf numFmtId="0" fontId="9" fillId="0" borderId="0" xfId="255" applyNumberFormat="1" applyFont="1" applyBorder="1" applyAlignment="1" applyProtection="1">
      <alignment vertical="center"/>
    </xf>
    <xf numFmtId="3" fontId="9" fillId="0" borderId="0" xfId="255" applyNumberFormat="1" applyFont="1" applyFill="1" applyAlignment="1" applyProtection="1">
      <alignment vertical="center" wrapText="1"/>
    </xf>
    <xf numFmtId="3" fontId="9" fillId="0" borderId="0" xfId="255" applyNumberFormat="1" applyFont="1" applyFill="1" applyAlignment="1" applyProtection="1">
      <alignment horizontal="center" vertical="center"/>
    </xf>
    <xf numFmtId="3" fontId="9" fillId="0" borderId="0" xfId="255" applyNumberFormat="1" applyFont="1" applyFill="1" applyAlignment="1" applyProtection="1">
      <alignment vertical="center"/>
    </xf>
    <xf numFmtId="41" fontId="9" fillId="0" borderId="0" xfId="255" applyNumberFormat="1" applyFont="1" applyFill="1" applyAlignment="1" applyProtection="1">
      <alignment vertical="center"/>
    </xf>
    <xf numFmtId="0" fontId="9" fillId="0" borderId="0" xfId="255" applyNumberFormat="1" applyFont="1" applyFill="1" applyBorder="1" applyAlignment="1" applyProtection="1"/>
    <xf numFmtId="41" fontId="9" fillId="0" borderId="6" xfId="255" applyNumberFormat="1" applyFont="1" applyFill="1" applyBorder="1" applyAlignment="1" applyProtection="1"/>
    <xf numFmtId="0" fontId="36" fillId="0" borderId="0" xfId="0" applyFont="1" applyAlignment="1" applyProtection="1"/>
    <xf numFmtId="178" fontId="10" fillId="0" borderId="0" xfId="255" applyNumberFormat="1" applyFont="1" applyFill="1" applyAlignment="1" applyProtection="1">
      <alignment horizontal="right"/>
    </xf>
    <xf numFmtId="181" fontId="10" fillId="0" borderId="0" xfId="86" applyNumberFormat="1" applyFont="1" applyFill="1" applyAlignment="1" applyProtection="1"/>
    <xf numFmtId="178" fontId="9" fillId="0" borderId="0" xfId="255" applyNumberFormat="1" applyFont="1" applyFill="1" applyAlignment="1" applyProtection="1"/>
    <xf numFmtId="183" fontId="9" fillId="0" borderId="0" xfId="255" applyNumberFormat="1" applyFont="1" applyFill="1" applyAlignment="1" applyProtection="1"/>
    <xf numFmtId="182" fontId="9" fillId="0" borderId="0" xfId="255" applyNumberFormat="1" applyFont="1" applyFill="1" applyAlignment="1" applyProtection="1"/>
    <xf numFmtId="165" fontId="9" fillId="0" borderId="0" xfId="255" applyNumberFormat="1" applyFont="1" applyFill="1" applyAlignment="1" applyProtection="1"/>
    <xf numFmtId="0" fontId="9" fillId="0" borderId="0" xfId="255" applyNumberFormat="1" applyFont="1" applyFill="1" applyAlignment="1" applyProtection="1">
      <alignment horizontal="center" vertical="center"/>
    </xf>
    <xf numFmtId="164" fontId="9" fillId="0" borderId="0" xfId="255" applyNumberFormat="1" applyFont="1" applyFill="1" applyAlignment="1" applyProtection="1">
      <alignment horizontal="center"/>
    </xf>
    <xf numFmtId="177" fontId="9" fillId="0" borderId="0" xfId="86" applyNumberFormat="1" applyFont="1" applyFill="1" applyAlignment="1" applyProtection="1">
      <alignment horizontal="center"/>
    </xf>
    <xf numFmtId="41" fontId="9" fillId="0" borderId="0" xfId="255" applyNumberFormat="1" applyFont="1" applyAlignment="1" applyProtection="1"/>
    <xf numFmtId="165" fontId="9" fillId="0" borderId="0" xfId="255" applyNumberFormat="1" applyFont="1" applyAlignment="1" applyProtection="1"/>
    <xf numFmtId="3" fontId="10" fillId="0" borderId="0" xfId="255" applyNumberFormat="1" applyFont="1" applyFill="1" applyAlignment="1" applyProtection="1">
      <alignment horizontal="right"/>
    </xf>
    <xf numFmtId="181" fontId="9" fillId="0" borderId="0" xfId="86" applyNumberFormat="1" applyFont="1" applyFill="1" applyAlignment="1" applyProtection="1"/>
    <xf numFmtId="0" fontId="0" fillId="0" borderId="0" xfId="0" applyFill="1" applyProtection="1"/>
    <xf numFmtId="164" fontId="9" fillId="0" borderId="0" xfId="255" applyNumberFormat="1" applyFont="1" applyFill="1" applyAlignment="1" applyProtection="1">
      <alignment horizontal="left"/>
    </xf>
    <xf numFmtId="0" fontId="36" fillId="0" borderId="0" xfId="0" applyFont="1" applyFill="1" applyProtection="1"/>
    <xf numFmtId="10" fontId="9" fillId="0" borderId="0" xfId="264" applyNumberFormat="1" applyFont="1" applyFill="1" applyAlignment="1" applyProtection="1"/>
    <xf numFmtId="175" fontId="9" fillId="0" borderId="0" xfId="255" applyNumberFormat="1" applyFont="1" applyFill="1" applyAlignment="1" applyProtection="1"/>
    <xf numFmtId="41" fontId="9" fillId="0" borderId="0" xfId="255" applyNumberFormat="1" applyFont="1" applyAlignment="1" applyProtection="1">
      <alignment horizontal="center" vertical="center"/>
    </xf>
    <xf numFmtId="41" fontId="9" fillId="0" borderId="6" xfId="255" applyNumberFormat="1" applyFont="1" applyBorder="1" applyAlignment="1" applyProtection="1"/>
    <xf numFmtId="164" fontId="9" fillId="0" borderId="0" xfId="255" applyNumberFormat="1" applyFont="1" applyAlignment="1" applyProtection="1">
      <alignment horizontal="center"/>
    </xf>
    <xf numFmtId="0" fontId="93" fillId="0" borderId="0" xfId="255" applyNumberFormat="1" applyFont="1" applyAlignment="1" applyProtection="1">
      <alignment horizontal="center"/>
    </xf>
    <xf numFmtId="3" fontId="9" fillId="0" borderId="0" xfId="255" applyNumberFormat="1" applyFont="1" applyFill="1" applyAlignment="1" applyProtection="1">
      <alignment horizontal="right"/>
    </xf>
    <xf numFmtId="172" fontId="9" fillId="0" borderId="0" xfId="255" applyFont="1" applyAlignment="1" applyProtection="1">
      <alignment horizontal="center"/>
    </xf>
    <xf numFmtId="172" fontId="9" fillId="0" borderId="0" xfId="255" applyFont="1" applyFill="1" applyAlignment="1" applyProtection="1">
      <alignment horizontal="center"/>
    </xf>
    <xf numFmtId="0" fontId="0" fillId="0" borderId="0" xfId="0" applyAlignment="1" applyProtection="1">
      <alignment horizontal="center"/>
    </xf>
    <xf numFmtId="49" fontId="9" fillId="0" borderId="0" xfId="255" applyNumberFormat="1" applyFont="1" applyFill="1" applyAlignment="1" applyProtection="1">
      <alignment horizontal="center"/>
    </xf>
    <xf numFmtId="0" fontId="10" fillId="0" borderId="0" xfId="255" applyNumberFormat="1" applyFont="1" applyFill="1" applyAlignment="1" applyProtection="1">
      <alignment horizontal="center"/>
    </xf>
    <xf numFmtId="172" fontId="10" fillId="0" borderId="0" xfId="255" applyFont="1" applyAlignment="1" applyProtection="1"/>
    <xf numFmtId="0" fontId="10" fillId="0" borderId="0" xfId="255" applyNumberFormat="1" applyFont="1" applyAlignment="1" applyProtection="1">
      <alignment horizontal="center"/>
    </xf>
    <xf numFmtId="3" fontId="14" fillId="0" borderId="0" xfId="255" applyNumberFormat="1" applyFont="1" applyAlignment="1" applyProtection="1">
      <alignment horizontal="center"/>
    </xf>
    <xf numFmtId="3" fontId="10" fillId="0" borderId="0" xfId="255" applyNumberFormat="1" applyFont="1" applyFill="1" applyAlignment="1" applyProtection="1"/>
    <xf numFmtId="3" fontId="14" fillId="0" borderId="0" xfId="255" applyNumberFormat="1" applyFont="1" applyFill="1" applyAlignment="1" applyProtection="1"/>
    <xf numFmtId="3" fontId="14" fillId="0" borderId="0" xfId="255" applyNumberFormat="1" applyFont="1" applyAlignment="1" applyProtection="1"/>
    <xf numFmtId="0" fontId="36" fillId="0" borderId="0" xfId="0" applyFont="1" applyBorder="1" applyProtection="1"/>
    <xf numFmtId="43" fontId="16" fillId="0" borderId="0" xfId="86" applyNumberFormat="1" applyFont="1" applyAlignment="1" applyProtection="1"/>
    <xf numFmtId="3" fontId="102" fillId="0" borderId="0" xfId="255" applyNumberFormat="1" applyFont="1" applyFill="1" applyAlignment="1" applyProtection="1">
      <alignment horizontal="right"/>
    </xf>
    <xf numFmtId="41" fontId="9" fillId="0" borderId="0" xfId="255" applyNumberFormat="1" applyFont="1" applyBorder="1" applyAlignment="1" applyProtection="1"/>
    <xf numFmtId="3" fontId="9" fillId="0" borderId="0" xfId="255" applyNumberFormat="1" applyFont="1" applyAlignment="1" applyProtection="1">
      <alignment vertical="center" wrapText="1"/>
    </xf>
    <xf numFmtId="41" fontId="102" fillId="0" borderId="0" xfId="255" applyNumberFormat="1" applyFont="1" applyFill="1" applyAlignment="1" applyProtection="1">
      <alignment horizontal="right"/>
    </xf>
    <xf numFmtId="3" fontId="9" fillId="0" borderId="0" xfId="255" applyNumberFormat="1" applyFont="1" applyAlignment="1" applyProtection="1">
      <alignment horizontal="center" vertical="center"/>
    </xf>
    <xf numFmtId="3" fontId="9" fillId="0" borderId="0" xfId="255" applyNumberFormat="1" applyFont="1" applyAlignment="1" applyProtection="1">
      <alignment vertical="center"/>
    </xf>
    <xf numFmtId="41" fontId="9" fillId="0" borderId="0" xfId="255" applyNumberFormat="1" applyFont="1" applyAlignment="1" applyProtection="1">
      <alignment vertical="center"/>
    </xf>
    <xf numFmtId="43" fontId="9" fillId="0" borderId="0" xfId="264" applyNumberFormat="1" applyFont="1" applyFill="1" applyAlignment="1" applyProtection="1"/>
    <xf numFmtId="166" fontId="9" fillId="0" borderId="0" xfId="255" applyNumberFormat="1" applyFont="1" applyAlignment="1" applyProtection="1"/>
    <xf numFmtId="167" fontId="9" fillId="0" borderId="0" xfId="255" applyNumberFormat="1" applyFont="1" applyAlignment="1" applyProtection="1"/>
    <xf numFmtId="172" fontId="27" fillId="0" borderId="0" xfId="255" applyFont="1" applyAlignment="1" applyProtection="1"/>
    <xf numFmtId="164" fontId="9" fillId="0" borderId="0" xfId="255" applyNumberFormat="1" applyFont="1" applyBorder="1" applyAlignment="1" applyProtection="1">
      <alignment horizontal="left"/>
    </xf>
    <xf numFmtId="168" fontId="9" fillId="0" borderId="0" xfId="255" applyNumberFormat="1" applyFont="1" applyAlignment="1" applyProtection="1"/>
    <xf numFmtId="10" fontId="9" fillId="0" borderId="0" xfId="255" applyNumberFormat="1" applyFont="1" applyFill="1" applyAlignment="1" applyProtection="1">
      <alignment horizontal="right"/>
    </xf>
    <xf numFmtId="10" fontId="36" fillId="0" borderId="0" xfId="264" applyNumberFormat="1" applyFont="1" applyProtection="1"/>
    <xf numFmtId="3" fontId="27" fillId="0" borderId="0" xfId="255" applyNumberFormat="1" applyFont="1" applyAlignment="1" applyProtection="1"/>
    <xf numFmtId="167" fontId="9" fillId="0" borderId="0" xfId="255" applyNumberFormat="1" applyFont="1" applyFill="1" applyAlignment="1" applyProtection="1"/>
    <xf numFmtId="166" fontId="9" fillId="0" borderId="0" xfId="255" applyNumberFormat="1" applyFont="1" applyAlignment="1" applyProtection="1">
      <alignment horizontal="center"/>
    </xf>
    <xf numFmtId="186" fontId="27" fillId="0" borderId="0" xfId="255" applyNumberFormat="1" applyFont="1" applyAlignment="1" applyProtection="1">
      <alignment horizontal="center"/>
    </xf>
    <xf numFmtId="187" fontId="9" fillId="0" borderId="0" xfId="255" applyNumberFormat="1" applyFont="1" applyAlignment="1" applyProtection="1"/>
    <xf numFmtId="164" fontId="9" fillId="0" borderId="0" xfId="255" applyNumberFormat="1" applyFont="1" applyFill="1" applyBorder="1" applyAlignment="1" applyProtection="1">
      <alignment horizontal="left"/>
    </xf>
    <xf numFmtId="179" fontId="9" fillId="0" borderId="0" xfId="255" applyNumberFormat="1" applyFont="1" applyFill="1" applyAlignment="1" applyProtection="1">
      <alignment horizontal="right"/>
    </xf>
    <xf numFmtId="185" fontId="9" fillId="0" borderId="0" xfId="86" applyNumberFormat="1" applyFont="1" applyAlignment="1" applyProtection="1">
      <alignment horizontal="center"/>
    </xf>
    <xf numFmtId="41" fontId="27" fillId="0" borderId="0" xfId="255" applyNumberFormat="1" applyFont="1" applyAlignment="1" applyProtection="1"/>
    <xf numFmtId="43" fontId="27" fillId="0" borderId="0" xfId="86" applyFont="1" applyAlignment="1" applyProtection="1"/>
    <xf numFmtId="179" fontId="9" fillId="0" borderId="0" xfId="255" applyNumberFormat="1" applyFont="1" applyAlignment="1" applyProtection="1">
      <alignment horizontal="center"/>
    </xf>
    <xf numFmtId="10" fontId="9" fillId="0" borderId="0" xfId="255" applyNumberFormat="1" applyFont="1" applyFill="1" applyAlignment="1" applyProtection="1">
      <alignment horizontal="left"/>
    </xf>
    <xf numFmtId="186" fontId="9" fillId="0" borderId="0" xfId="255" applyNumberFormat="1" applyFont="1" applyAlignment="1" applyProtection="1">
      <alignment horizontal="center"/>
    </xf>
    <xf numFmtId="168" fontId="9" fillId="0" borderId="0" xfId="255" applyNumberFormat="1" applyFont="1" applyFill="1" applyAlignment="1" applyProtection="1">
      <alignment horizontal="left"/>
    </xf>
    <xf numFmtId="41" fontId="9" fillId="0" borderId="0" xfId="255" applyNumberFormat="1" applyFont="1" applyAlignment="1" applyProtection="1">
      <alignment horizontal="right"/>
    </xf>
    <xf numFmtId="41" fontId="9" fillId="0" borderId="11" xfId="255" applyNumberFormat="1" applyFont="1" applyBorder="1" applyAlignment="1" applyProtection="1"/>
    <xf numFmtId="179" fontId="9" fillId="0" borderId="0" xfId="255" applyNumberFormat="1" applyFont="1" applyAlignment="1" applyProtection="1"/>
    <xf numFmtId="172" fontId="27" fillId="0" borderId="0" xfId="255" applyFont="1" applyFill="1" applyAlignment="1" applyProtection="1"/>
    <xf numFmtId="164" fontId="9" fillId="0" borderId="0" xfId="255" applyNumberFormat="1" applyFont="1" applyFill="1" applyBorder="1" applyAlignment="1" applyProtection="1">
      <alignment horizontal="left" vertical="center"/>
    </xf>
    <xf numFmtId="41" fontId="9" fillId="0" borderId="0" xfId="255" applyNumberFormat="1" applyFont="1" applyFill="1" applyAlignment="1" applyProtection="1">
      <alignment horizontal="center" vertical="center"/>
    </xf>
    <xf numFmtId="180" fontId="9" fillId="0" borderId="0" xfId="255" applyNumberFormat="1" applyFont="1" applyAlignment="1" applyProtection="1"/>
    <xf numFmtId="173" fontId="9" fillId="0" borderId="14" xfId="86" applyNumberFormat="1" applyFont="1" applyBorder="1" applyAlignment="1" applyProtection="1"/>
    <xf numFmtId="0" fontId="9" fillId="0" borderId="0" xfId="255" applyNumberFormat="1" applyFont="1" applyFill="1" applyBorder="1" applyAlignment="1" applyProtection="1">
      <alignment horizontal="left"/>
    </xf>
    <xf numFmtId="0" fontId="10" fillId="0" borderId="0" xfId="255" applyNumberFormat="1" applyFont="1" applyAlignment="1" applyProtection="1"/>
    <xf numFmtId="0" fontId="9" fillId="0" borderId="0" xfId="0" applyFont="1" applyFill="1" applyAlignment="1" applyProtection="1">
      <alignment horizontal="left"/>
    </xf>
    <xf numFmtId="0" fontId="9" fillId="0" borderId="0" xfId="255" applyNumberFormat="1" applyFont="1" applyFill="1" applyBorder="1" applyProtection="1"/>
    <xf numFmtId="3" fontId="9" fillId="0" borderId="0" xfId="255" applyNumberFormat="1" applyFont="1" applyFill="1" applyBorder="1" applyAlignment="1" applyProtection="1"/>
    <xf numFmtId="172" fontId="9" fillId="0" borderId="0" xfId="255" applyFont="1" applyFill="1" applyBorder="1" applyAlignment="1" applyProtection="1"/>
    <xf numFmtId="172" fontId="9" fillId="0" borderId="0" xfId="255" applyFont="1" applyFill="1" applyBorder="1" applyAlignment="1" applyProtection="1">
      <alignment horizontal="center"/>
    </xf>
    <xf numFmtId="173" fontId="9" fillId="0" borderId="6" xfId="86" applyNumberFormat="1" applyFont="1" applyBorder="1" applyAlignment="1" applyProtection="1"/>
    <xf numFmtId="3" fontId="9" fillId="0" borderId="0" xfId="255" applyNumberFormat="1" applyFont="1" applyFill="1" applyBorder="1" applyAlignment="1" applyProtection="1">
      <alignment horizontal="left"/>
    </xf>
    <xf numFmtId="0" fontId="9" fillId="0" borderId="0" xfId="255" applyNumberFormat="1" applyFont="1" applyFill="1" applyBorder="1" applyAlignment="1" applyProtection="1">
      <alignment horizontal="center"/>
    </xf>
    <xf numFmtId="49" fontId="9" fillId="0" borderId="0" xfId="255" applyNumberFormat="1" applyFont="1" applyFill="1" applyBorder="1" applyProtection="1"/>
    <xf numFmtId="49" fontId="9" fillId="0" borderId="0" xfId="255" applyNumberFormat="1" applyFont="1" applyFill="1" applyBorder="1" applyAlignment="1" applyProtection="1"/>
    <xf numFmtId="49" fontId="9" fillId="0" borderId="0" xfId="255" applyNumberFormat="1" applyFont="1" applyFill="1" applyBorder="1" applyAlignment="1" applyProtection="1">
      <alignment horizontal="center"/>
    </xf>
    <xf numFmtId="3" fontId="10" fillId="0" borderId="0" xfId="255" applyNumberFormat="1" applyFont="1" applyFill="1" applyBorder="1" applyAlignment="1" applyProtection="1"/>
    <xf numFmtId="165" fontId="10" fillId="0" borderId="0" xfId="255" applyNumberFormat="1" applyFont="1" applyFill="1" applyBorder="1" applyAlignment="1" applyProtection="1">
      <alignment horizontal="right"/>
    </xf>
    <xf numFmtId="0" fontId="10" fillId="0" borderId="0" xfId="255" applyNumberFormat="1" applyFont="1" applyFill="1" applyAlignment="1" applyProtection="1"/>
    <xf numFmtId="3" fontId="9" fillId="0" borderId="0" xfId="255" applyNumberFormat="1" applyFont="1" applyFill="1" applyProtection="1"/>
    <xf numFmtId="3" fontId="9" fillId="0" borderId="0" xfId="255" applyNumberFormat="1" applyFont="1" applyFill="1" applyAlignment="1" applyProtection="1">
      <alignment horizontal="center" wrapText="1"/>
    </xf>
    <xf numFmtId="4" fontId="9" fillId="0" borderId="0" xfId="255" applyNumberFormat="1" applyFont="1" applyAlignment="1" applyProtection="1"/>
    <xf numFmtId="173" fontId="9" fillId="0" borderId="6" xfId="86" applyNumberFormat="1" applyFont="1" applyFill="1" applyBorder="1" applyAlignment="1" applyProtection="1"/>
    <xf numFmtId="3" fontId="10" fillId="0" borderId="0" xfId="255" applyNumberFormat="1" applyFont="1" applyFill="1" applyAlignment="1" applyProtection="1">
      <alignment horizontal="center"/>
    </xf>
    <xf numFmtId="172" fontId="10" fillId="0" borderId="0" xfId="255" applyFont="1" applyAlignment="1" applyProtection="1">
      <alignment horizontal="right"/>
    </xf>
    <xf numFmtId="165" fontId="10" fillId="0" borderId="0" xfId="255" applyNumberFormat="1" applyFont="1" applyAlignment="1" applyProtection="1"/>
    <xf numFmtId="166" fontId="10" fillId="0" borderId="0" xfId="255" applyNumberFormat="1" applyFont="1" applyFill="1" applyProtection="1"/>
    <xf numFmtId="3" fontId="9" fillId="0" borderId="6" xfId="255" applyNumberFormat="1" applyFont="1" applyFill="1" applyBorder="1" applyAlignment="1" applyProtection="1">
      <alignment horizontal="center"/>
    </xf>
    <xf numFmtId="0" fontId="18" fillId="0" borderId="0" xfId="255" applyNumberFormat="1" applyFont="1" applyFill="1" applyBorder="1" applyAlignment="1" applyProtection="1">
      <alignment horizontal="left"/>
    </xf>
    <xf numFmtId="0" fontId="9" fillId="0" borderId="0" xfId="255" applyNumberFormat="1" applyFont="1" applyFill="1" applyAlignment="1" applyProtection="1">
      <alignment horizontal="left"/>
    </xf>
    <xf numFmtId="3" fontId="27" fillId="0" borderId="0" xfId="255" applyNumberFormat="1" applyFont="1" applyFill="1" applyAlignment="1" applyProtection="1"/>
    <xf numFmtId="181" fontId="9" fillId="0" borderId="0" xfId="86" applyNumberFormat="1" applyFont="1" applyFill="1" applyAlignment="1" applyProtection="1">
      <alignment horizontal="center"/>
    </xf>
    <xf numFmtId="0" fontId="9" fillId="0" borderId="6" xfId="255" applyNumberFormat="1" applyFont="1" applyFill="1" applyBorder="1" applyAlignment="1" applyProtection="1">
      <alignment horizontal="center"/>
    </xf>
    <xf numFmtId="181" fontId="9" fillId="0" borderId="6" xfId="86" applyNumberFormat="1" applyFont="1" applyFill="1" applyBorder="1" applyAlignment="1" applyProtection="1">
      <alignment horizontal="center"/>
    </xf>
    <xf numFmtId="10" fontId="9" fillId="0" borderId="0" xfId="255" applyNumberFormat="1" applyFont="1" applyFill="1" applyAlignment="1" applyProtection="1"/>
    <xf numFmtId="185" fontId="9" fillId="0" borderId="0" xfId="86" applyNumberFormat="1" applyFont="1" applyFill="1" applyAlignment="1" applyProtection="1"/>
    <xf numFmtId="169" fontId="9" fillId="0" borderId="16" xfId="255" applyNumberFormat="1" applyFont="1" applyFill="1" applyBorder="1" applyAlignment="1" applyProtection="1"/>
    <xf numFmtId="3" fontId="9" fillId="0" borderId="0" xfId="255" quotePrefix="1" applyNumberFormat="1" applyFont="1" applyAlignment="1" applyProtection="1"/>
    <xf numFmtId="169" fontId="9" fillId="0" borderId="0" xfId="255" applyNumberFormat="1" applyFont="1" applyFill="1" applyBorder="1" applyAlignment="1" applyProtection="1"/>
    <xf numFmtId="169" fontId="9" fillId="0" borderId="6" xfId="255" applyNumberFormat="1" applyFont="1" applyFill="1" applyBorder="1" applyAlignment="1" applyProtection="1"/>
    <xf numFmtId="181" fontId="26" fillId="0" borderId="0" xfId="86" applyNumberFormat="1" applyFont="1" applyFill="1" applyProtection="1"/>
    <xf numFmtId="169" fontId="10" fillId="0" borderId="0" xfId="255" applyNumberFormat="1" applyFont="1" applyFill="1" applyAlignment="1" applyProtection="1"/>
    <xf numFmtId="3" fontId="10" fillId="0" borderId="0" xfId="255" quotePrefix="1" applyNumberFormat="1" applyFont="1" applyAlignment="1" applyProtection="1"/>
    <xf numFmtId="172" fontId="9" fillId="0" borderId="0" xfId="255" applyFont="1" applyAlignment="1" applyProtection="1">
      <alignment horizontal="right"/>
    </xf>
    <xf numFmtId="172" fontId="9" fillId="0" borderId="0" xfId="255" applyNumberFormat="1" applyFont="1" applyAlignment="1" applyProtection="1"/>
    <xf numFmtId="172" fontId="14" fillId="0" borderId="0" xfId="255" applyFont="1" applyAlignment="1" applyProtection="1">
      <alignment horizontal="center"/>
    </xf>
    <xf numFmtId="172" fontId="7" fillId="0" borderId="0" xfId="255" applyFont="1" applyFill="1" applyAlignment="1" applyProtection="1">
      <alignment horizontal="center"/>
    </xf>
    <xf numFmtId="172" fontId="7" fillId="0" borderId="0" xfId="255" applyFont="1" applyFill="1" applyAlignment="1" applyProtection="1"/>
    <xf numFmtId="10" fontId="9" fillId="0" borderId="0" xfId="255" applyNumberFormat="1" applyFont="1" applyFill="1" applyProtection="1"/>
    <xf numFmtId="0" fontId="9" fillId="0" borderId="0" xfId="0" applyFont="1" applyFill="1" applyProtection="1"/>
    <xf numFmtId="0" fontId="9" fillId="0" borderId="0" xfId="0" applyFont="1" applyProtection="1"/>
    <xf numFmtId="0" fontId="16" fillId="0" borderId="0" xfId="0" applyFont="1" applyAlignment="1" applyProtection="1"/>
    <xf numFmtId="0" fontId="30" fillId="0" borderId="0" xfId="255" applyNumberFormat="1" applyFont="1" applyFill="1" applyAlignment="1" applyProtection="1"/>
    <xf numFmtId="0" fontId="123" fillId="0" borderId="0" xfId="255" applyNumberFormat="1" applyFont="1" applyFill="1" applyAlignment="1" applyProtection="1"/>
    <xf numFmtId="0" fontId="30" fillId="0" borderId="0" xfId="255" applyNumberFormat="1" applyFont="1" applyFill="1" applyProtection="1"/>
    <xf numFmtId="172" fontId="30" fillId="0" borderId="0" xfId="255" applyFont="1" applyFill="1" applyAlignment="1" applyProtection="1"/>
    <xf numFmtId="0" fontId="30" fillId="0" borderId="0" xfId="0" applyFont="1" applyAlignment="1" applyProtection="1">
      <alignment vertical="top" wrapText="1"/>
    </xf>
    <xf numFmtId="172" fontId="30" fillId="0" borderId="0" xfId="255" applyFont="1" applyFill="1" applyAlignment="1" applyProtection="1">
      <alignment wrapText="1"/>
    </xf>
    <xf numFmtId="172" fontId="123" fillId="0" borderId="0" xfId="255" applyFont="1" applyFill="1" applyAlignment="1" applyProtection="1"/>
    <xf numFmtId="0" fontId="7" fillId="0" borderId="0" xfId="255" applyNumberFormat="1" applyFont="1" applyFill="1" applyProtection="1"/>
    <xf numFmtId="0" fontId="92" fillId="0" borderId="0" xfId="255" applyNumberFormat="1" applyFont="1" applyFill="1" applyAlignment="1" applyProtection="1">
      <alignment horizontal="center"/>
    </xf>
    <xf numFmtId="0" fontId="0" fillId="0" borderId="0" xfId="0" applyAlignment="1" applyProtection="1">
      <alignment wrapText="1"/>
    </xf>
    <xf numFmtId="166" fontId="9" fillId="0" borderId="0" xfId="255" applyNumberFormat="1" applyFont="1" applyFill="1" applyProtection="1"/>
    <xf numFmtId="1" fontId="9" fillId="0" borderId="0" xfId="255" applyNumberFormat="1" applyFont="1" applyFill="1" applyProtection="1"/>
    <xf numFmtId="0" fontId="9" fillId="0" borderId="0" xfId="0" applyFont="1" applyAlignment="1" applyProtection="1">
      <alignment horizontal="center"/>
    </xf>
    <xf numFmtId="0" fontId="9" fillId="0" borderId="0" xfId="209" applyFont="1" applyBorder="1" applyAlignment="1" applyProtection="1">
      <alignment horizontal="center"/>
    </xf>
    <xf numFmtId="49" fontId="9" fillId="0" borderId="0" xfId="247" applyNumberFormat="1" applyFont="1" applyAlignment="1" applyProtection="1">
      <alignment horizontal="center"/>
    </xf>
    <xf numFmtId="0" fontId="21" fillId="0" borderId="0" xfId="0" applyFont="1" applyFill="1" applyAlignment="1" applyProtection="1">
      <alignment horizontal="center"/>
    </xf>
    <xf numFmtId="0" fontId="13" fillId="0" borderId="0" xfId="0" applyFont="1" applyFill="1" applyAlignment="1" applyProtection="1">
      <alignment horizontal="center"/>
    </xf>
    <xf numFmtId="0" fontId="0" fillId="0" borderId="0" xfId="0" applyFill="1" applyAlignment="1" applyProtection="1">
      <alignment horizontal="center"/>
    </xf>
    <xf numFmtId="0" fontId="6" fillId="0" borderId="0" xfId="0" applyFont="1" applyFill="1" applyProtection="1"/>
    <xf numFmtId="0" fontId="6"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6" fillId="0" borderId="0" xfId="0" applyFont="1" applyProtection="1"/>
    <xf numFmtId="174" fontId="16" fillId="0" borderId="0" xfId="86" applyNumberFormat="1" applyFont="1" applyFill="1" applyProtection="1"/>
    <xf numFmtId="174" fontId="0" fillId="0" borderId="0" xfId="0" applyNumberFormat="1" applyProtection="1"/>
    <xf numFmtId="0" fontId="7" fillId="0" borderId="0" xfId="0" applyFont="1" applyProtection="1"/>
    <xf numFmtId="0" fontId="7" fillId="0" borderId="0" xfId="0" applyFont="1" applyAlignment="1" applyProtection="1"/>
    <xf numFmtId="3" fontId="8" fillId="0" borderId="0" xfId="0" applyNumberFormat="1" applyFont="1" applyAlignment="1" applyProtection="1">
      <alignment horizontal="center"/>
    </xf>
    <xf numFmtId="0" fontId="7" fillId="0" borderId="0" xfId="259" applyFont="1" applyProtection="1"/>
    <xf numFmtId="0" fontId="7" fillId="0" borderId="0" xfId="259" applyFont="1" applyAlignment="1" applyProtection="1">
      <alignment horizontal="right"/>
    </xf>
    <xf numFmtId="0" fontId="14" fillId="0" borderId="0" xfId="259" applyFont="1" applyAlignment="1" applyProtection="1">
      <alignment horizontal="center"/>
    </xf>
    <xf numFmtId="0" fontId="30" fillId="0" borderId="0" xfId="0" applyFont="1" applyProtection="1"/>
    <xf numFmtId="0" fontId="9" fillId="0" borderId="0" xfId="259" applyFont="1" applyProtection="1"/>
    <xf numFmtId="0" fontId="86" fillId="0" borderId="0" xfId="259" applyFont="1" applyProtection="1"/>
    <xf numFmtId="0" fontId="30" fillId="0" borderId="0" xfId="0" applyFont="1" applyAlignment="1" applyProtection="1">
      <alignment horizontal="center"/>
    </xf>
    <xf numFmtId="0" fontId="14" fillId="0" borderId="0" xfId="259" applyFont="1" applyBorder="1" applyAlignment="1" applyProtection="1">
      <alignment horizontal="center"/>
    </xf>
    <xf numFmtId="0" fontId="7" fillId="0" borderId="0" xfId="0" applyFont="1" applyFill="1" applyProtection="1"/>
    <xf numFmtId="0" fontId="7" fillId="0" borderId="0" xfId="0" applyFont="1" applyAlignment="1" applyProtection="1">
      <alignment horizontal="right"/>
    </xf>
    <xf numFmtId="0" fontId="10" fillId="0" borderId="0" xfId="259" applyFont="1" applyFill="1" applyProtection="1"/>
    <xf numFmtId="0" fontId="30" fillId="0" borderId="0" xfId="259" applyFont="1" applyAlignment="1" applyProtection="1">
      <alignment horizontal="center"/>
    </xf>
    <xf numFmtId="0" fontId="13" fillId="0" borderId="0" xfId="259" applyFont="1" applyFill="1" applyAlignment="1" applyProtection="1">
      <alignment horizontal="center"/>
    </xf>
    <xf numFmtId="0" fontId="13" fillId="0" borderId="0" xfId="259" applyFont="1" applyFill="1" applyProtection="1"/>
    <xf numFmtId="0" fontId="16" fillId="0" borderId="0" xfId="259" applyFont="1" applyProtection="1"/>
    <xf numFmtId="173" fontId="16" fillId="0" borderId="0" xfId="259" applyNumberFormat="1" applyFont="1" applyFill="1" applyProtection="1"/>
    <xf numFmtId="0" fontId="112" fillId="0" borderId="0" xfId="0" applyFont="1" applyFill="1" applyProtection="1"/>
    <xf numFmtId="0" fontId="16" fillId="0" borderId="0" xfId="0" applyFont="1" applyAlignment="1" applyProtection="1">
      <alignment horizontal="center"/>
    </xf>
    <xf numFmtId="0" fontId="112" fillId="0" borderId="0" xfId="0" applyFont="1" applyProtection="1"/>
    <xf numFmtId="0" fontId="103" fillId="0" borderId="0" xfId="259" applyFont="1" applyFill="1" applyAlignment="1" applyProtection="1">
      <alignment horizontal="center"/>
    </xf>
    <xf numFmtId="0" fontId="103" fillId="0" borderId="0" xfId="259" applyFont="1" applyFill="1" applyProtection="1"/>
    <xf numFmtId="0" fontId="111" fillId="0" borderId="0" xfId="0" applyFont="1" applyProtection="1"/>
    <xf numFmtId="0" fontId="111" fillId="0" borderId="0" xfId="259" applyFont="1" applyProtection="1"/>
    <xf numFmtId="172" fontId="16" fillId="0" borderId="0" xfId="259" applyNumberFormat="1" applyFont="1" applyFill="1" applyAlignment="1" applyProtection="1">
      <alignment horizontal="center"/>
    </xf>
    <xf numFmtId="0" fontId="16" fillId="0" borderId="0" xfId="259" applyFont="1" applyFill="1" applyProtection="1"/>
    <xf numFmtId="0" fontId="13" fillId="0" borderId="0" xfId="259" applyFont="1" applyProtection="1"/>
    <xf numFmtId="0" fontId="103" fillId="0" borderId="0" xfId="259" applyFont="1" applyProtection="1"/>
    <xf numFmtId="43" fontId="16" fillId="0" borderId="0" xfId="113" applyFont="1" applyFill="1" applyProtection="1"/>
    <xf numFmtId="43" fontId="111" fillId="0" borderId="0" xfId="113" applyFont="1" applyFill="1" applyProtection="1"/>
    <xf numFmtId="184" fontId="16" fillId="0" borderId="0" xfId="0" applyNumberFormat="1" applyFont="1" applyProtection="1"/>
    <xf numFmtId="0" fontId="16" fillId="0" borderId="0" xfId="0" applyFont="1" applyFill="1" applyProtection="1"/>
    <xf numFmtId="173" fontId="16" fillId="0" borderId="13" xfId="0" applyNumberFormat="1" applyFont="1" applyBorder="1" applyProtection="1"/>
    <xf numFmtId="173" fontId="16" fillId="0" borderId="0" xfId="259" applyNumberFormat="1" applyFont="1" applyProtection="1"/>
    <xf numFmtId="173" fontId="16" fillId="0" borderId="0" xfId="259" applyNumberFormat="1" applyFont="1" applyBorder="1" applyProtection="1"/>
    <xf numFmtId="173" fontId="16" fillId="0" borderId="13" xfId="259" applyNumberFormat="1" applyFont="1" applyBorder="1" applyProtection="1"/>
    <xf numFmtId="0" fontId="9" fillId="0" borderId="0" xfId="259" applyFont="1" applyFill="1" applyProtection="1"/>
    <xf numFmtId="173" fontId="9" fillId="0" borderId="0" xfId="259" applyNumberFormat="1" applyFont="1" applyFill="1" applyBorder="1" applyProtection="1"/>
    <xf numFmtId="0" fontId="16" fillId="0" borderId="0" xfId="0" applyFont="1" applyAlignment="1" applyProtection="1">
      <alignment vertical="top" wrapText="1"/>
    </xf>
    <xf numFmtId="0" fontId="30" fillId="0" borderId="0" xfId="0" applyFont="1" applyFill="1" applyProtection="1"/>
    <xf numFmtId="0" fontId="10" fillId="0" borderId="0" xfId="0" applyFont="1" applyFill="1" applyBorder="1" applyAlignment="1" applyProtection="1">
      <alignment horizontal="center"/>
    </xf>
    <xf numFmtId="0" fontId="13" fillId="0" borderId="0" xfId="0" applyFont="1" applyFill="1" applyBorder="1" applyAlignment="1" applyProtection="1">
      <alignment horizontal="center"/>
    </xf>
    <xf numFmtId="173" fontId="10" fillId="0" borderId="0" xfId="0" applyNumberFormat="1" applyFont="1" applyFill="1" applyBorder="1" applyAlignment="1" applyProtection="1">
      <alignment horizontal="center"/>
    </xf>
    <xf numFmtId="0" fontId="16" fillId="0" borderId="0" xfId="0" applyFont="1" applyBorder="1" applyProtection="1"/>
    <xf numFmtId="173" fontId="6" fillId="0" borderId="0" xfId="86" applyNumberFormat="1" applyProtection="1"/>
    <xf numFmtId="0" fontId="15" fillId="0" borderId="0" xfId="0" applyFont="1" applyFill="1" applyProtection="1"/>
    <xf numFmtId="0" fontId="22" fillId="0" borderId="0" xfId="0" applyFont="1" applyFill="1" applyAlignment="1" applyProtection="1">
      <alignment horizontal="right"/>
    </xf>
    <xf numFmtId="0" fontId="22" fillId="0" borderId="0" xfId="0" applyFont="1" applyFill="1" applyAlignment="1" applyProtection="1">
      <alignment horizontal="left"/>
    </xf>
    <xf numFmtId="0" fontId="22" fillId="0" borderId="0" xfId="0" applyFont="1" applyFill="1" applyBorder="1" applyAlignment="1" applyProtection="1">
      <alignment horizontal="right"/>
    </xf>
    <xf numFmtId="0" fontId="8" fillId="0" borderId="0" xfId="0" applyFont="1" applyFill="1" applyProtection="1"/>
    <xf numFmtId="0" fontId="70" fillId="0" borderId="0" xfId="0" applyFont="1" applyFill="1" applyProtection="1"/>
    <xf numFmtId="0" fontId="10" fillId="0" borderId="0" xfId="0" applyFont="1" applyAlignment="1" applyProtection="1">
      <alignment horizontal="left"/>
    </xf>
    <xf numFmtId="0" fontId="16" fillId="0" borderId="0" xfId="255" applyNumberFormat="1" applyFont="1" applyFill="1" applyBorder="1" applyAlignment="1" applyProtection="1"/>
    <xf numFmtId="3" fontId="16" fillId="0" borderId="0" xfId="255" applyNumberFormat="1" applyFont="1" applyAlignment="1" applyProtection="1"/>
    <xf numFmtId="10" fontId="6" fillId="0" borderId="0" xfId="264" applyNumberFormat="1" applyAlignment="1" applyProtection="1">
      <alignment horizontal="right"/>
    </xf>
    <xf numFmtId="172" fontId="16" fillId="0" borderId="0" xfId="255" applyFont="1" applyAlignment="1" applyProtection="1"/>
    <xf numFmtId="172" fontId="16" fillId="0" borderId="0" xfId="255" applyFont="1" applyBorder="1" applyAlignment="1" applyProtection="1"/>
    <xf numFmtId="3" fontId="16" fillId="0" borderId="0" xfId="255" applyNumberFormat="1" applyFont="1" applyFill="1" applyAlignment="1" applyProtection="1"/>
    <xf numFmtId="10" fontId="16" fillId="0" borderId="0" xfId="264" applyNumberFormat="1" applyFont="1" applyFill="1" applyAlignment="1" applyProtection="1">
      <alignment horizontal="right"/>
    </xf>
    <xf numFmtId="3" fontId="13" fillId="0" borderId="0" xfId="255" applyNumberFormat="1" applyFont="1" applyAlignment="1" applyProtection="1"/>
    <xf numFmtId="10" fontId="16" fillId="0" borderId="0" xfId="255" applyNumberFormat="1" applyFont="1" applyFill="1" applyAlignment="1" applyProtection="1">
      <alignment horizontal="right"/>
    </xf>
    <xf numFmtId="3" fontId="17" fillId="0" borderId="0" xfId="255" applyNumberFormat="1" applyFont="1" applyAlignment="1" applyProtection="1">
      <alignment horizontal="center"/>
    </xf>
    <xf numFmtId="10" fontId="17" fillId="0" borderId="0" xfId="255" applyNumberFormat="1" applyFont="1" applyFill="1" applyAlignment="1" applyProtection="1">
      <alignment horizontal="center"/>
    </xf>
    <xf numFmtId="0" fontId="16"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6" fillId="0" borderId="0" xfId="264" applyNumberFormat="1" applyFont="1" applyAlignment="1" applyProtection="1"/>
    <xf numFmtId="166" fontId="16" fillId="0" borderId="0" xfId="255" applyNumberFormat="1" applyFont="1" applyAlignment="1" applyProtection="1">
      <alignment horizontal="center"/>
    </xf>
    <xf numFmtId="166" fontId="16" fillId="0" borderId="0" xfId="255" applyNumberFormat="1" applyFont="1" applyBorder="1" applyAlignment="1" applyProtection="1">
      <alignment horizontal="center"/>
    </xf>
    <xf numFmtId="41" fontId="16" fillId="0" borderId="0" xfId="255" applyNumberFormat="1" applyFont="1" applyAlignment="1" applyProtection="1"/>
    <xf numFmtId="41" fontId="16" fillId="0" borderId="0" xfId="255" applyNumberFormat="1" applyFont="1" applyAlignment="1" applyProtection="1">
      <alignment horizontal="center"/>
    </xf>
    <xf numFmtId="41" fontId="16" fillId="0" borderId="0" xfId="255" applyNumberFormat="1" applyFont="1" applyBorder="1" applyAlignment="1" applyProtection="1">
      <alignment horizontal="center"/>
    </xf>
    <xf numFmtId="0" fontId="16" fillId="0" borderId="0" xfId="255" applyNumberFormat="1" applyFont="1" applyBorder="1" applyAlignment="1" applyProtection="1">
      <alignment horizontal="right"/>
    </xf>
    <xf numFmtId="164" fontId="17" fillId="0" borderId="0" xfId="264" applyNumberFormat="1" applyFont="1" applyAlignment="1" applyProtection="1"/>
    <xf numFmtId="0" fontId="16" fillId="0" borderId="0" xfId="255" applyNumberFormat="1" applyFont="1" applyBorder="1" applyAlignment="1" applyProtection="1"/>
    <xf numFmtId="3" fontId="16" fillId="0" borderId="0" xfId="255" applyNumberFormat="1" applyFont="1" applyAlignment="1" applyProtection="1">
      <alignment horizontal="right"/>
    </xf>
    <xf numFmtId="172" fontId="6" fillId="0" borderId="17" xfId="255" applyFont="1" applyBorder="1" applyAlignment="1" applyProtection="1"/>
    <xf numFmtId="0" fontId="6" fillId="0" borderId="0" xfId="255" applyNumberFormat="1" applyFont="1" applyBorder="1" applyAlignment="1" applyProtection="1">
      <alignment horizontal="center"/>
    </xf>
    <xf numFmtId="172" fontId="6" fillId="0" borderId="0" xfId="255" applyFont="1" applyBorder="1" applyAlignment="1" applyProtection="1"/>
    <xf numFmtId="3" fontId="6" fillId="0" borderId="18" xfId="255" applyNumberFormat="1" applyFont="1" applyBorder="1" applyAlignment="1" applyProtection="1"/>
    <xf numFmtId="10" fontId="16" fillId="0" borderId="0" xfId="255" applyNumberFormat="1" applyFont="1" applyFill="1" applyAlignment="1" applyProtection="1">
      <alignment horizontal="left"/>
    </xf>
    <xf numFmtId="41" fontId="16" fillId="0" borderId="0" xfId="255" applyNumberFormat="1" applyFont="1" applyBorder="1" applyAlignment="1" applyProtection="1"/>
    <xf numFmtId="0" fontId="6" fillId="0" borderId="17" xfId="0" applyFont="1" applyBorder="1" applyProtection="1"/>
    <xf numFmtId="0" fontId="6" fillId="0" borderId="0" xfId="0" applyFont="1" applyBorder="1" applyProtection="1"/>
    <xf numFmtId="0" fontId="6" fillId="0" borderId="18" xfId="0" applyFont="1" applyBorder="1" applyProtection="1"/>
    <xf numFmtId="41" fontId="16" fillId="0" borderId="0" xfId="255" applyNumberFormat="1" applyFont="1" applyFill="1" applyAlignment="1" applyProtection="1"/>
    <xf numFmtId="166" fontId="6" fillId="0" borderId="19" xfId="255" applyNumberFormat="1" applyFont="1" applyBorder="1" applyAlignment="1" applyProtection="1">
      <alignment horizontal="center"/>
    </xf>
    <xf numFmtId="0" fontId="6" fillId="0" borderId="6" xfId="255" applyNumberFormat="1" applyFont="1" applyBorder="1" applyAlignment="1" applyProtection="1">
      <alignment horizontal="center"/>
    </xf>
    <xf numFmtId="174" fontId="6" fillId="0" borderId="20" xfId="0" applyNumberFormat="1" applyFont="1" applyBorder="1" applyProtection="1"/>
    <xf numFmtId="41" fontId="6" fillId="0" borderId="0" xfId="255" applyNumberFormat="1" applyFont="1" applyBorder="1" applyAlignment="1" applyProtection="1"/>
    <xf numFmtId="0" fontId="16" fillId="31" borderId="0" xfId="255" applyNumberFormat="1" applyFont="1" applyFill="1" applyBorder="1" applyAlignment="1" applyProtection="1"/>
    <xf numFmtId="41" fontId="16" fillId="0" borderId="0" xfId="255" applyNumberFormat="1" applyFont="1" applyFill="1" applyAlignment="1" applyProtection="1">
      <alignment horizontal="left"/>
    </xf>
    <xf numFmtId="41" fontId="6" fillId="0" borderId="0" xfId="255" applyNumberFormat="1" applyFont="1" applyFill="1" applyBorder="1" applyAlignment="1" applyProtection="1">
      <alignment horizontal="right"/>
    </xf>
    <xf numFmtId="167" fontId="16" fillId="0" borderId="0" xfId="255" applyNumberFormat="1" applyFont="1" applyAlignment="1" applyProtection="1"/>
    <xf numFmtId="164" fontId="16" fillId="0" borderId="0" xfId="255" applyNumberFormat="1" applyFont="1" applyFill="1" applyBorder="1" applyAlignment="1" applyProtection="1">
      <alignment horizontal="left"/>
    </xf>
    <xf numFmtId="164" fontId="16" fillId="0" borderId="0" xfId="255" applyNumberFormat="1" applyFont="1" applyBorder="1" applyAlignment="1" applyProtection="1">
      <alignment horizontal="left"/>
    </xf>
    <xf numFmtId="3" fontId="16" fillId="0" borderId="0" xfId="255" applyNumberFormat="1" applyFont="1" applyAlignment="1" applyProtection="1">
      <alignment vertical="center" wrapText="1"/>
    </xf>
    <xf numFmtId="41" fontId="16" fillId="0" borderId="0" xfId="255" applyNumberFormat="1" applyFont="1" applyBorder="1" applyAlignment="1" applyProtection="1">
      <alignment vertical="center"/>
    </xf>
    <xf numFmtId="41" fontId="16" fillId="0" borderId="0" xfId="255" applyNumberFormat="1" applyFont="1" applyBorder="1" applyAlignment="1" applyProtection="1">
      <alignment horizontal="center" vertical="center"/>
    </xf>
    <xf numFmtId="41" fontId="16" fillId="0" borderId="0" xfId="255" applyNumberFormat="1" applyFont="1" applyAlignment="1" applyProtection="1">
      <alignment horizontal="right"/>
    </xf>
    <xf numFmtId="10" fontId="16" fillId="0" borderId="0" xfId="0" applyNumberFormat="1" applyFont="1" applyProtection="1"/>
    <xf numFmtId="173" fontId="16" fillId="0" borderId="0" xfId="86" applyNumberFormat="1" applyFont="1" applyProtection="1"/>
    <xf numFmtId="41" fontId="16" fillId="0" borderId="0" xfId="0" applyNumberFormat="1" applyFont="1" applyProtection="1"/>
    <xf numFmtId="41" fontId="16" fillId="0" borderId="0" xfId="255" applyNumberFormat="1" applyFont="1" applyFill="1" applyBorder="1" applyAlignment="1" applyProtection="1"/>
    <xf numFmtId="41" fontId="16" fillId="0" borderId="11" xfId="255" applyNumberFormat="1" applyFont="1" applyFill="1" applyBorder="1" applyAlignment="1" applyProtection="1"/>
    <xf numFmtId="3" fontId="16" fillId="0" borderId="0" xfId="255" applyNumberFormat="1" applyFont="1" applyFill="1" applyBorder="1" applyAlignment="1" applyProtection="1"/>
    <xf numFmtId="41" fontId="16" fillId="0" borderId="0" xfId="255" applyNumberFormat="1" applyFont="1" applyFill="1" applyBorder="1" applyAlignment="1" applyProtection="1">
      <alignment horizontal="center"/>
    </xf>
    <xf numFmtId="0" fontId="16" fillId="0" borderId="0" xfId="255" applyNumberFormat="1" applyFont="1" applyFill="1" applyBorder="1" applyProtection="1"/>
    <xf numFmtId="41" fontId="17" fillId="0" borderId="0" xfId="255" applyNumberFormat="1" applyFont="1" applyFill="1" applyBorder="1" applyAlignment="1" applyProtection="1"/>
    <xf numFmtId="3" fontId="16" fillId="0" borderId="0" xfId="255" applyNumberFormat="1" applyFont="1" applyFill="1" applyBorder="1" applyAlignment="1" applyProtection="1">
      <alignment horizontal="center"/>
    </xf>
    <xf numFmtId="0" fontId="16" fillId="0" borderId="0" xfId="0" applyFont="1" applyFill="1" applyBorder="1" applyProtection="1"/>
    <xf numFmtId="0" fontId="16" fillId="0" borderId="0" xfId="255" applyNumberFormat="1" applyFont="1" applyFill="1" applyBorder="1" applyAlignment="1" applyProtection="1">
      <alignment horizontal="center"/>
    </xf>
    <xf numFmtId="10" fontId="16" fillId="0" borderId="0" xfId="255" applyNumberFormat="1" applyFont="1" applyFill="1" applyBorder="1" applyAlignment="1" applyProtection="1"/>
    <xf numFmtId="169" fontId="16" fillId="0" borderId="0" xfId="255" applyNumberFormat="1" applyFont="1" applyFill="1" applyBorder="1" applyAlignment="1" applyProtection="1"/>
    <xf numFmtId="172" fontId="16" fillId="0" borderId="0" xfId="255" applyFont="1" applyFill="1" applyBorder="1" applyAlignment="1" applyProtection="1"/>
    <xf numFmtId="169" fontId="13" fillId="0" borderId="0" xfId="255" applyNumberFormat="1" applyFont="1" applyFill="1" applyBorder="1" applyAlignment="1" applyProtection="1"/>
    <xf numFmtId="0" fontId="16" fillId="0" borderId="0" xfId="0" applyFont="1" applyFill="1" applyBorder="1" applyAlignment="1" applyProtection="1">
      <alignment horizontal="center"/>
    </xf>
    <xf numFmtId="41" fontId="16" fillId="0" borderId="0" xfId="0" applyNumberFormat="1" applyFont="1" applyFill="1" applyBorder="1" applyProtection="1"/>
    <xf numFmtId="173" fontId="16" fillId="0" borderId="0" xfId="86" applyNumberFormat="1" applyFont="1" applyFill="1" applyBorder="1" applyProtection="1"/>
    <xf numFmtId="41" fontId="17" fillId="0" borderId="0" xfId="0" applyNumberFormat="1" applyFont="1" applyProtection="1"/>
    <xf numFmtId="181" fontId="16" fillId="0" borderId="0" xfId="86" applyNumberFormat="1" applyFont="1" applyProtection="1"/>
    <xf numFmtId="10" fontId="17" fillId="0" borderId="0" xfId="0" applyNumberFormat="1" applyFont="1" applyProtection="1"/>
    <xf numFmtId="0" fontId="16" fillId="31" borderId="0" xfId="0" applyFont="1" applyFill="1" applyBorder="1" applyProtection="1"/>
    <xf numFmtId="173" fontId="16" fillId="0" borderId="0" xfId="86" applyNumberFormat="1" applyFont="1" applyFill="1" applyProtection="1"/>
    <xf numFmtId="173" fontId="16" fillId="0" borderId="0" xfId="86" applyNumberFormat="1" applyFont="1" applyBorder="1" applyProtection="1"/>
    <xf numFmtId="43" fontId="16" fillId="0" borderId="0" xfId="86" applyFont="1" applyProtection="1"/>
    <xf numFmtId="173" fontId="16" fillId="0" borderId="0" xfId="0" applyNumberFormat="1" applyFont="1" applyProtection="1"/>
    <xf numFmtId="0" fontId="72" fillId="0" borderId="0" xfId="0" applyFont="1" applyFill="1" applyProtection="1"/>
    <xf numFmtId="173" fontId="16" fillId="0" borderId="0" xfId="0" applyNumberFormat="1" applyFont="1" applyBorder="1" applyProtection="1"/>
    <xf numFmtId="174" fontId="16" fillId="0" borderId="0" xfId="0" applyNumberFormat="1" applyFont="1" applyBorder="1" applyProtection="1"/>
    <xf numFmtId="0" fontId="15" fillId="0" borderId="0" xfId="0" applyFont="1" applyProtection="1"/>
    <xf numFmtId="0" fontId="22" fillId="0" borderId="0" xfId="0" applyFont="1" applyAlignment="1" applyProtection="1">
      <alignment horizontal="right"/>
    </xf>
    <xf numFmtId="0" fontId="10" fillId="0" borderId="0" xfId="0" applyFont="1" applyFill="1" applyProtection="1"/>
    <xf numFmtId="0" fontId="13" fillId="0" borderId="21" xfId="0" applyFont="1" applyBorder="1" applyProtection="1"/>
    <xf numFmtId="0" fontId="13" fillId="0" borderId="16" xfId="0" applyFont="1" applyBorder="1" applyProtection="1"/>
    <xf numFmtId="0" fontId="16" fillId="0" borderId="16" xfId="0" applyFont="1" applyBorder="1" applyProtection="1"/>
    <xf numFmtId="173" fontId="13" fillId="0" borderId="22" xfId="86" applyNumberFormat="1" applyFont="1" applyBorder="1" applyProtection="1"/>
    <xf numFmtId="0" fontId="9" fillId="0" borderId="0" xfId="86" applyNumberFormat="1" applyFont="1" applyFill="1" applyAlignment="1" applyProtection="1">
      <alignment horizontal="left"/>
    </xf>
    <xf numFmtId="0" fontId="9" fillId="0" borderId="0" xfId="86" applyNumberFormat="1" applyFont="1" applyFill="1" applyBorder="1" applyAlignment="1" applyProtection="1">
      <alignment horizontal="left"/>
    </xf>
    <xf numFmtId="0" fontId="13" fillId="0" borderId="17" xfId="0" applyFont="1" applyBorder="1" applyProtection="1"/>
    <xf numFmtId="0" fontId="10" fillId="0" borderId="0" xfId="86" applyNumberFormat="1" applyFont="1" applyFill="1" applyBorder="1" applyAlignment="1" applyProtection="1">
      <alignment horizontal="left"/>
    </xf>
    <xf numFmtId="173" fontId="13" fillId="0" borderId="23" xfId="86" applyNumberFormat="1" applyFont="1" applyBorder="1" applyProtection="1"/>
    <xf numFmtId="0" fontId="13" fillId="0" borderId="0" xfId="0" applyFont="1" applyFill="1" applyProtection="1"/>
    <xf numFmtId="173" fontId="13" fillId="0" borderId="19" xfId="86" applyNumberFormat="1" applyFont="1" applyBorder="1" applyProtection="1"/>
    <xf numFmtId="173" fontId="16" fillId="0" borderId="6" xfId="86" applyNumberFormat="1" applyFont="1" applyBorder="1" applyProtection="1"/>
    <xf numFmtId="173" fontId="16" fillId="0" borderId="20" xfId="86" applyNumberFormat="1" applyFont="1" applyBorder="1" applyProtection="1"/>
    <xf numFmtId="0" fontId="11" fillId="0" borderId="0" xfId="0" applyFont="1" applyFill="1" applyProtection="1"/>
    <xf numFmtId="173" fontId="26" fillId="0" borderId="0" xfId="0" applyNumberFormat="1" applyFont="1" applyAlignment="1" applyProtection="1">
      <alignment horizontal="left"/>
    </xf>
    <xf numFmtId="0" fontId="16" fillId="0" borderId="0" xfId="0" applyFont="1" applyFill="1" applyAlignment="1" applyProtection="1">
      <alignment wrapText="1"/>
    </xf>
    <xf numFmtId="0" fontId="11" fillId="0" borderId="0" xfId="0" applyFont="1" applyFill="1" applyAlignment="1" applyProtection="1"/>
    <xf numFmtId="0" fontId="16" fillId="0" borderId="0" xfId="0" applyFont="1" applyFill="1" applyAlignment="1" applyProtection="1"/>
    <xf numFmtId="0" fontId="16" fillId="0" borderId="0" xfId="0" applyFont="1" applyFill="1" applyBorder="1" applyAlignment="1" applyProtection="1">
      <alignment wrapText="1"/>
    </xf>
    <xf numFmtId="0" fontId="0" fillId="31" borderId="0" xfId="0" applyFill="1" applyProtection="1"/>
    <xf numFmtId="0" fontId="16"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6" fillId="0" borderId="0" xfId="0" applyFont="1" applyBorder="1" applyAlignment="1" applyProtection="1"/>
    <xf numFmtId="0" fontId="16" fillId="0" borderId="0" xfId="0" applyFont="1" applyFill="1" applyBorder="1" applyAlignment="1" applyProtection="1"/>
    <xf numFmtId="0" fontId="16" fillId="0" borderId="17" xfId="0" applyFont="1" applyFill="1" applyBorder="1" applyProtection="1"/>
    <xf numFmtId="0" fontId="16" fillId="0" borderId="0" xfId="0" applyFont="1" applyBorder="1" applyAlignment="1" applyProtection="1">
      <alignment horizontal="center"/>
    </xf>
    <xf numFmtId="0" fontId="13" fillId="0" borderId="22" xfId="0" applyFont="1" applyFill="1" applyBorder="1" applyAlignment="1" applyProtection="1">
      <alignment horizontal="center"/>
    </xf>
    <xf numFmtId="173" fontId="16" fillId="0" borderId="0" xfId="0" applyNumberFormat="1" applyFont="1" applyFill="1" applyBorder="1" applyAlignment="1" applyProtection="1">
      <alignment horizontal="right"/>
    </xf>
    <xf numFmtId="10" fontId="16" fillId="0" borderId="18" xfId="0" applyNumberFormat="1" applyFont="1" applyBorder="1" applyProtection="1"/>
    <xf numFmtId="10" fontId="16" fillId="0" borderId="0" xfId="0" applyNumberFormat="1" applyFont="1" applyFill="1" applyBorder="1" applyProtection="1"/>
    <xf numFmtId="173" fontId="16" fillId="0" borderId="18" xfId="0" applyNumberFormat="1" applyFont="1" applyFill="1" applyBorder="1" applyAlignment="1" applyProtection="1">
      <alignment horizontal="right"/>
    </xf>
    <xf numFmtId="10" fontId="16" fillId="0" borderId="0" xfId="0" applyNumberFormat="1" applyFont="1" applyBorder="1" applyProtection="1"/>
    <xf numFmtId="0" fontId="16" fillId="0" borderId="19" xfId="0" applyFont="1" applyBorder="1" applyProtection="1"/>
    <xf numFmtId="0" fontId="16" fillId="0" borderId="6" xfId="0" applyFont="1" applyBorder="1" applyAlignment="1" applyProtection="1">
      <alignment horizontal="center"/>
    </xf>
    <xf numFmtId="0" fontId="0" fillId="0" borderId="6" xfId="0" applyBorder="1" applyProtection="1"/>
    <xf numFmtId="0" fontId="13" fillId="0" borderId="27" xfId="0" applyFont="1" applyBorder="1" applyAlignment="1" applyProtection="1">
      <alignment horizontal="center" wrapText="1"/>
    </xf>
    <xf numFmtId="173" fontId="13" fillId="0" borderId="0" xfId="86" applyNumberFormat="1" applyFont="1" applyBorder="1" applyAlignment="1" applyProtection="1">
      <alignment horizontal="center" wrapText="1"/>
    </xf>
    <xf numFmtId="173" fontId="13" fillId="0" borderId="27" xfId="86" applyNumberFormat="1" applyFont="1" applyBorder="1" applyAlignment="1" applyProtection="1">
      <alignment horizontal="center" wrapText="1"/>
    </xf>
    <xf numFmtId="173" fontId="13" fillId="0" borderId="22" xfId="86" applyNumberFormat="1" applyFont="1" applyBorder="1" applyAlignment="1" applyProtection="1">
      <alignment horizontal="center" wrapText="1"/>
    </xf>
    <xf numFmtId="0" fontId="13" fillId="0" borderId="28" xfId="0" applyFont="1" applyBorder="1" applyAlignment="1" applyProtection="1">
      <alignment horizontal="center" wrapText="1"/>
    </xf>
    <xf numFmtId="173" fontId="13" fillId="28" borderId="27" xfId="86" applyNumberFormat="1" applyFont="1" applyFill="1" applyBorder="1" applyAlignment="1" applyProtection="1">
      <alignment horizontal="center" wrapText="1"/>
    </xf>
    <xf numFmtId="0" fontId="13" fillId="0" borderId="0" xfId="0" applyFont="1" applyBorder="1" applyAlignment="1" applyProtection="1">
      <alignment horizontal="center" wrapText="1"/>
    </xf>
    <xf numFmtId="0" fontId="13" fillId="0" borderId="29" xfId="0" applyFont="1" applyBorder="1" applyAlignment="1" applyProtection="1">
      <alignment horizontal="center"/>
    </xf>
    <xf numFmtId="0" fontId="13" fillId="0" borderId="6" xfId="0" applyFont="1" applyBorder="1" applyAlignment="1" applyProtection="1">
      <alignment horizontal="center"/>
    </xf>
    <xf numFmtId="173" fontId="13" fillId="0" borderId="29" xfId="86" applyNumberFormat="1" applyFont="1" applyBorder="1" applyAlignment="1" applyProtection="1">
      <alignment horizontal="center"/>
    </xf>
    <xf numFmtId="173" fontId="13" fillId="0" borderId="20" xfId="86" applyNumberFormat="1" applyFont="1" applyBorder="1" applyAlignment="1" applyProtection="1">
      <alignment horizontal="center"/>
    </xf>
    <xf numFmtId="0" fontId="13" fillId="0" borderId="29" xfId="0" applyFont="1" applyFill="1" applyBorder="1" applyAlignment="1" applyProtection="1">
      <alignment horizontal="center"/>
    </xf>
    <xf numFmtId="0" fontId="13" fillId="0" borderId="28" xfId="0" applyFont="1" applyFill="1" applyBorder="1" applyAlignment="1" applyProtection="1">
      <alignment horizontal="center"/>
    </xf>
    <xf numFmtId="173" fontId="13" fillId="28" borderId="29" xfId="86" applyNumberFormat="1" applyFont="1" applyFill="1" applyBorder="1" applyAlignment="1" applyProtection="1">
      <alignment horizontal="center"/>
    </xf>
    <xf numFmtId="0" fontId="16" fillId="0" borderId="28" xfId="0" applyNumberFormat="1" applyFont="1" applyBorder="1" applyAlignment="1" applyProtection="1">
      <alignment horizontal="center"/>
    </xf>
    <xf numFmtId="173" fontId="16" fillId="0" borderId="28" xfId="86" applyNumberFormat="1" applyFont="1" applyBorder="1" applyProtection="1"/>
    <xf numFmtId="173" fontId="16" fillId="0" borderId="28" xfId="86" applyNumberFormat="1" applyFont="1" applyFill="1" applyBorder="1" applyProtection="1"/>
    <xf numFmtId="173" fontId="16" fillId="0" borderId="18" xfId="86" applyNumberFormat="1" applyFont="1" applyFill="1" applyBorder="1" applyProtection="1"/>
    <xf numFmtId="174" fontId="16" fillId="0" borderId="28" xfId="0" applyNumberFormat="1" applyFont="1" applyBorder="1" applyProtection="1"/>
    <xf numFmtId="174" fontId="12" fillId="29" borderId="27" xfId="0" applyNumberFormat="1" applyFont="1" applyFill="1" applyBorder="1" applyProtection="1"/>
    <xf numFmtId="174" fontId="16" fillId="28" borderId="27" xfId="0" applyNumberFormat="1" applyFont="1" applyFill="1" applyBorder="1" applyProtection="1"/>
    <xf numFmtId="173" fontId="16" fillId="0" borderId="28" xfId="0" applyNumberFormat="1" applyFont="1" applyBorder="1" applyProtection="1"/>
    <xf numFmtId="173" fontId="16" fillId="0" borderId="18" xfId="86" applyNumberFormat="1" applyFont="1" applyBorder="1" applyProtection="1"/>
    <xf numFmtId="174" fontId="12" fillId="29" borderId="28" xfId="0" applyNumberFormat="1" applyFont="1" applyFill="1" applyBorder="1" applyProtection="1"/>
    <xf numFmtId="174" fontId="16" fillId="28" borderId="28" xfId="0" applyNumberFormat="1" applyFont="1" applyFill="1" applyBorder="1" applyProtection="1"/>
    <xf numFmtId="174" fontId="16" fillId="28" borderId="28" xfId="0" applyNumberFormat="1" applyFont="1" applyFill="1" applyBorder="1" applyAlignment="1" applyProtection="1">
      <alignment wrapText="1"/>
    </xf>
    <xf numFmtId="0" fontId="16" fillId="0" borderId="29" xfId="0" applyNumberFormat="1" applyFont="1" applyBorder="1" applyAlignment="1" applyProtection="1">
      <alignment horizontal="center"/>
    </xf>
    <xf numFmtId="173" fontId="16" fillId="0" borderId="6" xfId="0" applyNumberFormat="1" applyFont="1" applyBorder="1" applyProtection="1"/>
    <xf numFmtId="173" fontId="16" fillId="0" borderId="29" xfId="0" applyNumberFormat="1" applyFont="1" applyBorder="1" applyProtection="1"/>
    <xf numFmtId="173" fontId="16" fillId="0" borderId="29" xfId="86" applyNumberFormat="1" applyFont="1" applyBorder="1" applyProtection="1"/>
    <xf numFmtId="174" fontId="16" fillId="0" borderId="29" xfId="0" applyNumberFormat="1" applyFont="1" applyBorder="1" applyProtection="1"/>
    <xf numFmtId="174" fontId="12" fillId="29" borderId="29" xfId="0" applyNumberFormat="1" applyFont="1" applyFill="1" applyBorder="1" applyProtection="1"/>
    <xf numFmtId="174" fontId="16" fillId="28" borderId="29" xfId="0" applyNumberFormat="1" applyFont="1" applyFill="1" applyBorder="1" applyProtection="1"/>
    <xf numFmtId="0" fontId="0" fillId="33" borderId="0" xfId="0" applyFill="1" applyProtection="1"/>
    <xf numFmtId="10" fontId="0" fillId="0" borderId="0" xfId="264" applyNumberFormat="1" applyFont="1" applyAlignment="1" applyProtection="1">
      <alignment horizontal="right"/>
    </xf>
    <xf numFmtId="172" fontId="16" fillId="0" borderId="21" xfId="255" applyFont="1" applyBorder="1" applyAlignment="1" applyProtection="1"/>
    <xf numFmtId="172" fontId="16" fillId="0" borderId="16" xfId="255" applyFont="1" applyBorder="1" applyAlignment="1" applyProtection="1"/>
    <xf numFmtId="3" fontId="16" fillId="0" borderId="22" xfId="255" applyNumberFormat="1" applyFont="1" applyBorder="1" applyAlignment="1" applyProtection="1"/>
    <xf numFmtId="172" fontId="16" fillId="0" borderId="17" xfId="255" applyFont="1" applyBorder="1" applyAlignment="1" applyProtection="1"/>
    <xf numFmtId="3" fontId="16" fillId="0" borderId="18" xfId="255" applyNumberFormat="1" applyFont="1" applyBorder="1" applyAlignment="1" applyProtection="1"/>
    <xf numFmtId="0" fontId="16" fillId="0" borderId="0" xfId="255" quotePrefix="1" applyNumberFormat="1" applyFont="1" applyBorder="1" applyAlignment="1" applyProtection="1">
      <alignment horizontal="center"/>
    </xf>
    <xf numFmtId="0" fontId="16" fillId="0" borderId="18" xfId="0" applyFont="1" applyBorder="1" applyProtection="1"/>
    <xf numFmtId="10" fontId="36" fillId="0" borderId="0" xfId="0" applyNumberFormat="1" applyFont="1" applyFill="1" applyAlignment="1" applyProtection="1">
      <alignment horizontal="center"/>
    </xf>
    <xf numFmtId="0" fontId="16" fillId="0" borderId="17" xfId="0" applyFont="1" applyBorder="1" applyProtection="1"/>
    <xf numFmtId="0" fontId="16" fillId="0" borderId="0" xfId="0" applyFont="1" applyBorder="1" applyAlignment="1" applyProtection="1">
      <alignment horizontal="right"/>
    </xf>
    <xf numFmtId="174" fontId="16" fillId="0" borderId="18" xfId="0" applyNumberFormat="1" applyFont="1" applyBorder="1" applyProtection="1"/>
    <xf numFmtId="174" fontId="16" fillId="0" borderId="20" xfId="0" applyNumberFormat="1" applyFont="1" applyBorder="1" applyProtection="1"/>
    <xf numFmtId="173" fontId="16" fillId="0" borderId="22" xfId="0" applyNumberFormat="1" applyFont="1" applyBorder="1" applyProtection="1"/>
    <xf numFmtId="166" fontId="16" fillId="0" borderId="19" xfId="255" applyNumberFormat="1" applyFont="1" applyBorder="1" applyAlignment="1" applyProtection="1">
      <alignment horizontal="center"/>
    </xf>
    <xf numFmtId="0" fontId="16" fillId="0" borderId="6" xfId="255" applyNumberFormat="1" applyFont="1" applyBorder="1" applyAlignment="1" applyProtection="1">
      <alignment horizontal="center"/>
    </xf>
    <xf numFmtId="173" fontId="16" fillId="0" borderId="6" xfId="255" quotePrefix="1" applyNumberFormat="1" applyFont="1" applyBorder="1" applyAlignment="1" applyProtection="1">
      <alignment horizontal="center"/>
    </xf>
    <xf numFmtId="41" fontId="16" fillId="0" borderId="0" xfId="255" applyNumberFormat="1" applyFont="1" applyFill="1" applyBorder="1" applyAlignment="1" applyProtection="1">
      <alignment horizontal="right"/>
    </xf>
    <xf numFmtId="10" fontId="16" fillId="0" borderId="0" xfId="264" applyNumberFormat="1" applyFont="1" applyFill="1" applyBorder="1" applyAlignment="1" applyProtection="1"/>
    <xf numFmtId="0" fontId="131" fillId="27" borderId="0" xfId="0" applyFont="1" applyFill="1" applyBorder="1" applyProtection="1"/>
    <xf numFmtId="0" fontId="13" fillId="0" borderId="21" xfId="0" applyFont="1" applyFill="1" applyBorder="1" applyAlignment="1" applyProtection="1">
      <alignment horizontal="center"/>
    </xf>
    <xf numFmtId="173" fontId="16" fillId="0" borderId="17" xfId="86" applyNumberFormat="1" applyFont="1" applyBorder="1" applyProtection="1"/>
    <xf numFmtId="173" fontId="13" fillId="0" borderId="0" xfId="86" applyNumberFormat="1" applyFont="1" applyBorder="1" applyProtection="1"/>
    <xf numFmtId="173" fontId="16" fillId="0" borderId="18" xfId="0" applyNumberFormat="1" applyFont="1" applyBorder="1" applyProtection="1"/>
    <xf numFmtId="173" fontId="13" fillId="0" borderId="11" xfId="86" applyNumberFormat="1" applyFont="1" applyBorder="1" applyProtection="1"/>
    <xf numFmtId="173" fontId="16" fillId="0" borderId="23" xfId="0" applyNumberFormat="1" applyFont="1" applyBorder="1" applyProtection="1"/>
    <xf numFmtId="173" fontId="13" fillId="0" borderId="6" xfId="86" applyNumberFormat="1" applyFont="1" applyFill="1" applyBorder="1" applyAlignment="1" applyProtection="1">
      <alignment horizontal="left"/>
    </xf>
    <xf numFmtId="173" fontId="13" fillId="0" borderId="20" xfId="86" applyNumberFormat="1" applyFont="1" applyFill="1" applyBorder="1" applyAlignment="1" applyProtection="1">
      <alignment horizontal="left"/>
    </xf>
    <xf numFmtId="173" fontId="16" fillId="0" borderId="27" xfId="0" applyNumberFormat="1" applyFont="1" applyBorder="1" applyProtection="1"/>
    <xf numFmtId="174" fontId="16" fillId="0" borderId="27" xfId="0" applyNumberFormat="1" applyFont="1" applyBorder="1" applyProtection="1"/>
    <xf numFmtId="0" fontId="13" fillId="0" borderId="0" xfId="255" applyNumberFormat="1" applyFont="1" applyFill="1" applyBorder="1" applyAlignment="1" applyProtection="1">
      <alignment vertical="center"/>
    </xf>
    <xf numFmtId="0" fontId="110" fillId="0" borderId="0" xfId="0" applyFont="1" applyProtection="1"/>
    <xf numFmtId="0" fontId="13" fillId="0" borderId="0" xfId="255" applyNumberFormat="1" applyFont="1" applyFill="1" applyBorder="1" applyAlignment="1" applyProtection="1">
      <alignment vertical="top"/>
    </xf>
    <xf numFmtId="0" fontId="26" fillId="0" borderId="0" xfId="0" applyFont="1" applyAlignment="1" applyProtection="1"/>
    <xf numFmtId="0" fontId="114" fillId="0" borderId="0" xfId="257" applyFont="1" applyAlignment="1" applyProtection="1"/>
    <xf numFmtId="0" fontId="7" fillId="0" borderId="0" xfId="257" applyProtection="1"/>
    <xf numFmtId="44" fontId="114" fillId="0" borderId="0" xfId="115" applyFont="1" applyAlignment="1" applyProtection="1"/>
    <xf numFmtId="0" fontId="115" fillId="0" borderId="0" xfId="257" applyFont="1" applyProtection="1"/>
    <xf numFmtId="0" fontId="116" fillId="0" borderId="0" xfId="257" applyFont="1" applyAlignment="1" applyProtection="1">
      <alignment horizontal="center"/>
    </xf>
    <xf numFmtId="0" fontId="117" fillId="0" borderId="0" xfId="257" applyFont="1" applyProtection="1"/>
    <xf numFmtId="176" fontId="116" fillId="0" borderId="0" xfId="257" applyNumberFormat="1" applyFont="1" applyAlignment="1" applyProtection="1">
      <alignment horizontal="center"/>
    </xf>
    <xf numFmtId="0" fontId="116" fillId="0" borderId="0" xfId="257" applyFont="1" applyProtection="1"/>
    <xf numFmtId="176" fontId="116" fillId="0" borderId="0" xfId="257" quotePrefix="1" applyNumberFormat="1" applyFont="1" applyAlignment="1" applyProtection="1">
      <alignment horizontal="center"/>
    </xf>
    <xf numFmtId="193" fontId="116" fillId="0" borderId="0" xfId="257" quotePrefix="1" applyNumberFormat="1" applyFont="1" applyAlignment="1" applyProtection="1">
      <alignment horizontal="center"/>
    </xf>
    <xf numFmtId="0" fontId="118" fillId="0" borderId="0" xfId="257" applyFont="1" applyProtection="1"/>
    <xf numFmtId="0" fontId="46" fillId="0" borderId="0" xfId="257" applyFont="1" applyProtection="1"/>
    <xf numFmtId="0" fontId="9" fillId="0" borderId="0" xfId="254" applyFont="1" applyProtection="1"/>
    <xf numFmtId="0" fontId="6" fillId="0" borderId="0" xfId="254" applyProtection="1"/>
    <xf numFmtId="0" fontId="6" fillId="0" borderId="0" xfId="254" applyAlignment="1" applyProtection="1">
      <alignment horizontal="center"/>
    </xf>
    <xf numFmtId="0" fontId="127" fillId="0" borderId="0" xfId="0" applyFont="1" applyFill="1" applyAlignment="1" applyProtection="1">
      <alignment horizontal="left"/>
    </xf>
    <xf numFmtId="0" fontId="127" fillId="0" borderId="0" xfId="0" applyFont="1" applyFill="1" applyProtection="1"/>
    <xf numFmtId="0" fontId="127" fillId="0" borderId="27" xfId="0" applyFont="1" applyFill="1" applyBorder="1" applyAlignment="1" applyProtection="1">
      <alignment horizontal="center" wrapText="1"/>
    </xf>
    <xf numFmtId="0" fontId="127" fillId="0" borderId="28" xfId="0" applyFont="1" applyFill="1" applyBorder="1" applyAlignment="1" applyProtection="1">
      <alignment horizontal="center" wrapText="1"/>
    </xf>
    <xf numFmtId="0" fontId="127" fillId="0" borderId="28" xfId="0" applyFont="1" applyFill="1" applyBorder="1" applyProtection="1"/>
    <xf numFmtId="170" fontId="128" fillId="0" borderId="0" xfId="0" applyNumberFormat="1" applyFont="1" applyFill="1" applyAlignment="1" applyProtection="1">
      <alignment horizontal="right"/>
    </xf>
    <xf numFmtId="170" fontId="127" fillId="0" borderId="0" xfId="0" applyNumberFormat="1" applyFont="1" applyFill="1" applyAlignment="1" applyProtection="1">
      <alignment horizontal="center"/>
    </xf>
    <xf numFmtId="170" fontId="127" fillId="0" borderId="0" xfId="0" applyNumberFormat="1" applyFont="1" applyFill="1" applyProtection="1"/>
    <xf numFmtId="170" fontId="128" fillId="0" borderId="0" xfId="0" applyNumberFormat="1" applyFont="1" applyFill="1" applyAlignment="1" applyProtection="1">
      <alignment horizontal="center"/>
    </xf>
    <xf numFmtId="170" fontId="9" fillId="0" borderId="0" xfId="0" applyNumberFormat="1" applyFont="1" applyFill="1" applyProtection="1"/>
    <xf numFmtId="5" fontId="127" fillId="0" borderId="29" xfId="0" applyNumberFormat="1" applyFont="1" applyFill="1" applyBorder="1" applyAlignment="1" applyProtection="1">
      <alignment horizontal="center"/>
    </xf>
    <xf numFmtId="173" fontId="127" fillId="0" borderId="0" xfId="0" applyNumberFormat="1" applyFont="1" applyFill="1" applyProtection="1"/>
    <xf numFmtId="0" fontId="127" fillId="0" borderId="0" xfId="0" applyFont="1" applyFill="1" applyAlignment="1" applyProtection="1">
      <alignment horizontal="center"/>
    </xf>
    <xf numFmtId="173" fontId="127" fillId="0" borderId="6" xfId="0" applyNumberFormat="1" applyFont="1" applyFill="1" applyBorder="1" applyProtection="1"/>
    <xf numFmtId="0" fontId="127" fillId="0" borderId="6" xfId="0" applyFont="1" applyFill="1" applyBorder="1" applyAlignment="1" applyProtection="1">
      <alignment horizontal="center"/>
    </xf>
    <xf numFmtId="0" fontId="9" fillId="0" borderId="6" xfId="0" applyFont="1" applyFill="1" applyBorder="1" applyProtection="1"/>
    <xf numFmtId="173" fontId="127" fillId="0" borderId="0" xfId="0" applyNumberFormat="1" applyFont="1" applyFill="1" applyAlignment="1" applyProtection="1">
      <alignment horizontal="left"/>
    </xf>
    <xf numFmtId="0" fontId="128" fillId="0" borderId="0" xfId="0" applyNumberFormat="1" applyFont="1" applyFill="1" applyAlignment="1" applyProtection="1">
      <alignment horizontal="left"/>
    </xf>
    <xf numFmtId="0" fontId="128" fillId="0" borderId="0" xfId="0" applyFont="1" applyFill="1" applyAlignment="1" applyProtection="1">
      <alignment horizontal="center" wrapText="1"/>
    </xf>
    <xf numFmtId="0" fontId="128" fillId="0" borderId="0" xfId="0" applyFont="1" applyFill="1" applyAlignment="1" applyProtection="1">
      <alignment horizontal="center"/>
    </xf>
    <xf numFmtId="173" fontId="128" fillId="0" borderId="0" xfId="0" applyNumberFormat="1" applyFont="1" applyFill="1" applyAlignment="1" applyProtection="1">
      <alignment horizontal="center" wrapText="1"/>
    </xf>
    <xf numFmtId="173" fontId="128" fillId="0" borderId="0" xfId="0" applyNumberFormat="1" applyFont="1" applyFill="1" applyAlignment="1" applyProtection="1">
      <alignment horizontal="center"/>
    </xf>
    <xf numFmtId="176" fontId="127" fillId="0" borderId="0" xfId="265" applyNumberFormat="1" applyFont="1" applyFill="1" applyProtection="1"/>
    <xf numFmtId="173" fontId="127" fillId="0" borderId="0" xfId="0" applyNumberFormat="1" applyFont="1" applyFill="1" applyAlignment="1" applyProtection="1">
      <alignment horizontal="center"/>
    </xf>
    <xf numFmtId="0" fontId="129" fillId="0" borderId="0" xfId="0" applyFont="1" applyFill="1" applyAlignment="1" applyProtection="1">
      <alignment horizontal="center"/>
    </xf>
    <xf numFmtId="173" fontId="127" fillId="0" borderId="0" xfId="88" applyNumberFormat="1" applyFont="1" applyFill="1" applyProtection="1"/>
    <xf numFmtId="176" fontId="127" fillId="0" borderId="0" xfId="0" applyNumberFormat="1" applyFont="1" applyFill="1" applyProtection="1"/>
    <xf numFmtId="0" fontId="127" fillId="0" borderId="0" xfId="0" applyNumberFormat="1" applyFont="1" applyFill="1" applyProtection="1"/>
    <xf numFmtId="173" fontId="127" fillId="0" borderId="11" xfId="88" applyNumberFormat="1" applyFont="1" applyFill="1" applyBorder="1" applyProtection="1"/>
    <xf numFmtId="173" fontId="128" fillId="0" borderId="0" xfId="88" applyNumberFormat="1" applyFont="1" applyFill="1" applyProtection="1"/>
    <xf numFmtId="173" fontId="128" fillId="0" borderId="0" xfId="88" applyNumberFormat="1" applyFont="1" applyFill="1" applyAlignment="1" applyProtection="1">
      <alignment horizontal="center"/>
    </xf>
    <xf numFmtId="0" fontId="129" fillId="0" borderId="0" xfId="0" applyFont="1" applyFill="1" applyProtection="1"/>
    <xf numFmtId="173" fontId="128" fillId="0" borderId="0" xfId="0" applyNumberFormat="1" applyFont="1" applyFill="1" applyProtection="1"/>
    <xf numFmtId="195" fontId="9" fillId="0" borderId="0" xfId="0" applyNumberFormat="1" applyFont="1" applyFill="1" applyProtection="1"/>
    <xf numFmtId="173" fontId="9" fillId="0" borderId="0" xfId="88" applyNumberFormat="1" applyFont="1" applyFill="1" applyProtection="1"/>
    <xf numFmtId="173" fontId="9" fillId="0" borderId="0" xfId="116" applyNumberFormat="1" applyFont="1" applyFill="1" applyProtection="1"/>
    <xf numFmtId="0" fontId="0" fillId="0" borderId="0" xfId="0" applyFill="1" applyAlignment="1" applyProtection="1">
      <alignment horizontal="left"/>
    </xf>
    <xf numFmtId="0" fontId="130" fillId="0" borderId="0" xfId="0" applyFont="1" applyFill="1" applyProtection="1"/>
    <xf numFmtId="176" fontId="0" fillId="0" borderId="0" xfId="0" applyNumberFormat="1" applyFill="1" applyProtection="1"/>
    <xf numFmtId="174" fontId="0" fillId="0" borderId="0" xfId="116" applyNumberFormat="1" applyFont="1" applyFill="1" applyProtection="1"/>
    <xf numFmtId="173" fontId="127" fillId="0" borderId="0" xfId="181" applyNumberFormat="1" applyFont="1" applyBorder="1" applyProtection="1"/>
    <xf numFmtId="43" fontId="16" fillId="0" borderId="0" xfId="181" applyNumberFormat="1" applyFont="1" applyProtection="1"/>
    <xf numFmtId="43" fontId="16" fillId="0" borderId="0" xfId="181" applyNumberFormat="1" applyFont="1" applyFill="1" applyBorder="1" applyProtection="1"/>
    <xf numFmtId="43" fontId="9" fillId="0" borderId="0" xfId="181" applyNumberFormat="1" applyFont="1" applyFill="1" applyBorder="1" applyProtection="1"/>
    <xf numFmtId="0" fontId="23" fillId="34" borderId="0" xfId="86" applyNumberFormat="1" applyFont="1" applyFill="1" applyAlignment="1" applyProtection="1">
      <protection locked="0"/>
    </xf>
    <xf numFmtId="173" fontId="23" fillId="34" borderId="0" xfId="86" applyNumberFormat="1" applyFont="1" applyFill="1" applyAlignment="1" applyProtection="1">
      <alignment horizontal="right"/>
      <protection locked="0"/>
    </xf>
    <xf numFmtId="41" fontId="23" fillId="34" borderId="0" xfId="255" applyNumberFormat="1" applyFont="1" applyFill="1" applyAlignment="1" applyProtection="1">
      <protection locked="0"/>
    </xf>
    <xf numFmtId="41" fontId="23" fillId="34" borderId="6" xfId="255" applyNumberFormat="1" applyFont="1" applyFill="1" applyBorder="1" applyAlignment="1" applyProtection="1">
      <protection locked="0"/>
    </xf>
    <xf numFmtId="3" fontId="23" fillId="34" borderId="0" xfId="255" applyNumberFormat="1" applyFont="1" applyFill="1" applyAlignment="1" applyProtection="1">
      <protection locked="0"/>
    </xf>
    <xf numFmtId="3" fontId="23" fillId="34" borderId="6" xfId="255" applyNumberFormat="1" applyFont="1" applyFill="1" applyBorder="1" applyAlignment="1" applyProtection="1">
      <protection locked="0"/>
    </xf>
    <xf numFmtId="10" fontId="23" fillId="34" borderId="0" xfId="264" applyNumberFormat="1" applyFont="1" applyFill="1" applyAlignment="1" applyProtection="1">
      <protection locked="0"/>
    </xf>
    <xf numFmtId="173" fontId="12" fillId="34" borderId="0" xfId="89" applyNumberFormat="1" applyFont="1" applyFill="1" applyBorder="1" applyAlignment="1" applyProtection="1">
      <alignment horizontal="right"/>
      <protection locked="0"/>
    </xf>
    <xf numFmtId="0" fontId="36" fillId="34" borderId="0" xfId="209" applyFont="1" applyFill="1" applyBorder="1" applyProtection="1">
      <protection locked="0"/>
    </xf>
    <xf numFmtId="173" fontId="12" fillId="34" borderId="11" xfId="89" applyNumberFormat="1" applyFont="1" applyFill="1" applyBorder="1" applyAlignment="1" applyProtection="1">
      <alignment horizontal="right"/>
      <protection locked="0"/>
    </xf>
    <xf numFmtId="41" fontId="12" fillId="34" borderId="0" xfId="247" applyNumberFormat="1" applyFont="1" applyFill="1" applyProtection="1">
      <protection locked="0"/>
    </xf>
    <xf numFmtId="41" fontId="12" fillId="34" borderId="11" xfId="247" applyNumberFormat="1" applyFont="1" applyFill="1" applyBorder="1" applyProtection="1">
      <protection locked="0"/>
    </xf>
    <xf numFmtId="37" fontId="12" fillId="34" borderId="0" xfId="0" applyNumberFormat="1" applyFont="1" applyFill="1" applyProtection="1">
      <protection locked="0"/>
    </xf>
    <xf numFmtId="38" fontId="67" fillId="0" borderId="16" xfId="0" applyNumberFormat="1" applyFont="1" applyFill="1" applyBorder="1"/>
    <xf numFmtId="173" fontId="0" fillId="0" borderId="0" xfId="0" applyNumberFormat="1" applyFill="1" applyProtection="1"/>
    <xf numFmtId="173" fontId="12" fillId="0" borderId="0" xfId="86" applyNumberFormat="1" applyFont="1" applyFill="1" applyProtection="1"/>
    <xf numFmtId="173" fontId="0" fillId="0" borderId="11" xfId="0" applyNumberFormat="1" applyFill="1" applyBorder="1" applyProtection="1"/>
    <xf numFmtId="173" fontId="12" fillId="34" borderId="0" xfId="113" applyNumberFormat="1" applyFont="1" applyFill="1" applyProtection="1">
      <protection locked="0"/>
    </xf>
    <xf numFmtId="0" fontId="23" fillId="34" borderId="0" xfId="247" applyFont="1" applyFill="1" applyAlignment="1" applyProtection="1">
      <alignment horizontal="center"/>
      <protection locked="0"/>
    </xf>
    <xf numFmtId="3" fontId="23" fillId="34" borderId="0" xfId="0" applyNumberFormat="1" applyFont="1" applyFill="1" applyAlignment="1" applyProtection="1">
      <protection locked="0"/>
    </xf>
    <xf numFmtId="41" fontId="23" fillId="34" borderId="0" xfId="247" applyNumberFormat="1" applyFont="1" applyFill="1" applyBorder="1" applyProtection="1">
      <protection locked="0"/>
    </xf>
    <xf numFmtId="41" fontId="23" fillId="34" borderId="11" xfId="247" applyNumberFormat="1" applyFont="1" applyFill="1" applyBorder="1" applyProtection="1">
      <protection locked="0"/>
    </xf>
    <xf numFmtId="10" fontId="23" fillId="34" borderId="0" xfId="0" applyNumberFormat="1" applyFont="1" applyFill="1" applyBorder="1" applyAlignment="1" applyProtection="1">
      <protection locked="0"/>
    </xf>
    <xf numFmtId="10" fontId="23" fillId="34" borderId="11" xfId="0" applyNumberFormat="1" applyFont="1" applyFill="1" applyBorder="1" applyAlignment="1" applyProtection="1">
      <protection locked="0"/>
    </xf>
    <xf numFmtId="10" fontId="82" fillId="34" borderId="11" xfId="264" applyNumberFormat="1" applyFont="1" applyFill="1" applyBorder="1" applyProtection="1">
      <protection locked="0"/>
    </xf>
    <xf numFmtId="41" fontId="82" fillId="34" borderId="11" xfId="256" applyNumberFormat="1" applyFont="1" applyFill="1" applyBorder="1" applyProtection="1">
      <protection locked="0"/>
    </xf>
    <xf numFmtId="173" fontId="82" fillId="34" borderId="0" xfId="256" applyNumberFormat="1" applyFont="1" applyFill="1" applyBorder="1" applyProtection="1">
      <protection locked="0"/>
    </xf>
    <xf numFmtId="0" fontId="75" fillId="34" borderId="0" xfId="256" applyFont="1" applyFill="1" applyAlignment="1" applyProtection="1">
      <alignment horizontal="center"/>
      <protection locked="0"/>
    </xf>
    <xf numFmtId="0" fontId="12" fillId="34" borderId="0" xfId="86" applyNumberFormat="1" applyFont="1" applyFill="1" applyAlignment="1" applyProtection="1">
      <protection locked="0"/>
    </xf>
    <xf numFmtId="173" fontId="6" fillId="34" borderId="6" xfId="255" applyNumberFormat="1" applyFont="1" applyFill="1" applyBorder="1" applyAlignment="1" applyProtection="1">
      <alignment horizontal="center"/>
      <protection locked="0"/>
    </xf>
    <xf numFmtId="0" fontId="23" fillId="34" borderId="0" xfId="86" applyNumberFormat="1" applyFont="1" applyFill="1" applyAlignment="1" applyProtection="1">
      <alignment horizontal="left"/>
      <protection locked="0"/>
    </xf>
    <xf numFmtId="173" fontId="162" fillId="34" borderId="18" xfId="86" applyNumberFormat="1" applyFont="1" applyFill="1" applyBorder="1" applyAlignment="1" applyProtection="1">
      <alignment horizontal="right"/>
      <protection locked="0"/>
    </xf>
    <xf numFmtId="0" fontId="162" fillId="34" borderId="18" xfId="0" applyFont="1" applyFill="1" applyBorder="1" applyAlignment="1" applyProtection="1">
      <alignment horizontal="right"/>
      <protection locked="0"/>
    </xf>
    <xf numFmtId="173" fontId="12" fillId="34" borderId="18" xfId="86" applyNumberFormat="1" applyFont="1" applyFill="1" applyBorder="1" applyAlignment="1" applyProtection="1">
      <alignment horizontal="right"/>
      <protection locked="0"/>
    </xf>
    <xf numFmtId="0" fontId="12" fillId="34" borderId="20" xfId="0" applyFont="1" applyFill="1" applyBorder="1" applyAlignment="1" applyProtection="1">
      <alignment horizontal="right"/>
      <protection locked="0"/>
    </xf>
    <xf numFmtId="173" fontId="12" fillId="34" borderId="18" xfId="0" applyNumberFormat="1" applyFont="1" applyFill="1" applyBorder="1" applyAlignment="1" applyProtection="1">
      <alignment horizontal="right"/>
      <protection locked="0"/>
    </xf>
    <xf numFmtId="174" fontId="12" fillId="34" borderId="28" xfId="0" applyNumberFormat="1" applyFont="1" applyFill="1" applyBorder="1" applyProtection="1">
      <protection locked="0"/>
    </xf>
    <xf numFmtId="174" fontId="12" fillId="34" borderId="29" xfId="0" applyNumberFormat="1" applyFont="1" applyFill="1" applyBorder="1" applyProtection="1">
      <protection locked="0"/>
    </xf>
    <xf numFmtId="174" fontId="16" fillId="34" borderId="0" xfId="0" applyNumberFormat="1" applyFont="1" applyFill="1" applyBorder="1" applyProtection="1">
      <protection locked="0"/>
    </xf>
    <xf numFmtId="174" fontId="16" fillId="34" borderId="6" xfId="0" applyNumberFormat="1" applyFont="1" applyFill="1" applyBorder="1" applyProtection="1">
      <protection locked="0"/>
    </xf>
    <xf numFmtId="0" fontId="73" fillId="34" borderId="0" xfId="0" applyFont="1" applyFill="1" applyAlignment="1" applyProtection="1">
      <alignment horizontal="left"/>
      <protection locked="0"/>
    </xf>
    <xf numFmtId="0" fontId="12" fillId="34" borderId="18" xfId="0" applyFont="1" applyFill="1" applyBorder="1" applyAlignment="1" applyProtection="1">
      <alignment horizontal="right"/>
      <protection locked="0"/>
    </xf>
    <xf numFmtId="0" fontId="21" fillId="0" borderId="0" xfId="247" applyFont="1" applyAlignment="1">
      <alignment wrapText="1"/>
    </xf>
    <xf numFmtId="173" fontId="12" fillId="34" borderId="0" xfId="88" applyNumberFormat="1" applyFont="1" applyFill="1" applyBorder="1" applyProtection="1">
      <protection locked="0"/>
    </xf>
    <xf numFmtId="173" fontId="24" fillId="34" borderId="0" xfId="86" applyNumberFormat="1" applyFont="1" applyFill="1" applyProtection="1">
      <protection locked="0"/>
    </xf>
    <xf numFmtId="189" fontId="24" fillId="34" borderId="0" xfId="0" applyNumberFormat="1" applyFont="1" applyFill="1" applyProtection="1">
      <protection locked="0"/>
    </xf>
    <xf numFmtId="0" fontId="0" fillId="34" borderId="0" xfId="0" applyFill="1" applyAlignment="1" applyProtection="1">
      <alignment horizontal="center"/>
      <protection locked="0"/>
    </xf>
    <xf numFmtId="0" fontId="24" fillId="34" borderId="0" xfId="0" applyFont="1" applyFill="1" applyProtection="1">
      <protection locked="0"/>
    </xf>
    <xf numFmtId="170" fontId="127" fillId="34" borderId="29" xfId="0" applyNumberFormat="1" applyFont="1" applyFill="1" applyBorder="1" applyAlignment="1" applyProtection="1">
      <alignment horizontal="center"/>
      <protection locked="0"/>
    </xf>
    <xf numFmtId="176" fontId="127" fillId="34" borderId="0" xfId="265" applyNumberFormat="1" applyFont="1" applyFill="1" applyProtection="1">
      <protection locked="0"/>
    </xf>
    <xf numFmtId="197" fontId="163" fillId="31" borderId="0" xfId="0" applyNumberFormat="1" applyFont="1" applyFill="1" applyAlignment="1">
      <alignment horizontal="right"/>
    </xf>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173" fontId="16" fillId="0" borderId="28" xfId="95" applyNumberFormat="1" applyFont="1" applyFill="1" applyBorder="1" applyProtection="1"/>
    <xf numFmtId="173" fontId="16" fillId="0" borderId="18" xfId="95" applyNumberFormat="1" applyFont="1" applyFill="1" applyBorder="1" applyProtection="1"/>
    <xf numFmtId="173" fontId="12" fillId="0" borderId="0" xfId="113" applyNumberFormat="1" applyFont="1" applyFill="1" applyProtection="1">
      <protection locked="0"/>
    </xf>
    <xf numFmtId="0" fontId="136" fillId="0" borderId="0" xfId="0" applyFont="1" applyAlignment="1">
      <alignment vertical="center"/>
    </xf>
    <xf numFmtId="0" fontId="85" fillId="0" borderId="0" xfId="209" applyNumberFormat="1" applyFont="1" applyFill="1" applyBorder="1" applyAlignment="1">
      <alignment horizontal="center"/>
    </xf>
    <xf numFmtId="173" fontId="82" fillId="0" borderId="0" xfId="256" applyNumberFormat="1" applyFont="1" applyFill="1" applyBorder="1" applyProtection="1">
      <protection locked="0"/>
    </xf>
    <xf numFmtId="0" fontId="75" fillId="0" borderId="0" xfId="256" applyFont="1" applyFill="1" applyAlignment="1" applyProtection="1">
      <alignment horizontal="center"/>
      <protection locked="0"/>
    </xf>
    <xf numFmtId="0" fontId="137" fillId="0" borderId="0" xfId="0" applyNumberFormat="1" applyFont="1" applyAlignment="1">
      <alignment horizontal="center"/>
    </xf>
    <xf numFmtId="172" fontId="16" fillId="0" borderId="0" xfId="252" applyFont="1" applyAlignment="1"/>
    <xf numFmtId="173" fontId="16" fillId="0" borderId="0" xfId="0" applyNumberFormat="1" applyFont="1" applyAlignment="1"/>
    <xf numFmtId="0" fontId="16" fillId="0" borderId="0" xfId="258" applyFont="1"/>
    <xf numFmtId="0" fontId="16" fillId="0" borderId="0" xfId="0" applyNumberFormat="1" applyFont="1" applyAlignment="1">
      <alignment horizontal="center"/>
    </xf>
    <xf numFmtId="173" fontId="16" fillId="0" borderId="31" xfId="88" applyNumberFormat="1" applyFont="1" applyBorder="1"/>
    <xf numFmtId="173" fontId="16" fillId="0" borderId="14" xfId="88" applyNumberFormat="1" applyFont="1" applyBorder="1"/>
    <xf numFmtId="173" fontId="16" fillId="0" borderId="32" xfId="88" applyNumberFormat="1" applyFont="1" applyBorder="1"/>
    <xf numFmtId="0" fontId="16" fillId="0" borderId="14" xfId="0" applyNumberFormat="1" applyFont="1" applyBorder="1" applyAlignment="1">
      <alignment horizontal="center"/>
    </xf>
    <xf numFmtId="0" fontId="16" fillId="0" borderId="33" xfId="0" applyNumberFormat="1" applyFont="1" applyBorder="1" applyAlignment="1">
      <alignment horizontal="center"/>
    </xf>
    <xf numFmtId="0" fontId="16" fillId="0" borderId="34" xfId="0" applyNumberFormat="1" applyFont="1" applyBorder="1" applyAlignment="1">
      <alignment horizontal="center"/>
    </xf>
    <xf numFmtId="0" fontId="137" fillId="0" borderId="0" xfId="0" applyFont="1" applyAlignment="1"/>
    <xf numFmtId="3" fontId="16" fillId="0" borderId="35" xfId="209" applyNumberFormat="1" applyFont="1" applyFill="1" applyBorder="1" applyAlignment="1">
      <alignment horizontal="center" wrapText="1"/>
    </xf>
    <xf numFmtId="3" fontId="16" fillId="0" borderId="11" xfId="209" applyNumberFormat="1" applyFont="1" applyFill="1" applyBorder="1" applyAlignment="1">
      <alignment horizontal="center" wrapText="1"/>
    </xf>
    <xf numFmtId="3" fontId="16" fillId="0" borderId="33" xfId="209" applyNumberFormat="1" applyFont="1" applyFill="1" applyBorder="1" applyAlignment="1">
      <alignment horizontal="center" wrapText="1"/>
    </xf>
    <xf numFmtId="0" fontId="13" fillId="0" borderId="0" xfId="258" applyFont="1" applyBorder="1" applyAlignment="1">
      <alignment horizontal="center"/>
    </xf>
    <xf numFmtId="0" fontId="13" fillId="0" borderId="36" xfId="258" applyFont="1" applyBorder="1" applyAlignment="1">
      <alignment horizontal="center"/>
    </xf>
    <xf numFmtId="0" fontId="13" fillId="0" borderId="34" xfId="258" applyFont="1" applyBorder="1" applyAlignment="1">
      <alignment horizontal="center"/>
    </xf>
    <xf numFmtId="0" fontId="13" fillId="0" borderId="36" xfId="258" applyFont="1" applyBorder="1" applyAlignment="1">
      <alignment horizontal="center" wrapText="1"/>
    </xf>
    <xf numFmtId="0" fontId="13" fillId="0" borderId="0" xfId="258" applyFont="1" applyBorder="1" applyAlignment="1">
      <alignment horizontal="center" wrapText="1"/>
    </xf>
    <xf numFmtId="0" fontId="13" fillId="0" borderId="34" xfId="258" applyFont="1" applyBorder="1" applyAlignment="1">
      <alignment horizontal="center" wrapText="1"/>
    </xf>
    <xf numFmtId="0" fontId="16" fillId="0" borderId="34" xfId="0" applyNumberFormat="1" applyFont="1" applyBorder="1" applyAlignment="1">
      <alignment horizontal="center" wrapText="1"/>
    </xf>
    <xf numFmtId="0" fontId="16" fillId="0" borderId="37" xfId="0" applyFont="1" applyBorder="1" applyAlignment="1"/>
    <xf numFmtId="0" fontId="16" fillId="0" borderId="2" xfId="0" applyFont="1" applyBorder="1" applyAlignment="1"/>
    <xf numFmtId="0" fontId="16" fillId="0" borderId="38" xfId="0" applyFont="1" applyBorder="1" applyAlignment="1"/>
    <xf numFmtId="0" fontId="13" fillId="0" borderId="2" xfId="258" applyFont="1" applyBorder="1" applyAlignment="1">
      <alignment horizontal="centerContinuous" wrapText="1"/>
    </xf>
    <xf numFmtId="0" fontId="16" fillId="0" borderId="38" xfId="0" applyNumberFormat="1" applyFont="1" applyBorder="1" applyAlignment="1">
      <alignment horizontal="center"/>
    </xf>
    <xf numFmtId="37" fontId="16" fillId="0" borderId="0" xfId="258" applyNumberFormat="1" applyFont="1"/>
    <xf numFmtId="173" fontId="16" fillId="0" borderId="31" xfId="89" applyNumberFormat="1" applyFont="1" applyBorder="1"/>
    <xf numFmtId="173" fontId="16" fillId="0" borderId="14" xfId="89" applyNumberFormat="1" applyFont="1" applyBorder="1"/>
    <xf numFmtId="0" fontId="16" fillId="0" borderId="39" xfId="258" applyFont="1" applyBorder="1" applyAlignment="1">
      <alignment horizontal="right"/>
    </xf>
    <xf numFmtId="0" fontId="16" fillId="0" borderId="40" xfId="0" applyNumberFormat="1" applyFont="1" applyBorder="1" applyAlignment="1">
      <alignment horizontal="center"/>
    </xf>
    <xf numFmtId="0" fontId="16" fillId="0" borderId="35" xfId="258" applyFont="1" applyBorder="1"/>
    <xf numFmtId="0" fontId="16" fillId="0" borderId="36" xfId="258" applyFont="1" applyBorder="1"/>
    <xf numFmtId="0" fontId="16" fillId="0" borderId="36" xfId="258" quotePrefix="1" applyFont="1" applyBorder="1" applyAlignment="1">
      <alignment horizontal="left"/>
    </xf>
    <xf numFmtId="3" fontId="28" fillId="0" borderId="35" xfId="209" applyNumberFormat="1" applyFont="1" applyFill="1" applyBorder="1" applyAlignment="1">
      <alignment horizontal="center" wrapText="1"/>
    </xf>
    <xf numFmtId="3" fontId="28" fillId="0" borderId="11" xfId="209" applyNumberFormat="1" applyFont="1" applyFill="1" applyBorder="1" applyAlignment="1">
      <alignment horizontal="center" wrapText="1"/>
    </xf>
    <xf numFmtId="0" fontId="13" fillId="0" borderId="36" xfId="246" applyFont="1" applyFill="1" applyBorder="1" applyAlignment="1">
      <alignment horizontal="center" wrapText="1"/>
    </xf>
    <xf numFmtId="0" fontId="16" fillId="0" borderId="0" xfId="0" applyFont="1" applyAlignment="1">
      <alignment wrapText="1"/>
    </xf>
    <xf numFmtId="0" fontId="13" fillId="0" borderId="37" xfId="258" applyFont="1" applyBorder="1" applyAlignment="1">
      <alignment horizontal="center" wrapText="1"/>
    </xf>
    <xf numFmtId="0" fontId="16" fillId="0" borderId="38" xfId="0" applyNumberFormat="1" applyFont="1" applyBorder="1" applyAlignment="1">
      <alignment horizontal="center" wrapText="1"/>
    </xf>
    <xf numFmtId="0" fontId="13" fillId="0" borderId="0" xfId="258" applyFont="1" applyAlignment="1">
      <alignment horizontal="centerContinuous"/>
    </xf>
    <xf numFmtId="0" fontId="16" fillId="0" borderId="0" xfId="187" applyFont="1"/>
    <xf numFmtId="0" fontId="13" fillId="0" borderId="0" xfId="258" applyFont="1" applyAlignment="1">
      <alignment horizontal="center"/>
    </xf>
    <xf numFmtId="0" fontId="16" fillId="0" borderId="0" xfId="258" applyFont="1" applyFill="1" applyAlignment="1">
      <alignment horizontal="left"/>
    </xf>
    <xf numFmtId="0" fontId="16" fillId="0" borderId="0" xfId="0" applyFont="1" applyAlignment="1">
      <alignment horizontal="right"/>
    </xf>
    <xf numFmtId="0" fontId="16" fillId="0" borderId="0" xfId="209" applyFont="1" applyFill="1" applyBorder="1" applyAlignment="1">
      <alignment horizontal="left"/>
    </xf>
    <xf numFmtId="0" fontId="21" fillId="0" borderId="0" xfId="209" applyFont="1" applyBorder="1" applyAlignment="1">
      <alignment horizontal="center" vertical="center"/>
    </xf>
    <xf numFmtId="0" fontId="21" fillId="0" borderId="0" xfId="247" applyFont="1" applyAlignment="1">
      <alignment horizontal="center" vertical="center" wrapText="1"/>
    </xf>
    <xf numFmtId="0" fontId="21" fillId="0" borderId="0" xfId="209" quotePrefix="1" applyFont="1" applyBorder="1" applyAlignment="1">
      <alignment horizontal="center" vertical="center" wrapText="1"/>
    </xf>
    <xf numFmtId="0" fontId="21" fillId="0" borderId="0" xfId="209" applyFont="1" applyFill="1" applyBorder="1" applyAlignment="1">
      <alignment horizontal="left" vertical="center"/>
    </xf>
    <xf numFmtId="0" fontId="16" fillId="0" borderId="0" xfId="0" applyFont="1" applyFill="1" applyAlignment="1"/>
    <xf numFmtId="0" fontId="16" fillId="0" borderId="0" xfId="0" applyFont="1" applyFill="1" applyAlignment="1">
      <alignment horizontal="center"/>
    </xf>
    <xf numFmtId="0" fontId="16"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7" fillId="0" borderId="0" xfId="86" applyNumberFormat="1" applyFont="1" applyFill="1" applyAlignment="1" applyProtection="1">
      <alignment horizontal="left"/>
      <protection locked="0"/>
    </xf>
    <xf numFmtId="173" fontId="67" fillId="0" borderId="11" xfId="86" applyNumberFormat="1" applyFont="1" applyFill="1" applyBorder="1" applyAlignment="1" applyProtection="1">
      <alignment horizontal="left"/>
      <protection locked="0"/>
    </xf>
    <xf numFmtId="0" fontId="19" fillId="0" borderId="0" xfId="0" applyFont="1" applyAlignment="1"/>
    <xf numFmtId="0" fontId="19" fillId="0" borderId="0" xfId="0" applyNumberFormat="1" applyFont="1" applyAlignment="1">
      <alignment horizontal="center"/>
    </xf>
    <xf numFmtId="0" fontId="19" fillId="0" borderId="0" xfId="0" applyFont="1" applyAlignment="1">
      <alignment horizontal="right"/>
    </xf>
    <xf numFmtId="0" fontId="100" fillId="0" borderId="0" xfId="258" applyFont="1" applyAlignment="1">
      <alignment horizontal="centerContinuous"/>
    </xf>
    <xf numFmtId="0" fontId="19" fillId="0" borderId="0" xfId="258" applyFont="1" applyFill="1" applyAlignment="1">
      <alignment horizontal="left"/>
    </xf>
    <xf numFmtId="0" fontId="100" fillId="0" borderId="0" xfId="258" applyFont="1" applyAlignment="1">
      <alignment horizontal="center"/>
    </xf>
    <xf numFmtId="0" fontId="13" fillId="0" borderId="41" xfId="258" applyFont="1" applyBorder="1" applyAlignment="1">
      <alignment horizontal="center" wrapText="1"/>
    </xf>
    <xf numFmtId="0" fontId="19" fillId="0" borderId="0" xfId="0" applyFont="1" applyAlignment="1">
      <alignment wrapText="1"/>
    </xf>
    <xf numFmtId="0" fontId="13" fillId="0" borderId="10" xfId="258" applyFont="1" applyBorder="1" applyAlignment="1">
      <alignment horizontal="center"/>
    </xf>
    <xf numFmtId="0" fontId="138" fillId="0" borderId="0" xfId="0" applyFont="1" applyAlignment="1"/>
    <xf numFmtId="3" fontId="28" fillId="0" borderId="33" xfId="209" applyNumberFormat="1" applyFont="1" applyFill="1" applyBorder="1" applyAlignment="1">
      <alignment horizontal="center" wrapText="1"/>
    </xf>
    <xf numFmtId="3" fontId="28" fillId="0" borderId="42" xfId="209" applyNumberFormat="1" applyFont="1" applyFill="1" applyBorder="1" applyAlignment="1">
      <alignment wrapText="1"/>
    </xf>
    <xf numFmtId="41" fontId="16" fillId="0" borderId="10" xfId="258" applyNumberFormat="1" applyFont="1" applyFill="1" applyBorder="1"/>
    <xf numFmtId="173" fontId="16" fillId="0" borderId="43" xfId="88" applyNumberFormat="1" applyFont="1" applyBorder="1"/>
    <xf numFmtId="3" fontId="28" fillId="0" borderId="42" xfId="209" applyNumberFormat="1" applyFont="1" applyFill="1" applyBorder="1" applyAlignment="1">
      <alignment horizontal="center" wrapText="1"/>
    </xf>
    <xf numFmtId="0" fontId="19" fillId="0" borderId="0" xfId="258" applyFont="1"/>
    <xf numFmtId="37" fontId="19" fillId="0" borderId="0" xfId="258" applyNumberFormat="1" applyFont="1"/>
    <xf numFmtId="172" fontId="19" fillId="0" borderId="0" xfId="252" applyFont="1" applyAlignment="1"/>
    <xf numFmtId="0" fontId="16" fillId="0" borderId="0" xfId="249" applyFont="1" applyFill="1" applyAlignment="1" applyProtection="1">
      <alignment vertical="top"/>
    </xf>
    <xf numFmtId="0" fontId="138" fillId="0" borderId="0" xfId="0" applyNumberFormat="1" applyFont="1" applyAlignment="1">
      <alignment horizontal="center"/>
    </xf>
    <xf numFmtId="0" fontId="99" fillId="0" borderId="0" xfId="250" applyFont="1" applyFill="1" applyProtection="1"/>
    <xf numFmtId="0" fontId="100" fillId="0" borderId="0" xfId="0" applyFont="1" applyAlignment="1">
      <alignment horizontal="center"/>
    </xf>
    <xf numFmtId="0" fontId="100" fillId="0" borderId="0" xfId="0" quotePrefix="1" applyFont="1" applyAlignment="1">
      <alignment horizontal="center"/>
    </xf>
    <xf numFmtId="0" fontId="13" fillId="0" borderId="0" xfId="250" applyFont="1" applyFill="1" applyAlignment="1" applyProtection="1">
      <alignment horizontal="left"/>
    </xf>
    <xf numFmtId="173" fontId="16" fillId="0" borderId="0" xfId="88" applyNumberFormat="1" applyFont="1" applyFill="1" applyProtection="1"/>
    <xf numFmtId="0" fontId="16" fillId="0" borderId="0" xfId="250" applyFont="1" applyFill="1" applyProtection="1"/>
    <xf numFmtId="0" fontId="16" fillId="0" borderId="0" xfId="181"/>
    <xf numFmtId="0" fontId="16" fillId="0" borderId="0" xfId="250" applyFont="1" applyFill="1" applyAlignment="1" applyProtection="1">
      <alignment horizontal="left"/>
    </xf>
    <xf numFmtId="173" fontId="12" fillId="34" borderId="0" xfId="88" applyNumberFormat="1" applyFont="1" applyFill="1" applyProtection="1">
      <protection locked="0"/>
    </xf>
    <xf numFmtId="0" fontId="16" fillId="0" borderId="0" xfId="249" applyFont="1" applyFill="1" applyAlignment="1" applyProtection="1">
      <alignment horizontal="left"/>
    </xf>
    <xf numFmtId="173" fontId="12" fillId="0" borderId="0" xfId="88" applyNumberFormat="1" applyFont="1" applyFill="1" applyProtection="1">
      <protection locked="0"/>
    </xf>
    <xf numFmtId="0" fontId="16" fillId="0" borderId="0" xfId="181" applyProtection="1"/>
    <xf numFmtId="10" fontId="16" fillId="0" borderId="0" xfId="265" applyNumberFormat="1" applyFont="1" applyFill="1" applyBorder="1" applyProtection="1"/>
    <xf numFmtId="173" fontId="12" fillId="30" borderId="6" xfId="88" applyNumberFormat="1" applyFont="1" applyFill="1" applyBorder="1" applyAlignment="1" applyProtection="1">
      <protection locked="0"/>
    </xf>
    <xf numFmtId="10" fontId="13" fillId="0" borderId="0" xfId="265" applyNumberFormat="1" applyFont="1" applyFill="1" applyBorder="1" applyProtection="1"/>
    <xf numFmtId="0" fontId="13" fillId="0" borderId="0" xfId="250" applyFont="1" applyFill="1" applyProtection="1"/>
    <xf numFmtId="173" fontId="16" fillId="0" borderId="0" xfId="265" applyNumberFormat="1" applyFont="1" applyFill="1" applyBorder="1" applyProtection="1"/>
    <xf numFmtId="10" fontId="13" fillId="0" borderId="44" xfId="265" applyNumberFormat="1" applyFont="1" applyFill="1" applyBorder="1" applyProtection="1"/>
    <xf numFmtId="0" fontId="109" fillId="0" borderId="0" xfId="181" applyFont="1" applyAlignment="1" applyProtection="1">
      <alignment horizontal="center"/>
    </xf>
    <xf numFmtId="0" fontId="19" fillId="0" borderId="0" xfId="250" applyFont="1" applyFill="1" applyProtection="1"/>
    <xf numFmtId="0" fontId="19" fillId="0" borderId="0" xfId="250" applyFont="1" applyProtection="1"/>
    <xf numFmtId="41" fontId="13" fillId="0" borderId="0" xfId="250" applyNumberFormat="1" applyFont="1" applyFill="1" applyBorder="1" applyAlignment="1" applyProtection="1">
      <alignment horizontal="center" wrapText="1"/>
    </xf>
    <xf numFmtId="0" fontId="13" fillId="0" borderId="0" xfId="250" applyFont="1" applyFill="1" applyAlignment="1" applyProtection="1">
      <alignment horizontal="center" wrapText="1"/>
    </xf>
    <xf numFmtId="0" fontId="12" fillId="34" borderId="0" xfId="250" applyFont="1" applyFill="1" applyProtection="1">
      <protection locked="0"/>
    </xf>
    <xf numFmtId="173" fontId="19" fillId="0" borderId="0" xfId="250" applyNumberFormat="1" applyFont="1" applyFill="1" applyProtection="1"/>
    <xf numFmtId="196" fontId="12" fillId="34" borderId="0" xfId="250" applyNumberFormat="1" applyFont="1" applyFill="1" applyProtection="1">
      <protection locked="0"/>
    </xf>
    <xf numFmtId="37" fontId="12" fillId="34" borderId="0" xfId="250" applyNumberFormat="1" applyFont="1" applyFill="1" applyProtection="1">
      <protection locked="0"/>
    </xf>
    <xf numFmtId="173" fontId="12" fillId="34" borderId="0" xfId="250" applyNumberFormat="1" applyFont="1" applyFill="1" applyProtection="1">
      <protection locked="0"/>
    </xf>
    <xf numFmtId="0" fontId="89" fillId="34" borderId="0" xfId="250" applyFont="1" applyFill="1" applyProtection="1">
      <protection locked="0"/>
    </xf>
    <xf numFmtId="0" fontId="16" fillId="0" borderId="11" xfId="0" applyFont="1" applyBorder="1" applyProtection="1"/>
    <xf numFmtId="0" fontId="19" fillId="0" borderId="11" xfId="250" applyFont="1" applyFill="1" applyBorder="1" applyProtection="1"/>
    <xf numFmtId="0" fontId="16" fillId="31" borderId="0" xfId="250" applyFont="1" applyFill="1" applyAlignment="1" applyProtection="1">
      <alignment horizontal="left"/>
    </xf>
    <xf numFmtId="41" fontId="16" fillId="0" borderId="0" xfId="265" applyNumberFormat="1" applyFont="1" applyFill="1" applyBorder="1" applyProtection="1"/>
    <xf numFmtId="173" fontId="19" fillId="0" borderId="0" xfId="250" applyNumberFormat="1" applyFont="1" applyProtection="1"/>
    <xf numFmtId="185" fontId="16" fillId="0" borderId="0" xfId="88" applyNumberFormat="1" applyFont="1" applyFill="1" applyBorder="1" applyProtection="1"/>
    <xf numFmtId="10" fontId="19" fillId="0" borderId="0" xfId="265" applyNumberFormat="1" applyFont="1" applyFill="1" applyProtection="1"/>
    <xf numFmtId="173" fontId="16" fillId="0" borderId="0" xfId="88" applyNumberFormat="1" applyFont="1" applyFill="1" applyBorder="1" applyProtection="1"/>
    <xf numFmtId="173" fontId="13" fillId="0" borderId="44" xfId="88" applyNumberFormat="1" applyFont="1" applyFill="1" applyBorder="1" applyProtection="1"/>
    <xf numFmtId="0" fontId="99" fillId="0" borderId="0" xfId="250" applyFont="1" applyFill="1" applyAlignment="1" applyProtection="1">
      <alignment horizontal="left"/>
    </xf>
    <xf numFmtId="0" fontId="19" fillId="0" borderId="0" xfId="250" applyFont="1" applyFill="1" applyAlignment="1" applyProtection="1">
      <alignment horizontal="left"/>
    </xf>
    <xf numFmtId="0" fontId="21" fillId="0" borderId="0" xfId="250" applyFont="1" applyFill="1" applyAlignment="1" applyProtection="1">
      <alignment horizontal="left"/>
    </xf>
    <xf numFmtId="0" fontId="21" fillId="0" borderId="0" xfId="250" applyFont="1" applyFill="1" applyAlignment="1" applyProtection="1">
      <alignment horizontal="center" wrapText="1"/>
    </xf>
    <xf numFmtId="0" fontId="16" fillId="0" borderId="0" xfId="250" applyFill="1" applyProtection="1"/>
    <xf numFmtId="164" fontId="12" fillId="34" borderId="0" xfId="265" applyNumberFormat="1" applyFont="1" applyFill="1" applyAlignment="1" applyProtection="1">
      <alignment horizontal="right" wrapText="1"/>
      <protection locked="0"/>
    </xf>
    <xf numFmtId="44" fontId="12" fillId="34" borderId="0" xfId="116" applyFont="1" applyFill="1" applyAlignment="1" applyProtection="1">
      <alignment horizontal="right" wrapText="1"/>
      <protection locked="0"/>
    </xf>
    <xf numFmtId="41" fontId="12" fillId="0" borderId="0" xfId="250" applyNumberFormat="1" applyFont="1" applyFill="1" applyBorder="1" applyProtection="1"/>
    <xf numFmtId="173" fontId="16" fillId="0" borderId="0" xfId="88" applyNumberFormat="1" applyFill="1" applyProtection="1"/>
    <xf numFmtId="41" fontId="16" fillId="0" borderId="0" xfId="0" applyNumberFormat="1" applyFont="1" applyFill="1" applyProtection="1"/>
    <xf numFmtId="41" fontId="16" fillId="0" borderId="0" xfId="250" applyNumberFormat="1" applyFill="1" applyBorder="1" applyProtection="1"/>
    <xf numFmtId="41" fontId="100" fillId="0" borderId="0" xfId="250" applyNumberFormat="1" applyFont="1" applyFill="1" applyProtection="1"/>
    <xf numFmtId="41" fontId="16" fillId="0" borderId="12" xfId="250" applyNumberFormat="1" applyFont="1" applyFill="1" applyBorder="1" applyProtection="1"/>
    <xf numFmtId="41" fontId="13" fillId="0" borderId="41" xfId="250" applyNumberFormat="1" applyFont="1" applyFill="1" applyBorder="1" applyProtection="1"/>
    <xf numFmtId="0" fontId="13" fillId="0" borderId="0" xfId="250" applyFont="1" applyFill="1" applyBorder="1" applyProtection="1"/>
    <xf numFmtId="0" fontId="13"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7" fillId="0" borderId="0" xfId="0" applyFont="1" applyFill="1" applyAlignment="1">
      <alignment horizontal="center"/>
    </xf>
    <xf numFmtId="3" fontId="0" fillId="0" borderId="0" xfId="0" applyNumberFormat="1" applyFont="1" applyFill="1" applyAlignment="1">
      <alignment horizontal="centerContinuous"/>
    </xf>
    <xf numFmtId="3" fontId="17" fillId="0" borderId="0" xfId="0" applyNumberFormat="1" applyFont="1" applyFill="1" applyAlignment="1">
      <alignment horizontal="centerContinuous"/>
    </xf>
    <xf numFmtId="3" fontId="0" fillId="0" borderId="0" xfId="0" applyNumberFormat="1" applyFill="1" applyAlignment="1">
      <alignment horizontal="centerContinuous"/>
    </xf>
    <xf numFmtId="3" fontId="16"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0" borderId="0" xfId="0" applyNumberFormat="1" applyFill="1" applyAlignment="1"/>
    <xf numFmtId="37" fontId="16" fillId="0" borderId="0" xfId="0" applyNumberFormat="1" applyFont="1" applyFill="1" applyAlignment="1"/>
    <xf numFmtId="37" fontId="16"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7" fillId="0" borderId="0" xfId="0" applyFont="1" applyAlignment="1">
      <alignment horizontal="center"/>
    </xf>
    <xf numFmtId="3" fontId="0" fillId="0" borderId="0" xfId="0" applyNumberFormat="1" applyFont="1" applyAlignment="1">
      <alignment horizontal="centerContinuous"/>
    </xf>
    <xf numFmtId="3" fontId="17"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4" fillId="0" borderId="46" xfId="0" applyNumberFormat="1" applyFont="1" applyFill="1" applyBorder="1" applyAlignment="1"/>
    <xf numFmtId="37" fontId="164" fillId="0" borderId="0" xfId="0" applyNumberFormat="1" applyFont="1" applyFill="1" applyAlignment="1"/>
    <xf numFmtId="186" fontId="16" fillId="0" borderId="0" xfId="247" applyNumberFormat="1" applyFont="1" applyFill="1"/>
    <xf numFmtId="3" fontId="16" fillId="0" borderId="0" xfId="0" applyNumberFormat="1" applyFont="1" applyFill="1" applyAlignment="1">
      <alignment horizontal="center"/>
    </xf>
    <xf numFmtId="4" fontId="16" fillId="0" borderId="0" xfId="0" applyNumberFormat="1" applyFont="1" applyFill="1" applyAlignment="1">
      <alignment horizontal="center"/>
    </xf>
    <xf numFmtId="0" fontId="165" fillId="0" borderId="0" xfId="255" applyNumberFormat="1" applyFont="1" applyFill="1" applyAlignment="1" applyProtection="1">
      <alignment horizontal="center"/>
    </xf>
    <xf numFmtId="172" fontId="166" fillId="0" borderId="0" xfId="255" applyFont="1" applyFill="1" applyAlignment="1" applyProtection="1"/>
    <xf numFmtId="198" fontId="12" fillId="34" borderId="0" xfId="247" applyNumberFormat="1" applyFont="1" applyFill="1" applyProtection="1">
      <protection locked="0"/>
    </xf>
    <xf numFmtId="0" fontId="167" fillId="0" borderId="0" xfId="0" applyFont="1" applyFill="1" applyAlignment="1">
      <alignment horizontal="left"/>
    </xf>
    <xf numFmtId="10" fontId="75" fillId="34" borderId="0" xfId="264" applyNumberFormat="1" applyFont="1" applyFill="1" applyAlignment="1" applyProtection="1">
      <alignment horizontal="center"/>
      <protection locked="0"/>
    </xf>
    <xf numFmtId="173" fontId="22" fillId="0" borderId="0" xfId="256" applyNumberFormat="1" applyFont="1"/>
    <xf numFmtId="0" fontId="22" fillId="0" borderId="0" xfId="256" applyNumberFormat="1" applyFont="1" applyAlignment="1">
      <alignment horizontal="center" vertical="center"/>
    </xf>
    <xf numFmtId="0" fontId="22" fillId="0" borderId="0" xfId="256" applyNumberFormat="1" applyFont="1" applyAlignment="1">
      <alignment vertical="center"/>
    </xf>
    <xf numFmtId="0" fontId="75" fillId="0" borderId="0" xfId="256" applyFont="1" applyFill="1" applyAlignment="1">
      <alignment horizontal="center"/>
    </xf>
    <xf numFmtId="0" fontId="168" fillId="0" borderId="0" xfId="256" applyFont="1" applyFill="1" applyAlignment="1">
      <alignment horizontal="right"/>
    </xf>
    <xf numFmtId="173" fontId="168" fillId="0" borderId="0" xfId="256" applyNumberFormat="1" applyFont="1" applyFill="1"/>
    <xf numFmtId="0" fontId="22" fillId="0" borderId="0" xfId="256" applyFont="1" applyAlignment="1">
      <alignment horizontal="left" indent="2"/>
    </xf>
    <xf numFmtId="173" fontId="169" fillId="0" borderId="0" xfId="256" applyNumberFormat="1" applyFont="1" applyBorder="1"/>
    <xf numFmtId="173" fontId="169" fillId="0" borderId="0" xfId="256" applyNumberFormat="1" applyFont="1"/>
    <xf numFmtId="0" fontId="143" fillId="0" borderId="0" xfId="256" applyNumberFormat="1" applyFont="1" applyAlignment="1">
      <alignment horizontal="center"/>
    </xf>
    <xf numFmtId="0" fontId="143" fillId="0" borderId="0" xfId="256" applyNumberFormat="1" applyFont="1"/>
    <xf numFmtId="0" fontId="144" fillId="0" borderId="0" xfId="256" applyFont="1"/>
    <xf numFmtId="0" fontId="143" fillId="0" borderId="0" xfId="256" applyFont="1" applyFill="1" applyBorder="1"/>
    <xf numFmtId="0" fontId="143" fillId="0" borderId="0" xfId="256" applyFont="1"/>
    <xf numFmtId="173" fontId="143" fillId="0" borderId="0" xfId="256" applyNumberFormat="1" applyFont="1" applyBorder="1"/>
    <xf numFmtId="173" fontId="143" fillId="0" borderId="0" xfId="256" applyNumberFormat="1" applyFont="1" applyFill="1" applyBorder="1"/>
    <xf numFmtId="0" fontId="9" fillId="0" borderId="0" xfId="255" applyNumberFormat="1" applyFont="1" applyFill="1" applyAlignment="1" applyProtection="1">
      <alignment horizontal="left" wrapText="1"/>
    </xf>
    <xf numFmtId="0" fontId="170" fillId="0" borderId="11" xfId="256" applyNumberFormat="1" applyFont="1" applyFill="1" applyBorder="1" applyAlignment="1">
      <alignment horizontal="center"/>
    </xf>
    <xf numFmtId="0" fontId="170" fillId="0" borderId="2" xfId="256" applyNumberFormat="1" applyFont="1" applyFill="1" applyBorder="1" applyAlignment="1">
      <alignment horizontal="center"/>
    </xf>
    <xf numFmtId="0" fontId="78" fillId="0" borderId="0" xfId="256" applyFont="1" applyFill="1" applyAlignment="1">
      <alignment horizontal="center" vertical="center"/>
    </xf>
    <xf numFmtId="0" fontId="22" fillId="0" borderId="11" xfId="256" applyNumberFormat="1" applyFont="1" applyBorder="1" applyAlignment="1">
      <alignment horizontal="center"/>
    </xf>
    <xf numFmtId="0" fontId="22" fillId="0" borderId="11" xfId="256" applyNumberFormat="1" applyFont="1" applyBorder="1"/>
    <xf numFmtId="0" fontId="22" fillId="0" borderId="11" xfId="256" applyFont="1" applyBorder="1"/>
    <xf numFmtId="173" fontId="82" fillId="0" borderId="11" xfId="256" applyNumberFormat="1" applyFont="1" applyFill="1" applyBorder="1" applyProtection="1">
      <protection locked="0"/>
    </xf>
    <xf numFmtId="173" fontId="75" fillId="0" borderId="11" xfId="256" applyNumberFormat="1" applyFont="1" applyFill="1" applyBorder="1"/>
    <xf numFmtId="0" fontId="75" fillId="0" borderId="11" xfId="256" applyFont="1" applyFill="1" applyBorder="1" applyAlignment="1" applyProtection="1">
      <alignment horizontal="center"/>
      <protection locked="0"/>
    </xf>
    <xf numFmtId="173" fontId="75" fillId="0" borderId="11" xfId="86" applyNumberFormat="1" applyFont="1" applyFill="1" applyBorder="1" applyAlignment="1" applyProtection="1">
      <alignment horizontal="center"/>
      <protection locked="0"/>
    </xf>
    <xf numFmtId="0" fontId="145" fillId="0" borderId="0" xfId="255" applyNumberFormat="1" applyFont="1" applyFill="1" applyAlignment="1" applyProtection="1">
      <alignment horizontal="center"/>
    </xf>
    <xf numFmtId="172" fontId="165" fillId="0" borderId="0" xfId="255" applyFont="1" applyFill="1" applyAlignment="1" applyProtection="1"/>
    <xf numFmtId="173" fontId="12" fillId="34" borderId="0" xfId="89" applyNumberFormat="1" applyFont="1" applyFill="1" applyBorder="1" applyAlignment="1" applyProtection="1">
      <alignment horizontal="left"/>
      <protection locked="0"/>
    </xf>
    <xf numFmtId="0" fontId="12" fillId="34" borderId="0" xfId="89" applyNumberFormat="1" applyFont="1" applyFill="1" applyBorder="1" applyAlignment="1" applyProtection="1">
      <alignment horizontal="center"/>
      <protection locked="0"/>
    </xf>
    <xf numFmtId="41" fontId="12" fillId="34" borderId="0" xfId="249" applyNumberFormat="1" applyFont="1" applyFill="1"/>
    <xf numFmtId="172" fontId="10" fillId="0" borderId="0" xfId="255" applyFont="1" applyFill="1" applyAlignment="1" applyProtection="1">
      <alignment horizontal="center"/>
    </xf>
    <xf numFmtId="3" fontId="10" fillId="0" borderId="0" xfId="255" applyNumberFormat="1" applyFont="1" applyFill="1" applyAlignment="1" applyProtection="1">
      <alignment horizontal="center" vertical="center"/>
    </xf>
    <xf numFmtId="0" fontId="7" fillId="0" borderId="0" xfId="255" applyNumberFormat="1" applyFont="1" applyFill="1" applyBorder="1" applyAlignment="1" applyProtection="1">
      <alignment horizontal="center"/>
    </xf>
    <xf numFmtId="3" fontId="18" fillId="0" borderId="0" xfId="255" applyNumberFormat="1" applyFont="1" applyFill="1" applyAlignment="1" applyProtection="1">
      <alignment horizontal="center"/>
    </xf>
    <xf numFmtId="0" fontId="7" fillId="0" borderId="6" xfId="255" applyNumberFormat="1" applyFont="1" applyFill="1" applyBorder="1" applyAlignment="1" applyProtection="1">
      <alignment horizontal="center"/>
    </xf>
    <xf numFmtId="0" fontId="9" fillId="0" borderId="0" xfId="255" applyNumberFormat="1" applyFont="1" applyFill="1" applyBorder="1" applyAlignment="1" applyProtection="1">
      <alignment vertical="center"/>
    </xf>
    <xf numFmtId="41" fontId="9" fillId="0" borderId="40" xfId="255" applyNumberFormat="1" applyFont="1" applyFill="1" applyBorder="1" applyAlignment="1" applyProtection="1"/>
    <xf numFmtId="0" fontId="16" fillId="0" borderId="0" xfId="0" applyFont="1" applyFill="1" applyAlignment="1" applyProtection="1">
      <alignment horizontal="center"/>
    </xf>
    <xf numFmtId="0" fontId="16" fillId="0" borderId="0" xfId="0" applyFont="1" applyFill="1" applyAlignment="1" applyProtection="1">
      <alignment horizontal="center" wrapText="1"/>
    </xf>
    <xf numFmtId="0" fontId="9" fillId="0" borderId="0" xfId="0" applyFont="1" applyFill="1" applyAlignment="1" applyProtection="1">
      <alignment horizontal="center"/>
    </xf>
    <xf numFmtId="0" fontId="67" fillId="0" borderId="0" xfId="0" applyFont="1" applyFill="1" applyProtection="1"/>
    <xf numFmtId="3" fontId="13" fillId="0" borderId="0" xfId="0" applyNumberFormat="1" applyFont="1" applyFill="1" applyAlignment="1">
      <alignment horizontal="left"/>
    </xf>
    <xf numFmtId="3" fontId="16" fillId="0" borderId="0" xfId="0" applyNumberFormat="1" applyFont="1" applyFill="1" applyAlignment="1"/>
    <xf numFmtId="37" fontId="16" fillId="0" borderId="0" xfId="0" applyNumberFormat="1" applyFont="1"/>
    <xf numFmtId="0" fontId="16" fillId="0" borderId="0" xfId="0" applyFont="1" applyFill="1" applyAlignment="1" applyProtection="1">
      <alignment horizontal="left"/>
    </xf>
    <xf numFmtId="0" fontId="17" fillId="0" borderId="0" xfId="0" applyFont="1" applyFill="1" applyAlignment="1" applyProtection="1">
      <alignment horizontal="left"/>
    </xf>
    <xf numFmtId="0" fontId="16" fillId="0" borderId="0" xfId="0" applyFont="1" applyFill="1" applyAlignment="1" applyProtection="1">
      <alignment vertical="top"/>
    </xf>
    <xf numFmtId="0" fontId="16" fillId="0" borderId="0" xfId="0" applyFont="1" applyFill="1" applyAlignment="1" applyProtection="1">
      <alignment vertical="top" wrapText="1"/>
    </xf>
    <xf numFmtId="0" fontId="112" fillId="0" borderId="0" xfId="0" applyFont="1" applyFill="1" applyAlignment="1" applyProtection="1">
      <alignment horizontal="center"/>
    </xf>
    <xf numFmtId="0" fontId="16" fillId="0" borderId="0" xfId="259" applyFont="1" applyFill="1" applyAlignment="1" applyProtection="1">
      <alignment horizontal="center"/>
    </xf>
    <xf numFmtId="38" fontId="12" fillId="0" borderId="0" xfId="0" applyNumberFormat="1" applyFont="1" applyFill="1" applyBorder="1" applyProtection="1">
      <protection locked="0"/>
    </xf>
    <xf numFmtId="0" fontId="10" fillId="0" borderId="0" xfId="248" applyFont="1" applyFill="1" applyBorder="1"/>
    <xf numFmtId="0" fontId="77" fillId="0" borderId="0" xfId="256" applyFont="1" applyFill="1" applyAlignment="1">
      <alignment vertical="center" wrapText="1"/>
    </xf>
    <xf numFmtId="0" fontId="10" fillId="0" borderId="0" xfId="247" quotePrefix="1" applyFont="1" applyFill="1" applyBorder="1" applyAlignment="1">
      <alignment horizontal="center"/>
    </xf>
    <xf numFmtId="0" fontId="8" fillId="0" borderId="11" xfId="256" applyNumberFormat="1" applyFont="1" applyFill="1" applyBorder="1" applyAlignment="1">
      <alignment horizontal="center" wrapText="1"/>
    </xf>
    <xf numFmtId="0" fontId="8" fillId="0" borderId="11" xfId="256" applyNumberFormat="1" applyFont="1" applyFill="1" applyBorder="1" applyAlignment="1">
      <alignment horizontal="center" vertical="center"/>
    </xf>
    <xf numFmtId="184" fontId="8" fillId="0" borderId="11" xfId="256" applyNumberFormat="1" applyFont="1" applyFill="1" applyBorder="1" applyAlignment="1">
      <alignment horizontal="center" vertical="center" wrapText="1"/>
    </xf>
    <xf numFmtId="0" fontId="8" fillId="0" borderId="11" xfId="256" applyNumberFormat="1" applyFont="1" applyFill="1" applyBorder="1" applyAlignment="1">
      <alignment horizontal="center" vertical="center" wrapText="1"/>
    </xf>
    <xf numFmtId="184" fontId="8" fillId="0" borderId="11" xfId="256" applyNumberFormat="1" applyFont="1" applyFill="1" applyBorder="1" applyAlignment="1">
      <alignment horizontal="center" vertical="center"/>
    </xf>
    <xf numFmtId="0" fontId="16" fillId="0" borderId="0" xfId="0" applyFont="1" applyFill="1" applyAlignment="1">
      <alignment vertical="center"/>
    </xf>
    <xf numFmtId="173" fontId="8" fillId="0" borderId="11" xfId="256" applyNumberFormat="1" applyFont="1" applyFill="1" applyBorder="1" applyAlignment="1">
      <alignment vertical="center"/>
    </xf>
    <xf numFmtId="173" fontId="78" fillId="0" borderId="0" xfId="256" applyNumberFormat="1" applyFont="1" applyFill="1" applyBorder="1" applyAlignment="1">
      <alignment vertical="center"/>
    </xf>
    <xf numFmtId="0" fontId="8" fillId="0" borderId="0" xfId="256" applyFont="1" applyFill="1" applyAlignment="1">
      <alignment horizontal="right" vertical="center"/>
    </xf>
    <xf numFmtId="0" fontId="75" fillId="0" borderId="0" xfId="256" applyFont="1" applyFill="1" applyAlignment="1">
      <alignment wrapText="1"/>
    </xf>
    <xf numFmtId="0" fontId="16" fillId="0" borderId="0" xfId="251" applyFont="1" applyFill="1" applyAlignment="1" applyProtection="1">
      <alignment horizontal="left"/>
    </xf>
    <xf numFmtId="0" fontId="16" fillId="0" borderId="0" xfId="181" applyFont="1" applyFill="1" applyAlignment="1" applyProtection="1">
      <alignment wrapText="1"/>
    </xf>
    <xf numFmtId="0" fontId="16" fillId="0" borderId="0" xfId="181" applyFont="1" applyFill="1" applyProtection="1"/>
    <xf numFmtId="173" fontId="75" fillId="0" borderId="0" xfId="86" applyNumberFormat="1" applyFont="1" applyFill="1" applyAlignment="1" applyProtection="1">
      <alignment horizontal="center"/>
      <protection locked="0"/>
    </xf>
    <xf numFmtId="173" fontId="16" fillId="0" borderId="0" xfId="256" applyNumberFormat="1" applyFont="1" applyFill="1"/>
    <xf numFmtId="0" fontId="16" fillId="0" borderId="0" xfId="163"/>
    <xf numFmtId="0" fontId="115" fillId="0" borderId="0" xfId="257" applyFont="1" applyProtection="1">
      <protection locked="0"/>
    </xf>
    <xf numFmtId="0" fontId="81" fillId="0" borderId="0" xfId="257" applyFont="1"/>
    <xf numFmtId="0" fontId="116" fillId="0" borderId="0" xfId="257" applyFont="1" applyAlignment="1">
      <alignment horizontal="center"/>
    </xf>
    <xf numFmtId="0" fontId="7" fillId="0" borderId="0" xfId="257"/>
    <xf numFmtId="176" fontId="7" fillId="0" borderId="0" xfId="257" applyNumberFormat="1"/>
    <xf numFmtId="0" fontId="118" fillId="0" borderId="0" xfId="257" applyFont="1" applyProtection="1">
      <protection locked="0"/>
    </xf>
    <xf numFmtId="0" fontId="119" fillId="0" borderId="15" xfId="257" applyFont="1" applyBorder="1"/>
    <xf numFmtId="0" fontId="115" fillId="0" borderId="15" xfId="257" applyFont="1" applyBorder="1" applyProtection="1">
      <protection locked="0"/>
    </xf>
    <xf numFmtId="0" fontId="115" fillId="0" borderId="0" xfId="257" applyFont="1" applyBorder="1" applyProtection="1">
      <protection locked="0"/>
    </xf>
    <xf numFmtId="0" fontId="7" fillId="0" borderId="0" xfId="257" applyFont="1" applyBorder="1"/>
    <xf numFmtId="0" fontId="120" fillId="0" borderId="0" xfId="257" applyFont="1" applyProtection="1">
      <protection locked="0"/>
    </xf>
    <xf numFmtId="0" fontId="122" fillId="0" borderId="0" xfId="257" applyFont="1"/>
    <xf numFmtId="0" fontId="147" fillId="0" borderId="0" xfId="257" applyFont="1" applyAlignment="1">
      <alignment horizontal="center"/>
    </xf>
    <xf numFmtId="0" fontId="16" fillId="0" borderId="0" xfId="163" applyAlignment="1">
      <alignment wrapText="1"/>
    </xf>
    <xf numFmtId="10" fontId="7" fillId="0" borderId="0" xfId="257" applyNumberFormat="1" applyAlignment="1" applyProtection="1">
      <alignment horizontal="center"/>
    </xf>
    <xf numFmtId="0" fontId="119" fillId="0" borderId="0" xfId="257" applyFont="1" applyBorder="1"/>
    <xf numFmtId="0" fontId="7" fillId="0" borderId="0" xfId="257" applyAlignment="1">
      <alignment horizontal="center"/>
    </xf>
    <xf numFmtId="10" fontId="7" fillId="0" borderId="0" xfId="257" applyNumberFormat="1" applyAlignment="1" applyProtection="1">
      <alignment horizontal="right"/>
    </xf>
    <xf numFmtId="194" fontId="81" fillId="0" borderId="0" xfId="257" applyNumberFormat="1" applyFont="1" applyProtection="1"/>
    <xf numFmtId="10" fontId="81" fillId="0" borderId="0" xfId="257" applyNumberFormat="1" applyFont="1" applyProtection="1"/>
    <xf numFmtId="0" fontId="7" fillId="0" borderId="0" xfId="257" applyAlignment="1"/>
    <xf numFmtId="0" fontId="7" fillId="0" borderId="0" xfId="257" applyFont="1" applyFill="1" applyBorder="1"/>
    <xf numFmtId="194" fontId="7" fillId="0" borderId="0" xfId="257" applyNumberFormat="1" applyBorder="1" applyProtection="1"/>
    <xf numFmtId="0" fontId="119" fillId="0" borderId="30" xfId="257" applyFont="1" applyBorder="1"/>
    <xf numFmtId="0" fontId="115" fillId="0" borderId="30" xfId="257" applyFont="1" applyBorder="1" applyProtection="1">
      <protection locked="0"/>
    </xf>
    <xf numFmtId="10" fontId="7" fillId="0" borderId="30" xfId="257" applyNumberFormat="1" applyBorder="1" applyProtection="1"/>
    <xf numFmtId="0" fontId="10" fillId="0" borderId="0" xfId="0" applyFont="1" applyAlignment="1"/>
    <xf numFmtId="0" fontId="9" fillId="0" borderId="0" xfId="0" applyFont="1" applyAlignment="1">
      <alignment horizontal="left" indent="1"/>
    </xf>
    <xf numFmtId="10" fontId="9" fillId="0" borderId="0" xfId="212" applyNumberFormat="1" applyFont="1" applyFill="1" applyAlignment="1">
      <alignment horizontal="center"/>
    </xf>
    <xf numFmtId="0" fontId="10" fillId="0" borderId="0" xfId="181" applyFont="1" applyAlignment="1">
      <alignment horizontal="right"/>
    </xf>
    <xf numFmtId="10" fontId="9" fillId="0" borderId="0" xfId="212" applyNumberFormat="1" applyFont="1" applyFill="1" applyAlignment="1">
      <alignment horizontal="right"/>
    </xf>
    <xf numFmtId="177" fontId="9" fillId="0" borderId="0" xfId="86" applyNumberFormat="1" applyFont="1" applyAlignment="1">
      <alignment horizontal="center"/>
    </xf>
    <xf numFmtId="0" fontId="16" fillId="0" borderId="32" xfId="0" applyNumberFormat="1" applyFont="1" applyBorder="1" applyAlignment="1">
      <alignment horizontal="center"/>
    </xf>
    <xf numFmtId="0" fontId="16" fillId="0" borderId="31" xfId="258" applyFont="1" applyBorder="1" applyAlignment="1">
      <alignment horizontal="right"/>
    </xf>
    <xf numFmtId="0" fontId="149" fillId="0" borderId="0" xfId="0" applyFont="1" applyAlignment="1">
      <alignment vertical="center"/>
    </xf>
    <xf numFmtId="0" fontId="150" fillId="0" borderId="0" xfId="0" applyFont="1"/>
    <xf numFmtId="0" fontId="145" fillId="0" borderId="0" xfId="0" applyFont="1" applyAlignment="1"/>
    <xf numFmtId="0" fontId="145" fillId="0" borderId="0" xfId="0" applyFont="1" applyAlignment="1">
      <alignment horizontal="left"/>
    </xf>
    <xf numFmtId="0" fontId="145" fillId="0" borderId="0" xfId="209" applyFont="1" applyBorder="1" applyAlignment="1">
      <alignment horizontal="center"/>
    </xf>
    <xf numFmtId="0" fontId="150" fillId="0" borderId="0" xfId="0" applyFont="1" applyAlignment="1">
      <alignment horizontal="center"/>
    </xf>
    <xf numFmtId="0" fontId="151" fillId="0" borderId="0" xfId="209" applyFont="1" applyBorder="1" applyAlignment="1"/>
    <xf numFmtId="0" fontId="145" fillId="0" borderId="0" xfId="209" applyFont="1" applyBorder="1" applyAlignment="1">
      <alignment horizontal="left"/>
    </xf>
    <xf numFmtId="0" fontId="145" fillId="0" borderId="0" xfId="209" applyFont="1" applyBorder="1" applyAlignment="1"/>
    <xf numFmtId="3" fontId="145" fillId="0" borderId="0" xfId="0" applyNumberFormat="1" applyFont="1" applyAlignment="1"/>
    <xf numFmtId="3" fontId="145" fillId="0" borderId="0" xfId="0" applyNumberFormat="1" applyFont="1" applyAlignment="1">
      <alignment horizontal="left"/>
    </xf>
    <xf numFmtId="0" fontId="152" fillId="0" borderId="0" xfId="0" applyFont="1" applyAlignment="1">
      <alignment horizontal="center"/>
    </xf>
    <xf numFmtId="0" fontId="153" fillId="0" borderId="0" xfId="0" applyFont="1" applyAlignment="1"/>
    <xf numFmtId="0" fontId="152" fillId="0" borderId="0" xfId="0" applyFont="1" applyAlignment="1">
      <alignment wrapText="1"/>
    </xf>
    <xf numFmtId="0" fontId="152" fillId="0" borderId="0" xfId="0" applyFont="1"/>
    <xf numFmtId="41" fontId="150" fillId="0" borderId="0" xfId="0" applyNumberFormat="1" applyFont="1"/>
    <xf numFmtId="41" fontId="153" fillId="0" borderId="0" xfId="0" applyNumberFormat="1" applyFont="1" applyAlignment="1"/>
    <xf numFmtId="0" fontId="154" fillId="0" borderId="0" xfId="0" applyFont="1" applyAlignment="1">
      <alignment horizontal="center"/>
    </xf>
    <xf numFmtId="0" fontId="155" fillId="0" borderId="0" xfId="0" applyFont="1" applyFill="1" applyAlignment="1">
      <alignment horizontal="center"/>
    </xf>
    <xf numFmtId="0" fontId="156" fillId="0" borderId="0" xfId="0" applyFont="1" applyAlignment="1">
      <alignment horizontal="center"/>
    </xf>
    <xf numFmtId="0" fontId="153" fillId="0" borderId="0" xfId="0" applyFont="1" applyFill="1"/>
    <xf numFmtId="173" fontId="157" fillId="34" borderId="0" xfId="111" applyNumberFormat="1" applyFont="1" applyFill="1" applyProtection="1">
      <protection locked="0"/>
    </xf>
    <xf numFmtId="41" fontId="150" fillId="0" borderId="0" xfId="0" applyNumberFormat="1" applyFont="1" applyAlignment="1"/>
    <xf numFmtId="173" fontId="150" fillId="0" borderId="0" xfId="0" applyNumberFormat="1" applyFont="1"/>
    <xf numFmtId="0" fontId="150" fillId="0" borderId="0" xfId="0" applyFont="1" applyAlignment="1">
      <alignment wrapText="1"/>
    </xf>
    <xf numFmtId="0" fontId="150" fillId="0" borderId="0" xfId="0" applyFont="1" applyAlignment="1"/>
    <xf numFmtId="0" fontId="150" fillId="0" borderId="11" xfId="0" applyFont="1" applyBorder="1"/>
    <xf numFmtId="0" fontId="153" fillId="0" borderId="11" xfId="0" applyFont="1" applyFill="1" applyBorder="1"/>
    <xf numFmtId="0" fontId="153" fillId="0" borderId="11" xfId="0" applyFont="1" applyBorder="1" applyAlignment="1"/>
    <xf numFmtId="0" fontId="150" fillId="0" borderId="11" xfId="0" applyFont="1" applyBorder="1" applyAlignment="1"/>
    <xf numFmtId="41" fontId="153" fillId="0" borderId="0" xfId="0" applyNumberFormat="1" applyFont="1" applyFill="1"/>
    <xf numFmtId="0" fontId="153" fillId="0" borderId="0" xfId="0" applyFont="1" applyAlignment="1">
      <alignment horizontal="center"/>
    </xf>
    <xf numFmtId="190" fontId="153" fillId="0" borderId="0" xfId="111" applyNumberFormat="1" applyFont="1" applyAlignment="1">
      <alignment horizontal="center"/>
    </xf>
    <xf numFmtId="0" fontId="150" fillId="0" borderId="0" xfId="0" applyFont="1" applyBorder="1"/>
    <xf numFmtId="173" fontId="150" fillId="0" borderId="14" xfId="0" applyNumberFormat="1" applyFont="1" applyBorder="1"/>
    <xf numFmtId="173" fontId="153" fillId="0" borderId="14" xfId="0" applyNumberFormat="1" applyFont="1" applyFill="1" applyBorder="1"/>
    <xf numFmtId="41" fontId="150" fillId="0" borderId="14" xfId="0" applyNumberFormat="1" applyFont="1" applyBorder="1" applyAlignment="1"/>
    <xf numFmtId="43" fontId="153" fillId="0" borderId="0" xfId="0" applyNumberFormat="1" applyFont="1" applyAlignment="1"/>
    <xf numFmtId="0" fontId="153" fillId="0" borderId="0" xfId="0" applyFont="1" applyAlignment="1">
      <alignment wrapText="1"/>
    </xf>
    <xf numFmtId="0" fontId="152" fillId="0" borderId="0" xfId="0" applyFont="1" applyAlignment="1">
      <alignment horizontal="center" wrapText="1"/>
    </xf>
    <xf numFmtId="43" fontId="152" fillId="0" borderId="0" xfId="111" applyFont="1" applyAlignment="1">
      <alignment horizontal="center" wrapText="1"/>
    </xf>
    <xf numFmtId="173" fontId="150" fillId="0" borderId="0" xfId="0" applyNumberFormat="1" applyFont="1" applyBorder="1"/>
    <xf numFmtId="173" fontId="150" fillId="0" borderId="0" xfId="111" applyNumberFormat="1" applyFont="1"/>
    <xf numFmtId="173" fontId="152" fillId="0" borderId="0" xfId="111" applyNumberFormat="1" applyFont="1" applyAlignment="1">
      <alignment horizontal="center" wrapText="1"/>
    </xf>
    <xf numFmtId="173" fontId="152" fillId="0" borderId="0" xfId="111" applyNumberFormat="1" applyFont="1"/>
    <xf numFmtId="173" fontId="152" fillId="0" borderId="0" xfId="111" applyNumberFormat="1" applyFont="1" applyAlignment="1">
      <alignment horizontal="center"/>
    </xf>
    <xf numFmtId="10" fontId="150" fillId="0" borderId="0" xfId="285" applyNumberFormat="1" applyFont="1"/>
    <xf numFmtId="173" fontId="150" fillId="0" borderId="11" xfId="0" applyNumberFormat="1" applyFont="1" applyBorder="1"/>
    <xf numFmtId="173" fontId="150" fillId="0" borderId="11" xfId="111" applyNumberFormat="1" applyFont="1" applyBorder="1"/>
    <xf numFmtId="0" fontId="9" fillId="0" borderId="0" xfId="255" applyNumberFormat="1" applyFont="1" applyFill="1" applyAlignment="1" applyProtection="1">
      <alignment horizontal="left" indent="4"/>
    </xf>
    <xf numFmtId="41" fontId="23" fillId="0" borderId="0" xfId="255" applyNumberFormat="1" applyFont="1" applyFill="1" applyAlignment="1" applyProtection="1">
      <protection locked="0"/>
    </xf>
    <xf numFmtId="173" fontId="67" fillId="0" borderId="0" xfId="86" applyNumberFormat="1" applyFont="1"/>
    <xf numFmtId="0" fontId="67" fillId="0" borderId="0" xfId="209" applyFont="1" applyBorder="1"/>
    <xf numFmtId="173" fontId="67" fillId="0" borderId="0" xfId="86" applyNumberFormat="1" applyFont="1" applyFill="1"/>
    <xf numFmtId="37" fontId="67" fillId="0" borderId="16" xfId="0" applyNumberFormat="1" applyFont="1" applyFill="1" applyBorder="1"/>
    <xf numFmtId="38" fontId="132" fillId="34" borderId="0" xfId="0" applyNumberFormat="1" applyFont="1" applyFill="1" applyBorder="1" applyProtection="1">
      <protection locked="0"/>
    </xf>
    <xf numFmtId="37" fontId="132" fillId="34" borderId="0" xfId="0" applyNumberFormat="1" applyFont="1" applyFill="1" applyBorder="1" applyProtection="1">
      <protection locked="0"/>
    </xf>
    <xf numFmtId="0" fontId="78" fillId="34" borderId="0" xfId="256" applyFont="1" applyFill="1"/>
    <xf numFmtId="10" fontId="75" fillId="34" borderId="0" xfId="256" applyNumberFormat="1" applyFont="1" applyFill="1" applyAlignment="1" applyProtection="1">
      <alignment horizontal="right"/>
      <protection locked="0"/>
    </xf>
    <xf numFmtId="10" fontId="75" fillId="34" borderId="0" xfId="264" applyNumberFormat="1" applyFont="1" applyFill="1" applyAlignment="1" applyProtection="1">
      <alignment horizontal="right"/>
      <protection locked="0"/>
    </xf>
    <xf numFmtId="3" fontId="16" fillId="0" borderId="0" xfId="0" applyNumberFormat="1" applyFont="1" applyAlignment="1"/>
    <xf numFmtId="0" fontId="67" fillId="0" borderId="0" xfId="247" applyFont="1" applyFill="1" applyBorder="1"/>
    <xf numFmtId="173" fontId="12" fillId="34" borderId="0" xfId="89" applyNumberFormat="1" applyFont="1" applyFill="1" applyBorder="1" applyAlignment="1">
      <alignment horizontal="right"/>
    </xf>
    <xf numFmtId="173" fontId="12" fillId="34" borderId="36" xfId="89" applyNumberFormat="1" applyFont="1" applyFill="1" applyBorder="1" applyAlignment="1">
      <alignment horizontal="right"/>
    </xf>
    <xf numFmtId="173" fontId="12" fillId="34" borderId="0" xfId="89" applyNumberFormat="1" applyFont="1" applyFill="1" applyBorder="1" applyAlignment="1">
      <alignment horizontal="right"/>
    </xf>
    <xf numFmtId="3" fontId="132" fillId="34" borderId="0" xfId="0" applyNumberFormat="1" applyFont="1" applyFill="1" applyProtection="1">
      <protection locked="0"/>
    </xf>
    <xf numFmtId="37" fontId="132" fillId="34" borderId="0" xfId="0" applyNumberFormat="1" applyFont="1" applyFill="1" applyProtection="1">
      <protection locked="0"/>
    </xf>
    <xf numFmtId="1" fontId="67" fillId="34" borderId="0" xfId="0" applyNumberFormat="1" applyFont="1" applyFill="1" applyAlignment="1" applyProtection="1">
      <alignment horizontal="left"/>
      <protection locked="0"/>
    </xf>
    <xf numFmtId="3" fontId="23" fillId="34" borderId="0" xfId="0" applyNumberFormat="1" applyFont="1" applyFill="1" applyAlignment="1" applyProtection="1">
      <protection locked="0"/>
    </xf>
    <xf numFmtId="174" fontId="12" fillId="34" borderId="28" xfId="0" applyNumberFormat="1" applyFont="1" applyFill="1" applyBorder="1" applyProtection="1">
      <protection locked="0"/>
    </xf>
    <xf numFmtId="41" fontId="23" fillId="34" borderId="0" xfId="249" applyNumberFormat="1" applyFont="1" applyFill="1" applyBorder="1" applyProtection="1">
      <protection locked="0"/>
    </xf>
    <xf numFmtId="0" fontId="23" fillId="34" borderId="0" xfId="249" applyFont="1" applyFill="1" applyAlignment="1" applyProtection="1">
      <alignment horizontal="center"/>
      <protection locked="0"/>
    </xf>
    <xf numFmtId="173" fontId="12" fillId="30" borderId="0" xfId="109" applyNumberFormat="1" applyFont="1" applyFill="1" applyAlignment="1" applyProtection="1">
      <protection locked="0"/>
    </xf>
    <xf numFmtId="173" fontId="12" fillId="34" borderId="0" xfId="88" applyNumberFormat="1" applyFont="1" applyFill="1" applyBorder="1" applyProtection="1">
      <protection locked="0"/>
    </xf>
    <xf numFmtId="0" fontId="12" fillId="34" borderId="0" xfId="250" applyFont="1" applyFill="1" applyProtection="1">
      <protection locked="0"/>
    </xf>
    <xf numFmtId="37" fontId="12" fillId="34" borderId="0" xfId="250" applyNumberFormat="1" applyFont="1" applyFill="1" applyProtection="1">
      <protection locked="0"/>
    </xf>
    <xf numFmtId="173" fontId="157" fillId="34" borderId="6" xfId="111" applyNumberFormat="1" applyFont="1" applyFill="1" applyBorder="1" applyProtection="1">
      <protection locked="0"/>
    </xf>
    <xf numFmtId="41" fontId="9" fillId="0" borderId="11" xfId="255" applyNumberFormat="1" applyFont="1" applyFill="1" applyBorder="1" applyAlignment="1" applyProtection="1"/>
    <xf numFmtId="10" fontId="7" fillId="0" borderId="0" xfId="257" applyNumberFormat="1" applyProtection="1"/>
    <xf numFmtId="10" fontId="7" fillId="0" borderId="15" xfId="257" applyNumberFormat="1" applyBorder="1" applyProtection="1"/>
    <xf numFmtId="192" fontId="7" fillId="0" borderId="15" xfId="257" applyNumberFormat="1" applyBorder="1" applyProtection="1"/>
    <xf numFmtId="176" fontId="7" fillId="0" borderId="15" xfId="257" applyNumberFormat="1" applyBorder="1" applyProtection="1"/>
    <xf numFmtId="191" fontId="7" fillId="0" borderId="15" xfId="257" applyNumberFormat="1" applyBorder="1" applyProtection="1"/>
    <xf numFmtId="194" fontId="7" fillId="0" borderId="0" xfId="257" applyNumberFormat="1" applyProtection="1"/>
    <xf numFmtId="176" fontId="7" fillId="0" borderId="0" xfId="257" applyNumberFormat="1" applyProtection="1"/>
    <xf numFmtId="191" fontId="7" fillId="0" borderId="0" xfId="257" applyNumberFormat="1" applyProtection="1"/>
    <xf numFmtId="10" fontId="121" fillId="0" borderId="0" xfId="257" applyNumberFormat="1" applyFont="1" applyProtection="1"/>
    <xf numFmtId="0" fontId="115" fillId="0" borderId="0" xfId="257" applyFont="1" applyProtection="1">
      <protection locked="0"/>
    </xf>
    <xf numFmtId="0" fontId="81" fillId="0" borderId="0" xfId="257" applyFont="1"/>
    <xf numFmtId="0" fontId="116" fillId="0" borderId="0" xfId="257" applyFont="1" applyAlignment="1">
      <alignment horizontal="center"/>
    </xf>
    <xf numFmtId="0" fontId="117" fillId="0" borderId="0" xfId="257" applyFont="1" applyProtection="1">
      <protection locked="0"/>
    </xf>
    <xf numFmtId="176" fontId="116" fillId="0" borderId="0" xfId="257" applyNumberFormat="1" applyFont="1" applyAlignment="1">
      <alignment horizontal="center"/>
    </xf>
    <xf numFmtId="0" fontId="116" fillId="0" borderId="0" xfId="257" applyFont="1"/>
    <xf numFmtId="0" fontId="7" fillId="0" borderId="0" xfId="257"/>
    <xf numFmtId="176" fontId="7" fillId="0" borderId="0" xfId="257" applyNumberFormat="1"/>
    <xf numFmtId="0" fontId="118" fillId="0" borderId="0" xfId="257" applyFont="1" applyProtection="1">
      <protection locked="0"/>
    </xf>
    <xf numFmtId="176" fontId="115" fillId="0" borderId="0" xfId="257" applyNumberFormat="1" applyFont="1" applyProtection="1">
      <protection locked="0"/>
    </xf>
    <xf numFmtId="0" fontId="119" fillId="0" borderId="15" xfId="257" applyFont="1" applyBorder="1"/>
    <xf numFmtId="0" fontId="115" fillId="0" borderId="15" xfId="257" applyFont="1" applyBorder="1" applyProtection="1">
      <protection locked="0"/>
    </xf>
    <xf numFmtId="0" fontId="115" fillId="0" borderId="0" xfId="257" applyFont="1" applyBorder="1" applyProtection="1">
      <protection locked="0"/>
    </xf>
    <xf numFmtId="0" fontId="7" fillId="0" borderId="0" xfId="257" applyFont="1" applyBorder="1"/>
    <xf numFmtId="0" fontId="120" fillId="0" borderId="0" xfId="257" applyFont="1" applyProtection="1">
      <protection locked="0"/>
    </xf>
    <xf numFmtId="0" fontId="121" fillId="0" borderId="0" xfId="257" applyFont="1"/>
    <xf numFmtId="0" fontId="122" fillId="0" borderId="0" xfId="257" applyFont="1"/>
    <xf numFmtId="9" fontId="9" fillId="0" borderId="0" xfId="0" applyNumberFormat="1" applyFont="1" applyFill="1" applyProtection="1"/>
    <xf numFmtId="0" fontId="23" fillId="34" borderId="0" xfId="247" quotePrefix="1" applyFont="1" applyFill="1" applyAlignment="1" applyProtection="1">
      <alignment horizontal="center"/>
      <protection locked="0"/>
    </xf>
    <xf numFmtId="0" fontId="82" fillId="34" borderId="0" xfId="256" applyNumberFormat="1" applyFont="1" applyFill="1" applyBorder="1" applyProtection="1">
      <protection locked="0"/>
    </xf>
    <xf numFmtId="37" fontId="16" fillId="0" borderId="0" xfId="247" applyNumberFormat="1" applyFont="1"/>
    <xf numFmtId="10" fontId="9" fillId="31" borderId="0" xfId="255" applyNumberFormat="1" applyFont="1" applyFill="1" applyAlignment="1" applyProtection="1"/>
    <xf numFmtId="172" fontId="9" fillId="0" borderId="0" xfId="255" applyFont="1" applyAlignment="1" applyProtection="1">
      <alignment horizontal="left"/>
    </xf>
    <xf numFmtId="0" fontId="12" fillId="34" borderId="0" xfId="89" quotePrefix="1" applyNumberFormat="1" applyFont="1" applyFill="1" applyBorder="1" applyAlignment="1" applyProtection="1">
      <alignment horizontal="center"/>
      <protection locked="0"/>
    </xf>
    <xf numFmtId="0" fontId="81" fillId="0" borderId="30" xfId="257" applyFont="1" applyBorder="1" applyAlignment="1" applyProtection="1">
      <alignment horizontal="center"/>
    </xf>
    <xf numFmtId="0" fontId="119" fillId="0" borderId="15" xfId="0" applyFont="1" applyBorder="1"/>
    <xf numFmtId="0" fontId="115" fillId="0" borderId="15" xfId="0" applyFont="1" applyBorder="1" applyProtection="1">
      <protection locked="0"/>
    </xf>
    <xf numFmtId="192"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9" fillId="0" borderId="30" xfId="0" applyFont="1" applyBorder="1"/>
    <xf numFmtId="0" fontId="115"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28" fillId="0" borderId="0" xfId="342" applyFont="1"/>
    <xf numFmtId="0" fontId="28" fillId="0" borderId="0" xfId="342" applyFont="1" applyAlignment="1">
      <alignment horizontal="center"/>
    </xf>
    <xf numFmtId="0" fontId="6" fillId="0" borderId="0" xfId="342" applyFont="1" applyAlignment="1">
      <alignment horizontal="right"/>
    </xf>
    <xf numFmtId="14" fontId="28" fillId="0" borderId="0" xfId="342" applyNumberFormat="1" applyFont="1"/>
    <xf numFmtId="0" fontId="28" fillId="0" borderId="0" xfId="343" applyFont="1"/>
    <xf numFmtId="9" fontId="28" fillId="0" borderId="0" xfId="344" applyFont="1"/>
    <xf numFmtId="41" fontId="28" fillId="0" borderId="0" xfId="342" applyNumberFormat="1" applyFont="1"/>
    <xf numFmtId="10" fontId="28" fillId="0" borderId="0" xfId="345" applyNumberFormat="1" applyFont="1"/>
    <xf numFmtId="172" fontId="28" fillId="0" borderId="0" xfId="346" applyFont="1" applyAlignment="1"/>
    <xf numFmtId="172" fontId="173" fillId="0" borderId="0" xfId="346" applyAlignment="1"/>
    <xf numFmtId="0" fontId="28" fillId="0" borderId="11" xfId="342" applyFont="1" applyBorder="1"/>
    <xf numFmtId="0" fontId="29" fillId="0" borderId="11" xfId="342" applyFont="1" applyBorder="1" applyAlignment="1">
      <alignment horizontal="center"/>
    </xf>
    <xf numFmtId="0" fontId="29" fillId="0" borderId="11" xfId="342" applyFont="1" applyBorder="1" applyAlignment="1">
      <alignment horizontal="center" wrapText="1"/>
    </xf>
    <xf numFmtId="0" fontId="29" fillId="0" borderId="11" xfId="342" applyFont="1" applyFill="1" applyBorder="1" applyAlignment="1">
      <alignment horizontal="center" wrapText="1"/>
    </xf>
    <xf numFmtId="0" fontId="29" fillId="0" borderId="0" xfId="342" applyFont="1" applyAlignment="1">
      <alignment horizontal="center"/>
    </xf>
    <xf numFmtId="0" fontId="28" fillId="0" borderId="0" xfId="342" applyFont="1" applyFill="1"/>
    <xf numFmtId="0" fontId="29" fillId="0" borderId="0" xfId="342" applyFont="1" applyBorder="1" applyAlignment="1">
      <alignment horizontal="center" wrapText="1"/>
    </xf>
    <xf numFmtId="0" fontId="29" fillId="0" borderId="0" xfId="342" applyFont="1" applyFill="1" applyBorder="1" applyAlignment="1">
      <alignment horizontal="center" wrapText="1"/>
    </xf>
    <xf numFmtId="173" fontId="29" fillId="0" borderId="0" xfId="342" applyNumberFormat="1" applyFont="1" applyAlignment="1">
      <alignment horizontal="center"/>
    </xf>
    <xf numFmtId="0" fontId="29" fillId="0" borderId="0" xfId="342" applyFont="1" applyAlignment="1">
      <alignment horizontal="left"/>
    </xf>
    <xf numFmtId="0" fontId="28" fillId="35" borderId="0" xfId="342" applyFont="1" applyFill="1"/>
    <xf numFmtId="172" fontId="173" fillId="0" borderId="0" xfId="346"/>
    <xf numFmtId="49" fontId="28" fillId="0" borderId="0" xfId="342" applyNumberFormat="1" applyFont="1" applyFill="1" applyAlignment="1">
      <alignment horizontal="center"/>
    </xf>
    <xf numFmtId="0" fontId="28" fillId="0" borderId="0" xfId="342" applyFont="1" applyBorder="1"/>
    <xf numFmtId="0" fontId="28" fillId="0" borderId="0" xfId="342" applyFont="1" applyFill="1" applyBorder="1" applyAlignment="1">
      <alignment horizontal="center"/>
    </xf>
    <xf numFmtId="41" fontId="28" fillId="34" borderId="49" xfId="247" applyNumberFormat="1" applyFont="1" applyFill="1" applyBorder="1" applyProtection="1">
      <protection locked="0"/>
    </xf>
    <xf numFmtId="173" fontId="28" fillId="36" borderId="0" xfId="347" applyNumberFormat="1" applyFont="1" applyFill="1" applyBorder="1"/>
    <xf numFmtId="173" fontId="28" fillId="0" borderId="50" xfId="347" applyNumberFormat="1" applyFont="1" applyFill="1" applyBorder="1"/>
    <xf numFmtId="41" fontId="28" fillId="34" borderId="0" xfId="247" applyNumberFormat="1" applyFont="1" applyFill="1" applyBorder="1" applyProtection="1">
      <protection locked="0"/>
    </xf>
    <xf numFmtId="172" fontId="28" fillId="0" borderId="0" xfId="346" applyFont="1" applyBorder="1"/>
    <xf numFmtId="41" fontId="28" fillId="34" borderId="51" xfId="247" applyNumberFormat="1" applyFont="1" applyFill="1" applyBorder="1" applyProtection="1">
      <protection locked="0"/>
    </xf>
    <xf numFmtId="0" fontId="28" fillId="0" borderId="0" xfId="343" applyFont="1" applyBorder="1"/>
    <xf numFmtId="41" fontId="28" fillId="0" borderId="0" xfId="342" applyNumberFormat="1" applyFont="1" applyBorder="1" applyAlignment="1">
      <alignment horizontal="center"/>
    </xf>
    <xf numFmtId="0" fontId="29" fillId="0" borderId="0" xfId="342" applyFont="1" applyBorder="1"/>
    <xf numFmtId="41" fontId="28" fillId="34" borderId="42" xfId="247" applyNumberFormat="1" applyFont="1" applyFill="1" applyBorder="1" applyProtection="1">
      <protection locked="0"/>
    </xf>
    <xf numFmtId="173" fontId="28" fillId="0" borderId="0" xfId="348" applyNumberFormat="1" applyFont="1" applyBorder="1" applyAlignment="1">
      <alignment horizontal="center"/>
    </xf>
    <xf numFmtId="173" fontId="28" fillId="0" borderId="52" xfId="347" applyNumberFormat="1" applyFont="1" applyFill="1" applyBorder="1"/>
    <xf numFmtId="173" fontId="28" fillId="36" borderId="52" xfId="347" applyNumberFormat="1" applyFont="1" applyFill="1" applyBorder="1"/>
    <xf numFmtId="41" fontId="28" fillId="34" borderId="34" xfId="247" applyNumberFormat="1" applyFont="1" applyFill="1" applyBorder="1" applyAlignment="1" applyProtection="1">
      <alignment vertical="center" wrapText="1"/>
      <protection locked="0"/>
    </xf>
    <xf numFmtId="49" fontId="28" fillId="0" borderId="0" xfId="342" applyNumberFormat="1" applyFont="1" applyAlignment="1">
      <alignment horizontal="center"/>
    </xf>
    <xf numFmtId="173" fontId="28" fillId="36" borderId="51" xfId="347" applyNumberFormat="1" applyFont="1" applyFill="1" applyBorder="1"/>
    <xf numFmtId="41" fontId="28" fillId="34" borderId="34" xfId="247" applyNumberFormat="1" applyFont="1" applyFill="1" applyBorder="1" applyAlignment="1" applyProtection="1">
      <alignment vertical="top"/>
      <protection locked="0"/>
    </xf>
    <xf numFmtId="0" fontId="29" fillId="0" borderId="0" xfId="342" applyFont="1"/>
    <xf numFmtId="173" fontId="28" fillId="0" borderId="51" xfId="347" applyNumberFormat="1" applyFont="1" applyFill="1" applyBorder="1"/>
    <xf numFmtId="172" fontId="173" fillId="0" borderId="0" xfId="346" applyFont="1"/>
    <xf numFmtId="172" fontId="175" fillId="0" borderId="0" xfId="346" applyFont="1"/>
    <xf numFmtId="0" fontId="28" fillId="0" borderId="0" xfId="343" applyFont="1" applyFill="1"/>
    <xf numFmtId="172" fontId="28" fillId="0" borderId="0" xfId="343" applyNumberFormat="1" applyFont="1" applyFill="1" applyBorder="1"/>
    <xf numFmtId="0" fontId="28" fillId="0" borderId="0" xfId="342" applyFont="1" applyFill="1" applyAlignment="1">
      <alignment horizontal="center"/>
    </xf>
    <xf numFmtId="0" fontId="28" fillId="0" borderId="0" xfId="342" applyFont="1" applyAlignment="1">
      <alignment wrapText="1"/>
    </xf>
    <xf numFmtId="41" fontId="28" fillId="34" borderId="53" xfId="247" applyNumberFormat="1" applyFont="1" applyFill="1" applyBorder="1" applyProtection="1">
      <protection locked="0"/>
    </xf>
    <xf numFmtId="173" fontId="28" fillId="0" borderId="0" xfId="347" applyNumberFormat="1" applyFont="1" applyFill="1" applyBorder="1"/>
    <xf numFmtId="173" fontId="28" fillId="0" borderId="0" xfId="347" applyNumberFormat="1" applyFont="1" applyBorder="1" applyAlignment="1">
      <alignment wrapText="1"/>
    </xf>
    <xf numFmtId="0" fontId="28" fillId="0" borderId="0" xfId="342" applyFont="1" applyAlignment="1">
      <alignment horizontal="left"/>
    </xf>
    <xf numFmtId="173" fontId="28" fillId="0" borderId="54" xfId="348" applyNumberFormat="1" applyFont="1" applyBorder="1" applyAlignment="1"/>
    <xf numFmtId="177" fontId="28" fillId="0" borderId="54" xfId="348" applyNumberFormat="1" applyFont="1" applyBorder="1" applyAlignment="1"/>
    <xf numFmtId="173" fontId="28" fillId="0" borderId="54" xfId="348" applyNumberFormat="1" applyFont="1" applyFill="1" applyBorder="1" applyAlignment="1"/>
    <xf numFmtId="173" fontId="28" fillId="0" borderId="0" xfId="347" applyNumberFormat="1" applyFont="1" applyAlignment="1">
      <alignment wrapText="1"/>
    </xf>
    <xf numFmtId="1" fontId="28" fillId="0" borderId="0" xfId="348" applyNumberFormat="1" applyFont="1" applyBorder="1" applyAlignment="1"/>
    <xf numFmtId="177" fontId="28" fillId="0" borderId="0" xfId="348" applyNumberFormat="1" applyFont="1" applyBorder="1" applyAlignment="1"/>
    <xf numFmtId="173" fontId="28" fillId="0" borderId="55" xfId="348" applyNumberFormat="1" applyFont="1" applyBorder="1" applyAlignment="1">
      <alignment horizontal="center"/>
    </xf>
    <xf numFmtId="173" fontId="28" fillId="0" borderId="0" xfId="348" applyNumberFormat="1" applyFont="1" applyBorder="1" applyAlignment="1"/>
    <xf numFmtId="41" fontId="28" fillId="34" borderId="34" xfId="247" applyNumberFormat="1" applyFont="1" applyFill="1" applyBorder="1" applyAlignment="1" applyProtection="1">
      <alignment vertical="center"/>
      <protection locked="0"/>
    </xf>
    <xf numFmtId="172" fontId="28" fillId="0" borderId="0" xfId="343" applyNumberFormat="1" applyFont="1" applyFill="1"/>
    <xf numFmtId="0" fontId="28" fillId="0" borderId="0" xfId="343" applyFont="1" applyFill="1" applyBorder="1"/>
    <xf numFmtId="172" fontId="28" fillId="0" borderId="0" xfId="346" applyFont="1" applyFill="1" applyAlignment="1"/>
    <xf numFmtId="0" fontId="28" fillId="0" borderId="0" xfId="342" applyFont="1" applyAlignment="1">
      <alignment horizontal="left" vertical="center"/>
    </xf>
    <xf numFmtId="0" fontId="28" fillId="0" borderId="0" xfId="342" applyFont="1" applyAlignment="1">
      <alignment vertical="top" wrapText="1"/>
    </xf>
    <xf numFmtId="0" fontId="28" fillId="0" borderId="0" xfId="342" applyFont="1" applyAlignment="1"/>
    <xf numFmtId="0" fontId="28" fillId="0" borderId="0" xfId="342" applyFont="1" applyAlignment="1">
      <alignment vertical="top"/>
    </xf>
    <xf numFmtId="0" fontId="28" fillId="0" borderId="0" xfId="342" applyFont="1" applyFill="1" applyAlignment="1">
      <alignment horizontal="left"/>
    </xf>
    <xf numFmtId="0" fontId="29" fillId="0" borderId="0" xfId="342" applyFont="1" applyAlignment="1">
      <alignment horizontal="left" vertical="center"/>
    </xf>
    <xf numFmtId="41" fontId="153" fillId="0" borderId="0" xfId="341" applyNumberFormat="1" applyFont="1" applyFill="1" applyBorder="1"/>
    <xf numFmtId="173" fontId="157" fillId="34" borderId="0" xfId="382" applyNumberFormat="1" applyFont="1" applyFill="1" applyProtection="1">
      <protection locked="0"/>
    </xf>
    <xf numFmtId="41" fontId="12" fillId="0" borderId="0" xfId="247" applyNumberFormat="1" applyFont="1" applyFill="1" applyProtection="1">
      <protection locked="0"/>
    </xf>
    <xf numFmtId="41" fontId="31" fillId="0" borderId="11" xfId="247" applyNumberFormat="1" applyFont="1" applyFill="1" applyBorder="1"/>
    <xf numFmtId="173" fontId="16" fillId="0" borderId="0" xfId="256" applyNumberFormat="1" applyFont="1"/>
    <xf numFmtId="0" fontId="81" fillId="0" borderId="30" xfId="257" applyFont="1" applyBorder="1" applyAlignment="1">
      <alignment horizontal="center"/>
    </xf>
    <xf numFmtId="164" fontId="150" fillId="27" borderId="0" xfId="345" applyNumberFormat="1" applyFont="1" applyFill="1" applyProtection="1">
      <protection locked="0"/>
    </xf>
    <xf numFmtId="164" fontId="150" fillId="27" borderId="11" xfId="345" applyNumberFormat="1" applyFont="1" applyFill="1" applyBorder="1" applyProtection="1">
      <protection locked="0"/>
    </xf>
    <xf numFmtId="0" fontId="6" fillId="0" borderId="0" xfId="343"/>
    <xf numFmtId="10" fontId="0" fillId="0" borderId="15" xfId="0" applyNumberFormat="1" applyBorder="1" applyAlignment="1" applyProtection="1">
      <alignment horizontal="center"/>
    </xf>
    <xf numFmtId="0" fontId="119" fillId="0" borderId="0" xfId="0" applyFont="1" applyBorder="1"/>
    <xf numFmtId="0" fontId="115" fillId="0" borderId="0" xfId="0" applyFont="1" applyBorder="1" applyProtection="1">
      <protection locked="0"/>
    </xf>
    <xf numFmtId="0" fontId="178" fillId="0" borderId="0" xfId="0" applyFont="1" applyBorder="1" applyAlignment="1">
      <alignment horizontal="center"/>
    </xf>
    <xf numFmtId="0" fontId="9" fillId="0" borderId="0" xfId="582" applyFont="1"/>
    <xf numFmtId="0" fontId="6" fillId="0" borderId="0" xfId="582"/>
    <xf numFmtId="0" fontId="6" fillId="0" borderId="0" xfId="582" applyAlignment="1">
      <alignment horizontal="center"/>
    </xf>
    <xf numFmtId="41" fontId="9" fillId="0" borderId="11" xfId="247" applyNumberFormat="1" applyFont="1" applyFill="1" applyBorder="1"/>
    <xf numFmtId="0" fontId="0" fillId="0" borderId="0" xfId="0" applyFill="1"/>
    <xf numFmtId="0" fontId="0" fillId="0" borderId="0" xfId="0"/>
    <xf numFmtId="41" fontId="12" fillId="37" borderId="0" xfId="247" applyNumberFormat="1" applyFont="1" applyFill="1" applyProtection="1">
      <protection locked="0"/>
    </xf>
    <xf numFmtId="41" fontId="12" fillId="34" borderId="0" xfId="247" applyNumberFormat="1" applyFont="1" applyFill="1" applyProtection="1">
      <protection locked="0"/>
    </xf>
    <xf numFmtId="37" fontId="0" fillId="0" borderId="0" xfId="0" applyNumberFormat="1" applyFont="1" applyFill="1" applyAlignment="1"/>
    <xf numFmtId="198" fontId="12" fillId="34" borderId="0" xfId="247" applyNumberFormat="1" applyFont="1" applyFill="1" applyProtection="1">
      <protection locked="0"/>
    </xf>
    <xf numFmtId="41" fontId="12" fillId="0" borderId="0" xfId="247" applyNumberFormat="1" applyFont="1" applyFill="1" applyProtection="1">
      <protection locked="0"/>
    </xf>
    <xf numFmtId="37" fontId="0" fillId="37" borderId="0" xfId="0" applyNumberFormat="1" applyFont="1" applyFill="1" applyAlignment="1"/>
    <xf numFmtId="2" fontId="6" fillId="0" borderId="0" xfId="913" applyNumberFormat="1" applyFont="1"/>
    <xf numFmtId="172" fontId="6" fillId="0" borderId="0" xfId="913" applyFont="1"/>
    <xf numFmtId="172" fontId="9" fillId="0" borderId="0" xfId="913" applyFont="1" applyAlignment="1">
      <alignment horizontal="right"/>
    </xf>
    <xf numFmtId="172" fontId="28" fillId="0" borderId="0" xfId="913" applyFont="1" applyAlignment="1">
      <alignment horizontal="right"/>
    </xf>
    <xf numFmtId="173" fontId="6" fillId="0" borderId="0" xfId="914" applyNumberFormat="1" applyFont="1"/>
    <xf numFmtId="2" fontId="6" fillId="0" borderId="0" xfId="915" applyNumberFormat="1" applyFont="1"/>
    <xf numFmtId="172" fontId="6" fillId="0" borderId="0" xfId="913" applyFont="1" applyAlignment="1">
      <alignment horizontal="right"/>
    </xf>
    <xf numFmtId="2" fontId="6" fillId="0" borderId="0" xfId="913" applyNumberFormat="1" applyFont="1" applyAlignment="1">
      <alignment horizontal="center"/>
    </xf>
    <xf numFmtId="172" fontId="6" fillId="0" borderId="0" xfId="913" applyFont="1" applyAlignment="1">
      <alignment horizontal="center"/>
    </xf>
    <xf numFmtId="172" fontId="6" fillId="0" borderId="0" xfId="913" applyFont="1" applyAlignment="1">
      <alignment wrapText="1"/>
    </xf>
    <xf numFmtId="172" fontId="6" fillId="0" borderId="0" xfId="913" applyFont="1" applyAlignment="1">
      <alignment horizontal="center" wrapText="1"/>
    </xf>
    <xf numFmtId="172" fontId="6" fillId="0" borderId="0" xfId="913" applyFont="1" applyFill="1" applyAlignment="1">
      <alignment horizontal="center" wrapText="1"/>
    </xf>
    <xf numFmtId="172" fontId="7" fillId="0" borderId="0" xfId="913" applyFill="1"/>
    <xf numFmtId="172" fontId="6" fillId="0" borderId="0" xfId="913" applyFont="1" applyFill="1"/>
    <xf numFmtId="170" fontId="6" fillId="0" borderId="0" xfId="913" applyNumberFormat="1" applyFont="1" applyAlignment="1">
      <alignment horizontal="center" wrapText="1"/>
    </xf>
    <xf numFmtId="172" fontId="7" fillId="0" borderId="0" xfId="913"/>
    <xf numFmtId="170" fontId="6" fillId="0" borderId="0" xfId="913" applyNumberFormat="1" applyFont="1" applyAlignment="1">
      <alignment wrapText="1"/>
    </xf>
    <xf numFmtId="2" fontId="13" fillId="0" borderId="0" xfId="913" applyNumberFormat="1" applyFont="1"/>
    <xf numFmtId="1" fontId="6" fillId="0" borderId="0" xfId="913" applyNumberFormat="1" applyFont="1" applyAlignment="1">
      <alignment horizontal="center"/>
    </xf>
    <xf numFmtId="49" fontId="6" fillId="0" borderId="0" xfId="914" applyNumberFormat="1" applyFont="1"/>
    <xf numFmtId="173" fontId="6" fillId="0" borderId="0" xfId="914" applyNumberFormat="1" applyFont="1" applyBorder="1"/>
    <xf numFmtId="9" fontId="0" fillId="0" borderId="0" xfId="916" applyFont="1" applyFill="1"/>
    <xf numFmtId="9" fontId="0" fillId="0" borderId="0" xfId="916" applyNumberFormat="1" applyFont="1"/>
    <xf numFmtId="10" fontId="6" fillId="0" borderId="0" xfId="916" applyNumberFormat="1" applyFont="1" applyFill="1" applyAlignment="1"/>
    <xf numFmtId="173" fontId="6" fillId="0" borderId="0" xfId="914" applyNumberFormat="1" applyFont="1" applyFill="1"/>
    <xf numFmtId="10" fontId="0" fillId="0" borderId="0" xfId="916" applyNumberFormat="1" applyFont="1" applyFill="1"/>
    <xf numFmtId="9" fontId="6" fillId="0" borderId="0" xfId="916" applyFont="1" applyFill="1"/>
    <xf numFmtId="10" fontId="6" fillId="0" borderId="0" xfId="916" applyNumberFormat="1" applyFont="1" applyFill="1" applyAlignment="1">
      <alignment horizontal="center" wrapText="1"/>
    </xf>
    <xf numFmtId="10" fontId="6" fillId="0" borderId="0" xfId="916" applyNumberFormat="1" applyFont="1" applyFill="1"/>
    <xf numFmtId="9" fontId="0" fillId="0" borderId="0" xfId="916" applyNumberFormat="1" applyFont="1" applyFill="1"/>
    <xf numFmtId="9" fontId="6" fillId="0" borderId="0" xfId="916" applyFont="1" applyFill="1" applyAlignment="1">
      <alignment horizontal="center" wrapText="1"/>
    </xf>
    <xf numFmtId="199" fontId="0" fillId="0" borderId="0" xfId="914" applyNumberFormat="1" applyFont="1" applyFill="1"/>
    <xf numFmtId="43" fontId="6" fillId="0" borderId="0" xfId="914" applyNumberFormat="1" applyFont="1" applyFill="1"/>
    <xf numFmtId="173" fontId="6" fillId="0" borderId="94" xfId="914" applyNumberFormat="1" applyFont="1" applyFill="1" applyBorder="1"/>
    <xf numFmtId="1" fontId="13" fillId="0" borderId="0" xfId="913" applyNumberFormat="1" applyFont="1" applyAlignment="1">
      <alignment horizontal="left"/>
    </xf>
    <xf numFmtId="9" fontId="6" fillId="0" borderId="0" xfId="916" applyNumberFormat="1" applyFont="1" applyFill="1"/>
    <xf numFmtId="199" fontId="6" fillId="0" borderId="0" xfId="914" applyNumberFormat="1" applyFont="1" applyFill="1"/>
    <xf numFmtId="43" fontId="6" fillId="0" borderId="0" xfId="914" applyNumberFormat="1" applyFont="1"/>
    <xf numFmtId="9" fontId="6" fillId="0" borderId="0" xfId="916" applyFont="1" applyFill="1" applyBorder="1"/>
    <xf numFmtId="1" fontId="7" fillId="0" borderId="0" xfId="913" applyNumberFormat="1" applyAlignment="1">
      <alignment horizontal="center"/>
    </xf>
    <xf numFmtId="172" fontId="7" fillId="0" borderId="0" xfId="913" applyBorder="1"/>
    <xf numFmtId="172" fontId="6" fillId="0" borderId="0" xfId="913" applyFont="1" applyFill="1" applyAlignment="1">
      <alignment horizontal="left" wrapText="1"/>
    </xf>
    <xf numFmtId="172" fontId="6" fillId="0" borderId="0" xfId="913" applyFont="1" applyAlignment="1">
      <alignment horizontal="left" wrapText="1"/>
    </xf>
    <xf numFmtId="2" fontId="7" fillId="0" borderId="0" xfId="913" applyNumberFormat="1"/>
    <xf numFmtId="173" fontId="12" fillId="34" borderId="95" xfId="89" applyNumberFormat="1" applyFont="1" applyFill="1" applyBorder="1" applyAlignment="1">
      <alignment horizontal="right"/>
    </xf>
    <xf numFmtId="173" fontId="150" fillId="34" borderId="0" xfId="382" applyNumberFormat="1" applyFont="1" applyFill="1" applyProtection="1">
      <protection locked="0"/>
    </xf>
    <xf numFmtId="0" fontId="29" fillId="0" borderId="96" xfId="342" applyFont="1" applyBorder="1" applyAlignment="1">
      <alignment horizontal="center" wrapText="1"/>
    </xf>
    <xf numFmtId="0" fontId="28" fillId="0" borderId="0" xfId="342" applyFont="1" applyFill="1" applyAlignment="1"/>
    <xf numFmtId="41" fontId="23" fillId="34" borderId="0" xfId="255" applyNumberFormat="1" applyFont="1" applyFill="1" applyProtection="1">
      <protection locked="0"/>
    </xf>
    <xf numFmtId="41" fontId="27" fillId="0" borderId="0" xfId="255" applyNumberFormat="1" applyFont="1" applyProtection="1"/>
    <xf numFmtId="0" fontId="115" fillId="0" borderId="15" xfId="257" applyFont="1" applyBorder="1"/>
    <xf numFmtId="10" fontId="7" fillId="0" borderId="15" xfId="257" applyNumberFormat="1" applyBorder="1"/>
    <xf numFmtId="192" fontId="7" fillId="0" borderId="15" xfId="257" applyNumberFormat="1" applyBorder="1"/>
    <xf numFmtId="176" fontId="7" fillId="0" borderId="15" xfId="257" applyNumberFormat="1" applyBorder="1"/>
    <xf numFmtId="191" fontId="7" fillId="0" borderId="15" xfId="257" applyNumberFormat="1" applyBorder="1"/>
    <xf numFmtId="0" fontId="7" fillId="0" borderId="0" xfId="257" applyAlignment="1">
      <alignment horizontal="left"/>
    </xf>
    <xf numFmtId="194" fontId="7" fillId="0" borderId="0" xfId="257" applyNumberFormat="1"/>
    <xf numFmtId="10" fontId="7" fillId="0" borderId="0" xfId="257" applyNumberFormat="1"/>
    <xf numFmtId="192" fontId="7" fillId="0" borderId="0" xfId="257" applyNumberFormat="1"/>
    <xf numFmtId="0" fontId="115" fillId="0" borderId="0" xfId="257" applyFont="1"/>
    <xf numFmtId="191" fontId="7" fillId="0" borderId="0" xfId="257" applyNumberFormat="1"/>
    <xf numFmtId="10" fontId="0" fillId="0" borderId="15" xfId="0" applyNumberFormat="1" applyBorder="1"/>
    <xf numFmtId="192" fontId="0" fillId="0" borderId="15" xfId="0" applyNumberFormat="1" applyBorder="1"/>
    <xf numFmtId="176" fontId="0" fillId="0" borderId="15" xfId="0" applyNumberFormat="1" applyBorder="1"/>
    <xf numFmtId="176" fontId="0" fillId="0" borderId="15" xfId="0" applyNumberFormat="1" applyBorder="1" applyAlignment="1">
      <alignment horizontal="center"/>
    </xf>
    <xf numFmtId="176" fontId="0" fillId="0" borderId="0" xfId="0" quotePrefix="1" applyNumberFormat="1" applyAlignment="1">
      <alignment horizontal="left"/>
    </xf>
    <xf numFmtId="176" fontId="0" fillId="0" borderId="0" xfId="0" applyNumberFormat="1"/>
    <xf numFmtId="0" fontId="115" fillId="0" borderId="0" xfId="0" applyFont="1" applyProtection="1">
      <protection locked="0"/>
    </xf>
    <xf numFmtId="176" fontId="0" fillId="0" borderId="0" xfId="0" quotePrefix="1" applyNumberFormat="1" applyAlignment="1">
      <alignment horizontal="right"/>
    </xf>
    <xf numFmtId="0" fontId="120" fillId="0" borderId="0" xfId="0" applyFont="1" applyAlignment="1" applyProtection="1">
      <alignment horizontal="right"/>
      <protection locked="0"/>
    </xf>
    <xf numFmtId="0" fontId="120" fillId="0" borderId="0" xfId="0" applyFont="1" applyProtection="1">
      <protection locked="0"/>
    </xf>
    <xf numFmtId="10" fontId="121" fillId="0" borderId="0" xfId="0" applyNumberFormat="1" applyFont="1"/>
    <xf numFmtId="0" fontId="121" fillId="0" borderId="0" xfId="0" applyFont="1"/>
    <xf numFmtId="0" fontId="121" fillId="0" borderId="0" xfId="0" applyFont="1" applyAlignment="1">
      <alignment horizontal="right"/>
    </xf>
    <xf numFmtId="0" fontId="46" fillId="0" borderId="0" xfId="0" applyFont="1"/>
    <xf numFmtId="200" fontId="0" fillId="0" borderId="0" xfId="0" applyNumberFormat="1" applyAlignment="1">
      <alignment horizontal="centerContinuous"/>
    </xf>
    <xf numFmtId="0" fontId="0" fillId="0" borderId="0" xfId="0" applyAlignment="1">
      <alignment horizontal="centerContinuous"/>
    </xf>
    <xf numFmtId="41" fontId="12" fillId="34" borderId="0" xfId="248" applyNumberFormat="1" applyFont="1" applyFill="1" applyProtection="1">
      <protection locked="0"/>
    </xf>
    <xf numFmtId="37" fontId="6" fillId="0" borderId="0" xfId="343" applyNumberFormat="1"/>
    <xf numFmtId="3" fontId="9" fillId="0" borderId="0" xfId="255" applyNumberFormat="1" applyFont="1" applyAlignment="1" applyProtection="1">
      <alignment horizontal="left" wrapText="1"/>
    </xf>
    <xf numFmtId="0" fontId="16" fillId="0" borderId="0" xfId="0" applyFont="1" applyAlignment="1" applyProtection="1">
      <alignment horizontal="left" wrapText="1"/>
    </xf>
    <xf numFmtId="172" fontId="81" fillId="0" borderId="0" xfId="255" applyFont="1" applyAlignment="1" applyProtection="1">
      <alignment horizontal="left" wrapText="1"/>
    </xf>
    <xf numFmtId="49" fontId="9" fillId="0" borderId="0" xfId="255" applyNumberFormat="1" applyFont="1" applyAlignment="1" applyProtection="1">
      <alignment horizontal="center"/>
    </xf>
    <xf numFmtId="0" fontId="36" fillId="0" borderId="0" xfId="0" applyFont="1" applyAlignment="1" applyProtection="1">
      <alignment horizontal="center"/>
    </xf>
    <xf numFmtId="0" fontId="14" fillId="0" borderId="0" xfId="255" applyNumberFormat="1" applyFont="1" applyAlignment="1" applyProtection="1">
      <alignment horizontal="center"/>
    </xf>
    <xf numFmtId="0" fontId="17" fillId="0" borderId="0" xfId="0" applyFont="1" applyAlignment="1" applyProtection="1"/>
    <xf numFmtId="0" fontId="0" fillId="0" borderId="0" xfId="0" applyAlignment="1" applyProtection="1">
      <alignment horizontal="center"/>
    </xf>
    <xf numFmtId="172" fontId="10" fillId="0" borderId="11" xfId="255" applyFont="1" applyBorder="1" applyAlignment="1" applyProtection="1">
      <alignment horizontal="center"/>
    </xf>
    <xf numFmtId="172" fontId="9" fillId="0" borderId="0" xfId="255" applyFont="1" applyFill="1" applyAlignment="1" applyProtection="1">
      <alignment horizontal="left" wrapText="1"/>
    </xf>
    <xf numFmtId="3" fontId="172" fillId="0" borderId="0" xfId="255" applyNumberFormat="1" applyFont="1" applyFill="1" applyAlignment="1" applyProtection="1">
      <alignment horizontal="center"/>
    </xf>
    <xf numFmtId="0" fontId="9" fillId="0" borderId="0" xfId="0" applyFont="1" applyAlignment="1" applyProtection="1">
      <alignment wrapText="1"/>
    </xf>
    <xf numFmtId="0" fontId="16" fillId="0" borderId="0" xfId="0" applyFont="1" applyAlignment="1" applyProtection="1">
      <alignment wrapText="1"/>
    </xf>
    <xf numFmtId="172" fontId="145" fillId="0" borderId="0" xfId="255" applyFont="1" applyFill="1" applyAlignment="1" applyProtection="1">
      <alignment vertical="top" wrapText="1"/>
    </xf>
    <xf numFmtId="0" fontId="140" fillId="0" borderId="0" xfId="0" applyFont="1" applyFill="1" applyAlignment="1" applyProtection="1">
      <alignment vertical="top" wrapText="1"/>
    </xf>
    <xf numFmtId="172" fontId="30" fillId="0" borderId="0" xfId="255" applyFont="1" applyFill="1" applyAlignment="1" applyProtection="1">
      <alignment wrapText="1"/>
    </xf>
    <xf numFmtId="172" fontId="9" fillId="0" borderId="0" xfId="255" applyFont="1" applyFill="1" applyAlignment="1" applyProtection="1">
      <alignment vertical="top" wrapText="1"/>
    </xf>
    <xf numFmtId="0" fontId="9" fillId="0" borderId="0" xfId="0" applyFont="1" applyFill="1" applyAlignment="1" applyProtection="1">
      <alignment vertical="top" wrapText="1"/>
    </xf>
    <xf numFmtId="0" fontId="9" fillId="0" borderId="0" xfId="0" applyFont="1" applyFill="1" applyAlignment="1" applyProtection="1">
      <alignment wrapText="1"/>
    </xf>
    <xf numFmtId="172" fontId="123" fillId="0" borderId="0" xfId="255" applyFont="1" applyFill="1" applyAlignment="1" applyProtection="1">
      <alignment wrapText="1"/>
    </xf>
    <xf numFmtId="0" fontId="36" fillId="0" borderId="0" xfId="0" applyFont="1" applyAlignment="1" applyProtection="1">
      <alignment wrapText="1"/>
    </xf>
    <xf numFmtId="0" fontId="30" fillId="0" borderId="0" xfId="255" applyNumberFormat="1" applyFont="1" applyFill="1" applyAlignment="1" applyProtection="1">
      <alignment horizontal="left" wrapText="1"/>
    </xf>
    <xf numFmtId="0" fontId="9" fillId="0" borderId="0" xfId="255" applyNumberFormat="1" applyFont="1" applyFill="1" applyAlignment="1" applyProtection="1">
      <alignment horizontal="left" wrapText="1"/>
    </xf>
    <xf numFmtId="0" fontId="9" fillId="0" borderId="0" xfId="255" applyNumberFormat="1" applyFont="1" applyFill="1" applyAlignment="1" applyProtection="1">
      <alignment horizontal="left" vertical="top" wrapText="1"/>
    </xf>
    <xf numFmtId="172" fontId="30" fillId="0" borderId="0" xfId="255" applyFont="1" applyFill="1" applyAlignment="1" applyProtection="1">
      <alignment vertical="top" wrapText="1"/>
    </xf>
    <xf numFmtId="0" fontId="30" fillId="0" borderId="0" xfId="0" applyFont="1" applyAlignment="1" applyProtection="1">
      <alignment vertical="top" wrapText="1"/>
    </xf>
    <xf numFmtId="0" fontId="9" fillId="0" borderId="0" xfId="0" applyFont="1" applyFill="1" applyAlignment="1" applyProtection="1">
      <alignment horizontal="left" vertical="top" wrapText="1"/>
    </xf>
    <xf numFmtId="172" fontId="9" fillId="0" borderId="0" xfId="255" applyFont="1" applyAlignment="1" applyProtection="1">
      <alignment horizontal="left" wrapText="1"/>
    </xf>
    <xf numFmtId="172" fontId="9" fillId="0" borderId="0" xfId="255" applyFont="1" applyAlignment="1" applyProtection="1">
      <alignment horizontal="left"/>
    </xf>
    <xf numFmtId="0" fontId="9" fillId="0" borderId="0" xfId="0" applyFont="1" applyAlignment="1">
      <alignment horizontal="center"/>
    </xf>
    <xf numFmtId="0" fontId="9" fillId="0" borderId="0" xfId="209" applyFont="1" applyBorder="1" applyAlignment="1">
      <alignment horizontal="center"/>
    </xf>
    <xf numFmtId="0" fontId="13" fillId="0" borderId="47" xfId="258" applyFont="1" applyBorder="1" applyAlignment="1">
      <alignment horizontal="center" wrapText="1"/>
    </xf>
    <xf numFmtId="0" fontId="13" fillId="0" borderId="13" xfId="258" applyFont="1" applyBorder="1" applyAlignment="1">
      <alignment horizontal="center" wrapText="1"/>
    </xf>
    <xf numFmtId="0" fontId="13" fillId="0" borderId="48" xfId="258" applyFont="1" applyBorder="1" applyAlignment="1">
      <alignment horizontal="center" wrapText="1"/>
    </xf>
    <xf numFmtId="0" fontId="13" fillId="0" borderId="47" xfId="187" applyFont="1" applyBorder="1" applyAlignment="1">
      <alignment horizontal="center"/>
    </xf>
    <xf numFmtId="0" fontId="13" fillId="0" borderId="13" xfId="187" applyFont="1" applyBorder="1" applyAlignment="1">
      <alignment horizontal="center"/>
    </xf>
    <xf numFmtId="0" fontId="13" fillId="0" borderId="48" xfId="187" applyFont="1" applyBorder="1" applyAlignment="1">
      <alignment horizontal="center"/>
    </xf>
    <xf numFmtId="3" fontId="9" fillId="0" borderId="0" xfId="209" applyNumberFormat="1" applyFont="1" applyBorder="1" applyAlignment="1">
      <alignment horizontal="center"/>
    </xf>
    <xf numFmtId="0" fontId="16" fillId="0" borderId="0" xfId="209" applyFont="1" applyFill="1" applyBorder="1" applyAlignment="1">
      <alignment horizontal="left" wrapText="1"/>
    </xf>
    <xf numFmtId="0" fontId="21" fillId="0" borderId="0" xfId="247" applyFont="1" applyAlignment="1">
      <alignment horizontal="center" wrapText="1"/>
    </xf>
    <xf numFmtId="0" fontId="17" fillId="0" borderId="0" xfId="0" applyFont="1" applyAlignment="1">
      <alignment horizontal="center" wrapText="1"/>
    </xf>
    <xf numFmtId="3" fontId="9" fillId="0" borderId="0" xfId="0" applyNumberFormat="1" applyFont="1" applyAlignment="1">
      <alignment horizontal="center"/>
    </xf>
    <xf numFmtId="0" fontId="21" fillId="0" borderId="0" xfId="209" quotePrefix="1" applyFont="1" applyBorder="1" applyAlignment="1">
      <alignment horizontal="center" wrapText="1"/>
    </xf>
    <xf numFmtId="0" fontId="28" fillId="0" borderId="11" xfId="342" applyFont="1" applyBorder="1" applyAlignment="1">
      <alignment horizontal="center"/>
    </xf>
    <xf numFmtId="172" fontId="28" fillId="0" borderId="11" xfId="346" applyFont="1" applyBorder="1" applyAlignment="1">
      <alignment horizontal="center"/>
    </xf>
    <xf numFmtId="0" fontId="28" fillId="0" borderId="11" xfId="342" applyFont="1" applyBorder="1" applyAlignment="1">
      <alignment horizontal="center" wrapText="1"/>
    </xf>
    <xf numFmtId="0" fontId="29" fillId="0" borderId="0" xfId="342" applyFont="1" applyBorder="1" applyAlignment="1">
      <alignment horizontal="center" wrapText="1"/>
    </xf>
    <xf numFmtId="0" fontId="28" fillId="0" borderId="0" xfId="342" applyFont="1" applyAlignment="1">
      <alignment horizontal="left" vertical="top" wrapText="1"/>
    </xf>
    <xf numFmtId="41" fontId="28" fillId="34" borderId="34" xfId="247" applyNumberFormat="1" applyFont="1" applyFill="1" applyBorder="1" applyAlignment="1" applyProtection="1">
      <alignment vertical="center"/>
      <protection locked="0"/>
    </xf>
    <xf numFmtId="0" fontId="28" fillId="0" borderId="0" xfId="342" applyFont="1" applyAlignment="1">
      <alignment horizontal="center" wrapText="1"/>
    </xf>
    <xf numFmtId="41" fontId="28" fillId="34" borderId="34" xfId="247" applyNumberFormat="1" applyFont="1" applyFill="1" applyBorder="1" applyAlignment="1" applyProtection="1">
      <alignment horizontal="left" vertical="center" wrapText="1"/>
      <protection locked="0"/>
    </xf>
    <xf numFmtId="0" fontId="28" fillId="0" borderId="0" xfId="342" applyFont="1" applyAlignment="1">
      <alignment horizontal="left" wrapText="1"/>
    </xf>
    <xf numFmtId="2" fontId="6" fillId="0" borderId="0" xfId="913" applyNumberFormat="1" applyFont="1" applyAlignment="1">
      <alignment horizontal="left" wrapText="1"/>
    </xf>
    <xf numFmtId="41" fontId="13" fillId="0" borderId="11" xfId="247" applyNumberFormat="1" applyFont="1" applyFill="1" applyBorder="1" applyAlignment="1" applyProtection="1">
      <alignment horizontal="center"/>
      <protection locked="0"/>
    </xf>
    <xf numFmtId="172" fontId="6" fillId="0" borderId="0" xfId="913" applyFont="1" applyAlignment="1">
      <alignment horizontal="center" wrapText="1"/>
    </xf>
    <xf numFmtId="172" fontId="6" fillId="0" borderId="0" xfId="913" applyFont="1" applyAlignment="1">
      <alignment horizontal="left" wrapText="1"/>
    </xf>
    <xf numFmtId="0" fontId="21" fillId="0" borderId="0" xfId="247" applyFont="1" applyBorder="1" applyAlignment="1">
      <alignment horizontal="center" wrapText="1"/>
    </xf>
    <xf numFmtId="0" fontId="17" fillId="0" borderId="0" xfId="0" applyFont="1" applyBorder="1" applyAlignment="1">
      <alignment horizontal="center" wrapText="1"/>
    </xf>
    <xf numFmtId="0" fontId="16" fillId="0" borderId="0" xfId="209" applyNumberFormat="1" applyFont="1" applyFill="1" applyBorder="1" applyAlignment="1">
      <alignment horizontal="left" wrapText="1"/>
    </xf>
    <xf numFmtId="0" fontId="85" fillId="0" borderId="0" xfId="209" applyNumberFormat="1" applyFont="1" applyFill="1" applyBorder="1" applyAlignment="1">
      <alignment horizontal="center"/>
    </xf>
    <xf numFmtId="0" fontId="85" fillId="0" borderId="0" xfId="247" applyFont="1" applyFill="1" applyAlignment="1">
      <alignment horizontal="center"/>
    </xf>
    <xf numFmtId="0" fontId="85" fillId="0" borderId="0" xfId="0" applyFont="1" applyFill="1" applyAlignment="1">
      <alignment horizontal="center"/>
    </xf>
    <xf numFmtId="0" fontId="9" fillId="0" borderId="0" xfId="0" applyFont="1" applyAlignment="1" applyProtection="1">
      <alignment horizontal="center"/>
    </xf>
    <xf numFmtId="0" fontId="9" fillId="0" borderId="0" xfId="209" applyFont="1" applyBorder="1" applyAlignment="1" applyProtection="1">
      <alignment horizontal="center"/>
    </xf>
    <xf numFmtId="3" fontId="9" fillId="0" borderId="0" xfId="0" applyNumberFormat="1" applyFont="1" applyAlignment="1" applyProtection="1">
      <alignment horizontal="center"/>
    </xf>
    <xf numFmtId="172" fontId="16" fillId="0" borderId="0" xfId="255" applyFont="1" applyFill="1" applyAlignment="1" applyProtection="1">
      <alignment horizontal="left" vertical="top" wrapText="1"/>
    </xf>
    <xf numFmtId="0" fontId="13" fillId="0" borderId="0" xfId="259" applyFont="1" applyFill="1" applyAlignment="1" applyProtection="1">
      <alignment wrapText="1"/>
    </xf>
    <xf numFmtId="3" fontId="8" fillId="0" borderId="0" xfId="0" applyNumberFormat="1" applyFont="1" applyAlignment="1" applyProtection="1">
      <alignment horizontal="center"/>
    </xf>
    <xf numFmtId="0" fontId="14" fillId="0" borderId="0" xfId="259" applyFont="1" applyFill="1" applyAlignment="1" applyProtection="1">
      <alignment horizontal="center"/>
    </xf>
    <xf numFmtId="3" fontId="8" fillId="0" borderId="0" xfId="0" applyNumberFormat="1" applyFont="1" applyAlignment="1">
      <alignment horizontal="center"/>
    </xf>
    <xf numFmtId="0" fontId="16" fillId="0" borderId="0" xfId="0" applyFont="1" applyAlignment="1">
      <alignment vertical="top" wrapText="1"/>
    </xf>
    <xf numFmtId="0" fontId="78" fillId="0" borderId="11" xfId="256" applyFont="1" applyBorder="1" applyAlignment="1">
      <alignment horizontal="center"/>
    </xf>
    <xf numFmtId="0" fontId="75" fillId="0" borderId="0" xfId="256" applyFont="1" applyFill="1" applyAlignment="1">
      <alignment horizontal="left" wrapText="1"/>
    </xf>
    <xf numFmtId="0" fontId="75" fillId="0" borderId="0" xfId="256" applyFont="1" applyFill="1" applyAlignment="1">
      <alignment wrapText="1"/>
    </xf>
    <xf numFmtId="0" fontId="8" fillId="0" borderId="0" xfId="209" applyFont="1" applyBorder="1" applyAlignment="1">
      <alignment horizontal="center"/>
    </xf>
    <xf numFmtId="0" fontId="8" fillId="0" borderId="0" xfId="0" applyFont="1" applyAlignment="1">
      <alignment horizontal="center"/>
    </xf>
    <xf numFmtId="0" fontId="73" fillId="34" borderId="0" xfId="0" applyFont="1" applyFill="1" applyAlignment="1" applyProtection="1">
      <alignment horizontal="left" vertical="top"/>
      <protection locked="0"/>
    </xf>
    <xf numFmtId="173" fontId="104"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6" fillId="0" borderId="21" xfId="255" applyFont="1" applyBorder="1" applyAlignment="1" applyProtection="1">
      <alignment wrapText="1"/>
    </xf>
    <xf numFmtId="0" fontId="6" fillId="0" borderId="16" xfId="0" applyFont="1" applyBorder="1" applyAlignment="1" applyProtection="1">
      <alignment wrapText="1"/>
    </xf>
    <xf numFmtId="0" fontId="6" fillId="0" borderId="22" xfId="0" applyFont="1" applyBorder="1" applyAlignment="1" applyProtection="1">
      <alignment wrapText="1"/>
    </xf>
    <xf numFmtId="0" fontId="6" fillId="0" borderId="17" xfId="0" applyFont="1" applyBorder="1" applyAlignment="1" applyProtection="1">
      <alignment wrapText="1"/>
    </xf>
    <xf numFmtId="0" fontId="6" fillId="0" borderId="0" xfId="0" applyFont="1" applyBorder="1" applyAlignment="1" applyProtection="1">
      <alignment wrapText="1"/>
    </xf>
    <xf numFmtId="0" fontId="6" fillId="0" borderId="18" xfId="0" applyFont="1" applyBorder="1" applyAlignment="1" applyProtection="1">
      <alignment wrapText="1"/>
    </xf>
    <xf numFmtId="0" fontId="8" fillId="0" borderId="0" xfId="0" applyFont="1" applyFill="1" applyAlignment="1" applyProtection="1">
      <alignment wrapText="1"/>
    </xf>
    <xf numFmtId="0" fontId="0" fillId="0" borderId="0" xfId="0" applyAlignment="1" applyProtection="1">
      <alignment wrapText="1"/>
    </xf>
    <xf numFmtId="0" fontId="16" fillId="0" borderId="0" xfId="0" applyFont="1" applyFill="1" applyBorder="1" applyAlignment="1" applyProtection="1">
      <alignment wrapText="1"/>
    </xf>
    <xf numFmtId="0" fontId="16" fillId="0" borderId="0" xfId="250" applyFont="1" applyFill="1" applyAlignment="1" applyProtection="1">
      <alignment horizontal="left" wrapText="1"/>
    </xf>
    <xf numFmtId="0" fontId="16" fillId="0" borderId="0" xfId="181" applyFont="1" applyFill="1" applyAlignment="1" applyProtection="1">
      <alignment wrapText="1"/>
    </xf>
    <xf numFmtId="0" fontId="97" fillId="0" borderId="0" xfId="250" applyFont="1" applyFill="1" applyAlignment="1" applyProtection="1">
      <alignment horizontal="left" wrapText="1"/>
    </xf>
    <xf numFmtId="0" fontId="67" fillId="0" borderId="0" xfId="0" applyFont="1" applyAlignment="1" applyProtection="1">
      <alignment vertical="top" wrapText="1"/>
    </xf>
    <xf numFmtId="0" fontId="16" fillId="0" borderId="0" xfId="0" applyFont="1" applyAlignment="1" applyProtection="1">
      <alignment vertical="top" wrapText="1"/>
    </xf>
    <xf numFmtId="41" fontId="13" fillId="0" borderId="0" xfId="250" applyNumberFormat="1" applyFont="1" applyFill="1" applyBorder="1" applyAlignment="1" applyProtection="1">
      <alignment horizontal="center" wrapText="1"/>
    </xf>
    <xf numFmtId="0" fontId="13" fillId="0" borderId="47" xfId="0" applyFont="1" applyBorder="1" applyAlignment="1">
      <alignment horizontal="center"/>
    </xf>
    <xf numFmtId="0" fontId="13" fillId="0" borderId="13" xfId="0" applyFont="1" applyBorder="1" applyAlignment="1">
      <alignment horizontal="center"/>
    </xf>
    <xf numFmtId="0" fontId="13" fillId="0" borderId="48" xfId="0" applyFont="1" applyBorder="1" applyAlignment="1">
      <alignment horizontal="center"/>
    </xf>
    <xf numFmtId="0" fontId="103" fillId="0" borderId="0" xfId="0" applyFont="1" applyAlignment="1">
      <alignment horizontal="center" wrapText="1"/>
    </xf>
    <xf numFmtId="0" fontId="13" fillId="0" borderId="0" xfId="0" applyFont="1" applyAlignment="1">
      <alignment horizontal="center" wrapText="1"/>
    </xf>
    <xf numFmtId="0" fontId="24"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3" fillId="0" borderId="0" xfId="0" applyFont="1" applyAlignment="1">
      <alignment horizontal="left" wrapText="1"/>
    </xf>
    <xf numFmtId="0" fontId="158" fillId="0" borderId="0" xfId="0" applyFont="1" applyAlignment="1">
      <alignment horizontal="left" wrapText="1"/>
    </xf>
    <xf numFmtId="0" fontId="145" fillId="0" borderId="0" xfId="0" applyFont="1" applyAlignment="1">
      <alignment horizontal="center"/>
    </xf>
    <xf numFmtId="0" fontId="145" fillId="0" borderId="0" xfId="209" applyFont="1" applyBorder="1" applyAlignment="1">
      <alignment horizontal="center"/>
    </xf>
    <xf numFmtId="0" fontId="150" fillId="0" borderId="0" xfId="0" applyFont="1" applyAlignment="1">
      <alignment horizontal="center"/>
    </xf>
    <xf numFmtId="0" fontId="145" fillId="0" borderId="0" xfId="209" applyFont="1" applyFill="1" applyBorder="1" applyAlignment="1">
      <alignment horizontal="center"/>
    </xf>
    <xf numFmtId="3" fontId="145" fillId="0" borderId="0" xfId="0" applyNumberFormat="1" applyFont="1" applyAlignment="1">
      <alignment horizontal="center"/>
    </xf>
    <xf numFmtId="0" fontId="152" fillId="0" borderId="0" xfId="0" applyFont="1" applyAlignment="1">
      <alignment horizontal="center"/>
    </xf>
    <xf numFmtId="0" fontId="150" fillId="0" borderId="0" xfId="0" applyFont="1" applyAlignment="1">
      <alignment wrapText="1"/>
    </xf>
    <xf numFmtId="0" fontId="150" fillId="0" borderId="0" xfId="0" applyFont="1" applyFill="1" applyAlignment="1">
      <alignment horizontal="left" wrapText="1"/>
    </xf>
    <xf numFmtId="0" fontId="152" fillId="0" borderId="0" xfId="0" applyFont="1" applyAlignment="1">
      <alignment horizontal="center" wrapText="1"/>
    </xf>
    <xf numFmtId="173" fontId="152" fillId="0" borderId="0" xfId="111" applyNumberFormat="1" applyFont="1" applyAlignment="1">
      <alignment horizontal="center" wrapText="1"/>
    </xf>
    <xf numFmtId="0" fontId="150" fillId="0" borderId="0" xfId="0" applyFont="1" applyAlignment="1">
      <alignment horizontal="center" wrapText="1"/>
    </xf>
    <xf numFmtId="0" fontId="0" fillId="0" borderId="0" xfId="0" applyAlignment="1">
      <alignment horizontal="left" vertical="center" wrapText="1"/>
    </xf>
    <xf numFmtId="0" fontId="0" fillId="0" borderId="0" xfId="0" applyAlignment="1">
      <alignment horizontal="left" wrapText="1"/>
    </xf>
    <xf numFmtId="0" fontId="9" fillId="0" borderId="0" xfId="254" applyFont="1" applyAlignment="1" applyProtection="1">
      <alignment vertical="top" wrapText="1"/>
    </xf>
    <xf numFmtId="0" fontId="7" fillId="0" borderId="0" xfId="0" applyFont="1" applyAlignment="1" applyProtection="1">
      <alignment vertical="top" wrapText="1"/>
    </xf>
    <xf numFmtId="0" fontId="114" fillId="0" borderId="0" xfId="257" applyFont="1" applyAlignment="1" applyProtection="1">
      <alignment horizontal="center"/>
    </xf>
    <xf numFmtId="3" fontId="114" fillId="0" borderId="0" xfId="257" applyNumberFormat="1" applyFont="1" applyAlignment="1" applyProtection="1">
      <alignment horizontal="center"/>
    </xf>
    <xf numFmtId="44" fontId="114" fillId="0" borderId="0" xfId="115" applyFont="1" applyAlignment="1" applyProtection="1">
      <alignment horizontal="center"/>
    </xf>
    <xf numFmtId="0" fontId="81" fillId="0" borderId="30" xfId="257" applyFont="1" applyBorder="1" applyAlignment="1" applyProtection="1">
      <alignment horizontal="center"/>
    </xf>
    <xf numFmtId="0" fontId="9" fillId="0" borderId="0" xfId="343" applyFont="1" applyAlignment="1">
      <alignment wrapText="1"/>
    </xf>
    <xf numFmtId="0" fontId="114" fillId="0" borderId="0" xfId="257" applyFont="1" applyAlignment="1">
      <alignment horizontal="center"/>
    </xf>
    <xf numFmtId="44" fontId="114" fillId="0" borderId="0" xfId="389" applyFont="1" applyAlignment="1">
      <alignment horizontal="center"/>
    </xf>
    <xf numFmtId="0" fontId="81" fillId="0" borderId="30" xfId="257" applyFont="1" applyBorder="1" applyAlignment="1">
      <alignment horizontal="center"/>
    </xf>
    <xf numFmtId="0" fontId="81" fillId="0" borderId="0" xfId="343" applyFont="1" applyAlignment="1">
      <alignment vertical="top" wrapText="1"/>
    </xf>
    <xf numFmtId="0" fontId="6" fillId="0" borderId="0" xfId="343" applyAlignment="1">
      <alignment vertical="top" wrapText="1"/>
    </xf>
    <xf numFmtId="0" fontId="9" fillId="0" borderId="0" xfId="582" applyFont="1" applyAlignment="1">
      <alignment vertical="top" wrapText="1"/>
    </xf>
    <xf numFmtId="0" fontId="146" fillId="0" borderId="0" xfId="257" applyFont="1" applyAlignment="1">
      <alignment horizontal="center"/>
    </xf>
    <xf numFmtId="0" fontId="7" fillId="0" borderId="0" xfId="257" applyAlignment="1">
      <alignment wrapText="1"/>
    </xf>
    <xf numFmtId="0" fontId="9" fillId="0" borderId="0" xfId="163" applyFont="1" applyAlignment="1">
      <alignment vertical="top" wrapText="1"/>
    </xf>
    <xf numFmtId="0" fontId="81" fillId="0" borderId="0" xfId="0" applyFont="1" applyAlignment="1" applyProtection="1">
      <alignment horizontal="center"/>
    </xf>
    <xf numFmtId="0" fontId="10" fillId="0" borderId="0" xfId="0" applyFont="1" applyFill="1" applyAlignment="1" applyProtection="1">
      <alignment horizontal="center"/>
    </xf>
    <xf numFmtId="0" fontId="127" fillId="0" borderId="0" xfId="0" applyFont="1" applyFill="1" applyAlignment="1" applyProtection="1">
      <alignment horizontal="center" wrapText="1"/>
    </xf>
    <xf numFmtId="3" fontId="10" fillId="0" borderId="0" xfId="0" applyNumberFormat="1" applyFont="1" applyFill="1" applyAlignment="1" applyProtection="1">
      <alignment horizontal="center"/>
    </xf>
  </cellXfs>
  <cellStyles count="91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A 2" xfId="349" xr:uid="{00000000-0005-0000-0000-000036000000}"/>
    <cellStyle name="C01B" xfId="55" xr:uid="{00000000-0005-0000-0000-000037000000}"/>
    <cellStyle name="C01B 2" xfId="350" xr:uid="{00000000-0005-0000-0000-000038000000}"/>
    <cellStyle name="C01H" xfId="56" xr:uid="{00000000-0005-0000-0000-000039000000}"/>
    <cellStyle name="C01L" xfId="57" xr:uid="{00000000-0005-0000-0000-00003A000000}"/>
    <cellStyle name="C02A" xfId="58" xr:uid="{00000000-0005-0000-0000-00003B000000}"/>
    <cellStyle name="C02A 2" xfId="563" xr:uid="{00000000-0005-0000-0000-00003C000000}"/>
    <cellStyle name="C02A 2 2" xfId="863" xr:uid="{00000000-0005-0000-0000-00003D000000}"/>
    <cellStyle name="C02A 2 3" xfId="610" xr:uid="{00000000-0005-0000-0000-00003E000000}"/>
    <cellStyle name="C02A 2 4" xfId="664" xr:uid="{00000000-0005-0000-0000-00003F000000}"/>
    <cellStyle name="C02A 3" xfId="721" xr:uid="{00000000-0005-0000-0000-000040000000}"/>
    <cellStyle name="C02A 3 2" xfId="775" xr:uid="{00000000-0005-0000-0000-000041000000}"/>
    <cellStyle name="C02A 3 2 2" xfId="904" xr:uid="{00000000-0005-0000-0000-000042000000}"/>
    <cellStyle name="C02A 3 2 3" xfId="628" xr:uid="{00000000-0005-0000-0000-000043000000}"/>
    <cellStyle name="C02A 3 3" xfId="880" xr:uid="{00000000-0005-0000-0000-000044000000}"/>
    <cellStyle name="C02A 3 4" xfId="676" xr:uid="{00000000-0005-0000-0000-000045000000}"/>
    <cellStyle name="C02A 4" xfId="690" xr:uid="{00000000-0005-0000-0000-000046000000}"/>
    <cellStyle name="C02A 4 2" xfId="746" xr:uid="{00000000-0005-0000-0000-000047000000}"/>
    <cellStyle name="C02A 4 2 2" xfId="885" xr:uid="{00000000-0005-0000-0000-000048000000}"/>
    <cellStyle name="C02A 4 2 3" xfId="681" xr:uid="{00000000-0005-0000-0000-000049000000}"/>
    <cellStyle name="C02A 4 3" xfId="856" xr:uid="{00000000-0005-0000-0000-00004A000000}"/>
    <cellStyle name="C02A 4 4" xfId="784" xr:uid="{00000000-0005-0000-0000-00004B000000}"/>
    <cellStyle name="C02A 5" xfId="642" xr:uid="{00000000-0005-0000-0000-00004C000000}"/>
    <cellStyle name="C02A 5 2" xfId="598" xr:uid="{00000000-0005-0000-0000-00004D000000}"/>
    <cellStyle name="C02A 5 3" xfId="896" xr:uid="{00000000-0005-0000-0000-00004E000000}"/>
    <cellStyle name="C02B" xfId="59" xr:uid="{00000000-0005-0000-0000-00004F000000}"/>
    <cellStyle name="C02B 2" xfId="351" xr:uid="{00000000-0005-0000-0000-000050000000}"/>
    <cellStyle name="C02H" xfId="60" xr:uid="{00000000-0005-0000-0000-000051000000}"/>
    <cellStyle name="C02L" xfId="61" xr:uid="{00000000-0005-0000-0000-000052000000}"/>
    <cellStyle name="C03A" xfId="62" xr:uid="{00000000-0005-0000-0000-000053000000}"/>
    <cellStyle name="C03B" xfId="63" xr:uid="{00000000-0005-0000-0000-000054000000}"/>
    <cellStyle name="C03H" xfId="64" xr:uid="{00000000-0005-0000-0000-000055000000}"/>
    <cellStyle name="C03L" xfId="65" xr:uid="{00000000-0005-0000-0000-000056000000}"/>
    <cellStyle name="C04A" xfId="66" xr:uid="{00000000-0005-0000-0000-000057000000}"/>
    <cellStyle name="C04A 2" xfId="352" xr:uid="{00000000-0005-0000-0000-000058000000}"/>
    <cellStyle name="C04B" xfId="67" xr:uid="{00000000-0005-0000-0000-000059000000}"/>
    <cellStyle name="C04H" xfId="68" xr:uid="{00000000-0005-0000-0000-00005A000000}"/>
    <cellStyle name="C04L" xfId="69" xr:uid="{00000000-0005-0000-0000-00005B000000}"/>
    <cellStyle name="C05A" xfId="70" xr:uid="{00000000-0005-0000-0000-00005C000000}"/>
    <cellStyle name="C05B" xfId="71" xr:uid="{00000000-0005-0000-0000-00005D000000}"/>
    <cellStyle name="C05H" xfId="72" xr:uid="{00000000-0005-0000-0000-00005E000000}"/>
    <cellStyle name="C05L" xfId="73" xr:uid="{00000000-0005-0000-0000-00005F000000}"/>
    <cellStyle name="C05L 2" xfId="353" xr:uid="{00000000-0005-0000-0000-000060000000}"/>
    <cellStyle name="C06A" xfId="74" xr:uid="{00000000-0005-0000-0000-000061000000}"/>
    <cellStyle name="C06B" xfId="75" xr:uid="{00000000-0005-0000-0000-000062000000}"/>
    <cellStyle name="C06H" xfId="76" xr:uid="{00000000-0005-0000-0000-000063000000}"/>
    <cellStyle name="C06L" xfId="77" xr:uid="{00000000-0005-0000-0000-000064000000}"/>
    <cellStyle name="C07A" xfId="78" xr:uid="{00000000-0005-0000-0000-000065000000}"/>
    <cellStyle name="C07B" xfId="79" xr:uid="{00000000-0005-0000-0000-000066000000}"/>
    <cellStyle name="C07H" xfId="80" xr:uid="{00000000-0005-0000-0000-000067000000}"/>
    <cellStyle name="C07L" xfId="81" xr:uid="{00000000-0005-0000-0000-000068000000}"/>
    <cellStyle name="Calculation" xfId="82" builtinId="22" customBuiltin="1"/>
    <cellStyle name="Calculation 2" xfId="83" xr:uid="{00000000-0005-0000-0000-00006A000000}"/>
    <cellStyle name="Calculation 2 2" xfId="565" xr:uid="{00000000-0005-0000-0000-00006B000000}"/>
    <cellStyle name="Calculation 2 2 2" xfId="865" xr:uid="{00000000-0005-0000-0000-00006C000000}"/>
    <cellStyle name="Calculation 2 2 3" xfId="633" xr:uid="{00000000-0005-0000-0000-00006D000000}"/>
    <cellStyle name="Calculation 2 2 4" xfId="855" xr:uid="{00000000-0005-0000-0000-00006E000000}"/>
    <cellStyle name="Calculation 2 3" xfId="713" xr:uid="{00000000-0005-0000-0000-00006F000000}"/>
    <cellStyle name="Calculation 2 3 2" xfId="765" xr:uid="{00000000-0005-0000-0000-000070000000}"/>
    <cellStyle name="Calculation 2 3 2 2" xfId="897" xr:uid="{00000000-0005-0000-0000-000071000000}"/>
    <cellStyle name="Calculation 2 3 2 3" xfId="621" xr:uid="{00000000-0005-0000-0000-000072000000}"/>
    <cellStyle name="Calculation 2 3 3" xfId="873" xr:uid="{00000000-0005-0000-0000-000073000000}"/>
    <cellStyle name="Calculation 2 3 4" xfId="866" xr:uid="{00000000-0005-0000-0000-000074000000}"/>
    <cellStyle name="Calculation 2 4" xfId="696" xr:uid="{00000000-0005-0000-0000-000075000000}"/>
    <cellStyle name="Calculation 2 4 2" xfId="752" xr:uid="{00000000-0005-0000-0000-000076000000}"/>
    <cellStyle name="Calculation 2 4 2 2" xfId="891" xr:uid="{00000000-0005-0000-0000-000077000000}"/>
    <cellStyle name="Calculation 2 4 2 3" xfId="881" xr:uid="{00000000-0005-0000-0000-000078000000}"/>
    <cellStyle name="Calculation 2 4 3" xfId="862" xr:uid="{00000000-0005-0000-0000-000079000000}"/>
    <cellStyle name="Calculation 2 4 4" xfId="609" xr:uid="{00000000-0005-0000-0000-00007A000000}"/>
    <cellStyle name="Calculation 2 5" xfId="644" xr:uid="{00000000-0005-0000-0000-00007B000000}"/>
    <cellStyle name="Calculation 2 5 2" xfId="789" xr:uid="{00000000-0005-0000-0000-00007C000000}"/>
    <cellStyle name="Calculation 2 5 3" xfId="585" xr:uid="{00000000-0005-0000-0000-00007D000000}"/>
    <cellStyle name="Calculation 3" xfId="564" xr:uid="{00000000-0005-0000-0000-00007E000000}"/>
    <cellStyle name="Calculation 3 2" xfId="864" xr:uid="{00000000-0005-0000-0000-00007F000000}"/>
    <cellStyle name="Calculation 3 3" xfId="593" xr:uid="{00000000-0005-0000-0000-000080000000}"/>
    <cellStyle name="Calculation 3 4" xfId="630" xr:uid="{00000000-0005-0000-0000-000081000000}"/>
    <cellStyle name="Calculation 4" xfId="715" xr:uid="{00000000-0005-0000-0000-000082000000}"/>
    <cellStyle name="Calculation 4 2" xfId="767" xr:uid="{00000000-0005-0000-0000-000083000000}"/>
    <cellStyle name="Calculation 4 2 2" xfId="898" xr:uid="{00000000-0005-0000-0000-000084000000}"/>
    <cellStyle name="Calculation 4 2 3" xfId="623" xr:uid="{00000000-0005-0000-0000-000085000000}"/>
    <cellStyle name="Calculation 4 3" xfId="874" xr:uid="{00000000-0005-0000-0000-000086000000}"/>
    <cellStyle name="Calculation 4 4" xfId="910" xr:uid="{00000000-0005-0000-0000-000087000000}"/>
    <cellStyle name="Calculation 5" xfId="695" xr:uid="{00000000-0005-0000-0000-000088000000}"/>
    <cellStyle name="Calculation 5 2" xfId="751" xr:uid="{00000000-0005-0000-0000-000089000000}"/>
    <cellStyle name="Calculation 5 2 2" xfId="890" xr:uid="{00000000-0005-0000-0000-00008A000000}"/>
    <cellStyle name="Calculation 5 2 3" xfId="725" xr:uid="{00000000-0005-0000-0000-00008B000000}"/>
    <cellStyle name="Calculation 5 3" xfId="861" xr:uid="{00000000-0005-0000-0000-00008C000000}"/>
    <cellStyle name="Calculation 5 4" xfId="592" xr:uid="{00000000-0005-0000-0000-00008D000000}"/>
    <cellStyle name="Calculation 6" xfId="643" xr:uid="{00000000-0005-0000-0000-00008E000000}"/>
    <cellStyle name="Calculation 6 2" xfId="597" xr:uid="{00000000-0005-0000-0000-00008F000000}"/>
    <cellStyle name="Calculation 6 3" xfId="586" xr:uid="{00000000-0005-0000-0000-000090000000}"/>
    <cellStyle name="Check Cell" xfId="84" builtinId="23" customBuiltin="1"/>
    <cellStyle name="Check Cell 2" xfId="85" xr:uid="{00000000-0005-0000-0000-000092000000}"/>
    <cellStyle name="Comma" xfId="86" builtinId="3"/>
    <cellStyle name="Comma [0] 2" xfId="544" xr:uid="{00000000-0005-0000-0000-000094000000}"/>
    <cellStyle name="Comma 10" xfId="348" xr:uid="{00000000-0005-0000-0000-000095000000}"/>
    <cellStyle name="Comma 10 2" xfId="354" xr:uid="{00000000-0005-0000-0000-000096000000}"/>
    <cellStyle name="Comma 11" xfId="540" xr:uid="{00000000-0005-0000-0000-000097000000}"/>
    <cellStyle name="Comma 11 2" xfId="698" xr:uid="{00000000-0005-0000-0000-000098000000}"/>
    <cellStyle name="Comma 11 2 2" xfId="812" xr:uid="{00000000-0005-0000-0000-000099000000}"/>
    <cellStyle name="Comma 11 3" xfId="914" xr:uid="{00000000-0005-0000-0000-00009A000000}"/>
    <cellStyle name="Comma 12 2" xfId="87" xr:uid="{00000000-0005-0000-0000-00009B000000}"/>
    <cellStyle name="Comma 12 2 2" xfId="355" xr:uid="{00000000-0005-0000-0000-00009C000000}"/>
    <cellStyle name="Comma 12 2 2 2" xfId="829" xr:uid="{00000000-0005-0000-0000-00009D000000}"/>
    <cellStyle name="Comma 12 2 2 3" xfId="753" xr:uid="{00000000-0005-0000-0000-00009E000000}"/>
    <cellStyle name="Comma 12 2 2 4" xfId="699" xr:uid="{00000000-0005-0000-0000-00009F000000}"/>
    <cellStyle name="Comma 12 2 3" xfId="547" xr:uid="{00000000-0005-0000-0000-0000A0000000}"/>
    <cellStyle name="Comma 12 2 3 2" xfId="783" xr:uid="{00000000-0005-0000-0000-0000A1000000}"/>
    <cellStyle name="Comma 12 2 3 3" xfId="645" xr:uid="{00000000-0005-0000-0000-0000A2000000}"/>
    <cellStyle name="Comma 12 2 4" xfId="816" xr:uid="{00000000-0005-0000-0000-0000A3000000}"/>
    <cellStyle name="Comma 12 2 5" xfId="729" xr:uid="{00000000-0005-0000-0000-0000A4000000}"/>
    <cellStyle name="Comma 12 2 6" xfId="590" xr:uid="{00000000-0005-0000-0000-0000A5000000}"/>
    <cellStyle name="Comma 2" xfId="88" xr:uid="{00000000-0005-0000-0000-0000A6000000}"/>
    <cellStyle name="Comma 2 2" xfId="89" xr:uid="{00000000-0005-0000-0000-0000A7000000}"/>
    <cellStyle name="Comma 2 2 2" xfId="357" xr:uid="{00000000-0005-0000-0000-0000A8000000}"/>
    <cellStyle name="Comma 2 3" xfId="356" xr:uid="{00000000-0005-0000-0000-0000A9000000}"/>
    <cellStyle name="Comma 3" xfId="90" xr:uid="{00000000-0005-0000-0000-0000AA000000}"/>
    <cellStyle name="Comma 3 10" xfId="358" xr:uid="{00000000-0005-0000-0000-0000AB000000}"/>
    <cellStyle name="Comma 3 2" xfId="91" xr:uid="{00000000-0005-0000-0000-0000AC000000}"/>
    <cellStyle name="Comma 3 2 2" xfId="359" xr:uid="{00000000-0005-0000-0000-0000AD000000}"/>
    <cellStyle name="Comma 3 3" xfId="92" xr:uid="{00000000-0005-0000-0000-0000AE000000}"/>
    <cellStyle name="Comma 3 3 2" xfId="93" xr:uid="{00000000-0005-0000-0000-0000AF000000}"/>
    <cellStyle name="Comma 3 3 2 2" xfId="361" xr:uid="{00000000-0005-0000-0000-0000B0000000}"/>
    <cellStyle name="Comma 3 3 3" xfId="94" xr:uid="{00000000-0005-0000-0000-0000B1000000}"/>
    <cellStyle name="Comma 3 3 3 2" xfId="362" xr:uid="{00000000-0005-0000-0000-0000B2000000}"/>
    <cellStyle name="Comma 3 3 4" xfId="360" xr:uid="{00000000-0005-0000-0000-0000B3000000}"/>
    <cellStyle name="Comma 3 4" xfId="95" xr:uid="{00000000-0005-0000-0000-0000B4000000}"/>
    <cellStyle name="Comma 3 4 2" xfId="96" xr:uid="{00000000-0005-0000-0000-0000B5000000}"/>
    <cellStyle name="Comma 3 4 2 2" xfId="364" xr:uid="{00000000-0005-0000-0000-0000B6000000}"/>
    <cellStyle name="Comma 3 4 3" xfId="97" xr:uid="{00000000-0005-0000-0000-0000B7000000}"/>
    <cellStyle name="Comma 3 4 3 2" xfId="365" xr:uid="{00000000-0005-0000-0000-0000B8000000}"/>
    <cellStyle name="Comma 3 4 4" xfId="363" xr:uid="{00000000-0005-0000-0000-0000B9000000}"/>
    <cellStyle name="Comma 3 5" xfId="98" xr:uid="{00000000-0005-0000-0000-0000BA000000}"/>
    <cellStyle name="Comma 3 5 2" xfId="366" xr:uid="{00000000-0005-0000-0000-0000BB000000}"/>
    <cellStyle name="Comma 3 6" xfId="99" xr:uid="{00000000-0005-0000-0000-0000BC000000}"/>
    <cellStyle name="Comma 3 6 2" xfId="100" xr:uid="{00000000-0005-0000-0000-0000BD000000}"/>
    <cellStyle name="Comma 3 6 2 2" xfId="368" xr:uid="{00000000-0005-0000-0000-0000BE000000}"/>
    <cellStyle name="Comma 3 6 3" xfId="367" xr:uid="{00000000-0005-0000-0000-0000BF000000}"/>
    <cellStyle name="Comma 3 7" xfId="101" xr:uid="{00000000-0005-0000-0000-0000C0000000}"/>
    <cellStyle name="Comma 3 7 2" xfId="102" xr:uid="{00000000-0005-0000-0000-0000C1000000}"/>
    <cellStyle name="Comma 3 7 2 2" xfId="370" xr:uid="{00000000-0005-0000-0000-0000C2000000}"/>
    <cellStyle name="Comma 3 7 3" xfId="369" xr:uid="{00000000-0005-0000-0000-0000C3000000}"/>
    <cellStyle name="Comma 3 8" xfId="103" xr:uid="{00000000-0005-0000-0000-0000C4000000}"/>
    <cellStyle name="Comma 3 8 2" xfId="371" xr:uid="{00000000-0005-0000-0000-0000C5000000}"/>
    <cellStyle name="Comma 3 8 2 2" xfId="830" xr:uid="{00000000-0005-0000-0000-0000C6000000}"/>
    <cellStyle name="Comma 3 8 3" xfId="646" xr:uid="{00000000-0005-0000-0000-0000C7000000}"/>
    <cellStyle name="Comma 3 9" xfId="333" xr:uid="{00000000-0005-0000-0000-0000C8000000}"/>
    <cellStyle name="Comma 3 9 2" xfId="373" xr:uid="{00000000-0005-0000-0000-0000C9000000}"/>
    <cellStyle name="Comma 3 9 2 2" xfId="785" xr:uid="{00000000-0005-0000-0000-0000CA000000}"/>
    <cellStyle name="Comma 3 9 3" xfId="372" xr:uid="{00000000-0005-0000-0000-0000CB000000}"/>
    <cellStyle name="Comma 4" xfId="104" xr:uid="{00000000-0005-0000-0000-0000CC000000}"/>
    <cellStyle name="Comma 4 2" xfId="105" xr:uid="{00000000-0005-0000-0000-0000CD000000}"/>
    <cellStyle name="Comma 4 2 2" xfId="375" xr:uid="{00000000-0005-0000-0000-0000CE000000}"/>
    <cellStyle name="Comma 4 3" xfId="374" xr:uid="{00000000-0005-0000-0000-0000CF000000}"/>
    <cellStyle name="Comma 4 3 2" xfId="831" xr:uid="{00000000-0005-0000-0000-0000D0000000}"/>
    <cellStyle name="Comma 4 3 3" xfId="754" xr:uid="{00000000-0005-0000-0000-0000D1000000}"/>
    <cellStyle name="Comma 4 3 4" xfId="701" xr:uid="{00000000-0005-0000-0000-0000D2000000}"/>
    <cellStyle name="Comma 4 4" xfId="548" xr:uid="{00000000-0005-0000-0000-0000D3000000}"/>
    <cellStyle name="Comma 4 4 2" xfId="786" xr:uid="{00000000-0005-0000-0000-0000D4000000}"/>
    <cellStyle name="Comma 4 4 3" xfId="647" xr:uid="{00000000-0005-0000-0000-0000D5000000}"/>
    <cellStyle name="Comma 4 5" xfId="817" xr:uid="{00000000-0005-0000-0000-0000D6000000}"/>
    <cellStyle name="Comma 4 6" xfId="730" xr:uid="{00000000-0005-0000-0000-0000D7000000}"/>
    <cellStyle name="Comma 4 7" xfId="591" xr:uid="{00000000-0005-0000-0000-0000D8000000}"/>
    <cellStyle name="Comma 5" xfId="106" xr:uid="{00000000-0005-0000-0000-0000D9000000}"/>
    <cellStyle name="Comma 5 2" xfId="107" xr:uid="{00000000-0005-0000-0000-0000DA000000}"/>
    <cellStyle name="Comma 5 2 2" xfId="377" xr:uid="{00000000-0005-0000-0000-0000DB000000}"/>
    <cellStyle name="Comma 5 3" xfId="376" xr:uid="{00000000-0005-0000-0000-0000DC000000}"/>
    <cellStyle name="Comma 6" xfId="108" xr:uid="{00000000-0005-0000-0000-0000DD000000}"/>
    <cellStyle name="Comma 6 2" xfId="109" xr:uid="{00000000-0005-0000-0000-0000DE000000}"/>
    <cellStyle name="Comma 6 2 2" xfId="379" xr:uid="{00000000-0005-0000-0000-0000DF000000}"/>
    <cellStyle name="Comma 6 3" xfId="110" xr:uid="{00000000-0005-0000-0000-0000E0000000}"/>
    <cellStyle name="Comma 6 3 2" xfId="380" xr:uid="{00000000-0005-0000-0000-0000E1000000}"/>
    <cellStyle name="Comma 6 3 2 2" xfId="833" xr:uid="{00000000-0005-0000-0000-0000E2000000}"/>
    <cellStyle name="Comma 6 3 2 3" xfId="756" xr:uid="{00000000-0005-0000-0000-0000E3000000}"/>
    <cellStyle name="Comma 6 3 2 4" xfId="703" xr:uid="{00000000-0005-0000-0000-0000E4000000}"/>
    <cellStyle name="Comma 6 3 3" xfId="550" xr:uid="{00000000-0005-0000-0000-0000E5000000}"/>
    <cellStyle name="Comma 6 3 3 2" xfId="788" xr:uid="{00000000-0005-0000-0000-0000E6000000}"/>
    <cellStyle name="Comma 6 3 3 3" xfId="650" xr:uid="{00000000-0005-0000-0000-0000E7000000}"/>
    <cellStyle name="Comma 6 3 4" xfId="819" xr:uid="{00000000-0005-0000-0000-0000E8000000}"/>
    <cellStyle name="Comma 6 3 5" xfId="732" xr:uid="{00000000-0005-0000-0000-0000E9000000}"/>
    <cellStyle name="Comma 6 3 6" xfId="595" xr:uid="{00000000-0005-0000-0000-0000EA000000}"/>
    <cellStyle name="Comma 6 4" xfId="378" xr:uid="{00000000-0005-0000-0000-0000EB000000}"/>
    <cellStyle name="Comma 6 4 2" xfId="832" xr:uid="{00000000-0005-0000-0000-0000EC000000}"/>
    <cellStyle name="Comma 6 4 3" xfId="755" xr:uid="{00000000-0005-0000-0000-0000ED000000}"/>
    <cellStyle name="Comma 6 4 4" xfId="702" xr:uid="{00000000-0005-0000-0000-0000EE000000}"/>
    <cellStyle name="Comma 6 5" xfId="549" xr:uid="{00000000-0005-0000-0000-0000EF000000}"/>
    <cellStyle name="Comma 6 5 2" xfId="787" xr:uid="{00000000-0005-0000-0000-0000F0000000}"/>
    <cellStyle name="Comma 6 5 3" xfId="649" xr:uid="{00000000-0005-0000-0000-0000F1000000}"/>
    <cellStyle name="Comma 6 6" xfId="818" xr:uid="{00000000-0005-0000-0000-0000F2000000}"/>
    <cellStyle name="Comma 6 7" xfId="731" xr:uid="{00000000-0005-0000-0000-0000F3000000}"/>
    <cellStyle name="Comma 6 8" xfId="594" xr:uid="{00000000-0005-0000-0000-0000F4000000}"/>
    <cellStyle name="Comma 7" xfId="111" xr:uid="{00000000-0005-0000-0000-0000F5000000}"/>
    <cellStyle name="Comma 7 2" xfId="334" xr:uid="{00000000-0005-0000-0000-0000F6000000}"/>
    <cellStyle name="Comma 7 2 2" xfId="382" xr:uid="{00000000-0005-0000-0000-0000F7000000}"/>
    <cellStyle name="Comma 7 3" xfId="383" xr:uid="{00000000-0005-0000-0000-0000F8000000}"/>
    <cellStyle name="Comma 7 3 2" xfId="652" xr:uid="{00000000-0005-0000-0000-0000F9000000}"/>
    <cellStyle name="Comma 7 4" xfId="384" xr:uid="{00000000-0005-0000-0000-0000FA000000}"/>
    <cellStyle name="Comma 7 5" xfId="381" xr:uid="{00000000-0005-0000-0000-0000FB000000}"/>
    <cellStyle name="Comma 8" xfId="112" xr:uid="{00000000-0005-0000-0000-0000FC000000}"/>
    <cellStyle name="Comma 8 2" xfId="385" xr:uid="{00000000-0005-0000-0000-0000FD000000}"/>
    <cellStyle name="Comma 8 2 2" xfId="834" xr:uid="{00000000-0005-0000-0000-0000FE000000}"/>
    <cellStyle name="Comma 8 3" xfId="653" xr:uid="{00000000-0005-0000-0000-0000FF000000}"/>
    <cellStyle name="Comma 9" xfId="332" xr:uid="{00000000-0005-0000-0000-000000010000}"/>
    <cellStyle name="Comma 9 2" xfId="347" xr:uid="{00000000-0005-0000-0000-000001010000}"/>
    <cellStyle name="Comma 9 2 2" xfId="539" xr:uid="{00000000-0005-0000-0000-000002010000}"/>
    <cellStyle name="Comma 9 2 2 2" xfId="579" xr:uid="{00000000-0005-0000-0000-000003010000}"/>
    <cellStyle name="Comma 9 2 2 2 2" xfId="780" xr:uid="{00000000-0005-0000-0000-000004010000}"/>
    <cellStyle name="Comma 9 2 2 3" xfId="727" xr:uid="{00000000-0005-0000-0000-000005010000}"/>
    <cellStyle name="Comma 9 2 3" xfId="561" xr:uid="{00000000-0005-0000-0000-000006010000}"/>
    <cellStyle name="Comma 9 2 3 2" xfId="811" xr:uid="{00000000-0005-0000-0000-000007010000}"/>
    <cellStyle name="Comma 9 2 4" xfId="854" xr:uid="{00000000-0005-0000-0000-000008010000}"/>
    <cellStyle name="Comma 9 2 5" xfId="743" xr:uid="{00000000-0005-0000-0000-000009010000}"/>
    <cellStyle name="Comma 9 2 6" xfId="638" xr:uid="{00000000-0005-0000-0000-00000A010000}"/>
    <cellStyle name="Comma 9 3" xfId="546" xr:uid="{00000000-0005-0000-0000-00000B010000}"/>
    <cellStyle name="Comma 9 3 2" xfId="581" xr:uid="{00000000-0005-0000-0000-00000C010000}"/>
    <cellStyle name="Comma 9 3 2 2" xfId="815" xr:uid="{00000000-0005-0000-0000-00000D010000}"/>
    <cellStyle name="Comma 9 3 3" xfId="745" xr:uid="{00000000-0005-0000-0000-00000E010000}"/>
    <cellStyle name="Comma 9 3 4" xfId="689" xr:uid="{00000000-0005-0000-0000-00000F010000}"/>
    <cellStyle name="Comma 9 4" xfId="386" xr:uid="{00000000-0005-0000-0000-000010010000}"/>
    <cellStyle name="Comma 9 5" xfId="654" xr:uid="{00000000-0005-0000-0000-000011010000}"/>
    <cellStyle name="Comma 9 6" xfId="635" xr:uid="{00000000-0005-0000-0000-000012010000}"/>
    <cellStyle name="Comma_spp calc - revsd rev crd" xfId="113" xr:uid="{00000000-0005-0000-0000-000013010000}"/>
    <cellStyle name="Comma0" xfId="114" xr:uid="{00000000-0005-0000-0000-000014010000}"/>
    <cellStyle name="Comma0 2" xfId="387" xr:uid="{00000000-0005-0000-0000-000015010000}"/>
    <cellStyle name="Currency" xfId="115" builtinId="4"/>
    <cellStyle name="Currency [0] 2" xfId="543" xr:uid="{00000000-0005-0000-0000-000017010000}"/>
    <cellStyle name="Currency 10" xfId="542" xr:uid="{00000000-0005-0000-0000-000018010000}"/>
    <cellStyle name="Currency 10 2" xfId="813" xr:uid="{00000000-0005-0000-0000-000019010000}"/>
    <cellStyle name="Currency 10 3" xfId="704" xr:uid="{00000000-0005-0000-0000-00001A010000}"/>
    <cellStyle name="Currency 2" xfId="116" xr:uid="{00000000-0005-0000-0000-00001B010000}"/>
    <cellStyle name="Currency 2 2" xfId="117" xr:uid="{00000000-0005-0000-0000-00001C010000}"/>
    <cellStyle name="Currency 2 2 2" xfId="389" xr:uid="{00000000-0005-0000-0000-00001D010000}"/>
    <cellStyle name="Currency 2 3" xfId="388" xr:uid="{00000000-0005-0000-0000-00001E010000}"/>
    <cellStyle name="Currency 3" xfId="118" xr:uid="{00000000-0005-0000-0000-00001F010000}"/>
    <cellStyle name="Currency 3 2" xfId="119" xr:uid="{00000000-0005-0000-0000-000020010000}"/>
    <cellStyle name="Currency 3 2 2" xfId="390" xr:uid="{00000000-0005-0000-0000-000021010000}"/>
    <cellStyle name="Currency 3 3" xfId="120" xr:uid="{00000000-0005-0000-0000-000022010000}"/>
    <cellStyle name="Currency 3 3 2" xfId="121" xr:uid="{00000000-0005-0000-0000-000023010000}"/>
    <cellStyle name="Currency 3 3 2 2" xfId="392" xr:uid="{00000000-0005-0000-0000-000024010000}"/>
    <cellStyle name="Currency 3 3 3" xfId="122" xr:uid="{00000000-0005-0000-0000-000025010000}"/>
    <cellStyle name="Currency 3 3 3 2" xfId="393" xr:uid="{00000000-0005-0000-0000-000026010000}"/>
    <cellStyle name="Currency 3 3 4" xfId="391" xr:uid="{00000000-0005-0000-0000-000027010000}"/>
    <cellStyle name="Currency 3 4" xfId="123" xr:uid="{00000000-0005-0000-0000-000028010000}"/>
    <cellStyle name="Currency 3 4 2" xfId="124" xr:uid="{00000000-0005-0000-0000-000029010000}"/>
    <cellStyle name="Currency 3 4 2 2" xfId="395" xr:uid="{00000000-0005-0000-0000-00002A010000}"/>
    <cellStyle name="Currency 3 4 3" xfId="125" xr:uid="{00000000-0005-0000-0000-00002B010000}"/>
    <cellStyle name="Currency 3 4 3 2" xfId="396" xr:uid="{00000000-0005-0000-0000-00002C010000}"/>
    <cellStyle name="Currency 3 4 4" xfId="394" xr:uid="{00000000-0005-0000-0000-00002D010000}"/>
    <cellStyle name="Currency 3 5" xfId="126" xr:uid="{00000000-0005-0000-0000-00002E010000}"/>
    <cellStyle name="Currency 3 5 2" xfId="397" xr:uid="{00000000-0005-0000-0000-00002F010000}"/>
    <cellStyle name="Currency 3 6" xfId="127" xr:uid="{00000000-0005-0000-0000-000030010000}"/>
    <cellStyle name="Currency 3 6 2" xfId="128" xr:uid="{00000000-0005-0000-0000-000031010000}"/>
    <cellStyle name="Currency 3 6 2 2" xfId="399" xr:uid="{00000000-0005-0000-0000-000032010000}"/>
    <cellStyle name="Currency 3 6 3" xfId="398" xr:uid="{00000000-0005-0000-0000-000033010000}"/>
    <cellStyle name="Currency 3 7" xfId="129" xr:uid="{00000000-0005-0000-0000-000034010000}"/>
    <cellStyle name="Currency 3 7 2" xfId="400" xr:uid="{00000000-0005-0000-0000-000035010000}"/>
    <cellStyle name="Currency 3 7 2 2" xfId="835" xr:uid="{00000000-0005-0000-0000-000036010000}"/>
    <cellStyle name="Currency 3 7 3" xfId="657" xr:uid="{00000000-0005-0000-0000-000037010000}"/>
    <cellStyle name="Currency 3 8" xfId="336" xr:uid="{00000000-0005-0000-0000-000038010000}"/>
    <cellStyle name="Currency 3 8 2" xfId="401" xr:uid="{00000000-0005-0000-0000-000039010000}"/>
    <cellStyle name="Currency 3 8 3" xfId="790" xr:uid="{00000000-0005-0000-0000-00003A010000}"/>
    <cellStyle name="Currency 3 9" xfId="402" xr:uid="{00000000-0005-0000-0000-00003B010000}"/>
    <cellStyle name="Currency 4" xfId="130" xr:uid="{00000000-0005-0000-0000-00003C010000}"/>
    <cellStyle name="Currency 4 2" xfId="131" xr:uid="{00000000-0005-0000-0000-00003D010000}"/>
    <cellStyle name="Currency 4 2 2" xfId="404" xr:uid="{00000000-0005-0000-0000-00003E010000}"/>
    <cellStyle name="Currency 4 3" xfId="403" xr:uid="{00000000-0005-0000-0000-00003F010000}"/>
    <cellStyle name="Currency 4 3 2" xfId="836" xr:uid="{00000000-0005-0000-0000-000040010000}"/>
    <cellStyle name="Currency 4 3 3" xfId="757" xr:uid="{00000000-0005-0000-0000-000041010000}"/>
    <cellStyle name="Currency 4 3 4" xfId="705" xr:uid="{00000000-0005-0000-0000-000042010000}"/>
    <cellStyle name="Currency 4 4" xfId="551" xr:uid="{00000000-0005-0000-0000-000043010000}"/>
    <cellStyle name="Currency 4 4 2" xfId="791" xr:uid="{00000000-0005-0000-0000-000044010000}"/>
    <cellStyle name="Currency 4 4 3" xfId="658" xr:uid="{00000000-0005-0000-0000-000045010000}"/>
    <cellStyle name="Currency 4 5" xfId="820" xr:uid="{00000000-0005-0000-0000-000046010000}"/>
    <cellStyle name="Currency 4 6" xfId="733" xr:uid="{00000000-0005-0000-0000-000047010000}"/>
    <cellStyle name="Currency 4 7" xfId="600" xr:uid="{00000000-0005-0000-0000-000048010000}"/>
    <cellStyle name="Currency 5" xfId="132" xr:uid="{00000000-0005-0000-0000-000049010000}"/>
    <cellStyle name="Currency 5 2" xfId="133" xr:uid="{00000000-0005-0000-0000-00004A010000}"/>
    <cellStyle name="Currency 5 2 2" xfId="406" xr:uid="{00000000-0005-0000-0000-00004B010000}"/>
    <cellStyle name="Currency 5 3" xfId="405" xr:uid="{00000000-0005-0000-0000-00004C010000}"/>
    <cellStyle name="Currency 6" xfId="134" xr:uid="{00000000-0005-0000-0000-00004D010000}"/>
    <cellStyle name="Currency 6 2" xfId="407" xr:uid="{00000000-0005-0000-0000-00004E010000}"/>
    <cellStyle name="Currency 6 2 2" xfId="837" xr:uid="{00000000-0005-0000-0000-00004F010000}"/>
    <cellStyle name="Currency 6 2 3" xfId="758" xr:uid="{00000000-0005-0000-0000-000050010000}"/>
    <cellStyle name="Currency 6 2 4" xfId="706" xr:uid="{00000000-0005-0000-0000-000051010000}"/>
    <cellStyle name="Currency 6 3" xfId="552" xr:uid="{00000000-0005-0000-0000-000052010000}"/>
    <cellStyle name="Currency 6 3 2" xfId="792" xr:uid="{00000000-0005-0000-0000-000053010000}"/>
    <cellStyle name="Currency 6 3 3" xfId="659" xr:uid="{00000000-0005-0000-0000-000054010000}"/>
    <cellStyle name="Currency 6 4" xfId="821" xr:uid="{00000000-0005-0000-0000-000055010000}"/>
    <cellStyle name="Currency 6 5" xfId="734" xr:uid="{00000000-0005-0000-0000-000056010000}"/>
    <cellStyle name="Currency 6 6" xfId="601" xr:uid="{00000000-0005-0000-0000-000057010000}"/>
    <cellStyle name="Currency 7" xfId="135" xr:uid="{00000000-0005-0000-0000-000058010000}"/>
    <cellStyle name="Currency 7 2" xfId="408" xr:uid="{00000000-0005-0000-0000-000059010000}"/>
    <cellStyle name="Currency 7 2 2" xfId="838" xr:uid="{00000000-0005-0000-0000-00005A010000}"/>
    <cellStyle name="Currency 7 3" xfId="660" xr:uid="{00000000-0005-0000-0000-00005B010000}"/>
    <cellStyle name="Currency 8" xfId="335" xr:uid="{00000000-0005-0000-0000-00005C010000}"/>
    <cellStyle name="Currency 8 2" xfId="409" xr:uid="{00000000-0005-0000-0000-00005D010000}"/>
    <cellStyle name="Currency 8 3" xfId="661" xr:uid="{00000000-0005-0000-0000-00005E010000}"/>
    <cellStyle name="Currency 8 4" xfId="636" xr:uid="{00000000-0005-0000-0000-00005F010000}"/>
    <cellStyle name="Currency 9" xfId="410" xr:uid="{00000000-0005-0000-0000-000060010000}"/>
    <cellStyle name="Currency 9 2" xfId="793" xr:uid="{00000000-0005-0000-0000-000061010000}"/>
    <cellStyle name="Currency 9 3" xfId="640" xr:uid="{00000000-0005-0000-0000-000062010000}"/>
    <cellStyle name="Currency0" xfId="136" xr:uid="{00000000-0005-0000-0000-000063010000}"/>
    <cellStyle name="Currency0 2" xfId="411" xr:uid="{00000000-0005-0000-0000-000064010000}"/>
    <cellStyle name="Date" xfId="137" xr:uid="{00000000-0005-0000-0000-000065010000}"/>
    <cellStyle name="Date 2" xfId="412" xr:uid="{00000000-0005-0000-0000-000066010000}"/>
    <cellStyle name="Explanatory Text" xfId="138" builtinId="53" customBuiltin="1"/>
    <cellStyle name="Explanatory Text 2" xfId="139" xr:uid="{00000000-0005-0000-0000-000068010000}"/>
    <cellStyle name="Fixed" xfId="140" xr:uid="{00000000-0005-0000-0000-000069010000}"/>
    <cellStyle name="Fixed 2" xfId="413" xr:uid="{00000000-0005-0000-0000-00006A010000}"/>
    <cellStyle name="Good" xfId="141" builtinId="26" customBuiltin="1"/>
    <cellStyle name="Good 2" xfId="142" xr:uid="{00000000-0005-0000-0000-00006C010000}"/>
    <cellStyle name="Heading 1" xfId="143" builtinId="16" customBuiltin="1"/>
    <cellStyle name="Heading 1 2" xfId="144" xr:uid="{00000000-0005-0000-0000-00006E010000}"/>
    <cellStyle name="Heading 2" xfId="145" builtinId="17" customBuiltin="1"/>
    <cellStyle name="Heading 2 2" xfId="146" xr:uid="{00000000-0005-0000-0000-000070010000}"/>
    <cellStyle name="Heading 3" xfId="147" builtinId="18" customBuiltin="1"/>
    <cellStyle name="Heading 3 2" xfId="148" xr:uid="{00000000-0005-0000-0000-000072010000}"/>
    <cellStyle name="Heading 4" xfId="149" builtinId="19" customBuiltin="1"/>
    <cellStyle name="Heading 4 2" xfId="150" xr:uid="{00000000-0005-0000-0000-000074010000}"/>
    <cellStyle name="Heading1" xfId="151" xr:uid="{00000000-0005-0000-0000-000075010000}"/>
    <cellStyle name="Heading2" xfId="152" xr:uid="{00000000-0005-0000-0000-000076010000}"/>
    <cellStyle name="Input" xfId="153" builtinId="20" customBuiltin="1"/>
    <cellStyle name="Input 2" xfId="154" xr:uid="{00000000-0005-0000-0000-000078010000}"/>
    <cellStyle name="Input 2 2" xfId="567" xr:uid="{00000000-0005-0000-0000-000079010000}"/>
    <cellStyle name="Input 2 2 2" xfId="870" xr:uid="{00000000-0005-0000-0000-00007A010000}"/>
    <cellStyle name="Input 2 2 3" xfId="611" xr:uid="{00000000-0005-0000-0000-00007B010000}"/>
    <cellStyle name="Input 2 2 4" xfId="588" xr:uid="{00000000-0005-0000-0000-00007C010000}"/>
    <cellStyle name="Input 2 3" xfId="709" xr:uid="{00000000-0005-0000-0000-00007D010000}"/>
    <cellStyle name="Input 2 3 2" xfId="761" xr:uid="{00000000-0005-0000-0000-00007E010000}"/>
    <cellStyle name="Input 2 3 2 2" xfId="894" xr:uid="{00000000-0005-0000-0000-00007F010000}"/>
    <cellStyle name="Input 2 3 2 3" xfId="620" xr:uid="{00000000-0005-0000-0000-000080010000}"/>
    <cellStyle name="Input 2 3 3" xfId="871" xr:uid="{00000000-0005-0000-0000-000081010000}"/>
    <cellStyle name="Input 2 3 4" xfId="884" xr:uid="{00000000-0005-0000-0000-000082010000}"/>
    <cellStyle name="Input 2 4" xfId="708" xr:uid="{00000000-0005-0000-0000-000083010000}"/>
    <cellStyle name="Input 2 4 2" xfId="760" xr:uid="{00000000-0005-0000-0000-000084010000}"/>
    <cellStyle name="Input 2 4 2 2" xfId="893" xr:uid="{00000000-0005-0000-0000-000085010000}"/>
    <cellStyle name="Input 2 4 2 3" xfId="619" xr:uid="{00000000-0005-0000-0000-000086010000}"/>
    <cellStyle name="Input 2 4 3" xfId="868" xr:uid="{00000000-0005-0000-0000-000087010000}"/>
    <cellStyle name="Input 2 4 4" xfId="651" xr:uid="{00000000-0005-0000-0000-000088010000}"/>
    <cellStyle name="Input 2 5" xfId="663" xr:uid="{00000000-0005-0000-0000-000089010000}"/>
    <cellStyle name="Input 2 5 2" xfId="697" xr:uid="{00000000-0005-0000-0000-00008A010000}"/>
    <cellStyle name="Input 2 5 3" xfId="641" xr:uid="{00000000-0005-0000-0000-00008B010000}"/>
    <cellStyle name="Input 3" xfId="566" xr:uid="{00000000-0005-0000-0000-00008C010000}"/>
    <cellStyle name="Input 3 2" xfId="869" xr:uid="{00000000-0005-0000-0000-00008D010000}"/>
    <cellStyle name="Input 3 3" xfId="674" xr:uid="{00000000-0005-0000-0000-00008E010000}"/>
    <cellStyle name="Input 3 4" xfId="604" xr:uid="{00000000-0005-0000-0000-00008F010000}"/>
    <cellStyle name="Input 4" xfId="710" xr:uid="{00000000-0005-0000-0000-000090010000}"/>
    <cellStyle name="Input 4 2" xfId="762" xr:uid="{00000000-0005-0000-0000-000091010000}"/>
    <cellStyle name="Input 4 2 2" xfId="895" xr:uid="{00000000-0005-0000-0000-000092010000}"/>
    <cellStyle name="Input 4 2 3" xfId="685" xr:uid="{00000000-0005-0000-0000-000093010000}"/>
    <cellStyle name="Input 4 3" xfId="872" xr:uid="{00000000-0005-0000-0000-000094010000}"/>
    <cellStyle name="Input 4 4" xfId="911" xr:uid="{00000000-0005-0000-0000-000095010000}"/>
    <cellStyle name="Input 5" xfId="707" xr:uid="{00000000-0005-0000-0000-000096010000}"/>
    <cellStyle name="Input 5 2" xfId="759" xr:uid="{00000000-0005-0000-0000-000097010000}"/>
    <cellStyle name="Input 5 2 2" xfId="892" xr:uid="{00000000-0005-0000-0000-000098010000}"/>
    <cellStyle name="Input 5 2 3" xfId="618" xr:uid="{00000000-0005-0000-0000-000099010000}"/>
    <cellStyle name="Input 5 3" xfId="867" xr:uid="{00000000-0005-0000-0000-00009A010000}"/>
    <cellStyle name="Input 5 4" xfId="596" xr:uid="{00000000-0005-0000-0000-00009B010000}"/>
    <cellStyle name="Input 6" xfId="662" xr:uid="{00000000-0005-0000-0000-00009C010000}"/>
    <cellStyle name="Input 6 2" xfId="589" xr:uid="{00000000-0005-0000-0000-00009D010000}"/>
    <cellStyle name="Input 6 3" xfId="909" xr:uid="{00000000-0005-0000-0000-00009E010000}"/>
    <cellStyle name="Linked Cell" xfId="155" builtinId="24" customBuiltin="1"/>
    <cellStyle name="Linked Cell 2" xfId="156" xr:uid="{00000000-0005-0000-0000-0000A0010000}"/>
    <cellStyle name="Neutral" xfId="157" builtinId="28" customBuiltin="1"/>
    <cellStyle name="Neutral 2" xfId="158" xr:uid="{00000000-0005-0000-0000-0000A2010000}"/>
    <cellStyle name="Normal" xfId="0" builtinId="0"/>
    <cellStyle name="Normal 10" xfId="159" xr:uid="{00000000-0005-0000-0000-0000A4010000}"/>
    <cellStyle name="Normal 10 2" xfId="160" xr:uid="{00000000-0005-0000-0000-0000A5010000}"/>
    <cellStyle name="Normal 10 2 2" xfId="415" xr:uid="{00000000-0005-0000-0000-0000A6010000}"/>
    <cellStyle name="Normal 10 3" xfId="161" xr:uid="{00000000-0005-0000-0000-0000A7010000}"/>
    <cellStyle name="Normal 10 3 2" xfId="416" xr:uid="{00000000-0005-0000-0000-0000A8010000}"/>
    <cellStyle name="Normal 10 4" xfId="414" xr:uid="{00000000-0005-0000-0000-0000A9010000}"/>
    <cellStyle name="Normal 11" xfId="162" xr:uid="{00000000-0005-0000-0000-0000AA010000}"/>
    <cellStyle name="Normal 11 2" xfId="163" xr:uid="{00000000-0005-0000-0000-0000AB010000}"/>
    <cellStyle name="Normal 11 2 2" xfId="343" xr:uid="{00000000-0005-0000-0000-0000AC010000}"/>
    <cellStyle name="Normal 11 2 2 2" xfId="839" xr:uid="{00000000-0005-0000-0000-0000AD010000}"/>
    <cellStyle name="Normal 11 2 3" xfId="794" xr:uid="{00000000-0005-0000-0000-0000AE010000}"/>
    <cellStyle name="Normal 11 3" xfId="164" xr:uid="{00000000-0005-0000-0000-0000AF010000}"/>
    <cellStyle name="Normal 11 3 2" xfId="418" xr:uid="{00000000-0005-0000-0000-0000B0010000}"/>
    <cellStyle name="Normal 11 4" xfId="417" xr:uid="{00000000-0005-0000-0000-0000B1010000}"/>
    <cellStyle name="Normal 12" xfId="165" xr:uid="{00000000-0005-0000-0000-0000B2010000}"/>
    <cellStyle name="Normal 12 2" xfId="166" xr:uid="{00000000-0005-0000-0000-0000B3010000}"/>
    <cellStyle name="Normal 12 2 2" xfId="420" xr:uid="{00000000-0005-0000-0000-0000B4010000}"/>
    <cellStyle name="Normal 12 3" xfId="419" xr:uid="{00000000-0005-0000-0000-0000B5010000}"/>
    <cellStyle name="Normal 12 4" xfId="167" xr:uid="{00000000-0005-0000-0000-0000B6010000}"/>
    <cellStyle name="Normal 12 4 2" xfId="421" xr:uid="{00000000-0005-0000-0000-0000B7010000}"/>
    <cellStyle name="Normal 12 4 2 2" xfId="568" xr:uid="{00000000-0005-0000-0000-0000B8010000}"/>
    <cellStyle name="Normal 12 4 2 2 2" xfId="840" xr:uid="{00000000-0005-0000-0000-0000B9010000}"/>
    <cellStyle name="Normal 12 4 2 3" xfId="763" xr:uid="{00000000-0005-0000-0000-0000BA010000}"/>
    <cellStyle name="Normal 12 4 2 4" xfId="711" xr:uid="{00000000-0005-0000-0000-0000BB010000}"/>
    <cellStyle name="Normal 12 4 3" xfId="553" xr:uid="{00000000-0005-0000-0000-0000BC010000}"/>
    <cellStyle name="Normal 12 4 3 2" xfId="795" xr:uid="{00000000-0005-0000-0000-0000BD010000}"/>
    <cellStyle name="Normal 12 4 3 3" xfId="665" xr:uid="{00000000-0005-0000-0000-0000BE010000}"/>
    <cellStyle name="Normal 12 4 4" xfId="822" xr:uid="{00000000-0005-0000-0000-0000BF010000}"/>
    <cellStyle name="Normal 12 4 5" xfId="735" xr:uid="{00000000-0005-0000-0000-0000C0010000}"/>
    <cellStyle name="Normal 12 4 6" xfId="603" xr:uid="{00000000-0005-0000-0000-0000C1010000}"/>
    <cellStyle name="Normal 13" xfId="168" xr:uid="{00000000-0005-0000-0000-0000C2010000}"/>
    <cellStyle name="Normal 13 2" xfId="169" xr:uid="{00000000-0005-0000-0000-0000C3010000}"/>
    <cellStyle name="Normal 13 2 2" xfId="423" xr:uid="{00000000-0005-0000-0000-0000C4010000}"/>
    <cellStyle name="Normal 13 3" xfId="422" xr:uid="{00000000-0005-0000-0000-0000C5010000}"/>
    <cellStyle name="Normal 14" xfId="170" xr:uid="{00000000-0005-0000-0000-0000C6010000}"/>
    <cellStyle name="Normal 14 2" xfId="171" xr:uid="{00000000-0005-0000-0000-0000C7010000}"/>
    <cellStyle name="Normal 14 2 2" xfId="425" xr:uid="{00000000-0005-0000-0000-0000C8010000}"/>
    <cellStyle name="Normal 14 3" xfId="424" xr:uid="{00000000-0005-0000-0000-0000C9010000}"/>
    <cellStyle name="Normal 15" xfId="172" xr:uid="{00000000-0005-0000-0000-0000CA010000}"/>
    <cellStyle name="Normal 15 2" xfId="426" xr:uid="{00000000-0005-0000-0000-0000CB010000}"/>
    <cellStyle name="Normal 16" xfId="173" xr:uid="{00000000-0005-0000-0000-0000CC010000}"/>
    <cellStyle name="Normal 16 2" xfId="174" xr:uid="{00000000-0005-0000-0000-0000CD010000}"/>
    <cellStyle name="Normal 16 2 2" xfId="428" xr:uid="{00000000-0005-0000-0000-0000CE010000}"/>
    <cellStyle name="Normal 16 3" xfId="427" xr:uid="{00000000-0005-0000-0000-0000CF010000}"/>
    <cellStyle name="Normal 17" xfId="175" xr:uid="{00000000-0005-0000-0000-0000D0010000}"/>
    <cellStyle name="Normal 17 2" xfId="176" xr:uid="{00000000-0005-0000-0000-0000D1010000}"/>
    <cellStyle name="Normal 17 2 2" xfId="430" xr:uid="{00000000-0005-0000-0000-0000D2010000}"/>
    <cellStyle name="Normal 17 3" xfId="429" xr:uid="{00000000-0005-0000-0000-0000D3010000}"/>
    <cellStyle name="Normal 18" xfId="177" xr:uid="{00000000-0005-0000-0000-0000D4010000}"/>
    <cellStyle name="Normal 18 2" xfId="178" xr:uid="{00000000-0005-0000-0000-0000D5010000}"/>
    <cellStyle name="Normal 18 2 2" xfId="432" xr:uid="{00000000-0005-0000-0000-0000D6010000}"/>
    <cellStyle name="Normal 18 3" xfId="431" xr:uid="{00000000-0005-0000-0000-0000D7010000}"/>
    <cellStyle name="Normal 19" xfId="179" xr:uid="{00000000-0005-0000-0000-0000D8010000}"/>
    <cellStyle name="Normal 19 2" xfId="180" xr:uid="{00000000-0005-0000-0000-0000D9010000}"/>
    <cellStyle name="Normal 19 2 2" xfId="434" xr:uid="{00000000-0005-0000-0000-0000DA010000}"/>
    <cellStyle name="Normal 19 3" xfId="433" xr:uid="{00000000-0005-0000-0000-0000DB010000}"/>
    <cellStyle name="Normal 2" xfId="181" xr:uid="{00000000-0005-0000-0000-0000DC010000}"/>
    <cellStyle name="Normal 2 2" xfId="182" xr:uid="{00000000-0005-0000-0000-0000DD010000}"/>
    <cellStyle name="Normal 2 2 2" xfId="183" xr:uid="{00000000-0005-0000-0000-0000DE010000}"/>
    <cellStyle name="Normal 2 2 3" xfId="184" xr:uid="{00000000-0005-0000-0000-0000DF010000}"/>
    <cellStyle name="Normal 2 2 3 2" xfId="437" xr:uid="{00000000-0005-0000-0000-0000E0010000}"/>
    <cellStyle name="Normal 2 2 4" xfId="185" xr:uid="{00000000-0005-0000-0000-0000E1010000}"/>
    <cellStyle name="Normal 2 2 4 2" xfId="438" xr:uid="{00000000-0005-0000-0000-0000E2010000}"/>
    <cellStyle name="Normal 2 2 5" xfId="436" xr:uid="{00000000-0005-0000-0000-0000E3010000}"/>
    <cellStyle name="Normal 2 3" xfId="186" xr:uid="{00000000-0005-0000-0000-0000E4010000}"/>
    <cellStyle name="Normal 2 4" xfId="439" xr:uid="{00000000-0005-0000-0000-0000E5010000}"/>
    <cellStyle name="Normal 2 5" xfId="187" xr:uid="{00000000-0005-0000-0000-0000E6010000}"/>
    <cellStyle name="Normal 2 5 2" xfId="188" xr:uid="{00000000-0005-0000-0000-0000E7010000}"/>
    <cellStyle name="Normal 2 5 2 2" xfId="441" xr:uid="{00000000-0005-0000-0000-0000E8010000}"/>
    <cellStyle name="Normal 2 5 3" xfId="440" xr:uid="{00000000-0005-0000-0000-0000E9010000}"/>
    <cellStyle name="Normal 2 6" xfId="435" xr:uid="{00000000-0005-0000-0000-0000EA010000}"/>
    <cellStyle name="Normal 20" xfId="189" xr:uid="{00000000-0005-0000-0000-0000EB010000}"/>
    <cellStyle name="Normal 20 2" xfId="190" xr:uid="{00000000-0005-0000-0000-0000EC010000}"/>
    <cellStyle name="Normal 20 2 2" xfId="443" xr:uid="{00000000-0005-0000-0000-0000ED010000}"/>
    <cellStyle name="Normal 20 3" xfId="442" xr:uid="{00000000-0005-0000-0000-0000EE010000}"/>
    <cellStyle name="Normal 21" xfId="191" xr:uid="{00000000-0005-0000-0000-0000EF010000}"/>
    <cellStyle name="Normal 21 2" xfId="192" xr:uid="{00000000-0005-0000-0000-0000F0010000}"/>
    <cellStyle name="Normal 21 2 2" xfId="445" xr:uid="{00000000-0005-0000-0000-0000F1010000}"/>
    <cellStyle name="Normal 21 3" xfId="444" xr:uid="{00000000-0005-0000-0000-0000F2010000}"/>
    <cellStyle name="Normal 22" xfId="193" xr:uid="{00000000-0005-0000-0000-0000F3010000}"/>
    <cellStyle name="Normal 22 2" xfId="194" xr:uid="{00000000-0005-0000-0000-0000F4010000}"/>
    <cellStyle name="Normal 22 2 2" xfId="447" xr:uid="{00000000-0005-0000-0000-0000F5010000}"/>
    <cellStyle name="Normal 22 3" xfId="446" xr:uid="{00000000-0005-0000-0000-0000F6010000}"/>
    <cellStyle name="Normal 23" xfId="195" xr:uid="{00000000-0005-0000-0000-0000F7010000}"/>
    <cellStyle name="Normal 23 2" xfId="196" xr:uid="{00000000-0005-0000-0000-0000F8010000}"/>
    <cellStyle name="Normal 23 2 2" xfId="449" xr:uid="{00000000-0005-0000-0000-0000F9010000}"/>
    <cellStyle name="Normal 23 3" xfId="448" xr:uid="{00000000-0005-0000-0000-0000FA010000}"/>
    <cellStyle name="Normal 24" xfId="197" xr:uid="{00000000-0005-0000-0000-0000FB010000}"/>
    <cellStyle name="Normal 24 2" xfId="198" xr:uid="{00000000-0005-0000-0000-0000FC010000}"/>
    <cellStyle name="Normal 24 2 2" xfId="451" xr:uid="{00000000-0005-0000-0000-0000FD010000}"/>
    <cellStyle name="Normal 24 3" xfId="450" xr:uid="{00000000-0005-0000-0000-0000FE010000}"/>
    <cellStyle name="Normal 25" xfId="199" xr:uid="{00000000-0005-0000-0000-0000FF010000}"/>
    <cellStyle name="Normal 25 2" xfId="200" xr:uid="{00000000-0005-0000-0000-000000020000}"/>
    <cellStyle name="Normal 25 2 2" xfId="453" xr:uid="{00000000-0005-0000-0000-000001020000}"/>
    <cellStyle name="Normal 25 3" xfId="452" xr:uid="{00000000-0005-0000-0000-000002020000}"/>
    <cellStyle name="Normal 26" xfId="201" xr:uid="{00000000-0005-0000-0000-000003020000}"/>
    <cellStyle name="Normal 26 2" xfId="202" xr:uid="{00000000-0005-0000-0000-000004020000}"/>
    <cellStyle name="Normal 26 2 2" xfId="455" xr:uid="{00000000-0005-0000-0000-000005020000}"/>
    <cellStyle name="Normal 26 3" xfId="454" xr:uid="{00000000-0005-0000-0000-000006020000}"/>
    <cellStyle name="Normal 27" xfId="203" xr:uid="{00000000-0005-0000-0000-000007020000}"/>
    <cellStyle name="Normal 27 2" xfId="456" xr:uid="{00000000-0005-0000-0000-000008020000}"/>
    <cellStyle name="Normal 28" xfId="204" xr:uid="{00000000-0005-0000-0000-000009020000}"/>
    <cellStyle name="Normal 28 2" xfId="205" xr:uid="{00000000-0005-0000-0000-00000A020000}"/>
    <cellStyle name="Normal 28 2 2" xfId="458" xr:uid="{00000000-0005-0000-0000-00000B020000}"/>
    <cellStyle name="Normal 28 3" xfId="457" xr:uid="{00000000-0005-0000-0000-00000C020000}"/>
    <cellStyle name="Normal 29" xfId="206" xr:uid="{00000000-0005-0000-0000-00000D020000}"/>
    <cellStyle name="Normal 29 2" xfId="207" xr:uid="{00000000-0005-0000-0000-00000E020000}"/>
    <cellStyle name="Normal 29 2 2" xfId="460" xr:uid="{00000000-0005-0000-0000-00000F020000}"/>
    <cellStyle name="Normal 29 3" xfId="459" xr:uid="{00000000-0005-0000-0000-000010020000}"/>
    <cellStyle name="Normal 3" xfId="208" xr:uid="{00000000-0005-0000-0000-000011020000}"/>
    <cellStyle name="Normal 3 2" xfId="209" xr:uid="{00000000-0005-0000-0000-000012020000}"/>
    <cellStyle name="Normal 3 2 2" xfId="462" xr:uid="{00000000-0005-0000-0000-000013020000}"/>
    <cellStyle name="Normal 3 3" xfId="210" xr:uid="{00000000-0005-0000-0000-000014020000}"/>
    <cellStyle name="Normal 3 3 2" xfId="463" xr:uid="{00000000-0005-0000-0000-000015020000}"/>
    <cellStyle name="Normal 3 4" xfId="461" xr:uid="{00000000-0005-0000-0000-000016020000}"/>
    <cellStyle name="Normal 3_Attach O, GG, Support -New Method 2-14-11" xfId="211" xr:uid="{00000000-0005-0000-0000-000017020000}"/>
    <cellStyle name="Normal 30" xfId="346" xr:uid="{00000000-0005-0000-0000-000018020000}"/>
    <cellStyle name="Normal 30 2" xfId="464" xr:uid="{00000000-0005-0000-0000-000019020000}"/>
    <cellStyle name="Normal 30 2 2" xfId="796" xr:uid="{00000000-0005-0000-0000-00001A020000}"/>
    <cellStyle name="Normal 30 2 3" xfId="688" xr:uid="{00000000-0005-0000-0000-00001B020000}"/>
    <cellStyle name="Normal 30 3" xfId="851" xr:uid="{00000000-0005-0000-0000-00001C020000}"/>
    <cellStyle name="Normal 31" xfId="342" xr:uid="{00000000-0005-0000-0000-00001D020000}"/>
    <cellStyle name="Normal 31 2" xfId="545" xr:uid="{00000000-0005-0000-0000-00001E020000}"/>
    <cellStyle name="Normal 31 2 2" xfId="580" xr:uid="{00000000-0005-0000-0000-00001F020000}"/>
    <cellStyle name="Normal 31 2 2 2" xfId="778" xr:uid="{00000000-0005-0000-0000-000020020000}"/>
    <cellStyle name="Normal 31 2 2 3" xfId="639" xr:uid="{00000000-0005-0000-0000-000021020000}"/>
    <cellStyle name="Normal 31 2 3" xfId="560" xr:uid="{00000000-0005-0000-0000-000022020000}"/>
    <cellStyle name="Normal 31 2 3 2" xfId="814" xr:uid="{00000000-0005-0000-0000-000023020000}"/>
    <cellStyle name="Normal 31 2 4" xfId="852" xr:uid="{00000000-0005-0000-0000-000024020000}"/>
    <cellStyle name="Normal 31 2 5" xfId="742" xr:uid="{00000000-0005-0000-0000-000025020000}"/>
    <cellStyle name="Normal 31 2 6" xfId="631" xr:uid="{00000000-0005-0000-0000-000026020000}"/>
    <cellStyle name="Normal 31 2 7" xfId="913" xr:uid="{00000000-0005-0000-0000-000027020000}"/>
    <cellStyle name="Normal 31 3" xfId="536" xr:uid="{00000000-0005-0000-0000-000028020000}"/>
    <cellStyle name="Normal 31 3 2" xfId="578" xr:uid="{00000000-0005-0000-0000-000029020000}"/>
    <cellStyle name="Normal 31 3 2 2" xfId="809" xr:uid="{00000000-0005-0000-0000-00002A020000}"/>
    <cellStyle name="Normal 31 3 3" xfId="637" xr:uid="{00000000-0005-0000-0000-00002B020000}"/>
    <cellStyle name="Normal 31 3 4" xfId="915" xr:uid="{00000000-0005-0000-0000-00002C020000}"/>
    <cellStyle name="Normal 31 4" xfId="562" xr:uid="{00000000-0005-0000-0000-00002D020000}"/>
    <cellStyle name="Normal 31 4 2" xfId="853" xr:uid="{00000000-0005-0000-0000-00002E020000}"/>
    <cellStyle name="Normal 31 4 3" xfId="587" xr:uid="{00000000-0005-0000-0000-00002F020000}"/>
    <cellStyle name="Normal 31 5" xfId="744" xr:uid="{00000000-0005-0000-0000-000030020000}"/>
    <cellStyle name="Normal 31 6" xfId="634" xr:uid="{00000000-0005-0000-0000-000031020000}"/>
    <cellStyle name="Normal 32" xfId="538" xr:uid="{00000000-0005-0000-0000-000032020000}"/>
    <cellStyle name="Normal 33" xfId="541" xr:uid="{00000000-0005-0000-0000-000033020000}"/>
    <cellStyle name="Normal 34" xfId="782" xr:uid="{00000000-0005-0000-0000-000034020000}"/>
    <cellStyle name="Normal 4" xfId="212" xr:uid="{00000000-0005-0000-0000-000035020000}"/>
    <cellStyle name="Normal 4 10" xfId="465" xr:uid="{00000000-0005-0000-0000-000036020000}"/>
    <cellStyle name="Normal 4 2" xfId="213" xr:uid="{00000000-0005-0000-0000-000037020000}"/>
    <cellStyle name="Normal 4 2 2" xfId="466" xr:uid="{00000000-0005-0000-0000-000038020000}"/>
    <cellStyle name="Normal 4 3" xfId="214" xr:uid="{00000000-0005-0000-0000-000039020000}"/>
    <cellStyle name="Normal 4 3 2" xfId="215" xr:uid="{00000000-0005-0000-0000-00003A020000}"/>
    <cellStyle name="Normal 4 3 2 2" xfId="468" xr:uid="{00000000-0005-0000-0000-00003B020000}"/>
    <cellStyle name="Normal 4 3 3" xfId="216" xr:uid="{00000000-0005-0000-0000-00003C020000}"/>
    <cellStyle name="Normal 4 3 3 2" xfId="469" xr:uid="{00000000-0005-0000-0000-00003D020000}"/>
    <cellStyle name="Normal 4 3 4" xfId="467" xr:uid="{00000000-0005-0000-0000-00003E020000}"/>
    <cellStyle name="Normal 4 4" xfId="217" xr:uid="{00000000-0005-0000-0000-00003F020000}"/>
    <cellStyle name="Normal 4 4 2" xfId="218" xr:uid="{00000000-0005-0000-0000-000040020000}"/>
    <cellStyle name="Normal 4 4 2 2" xfId="471" xr:uid="{00000000-0005-0000-0000-000041020000}"/>
    <cellStyle name="Normal 4 4 3" xfId="219" xr:uid="{00000000-0005-0000-0000-000042020000}"/>
    <cellStyle name="Normal 4 4 3 2" xfId="472" xr:uid="{00000000-0005-0000-0000-000043020000}"/>
    <cellStyle name="Normal 4 4 4" xfId="470" xr:uid="{00000000-0005-0000-0000-000044020000}"/>
    <cellStyle name="Normal 4 5" xfId="220" xr:uid="{00000000-0005-0000-0000-000045020000}"/>
    <cellStyle name="Normal 4 5 2" xfId="473" xr:uid="{00000000-0005-0000-0000-000046020000}"/>
    <cellStyle name="Normal 4 6" xfId="221" xr:uid="{00000000-0005-0000-0000-000047020000}"/>
    <cellStyle name="Normal 4 6 2" xfId="222" xr:uid="{00000000-0005-0000-0000-000048020000}"/>
    <cellStyle name="Normal 4 6 2 2" xfId="475" xr:uid="{00000000-0005-0000-0000-000049020000}"/>
    <cellStyle name="Normal 4 6 3" xfId="474" xr:uid="{00000000-0005-0000-0000-00004A020000}"/>
    <cellStyle name="Normal 4 7" xfId="223" xr:uid="{00000000-0005-0000-0000-00004B020000}"/>
    <cellStyle name="Normal 4 7 2" xfId="224" xr:uid="{00000000-0005-0000-0000-00004C020000}"/>
    <cellStyle name="Normal 4 7 2 2" xfId="477" xr:uid="{00000000-0005-0000-0000-00004D020000}"/>
    <cellStyle name="Normal 4 7 3" xfId="476" xr:uid="{00000000-0005-0000-0000-00004E020000}"/>
    <cellStyle name="Normal 4 8" xfId="225" xr:uid="{00000000-0005-0000-0000-00004F020000}"/>
    <cellStyle name="Normal 4 8 2" xfId="478" xr:uid="{00000000-0005-0000-0000-000050020000}"/>
    <cellStyle name="Normal 4 8 2 2" xfId="841" xr:uid="{00000000-0005-0000-0000-000051020000}"/>
    <cellStyle name="Normal 4 8 3" xfId="667" xr:uid="{00000000-0005-0000-0000-000052020000}"/>
    <cellStyle name="Normal 4 9" xfId="337" xr:uid="{00000000-0005-0000-0000-000053020000}"/>
    <cellStyle name="Normal 4 9 2" xfId="479" xr:uid="{00000000-0005-0000-0000-000054020000}"/>
    <cellStyle name="Normal 4 9 3" xfId="797" xr:uid="{00000000-0005-0000-0000-000055020000}"/>
    <cellStyle name="Normal 4_PBOP Exhibit 1" xfId="226" xr:uid="{00000000-0005-0000-0000-000056020000}"/>
    <cellStyle name="Normal 5" xfId="227" xr:uid="{00000000-0005-0000-0000-000057020000}"/>
    <cellStyle name="Normal 5 2" xfId="228" xr:uid="{00000000-0005-0000-0000-000058020000}"/>
    <cellStyle name="Normal 5 2 2" xfId="229" xr:uid="{00000000-0005-0000-0000-000059020000}"/>
    <cellStyle name="Normal 5 2 2 2" xfId="482" xr:uid="{00000000-0005-0000-0000-00005A020000}"/>
    <cellStyle name="Normal 5 2 3" xfId="481" xr:uid="{00000000-0005-0000-0000-00005B020000}"/>
    <cellStyle name="Normal 5 3" xfId="230" xr:uid="{00000000-0005-0000-0000-00005C020000}"/>
    <cellStyle name="Normal 5 3 2" xfId="483" xr:uid="{00000000-0005-0000-0000-00005D020000}"/>
    <cellStyle name="Normal 5 4" xfId="231" xr:uid="{00000000-0005-0000-0000-00005E020000}"/>
    <cellStyle name="Normal 5 4 2" xfId="484" xr:uid="{00000000-0005-0000-0000-00005F020000}"/>
    <cellStyle name="Normal 5 5" xfId="480" xr:uid="{00000000-0005-0000-0000-000060020000}"/>
    <cellStyle name="Normal 6" xfId="232" xr:uid="{00000000-0005-0000-0000-000061020000}"/>
    <cellStyle name="Normal 6 2" xfId="233" xr:uid="{00000000-0005-0000-0000-000062020000}"/>
    <cellStyle name="Normal 6 2 2" xfId="234" xr:uid="{00000000-0005-0000-0000-000063020000}"/>
    <cellStyle name="Normal 6 2 2 2" xfId="487" xr:uid="{00000000-0005-0000-0000-000064020000}"/>
    <cellStyle name="Normal 6 2 3" xfId="235" xr:uid="{00000000-0005-0000-0000-000065020000}"/>
    <cellStyle name="Normal 6 2 3 2" xfId="488" xr:uid="{00000000-0005-0000-0000-000066020000}"/>
    <cellStyle name="Normal 6 2 4" xfId="486" xr:uid="{00000000-0005-0000-0000-000067020000}"/>
    <cellStyle name="Normal 6 3" xfId="236" xr:uid="{00000000-0005-0000-0000-000068020000}"/>
    <cellStyle name="Normal 6 3 2" xfId="237" xr:uid="{00000000-0005-0000-0000-000069020000}"/>
    <cellStyle name="Normal 6 3 2 2" xfId="490" xr:uid="{00000000-0005-0000-0000-00006A020000}"/>
    <cellStyle name="Normal 6 3 3" xfId="489" xr:uid="{00000000-0005-0000-0000-00006B020000}"/>
    <cellStyle name="Normal 6 4" xfId="238" xr:uid="{00000000-0005-0000-0000-00006C020000}"/>
    <cellStyle name="Normal 6 4 2" xfId="239" xr:uid="{00000000-0005-0000-0000-00006D020000}"/>
    <cellStyle name="Normal 6 4 2 2" xfId="492" xr:uid="{00000000-0005-0000-0000-00006E020000}"/>
    <cellStyle name="Normal 6 4 3" xfId="491" xr:uid="{00000000-0005-0000-0000-00006F020000}"/>
    <cellStyle name="Normal 6 5" xfId="485" xr:uid="{00000000-0005-0000-0000-000070020000}"/>
    <cellStyle name="Normal 6 5 2" xfId="569" xr:uid="{00000000-0005-0000-0000-000071020000}"/>
    <cellStyle name="Normal 6 5 2 2" xfId="842" xr:uid="{00000000-0005-0000-0000-000072020000}"/>
    <cellStyle name="Normal 6 5 3" xfId="764" xr:uid="{00000000-0005-0000-0000-000073020000}"/>
    <cellStyle name="Normal 6 5 4" xfId="712" xr:uid="{00000000-0005-0000-0000-000074020000}"/>
    <cellStyle name="Normal 6 6" xfId="554" xr:uid="{00000000-0005-0000-0000-000075020000}"/>
    <cellStyle name="Normal 6 6 2" xfId="798" xr:uid="{00000000-0005-0000-0000-000076020000}"/>
    <cellStyle name="Normal 6 6 3" xfId="668" xr:uid="{00000000-0005-0000-0000-000077020000}"/>
    <cellStyle name="Normal 6 7" xfId="823" xr:uid="{00000000-0005-0000-0000-000078020000}"/>
    <cellStyle name="Normal 6 8" xfId="736" xr:uid="{00000000-0005-0000-0000-000079020000}"/>
    <cellStyle name="Normal 6 9" xfId="605" xr:uid="{00000000-0005-0000-0000-00007A020000}"/>
    <cellStyle name="Normal 7" xfId="240" xr:uid="{00000000-0005-0000-0000-00007B020000}"/>
    <cellStyle name="Normal 7 2" xfId="241" xr:uid="{00000000-0005-0000-0000-00007C020000}"/>
    <cellStyle name="Normal 7 2 2" xfId="494" xr:uid="{00000000-0005-0000-0000-00007D020000}"/>
    <cellStyle name="Normal 7 3" xfId="493" xr:uid="{00000000-0005-0000-0000-00007E020000}"/>
    <cellStyle name="Normal 7 3 2" xfId="570" xr:uid="{00000000-0005-0000-0000-00007F020000}"/>
    <cellStyle name="Normal 7 3 2 2" xfId="843" xr:uid="{00000000-0005-0000-0000-000080020000}"/>
    <cellStyle name="Normal 7 3 3" xfId="766" xr:uid="{00000000-0005-0000-0000-000081020000}"/>
    <cellStyle name="Normal 7 3 4" xfId="714" xr:uid="{00000000-0005-0000-0000-000082020000}"/>
    <cellStyle name="Normal 7 4" xfId="555" xr:uid="{00000000-0005-0000-0000-000083020000}"/>
    <cellStyle name="Normal 7 4 2" xfId="799" xr:uid="{00000000-0005-0000-0000-000084020000}"/>
    <cellStyle name="Normal 7 4 3" xfId="669" xr:uid="{00000000-0005-0000-0000-000085020000}"/>
    <cellStyle name="Normal 7 5" xfId="824" xr:uid="{00000000-0005-0000-0000-000086020000}"/>
    <cellStyle name="Normal 7 6" xfId="737" xr:uid="{00000000-0005-0000-0000-000087020000}"/>
    <cellStyle name="Normal 7 7" xfId="606" xr:uid="{00000000-0005-0000-0000-000088020000}"/>
    <cellStyle name="Normal 8" xfId="242" xr:uid="{00000000-0005-0000-0000-000089020000}"/>
    <cellStyle name="Normal 8 2" xfId="243" xr:uid="{00000000-0005-0000-0000-00008A020000}"/>
    <cellStyle name="Normal 8 2 2" xfId="496" xr:uid="{00000000-0005-0000-0000-00008B020000}"/>
    <cellStyle name="Normal 8 3" xfId="495" xr:uid="{00000000-0005-0000-0000-00008C020000}"/>
    <cellStyle name="Normal 8 3 2" xfId="571" xr:uid="{00000000-0005-0000-0000-00008D020000}"/>
    <cellStyle name="Normal 8 3 2 2" xfId="844" xr:uid="{00000000-0005-0000-0000-00008E020000}"/>
    <cellStyle name="Normal 8 3 3" xfId="768" xr:uid="{00000000-0005-0000-0000-00008F020000}"/>
    <cellStyle name="Normal 8 3 4" xfId="716" xr:uid="{00000000-0005-0000-0000-000090020000}"/>
    <cellStyle name="Normal 8 4" xfId="556" xr:uid="{00000000-0005-0000-0000-000091020000}"/>
    <cellStyle name="Normal 8 4 2" xfId="800" xr:uid="{00000000-0005-0000-0000-000092020000}"/>
    <cellStyle name="Normal 8 4 3" xfId="670" xr:uid="{00000000-0005-0000-0000-000093020000}"/>
    <cellStyle name="Normal 8 5" xfId="825" xr:uid="{00000000-0005-0000-0000-000094020000}"/>
    <cellStyle name="Normal 8 6" xfId="738" xr:uid="{00000000-0005-0000-0000-000095020000}"/>
    <cellStyle name="Normal 8 7" xfId="607" xr:uid="{00000000-0005-0000-0000-000096020000}"/>
    <cellStyle name="Normal 9" xfId="244" xr:uid="{00000000-0005-0000-0000-000097020000}"/>
    <cellStyle name="Normal 9 2" xfId="245" xr:uid="{00000000-0005-0000-0000-000098020000}"/>
    <cellStyle name="Normal 9 2 2" xfId="498" xr:uid="{00000000-0005-0000-0000-000099020000}"/>
    <cellStyle name="Normal 9 3" xfId="497" xr:uid="{00000000-0005-0000-0000-00009A020000}"/>
    <cellStyle name="Normal 9 3 2" xfId="572" xr:uid="{00000000-0005-0000-0000-00009B020000}"/>
    <cellStyle name="Normal 9 3 2 2" xfId="845" xr:uid="{00000000-0005-0000-0000-00009C020000}"/>
    <cellStyle name="Normal 9 3 3" xfId="769" xr:uid="{00000000-0005-0000-0000-00009D020000}"/>
    <cellStyle name="Normal 9 3 4" xfId="717" xr:uid="{00000000-0005-0000-0000-00009E020000}"/>
    <cellStyle name="Normal 9 4" xfId="557" xr:uid="{00000000-0005-0000-0000-00009F020000}"/>
    <cellStyle name="Normal 9 4 2" xfId="801" xr:uid="{00000000-0005-0000-0000-0000A0020000}"/>
    <cellStyle name="Normal 9 4 3" xfId="671" xr:uid="{00000000-0005-0000-0000-0000A1020000}"/>
    <cellStyle name="Normal 9 5" xfId="826" xr:uid="{00000000-0005-0000-0000-0000A2020000}"/>
    <cellStyle name="Normal 9 6" xfId="739" xr:uid="{00000000-0005-0000-0000-0000A3020000}"/>
    <cellStyle name="Normal 9 7" xfId="608" xr:uid="{00000000-0005-0000-0000-0000A4020000}"/>
    <cellStyle name="Normal_21 Exh B" xfId="246" xr:uid="{00000000-0005-0000-0000-0000A5020000}"/>
    <cellStyle name="Normal_ADITAnalysisID090805" xfId="247" xr:uid="{00000000-0005-0000-0000-0000A6020000}"/>
    <cellStyle name="Normal_ADITAnalysisID090805 2" xfId="248" xr:uid="{00000000-0005-0000-0000-0000A7020000}"/>
    <cellStyle name="Normal_ADITAnalysisID090805 2 2" xfId="249" xr:uid="{00000000-0005-0000-0000-0000A8020000}"/>
    <cellStyle name="Normal_ADITAnalysisID090805 2 2 2" xfId="250" xr:uid="{00000000-0005-0000-0000-0000A9020000}"/>
    <cellStyle name="Normal_ADITAnalysisID090805 3" xfId="251" xr:uid="{00000000-0005-0000-0000-0000AA020000}"/>
    <cellStyle name="Normal_ADITAnalysisID090805 4 2" xfId="341" xr:uid="{00000000-0005-0000-0000-0000AB020000}"/>
    <cellStyle name="Normal_ATC Projected 2008 Monthly Plant Balances for Attachment O 2 (2)" xfId="252" xr:uid="{00000000-0005-0000-0000-0000AC020000}"/>
    <cellStyle name="Normal_AU Period 2 Rev 4-27-00" xfId="253" xr:uid="{00000000-0005-0000-0000-0000AD020000}"/>
    <cellStyle name="Normal_DeprRateAuth East Dave Davis" xfId="254" xr:uid="{00000000-0005-0000-0000-0000AE020000}"/>
    <cellStyle name="Normal_DeprRateAuth East Dave Davis 2 2" xfId="582" xr:uid="{00000000-0005-0000-0000-0000AF020000}"/>
    <cellStyle name="Normal_FN1 Ratebase Draft SPP template (6-11-04) v2" xfId="255" xr:uid="{00000000-0005-0000-0000-0000B0020000}"/>
    <cellStyle name="Normal_I&amp;M-AK-1" xfId="256" xr:uid="{00000000-0005-0000-0000-0000B1020000}"/>
    <cellStyle name="Normal_Revised 1-21-10  Deprec Summary" xfId="257" xr:uid="{00000000-0005-0000-0000-0000B2020000}"/>
    <cellStyle name="Normal_Schedule O Info for Mike" xfId="258" xr:uid="{00000000-0005-0000-0000-0000B3020000}"/>
    <cellStyle name="Normal_spp calc - revsd rev crd" xfId="259" xr:uid="{00000000-0005-0000-0000-0000B4020000}"/>
    <cellStyle name="Note" xfId="260" builtinId="10" customBuiltin="1"/>
    <cellStyle name="Note 2" xfId="261" xr:uid="{00000000-0005-0000-0000-0000B6020000}"/>
    <cellStyle name="Note 2 2" xfId="574" xr:uid="{00000000-0005-0000-0000-0000B7020000}"/>
    <cellStyle name="Note 2 2 2" xfId="771" xr:uid="{00000000-0005-0000-0000-0000B8020000}"/>
    <cellStyle name="Note 2 2 2 2" xfId="900" xr:uid="{00000000-0005-0000-0000-0000B9020000}"/>
    <cellStyle name="Note 2 2 2 3" xfId="686" xr:uid="{00000000-0005-0000-0000-0000BA020000}"/>
    <cellStyle name="Note 2 2 3" xfId="876" xr:uid="{00000000-0005-0000-0000-0000BB020000}"/>
    <cellStyle name="Note 2 2 4" xfId="656" xr:uid="{00000000-0005-0000-0000-0000BC020000}"/>
    <cellStyle name="Note 2 2 5" xfId="617" xr:uid="{00000000-0005-0000-0000-0000BD020000}"/>
    <cellStyle name="Note 2 3" xfId="693" xr:uid="{00000000-0005-0000-0000-0000BE020000}"/>
    <cellStyle name="Note 2 3 2" xfId="749" xr:uid="{00000000-0005-0000-0000-0000BF020000}"/>
    <cellStyle name="Note 2 3 2 2" xfId="888" xr:uid="{00000000-0005-0000-0000-0000C0020000}"/>
    <cellStyle name="Note 2 3 2 3" xfId="724" xr:uid="{00000000-0005-0000-0000-0000C1020000}"/>
    <cellStyle name="Note 2 3 3" xfId="859" xr:uid="{00000000-0005-0000-0000-0000C2020000}"/>
    <cellStyle name="Note 2 3 4" xfId="810" xr:uid="{00000000-0005-0000-0000-0000C3020000}"/>
    <cellStyle name="Note 2 4" xfId="718" xr:uid="{00000000-0005-0000-0000-0000C4020000}"/>
    <cellStyle name="Note 2 4 2" xfId="772" xr:uid="{00000000-0005-0000-0000-0000C5020000}"/>
    <cellStyle name="Note 2 4 2 2" xfId="901" xr:uid="{00000000-0005-0000-0000-0000C6020000}"/>
    <cellStyle name="Note 2 4 2 3" xfId="625" xr:uid="{00000000-0005-0000-0000-0000C7020000}"/>
    <cellStyle name="Note 2 4 3" xfId="877" xr:uid="{00000000-0005-0000-0000-0000C8020000}"/>
    <cellStyle name="Note 2 4 4" xfId="599" xr:uid="{00000000-0005-0000-0000-0000C9020000}"/>
    <cellStyle name="Note 2 5" xfId="673" xr:uid="{00000000-0005-0000-0000-0000CA020000}"/>
    <cellStyle name="Note 2 5 2" xfId="583" xr:uid="{00000000-0005-0000-0000-0000CB020000}"/>
    <cellStyle name="Note 2 5 3" xfId="908" xr:uid="{00000000-0005-0000-0000-0000CC020000}"/>
    <cellStyle name="Note 3" xfId="573" xr:uid="{00000000-0005-0000-0000-0000CD020000}"/>
    <cellStyle name="Note 3 2" xfId="770" xr:uid="{00000000-0005-0000-0000-0000CE020000}"/>
    <cellStyle name="Note 3 2 2" xfId="899" xr:uid="{00000000-0005-0000-0000-0000CF020000}"/>
    <cellStyle name="Note 3 2 3" xfId="624" xr:uid="{00000000-0005-0000-0000-0000D0020000}"/>
    <cellStyle name="Note 3 3" xfId="875" xr:uid="{00000000-0005-0000-0000-0000D1020000}"/>
    <cellStyle name="Note 3 4" xfId="907" xr:uid="{00000000-0005-0000-0000-0000D2020000}"/>
    <cellStyle name="Note 3 5" xfId="666" xr:uid="{00000000-0005-0000-0000-0000D3020000}"/>
    <cellStyle name="Note 4" xfId="694" xr:uid="{00000000-0005-0000-0000-0000D4020000}"/>
    <cellStyle name="Note 4 2" xfId="750" xr:uid="{00000000-0005-0000-0000-0000D5020000}"/>
    <cellStyle name="Note 4 2 2" xfId="889" xr:uid="{00000000-0005-0000-0000-0000D6020000}"/>
    <cellStyle name="Note 4 2 3" xfId="655" xr:uid="{00000000-0005-0000-0000-0000D7020000}"/>
    <cellStyle name="Note 4 3" xfId="860" xr:uid="{00000000-0005-0000-0000-0000D8020000}"/>
    <cellStyle name="Note 4 4" xfId="648" xr:uid="{00000000-0005-0000-0000-0000D9020000}"/>
    <cellStyle name="Note 5" xfId="726" xr:uid="{00000000-0005-0000-0000-0000DA020000}"/>
    <cellStyle name="Note 5 2" xfId="779" xr:uid="{00000000-0005-0000-0000-0000DB020000}"/>
    <cellStyle name="Note 5 2 2" xfId="905" xr:uid="{00000000-0005-0000-0000-0000DC020000}"/>
    <cellStyle name="Note 5 2 3" xfId="629" xr:uid="{00000000-0005-0000-0000-0000DD020000}"/>
    <cellStyle name="Note 5 3" xfId="882" xr:uid="{00000000-0005-0000-0000-0000DE020000}"/>
    <cellStyle name="Note 5 4" xfId="613" xr:uid="{00000000-0005-0000-0000-0000DF020000}"/>
    <cellStyle name="Note 6" xfId="672" xr:uid="{00000000-0005-0000-0000-0000E0020000}"/>
    <cellStyle name="Note 6 2" xfId="584" xr:uid="{00000000-0005-0000-0000-0000E1020000}"/>
    <cellStyle name="Note 6 3" xfId="912" xr:uid="{00000000-0005-0000-0000-0000E2020000}"/>
    <cellStyle name="Output" xfId="262" builtinId="21" customBuiltin="1"/>
    <cellStyle name="Output 2" xfId="263" xr:uid="{00000000-0005-0000-0000-0000E4020000}"/>
    <cellStyle name="Output 2 2" xfId="576" xr:uid="{00000000-0005-0000-0000-0000E5020000}"/>
    <cellStyle name="Output 2 2 2" xfId="747" xr:uid="{00000000-0005-0000-0000-0000E6020000}"/>
    <cellStyle name="Output 2 2 2 2" xfId="886" xr:uid="{00000000-0005-0000-0000-0000E7020000}"/>
    <cellStyle name="Output 2 2 2 3" xfId="808" xr:uid="{00000000-0005-0000-0000-0000E8020000}"/>
    <cellStyle name="Output 2 2 3" xfId="691" xr:uid="{00000000-0005-0000-0000-0000E9020000}"/>
    <cellStyle name="Output 2 2 4" xfId="857" xr:uid="{00000000-0005-0000-0000-0000EA020000}"/>
    <cellStyle name="Output 2 2 5" xfId="700" xr:uid="{00000000-0005-0000-0000-0000EB020000}"/>
    <cellStyle name="Output 2 3" xfId="720" xr:uid="{00000000-0005-0000-0000-0000EC020000}"/>
    <cellStyle name="Output 2 3 2" xfId="774" xr:uid="{00000000-0005-0000-0000-0000ED020000}"/>
    <cellStyle name="Output 2 3 2 2" xfId="903" xr:uid="{00000000-0005-0000-0000-0000EE020000}"/>
    <cellStyle name="Output 2 3 2 3" xfId="627" xr:uid="{00000000-0005-0000-0000-0000EF020000}"/>
    <cellStyle name="Output 2 3 3" xfId="879" xr:uid="{00000000-0005-0000-0000-0000F0020000}"/>
    <cellStyle name="Output 2 3 4" xfId="612" xr:uid="{00000000-0005-0000-0000-0000F1020000}"/>
    <cellStyle name="Output 3" xfId="575" xr:uid="{00000000-0005-0000-0000-0000F2020000}"/>
    <cellStyle name="Output 3 2" xfId="748" xr:uid="{00000000-0005-0000-0000-0000F3020000}"/>
    <cellStyle name="Output 3 2 2" xfId="887" xr:uid="{00000000-0005-0000-0000-0000F4020000}"/>
    <cellStyle name="Output 3 2 3" xfId="616" xr:uid="{00000000-0005-0000-0000-0000F5020000}"/>
    <cellStyle name="Output 3 3" xfId="692" xr:uid="{00000000-0005-0000-0000-0000F6020000}"/>
    <cellStyle name="Output 3 4" xfId="858" xr:uid="{00000000-0005-0000-0000-0000F7020000}"/>
    <cellStyle name="Output 3 5" xfId="802" xr:uid="{00000000-0005-0000-0000-0000F8020000}"/>
    <cellStyle name="Output 4" xfId="719" xr:uid="{00000000-0005-0000-0000-0000F9020000}"/>
    <cellStyle name="Output 4 2" xfId="773" xr:uid="{00000000-0005-0000-0000-0000FA020000}"/>
    <cellStyle name="Output 4 2 2" xfId="902" xr:uid="{00000000-0005-0000-0000-0000FB020000}"/>
    <cellStyle name="Output 4 2 3" xfId="626" xr:uid="{00000000-0005-0000-0000-0000FC020000}"/>
    <cellStyle name="Output 4 3" xfId="878" xr:uid="{00000000-0005-0000-0000-0000FD020000}"/>
    <cellStyle name="Output 4 4" xfId="675" xr:uid="{00000000-0005-0000-0000-0000FE020000}"/>
    <cellStyle name="Percent" xfId="264" builtinId="5"/>
    <cellStyle name="Percent 10" xfId="344" xr:uid="{00000000-0005-0000-0000-000000030000}"/>
    <cellStyle name="Percent 10 2" xfId="499" xr:uid="{00000000-0005-0000-0000-000001030000}"/>
    <cellStyle name="Percent 11" xfId="537" xr:uid="{00000000-0005-0000-0000-000002030000}"/>
    <cellStyle name="Percent 11 2" xfId="916" xr:uid="{00000000-0005-0000-0000-000003030000}"/>
    <cellStyle name="Percent 2" xfId="265" xr:uid="{00000000-0005-0000-0000-000004030000}"/>
    <cellStyle name="Percent 2 2" xfId="266" xr:uid="{00000000-0005-0000-0000-000005030000}"/>
    <cellStyle name="Percent 2 2 2" xfId="345" xr:uid="{00000000-0005-0000-0000-000006030000}"/>
    <cellStyle name="Percent 2 2 2 2" xfId="846" xr:uid="{00000000-0005-0000-0000-000007030000}"/>
    <cellStyle name="Percent 2 2 3" xfId="804" xr:uid="{00000000-0005-0000-0000-000008030000}"/>
    <cellStyle name="Percent 2 3" xfId="803" xr:uid="{00000000-0005-0000-0000-000009030000}"/>
    <cellStyle name="Percent 3" xfId="267" xr:uid="{00000000-0005-0000-0000-00000A030000}"/>
    <cellStyle name="Percent 3 2" xfId="268" xr:uid="{00000000-0005-0000-0000-00000B030000}"/>
    <cellStyle name="Percent 3 2 2" xfId="500" xr:uid="{00000000-0005-0000-0000-00000C030000}"/>
    <cellStyle name="Percent 3 3" xfId="269" xr:uid="{00000000-0005-0000-0000-00000D030000}"/>
    <cellStyle name="Percent 3 3 2" xfId="270" xr:uid="{00000000-0005-0000-0000-00000E030000}"/>
    <cellStyle name="Percent 3 3 2 2" xfId="502" xr:uid="{00000000-0005-0000-0000-00000F030000}"/>
    <cellStyle name="Percent 3 3 3" xfId="271" xr:uid="{00000000-0005-0000-0000-000010030000}"/>
    <cellStyle name="Percent 3 3 3 2" xfId="503" xr:uid="{00000000-0005-0000-0000-000011030000}"/>
    <cellStyle name="Percent 3 3 4" xfId="501" xr:uid="{00000000-0005-0000-0000-000012030000}"/>
    <cellStyle name="Percent 3 4" xfId="272" xr:uid="{00000000-0005-0000-0000-000013030000}"/>
    <cellStyle name="Percent 3 4 2" xfId="273" xr:uid="{00000000-0005-0000-0000-000014030000}"/>
    <cellStyle name="Percent 3 4 2 2" xfId="505" xr:uid="{00000000-0005-0000-0000-000015030000}"/>
    <cellStyle name="Percent 3 4 3" xfId="274" xr:uid="{00000000-0005-0000-0000-000016030000}"/>
    <cellStyle name="Percent 3 4 3 2" xfId="506" xr:uid="{00000000-0005-0000-0000-000017030000}"/>
    <cellStyle name="Percent 3 4 4" xfId="504" xr:uid="{00000000-0005-0000-0000-000018030000}"/>
    <cellStyle name="Percent 3 5" xfId="275" xr:uid="{00000000-0005-0000-0000-000019030000}"/>
    <cellStyle name="Percent 3 5 2" xfId="507" xr:uid="{00000000-0005-0000-0000-00001A030000}"/>
    <cellStyle name="Percent 3 6" xfId="276" xr:uid="{00000000-0005-0000-0000-00001B030000}"/>
    <cellStyle name="Percent 3 6 2" xfId="277" xr:uid="{00000000-0005-0000-0000-00001C030000}"/>
    <cellStyle name="Percent 3 6 2 2" xfId="509" xr:uid="{00000000-0005-0000-0000-00001D030000}"/>
    <cellStyle name="Percent 3 6 3" xfId="508" xr:uid="{00000000-0005-0000-0000-00001E030000}"/>
    <cellStyle name="Percent 3 7" xfId="278" xr:uid="{00000000-0005-0000-0000-00001F030000}"/>
    <cellStyle name="Percent 3 7 2" xfId="510" xr:uid="{00000000-0005-0000-0000-000020030000}"/>
    <cellStyle name="Percent 3 7 2 2" xfId="847" xr:uid="{00000000-0005-0000-0000-000021030000}"/>
    <cellStyle name="Percent 3 7 3" xfId="677" xr:uid="{00000000-0005-0000-0000-000022030000}"/>
    <cellStyle name="Percent 3 8" xfId="339" xr:uid="{00000000-0005-0000-0000-000023030000}"/>
    <cellStyle name="Percent 3 8 2" xfId="511" xr:uid="{00000000-0005-0000-0000-000024030000}"/>
    <cellStyle name="Percent 3 8 3" xfId="805" xr:uid="{00000000-0005-0000-0000-000025030000}"/>
    <cellStyle name="Percent 3 9" xfId="512" xr:uid="{00000000-0005-0000-0000-000026030000}"/>
    <cellStyle name="Percent 4" xfId="279" xr:uid="{00000000-0005-0000-0000-000027030000}"/>
    <cellStyle name="Percent 4 2" xfId="280" xr:uid="{00000000-0005-0000-0000-000028030000}"/>
    <cellStyle name="Percent 4 2 2" xfId="514" xr:uid="{00000000-0005-0000-0000-000029030000}"/>
    <cellStyle name="Percent 4 3" xfId="281" xr:uid="{00000000-0005-0000-0000-00002A030000}"/>
    <cellStyle name="Percent 4 3 2" xfId="515" xr:uid="{00000000-0005-0000-0000-00002B030000}"/>
    <cellStyle name="Percent 4 4" xfId="513" xr:uid="{00000000-0005-0000-0000-00002C030000}"/>
    <cellStyle name="Percent 4 4 2" xfId="848" xr:uid="{00000000-0005-0000-0000-00002D030000}"/>
    <cellStyle name="Percent 4 4 3" xfId="776" xr:uid="{00000000-0005-0000-0000-00002E030000}"/>
    <cellStyle name="Percent 4 4 4" xfId="722" xr:uid="{00000000-0005-0000-0000-00002F030000}"/>
    <cellStyle name="Percent 4 5" xfId="558" xr:uid="{00000000-0005-0000-0000-000030030000}"/>
    <cellStyle name="Percent 4 5 2" xfId="806" xr:uid="{00000000-0005-0000-0000-000031030000}"/>
    <cellStyle name="Percent 4 5 3" xfId="679" xr:uid="{00000000-0005-0000-0000-000032030000}"/>
    <cellStyle name="Percent 4 6" xfId="827" xr:uid="{00000000-0005-0000-0000-000033030000}"/>
    <cellStyle name="Percent 4 7" xfId="740" xr:uid="{00000000-0005-0000-0000-000034030000}"/>
    <cellStyle name="Percent 4 8" xfId="614" xr:uid="{00000000-0005-0000-0000-000035030000}"/>
    <cellStyle name="Percent 5" xfId="282" xr:uid="{00000000-0005-0000-0000-000036030000}"/>
    <cellStyle name="Percent 5 2" xfId="283" xr:uid="{00000000-0005-0000-0000-000037030000}"/>
    <cellStyle name="Percent 5 2 2" xfId="517" xr:uid="{00000000-0005-0000-0000-000038030000}"/>
    <cellStyle name="Percent 5 3" xfId="516" xr:uid="{00000000-0005-0000-0000-000039030000}"/>
    <cellStyle name="Percent 6" xfId="284" xr:uid="{00000000-0005-0000-0000-00003A030000}"/>
    <cellStyle name="Percent 6 2" xfId="518" xr:uid="{00000000-0005-0000-0000-00003B030000}"/>
    <cellStyle name="Percent 6 2 2" xfId="849" xr:uid="{00000000-0005-0000-0000-00003C030000}"/>
    <cellStyle name="Percent 6 2 3" xfId="777" xr:uid="{00000000-0005-0000-0000-00003D030000}"/>
    <cellStyle name="Percent 6 2 4" xfId="723" xr:uid="{00000000-0005-0000-0000-00003E030000}"/>
    <cellStyle name="Percent 6 3" xfId="559" xr:uid="{00000000-0005-0000-0000-00003F030000}"/>
    <cellStyle name="Percent 6 3 2" xfId="807" xr:uid="{00000000-0005-0000-0000-000040030000}"/>
    <cellStyle name="Percent 6 3 3" xfId="680" xr:uid="{00000000-0005-0000-0000-000041030000}"/>
    <cellStyle name="Percent 6 4" xfId="828" xr:uid="{00000000-0005-0000-0000-000042030000}"/>
    <cellStyle name="Percent 6 5" xfId="741" xr:uid="{00000000-0005-0000-0000-000043030000}"/>
    <cellStyle name="Percent 6 6" xfId="615" xr:uid="{00000000-0005-0000-0000-000044030000}"/>
    <cellStyle name="Percent 7" xfId="285" xr:uid="{00000000-0005-0000-0000-000045030000}"/>
    <cellStyle name="Percent 7 2" xfId="340" xr:uid="{00000000-0005-0000-0000-000046030000}"/>
    <cellStyle name="Percent 7 2 2" xfId="520" xr:uid="{00000000-0005-0000-0000-000047030000}"/>
    <cellStyle name="Percent 7 3" xfId="521" xr:uid="{00000000-0005-0000-0000-000048030000}"/>
    <cellStyle name="Percent 7 3 2" xfId="682" xr:uid="{00000000-0005-0000-0000-000049030000}"/>
    <cellStyle name="Percent 7 4" xfId="522" xr:uid="{00000000-0005-0000-0000-00004A030000}"/>
    <cellStyle name="Percent 7 5" xfId="519" xr:uid="{00000000-0005-0000-0000-00004B030000}"/>
    <cellStyle name="Percent 8" xfId="286" xr:uid="{00000000-0005-0000-0000-00004C030000}"/>
    <cellStyle name="Percent 8 2" xfId="523" xr:uid="{00000000-0005-0000-0000-00004D030000}"/>
    <cellStyle name="Percent 8 2 2" xfId="850" xr:uid="{00000000-0005-0000-0000-00004E030000}"/>
    <cellStyle name="Percent 8 3" xfId="683" xr:uid="{00000000-0005-0000-0000-00004F030000}"/>
    <cellStyle name="Percent 9" xfId="338" xr:uid="{00000000-0005-0000-0000-000050030000}"/>
    <cellStyle name="Percent 9 2" xfId="524" xr:uid="{00000000-0005-0000-0000-000051030000}"/>
    <cellStyle name="Percent 9 3" xfId="684" xr:uid="{00000000-0005-0000-0000-000052030000}"/>
    <cellStyle name="Percent 9 4" xfId="632" xr:uid="{00000000-0005-0000-0000-000053030000}"/>
    <cellStyle name="PSChar" xfId="287" xr:uid="{00000000-0005-0000-0000-000054030000}"/>
    <cellStyle name="PSDate" xfId="288" xr:uid="{00000000-0005-0000-0000-000055030000}"/>
    <cellStyle name="PSDec" xfId="289" xr:uid="{00000000-0005-0000-0000-000056030000}"/>
    <cellStyle name="PSdesc" xfId="290" xr:uid="{00000000-0005-0000-0000-000057030000}"/>
    <cellStyle name="PSdesc 2" xfId="525" xr:uid="{00000000-0005-0000-0000-000058030000}"/>
    <cellStyle name="PSHeading" xfId="291" xr:uid="{00000000-0005-0000-0000-000059030000}"/>
    <cellStyle name="PSInt" xfId="292" xr:uid="{00000000-0005-0000-0000-00005A030000}"/>
    <cellStyle name="PSSpacer" xfId="293" xr:uid="{00000000-0005-0000-0000-00005B030000}"/>
    <cellStyle name="PStest" xfId="294" xr:uid="{00000000-0005-0000-0000-00005C030000}"/>
    <cellStyle name="PStest 2" xfId="526" xr:uid="{00000000-0005-0000-0000-00005D030000}"/>
    <cellStyle name="R00A" xfId="295" xr:uid="{00000000-0005-0000-0000-00005E030000}"/>
    <cellStyle name="R00B" xfId="296" xr:uid="{00000000-0005-0000-0000-00005F030000}"/>
    <cellStyle name="R00L" xfId="297" xr:uid="{00000000-0005-0000-0000-000060030000}"/>
    <cellStyle name="R01A" xfId="298" xr:uid="{00000000-0005-0000-0000-000061030000}"/>
    <cellStyle name="R01B" xfId="299" xr:uid="{00000000-0005-0000-0000-000062030000}"/>
    <cellStyle name="R01B 2" xfId="577" xr:uid="{00000000-0005-0000-0000-000063030000}"/>
    <cellStyle name="R01B 2 2" xfId="781" xr:uid="{00000000-0005-0000-0000-000064030000}"/>
    <cellStyle name="R01B 2 2 2" xfId="906" xr:uid="{00000000-0005-0000-0000-000065030000}"/>
    <cellStyle name="R01B 2 2 3" xfId="687" xr:uid="{00000000-0005-0000-0000-000066030000}"/>
    <cellStyle name="R01B 2 3" xfId="728" xr:uid="{00000000-0005-0000-0000-000067030000}"/>
    <cellStyle name="R01B 2 4" xfId="883" xr:uid="{00000000-0005-0000-0000-000068030000}"/>
    <cellStyle name="R01B 2 5" xfId="678" xr:uid="{00000000-0005-0000-0000-000069030000}"/>
    <cellStyle name="R01B 3" xfId="622" xr:uid="{00000000-0005-0000-0000-00006A030000}"/>
    <cellStyle name="R01B 4" xfId="602" xr:uid="{00000000-0005-0000-0000-00006B030000}"/>
    <cellStyle name="R01H" xfId="300" xr:uid="{00000000-0005-0000-0000-00006C030000}"/>
    <cellStyle name="R01L" xfId="301" xr:uid="{00000000-0005-0000-0000-00006D030000}"/>
    <cellStyle name="R02A" xfId="302" xr:uid="{00000000-0005-0000-0000-00006E030000}"/>
    <cellStyle name="R02B" xfId="303" xr:uid="{00000000-0005-0000-0000-00006F030000}"/>
    <cellStyle name="R02B 2" xfId="527" xr:uid="{00000000-0005-0000-0000-000070030000}"/>
    <cellStyle name="R02H" xfId="304" xr:uid="{00000000-0005-0000-0000-000071030000}"/>
    <cellStyle name="R02L" xfId="305" xr:uid="{00000000-0005-0000-0000-000072030000}"/>
    <cellStyle name="R03A" xfId="306" xr:uid="{00000000-0005-0000-0000-000073030000}"/>
    <cellStyle name="R03B" xfId="307" xr:uid="{00000000-0005-0000-0000-000074030000}"/>
    <cellStyle name="R03B 2" xfId="528" xr:uid="{00000000-0005-0000-0000-000075030000}"/>
    <cellStyle name="R03H" xfId="308" xr:uid="{00000000-0005-0000-0000-000076030000}"/>
    <cellStyle name="R03L" xfId="309" xr:uid="{00000000-0005-0000-0000-000077030000}"/>
    <cellStyle name="R04A" xfId="310" xr:uid="{00000000-0005-0000-0000-000078030000}"/>
    <cellStyle name="R04B" xfId="311" xr:uid="{00000000-0005-0000-0000-000079030000}"/>
    <cellStyle name="R04B 2" xfId="529" xr:uid="{00000000-0005-0000-0000-00007A030000}"/>
    <cellStyle name="R04H" xfId="312" xr:uid="{00000000-0005-0000-0000-00007B030000}"/>
    <cellStyle name="R04L" xfId="313" xr:uid="{00000000-0005-0000-0000-00007C030000}"/>
    <cellStyle name="R05A" xfId="314" xr:uid="{00000000-0005-0000-0000-00007D030000}"/>
    <cellStyle name="R05B" xfId="315" xr:uid="{00000000-0005-0000-0000-00007E030000}"/>
    <cellStyle name="R05B 2" xfId="530" xr:uid="{00000000-0005-0000-0000-00007F030000}"/>
    <cellStyle name="R05H" xfId="316" xr:uid="{00000000-0005-0000-0000-000080030000}"/>
    <cellStyle name="R05L" xfId="317" xr:uid="{00000000-0005-0000-0000-000081030000}"/>
    <cellStyle name="R05L 2" xfId="531" xr:uid="{00000000-0005-0000-0000-000082030000}"/>
    <cellStyle name="R06A" xfId="318" xr:uid="{00000000-0005-0000-0000-000083030000}"/>
    <cellStyle name="R06B" xfId="319" xr:uid="{00000000-0005-0000-0000-000084030000}"/>
    <cellStyle name="R06B 2" xfId="532" xr:uid="{00000000-0005-0000-0000-000085030000}"/>
    <cellStyle name="R06H" xfId="320" xr:uid="{00000000-0005-0000-0000-000086030000}"/>
    <cellStyle name="R06L" xfId="321" xr:uid="{00000000-0005-0000-0000-000087030000}"/>
    <cellStyle name="R07A" xfId="322" xr:uid="{00000000-0005-0000-0000-000088030000}"/>
    <cellStyle name="R07B" xfId="323" xr:uid="{00000000-0005-0000-0000-000089030000}"/>
    <cellStyle name="R07B 2" xfId="533" xr:uid="{00000000-0005-0000-0000-00008A030000}"/>
    <cellStyle name="R07H" xfId="324" xr:uid="{00000000-0005-0000-0000-00008B030000}"/>
    <cellStyle name="R07L" xfId="325" xr:uid="{00000000-0005-0000-0000-00008C030000}"/>
    <cellStyle name="Title" xfId="326" builtinId="15" customBuiltin="1"/>
    <cellStyle name="Title 2" xfId="327" xr:uid="{00000000-0005-0000-0000-00008E030000}"/>
    <cellStyle name="Total" xfId="328" builtinId="25" customBuiltin="1"/>
    <cellStyle name="Total 2" xfId="329" xr:uid="{00000000-0005-0000-0000-000090030000}"/>
    <cellStyle name="Total 2 2" xfId="535" xr:uid="{00000000-0005-0000-0000-000091030000}"/>
    <cellStyle name="Total 3" xfId="534" xr:uid="{00000000-0005-0000-0000-000092030000}"/>
    <cellStyle name="Warning Text" xfId="330" builtinId="11" customBuiltin="1"/>
    <cellStyle name="Warning Text 2" xfId="331" xr:uid="{00000000-0005-0000-0000-000094030000}"/>
  </cellStyles>
  <dxfs count="18">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51"/>
  <sheetViews>
    <sheetView tabSelected="1" view="pageBreakPreview" zoomScale="70" zoomScaleNormal="85" zoomScaleSheetLayoutView="70" zoomScalePageLayoutView="50" workbookViewId="0">
      <selection activeCell="D9" sqref="D9"/>
    </sheetView>
  </sheetViews>
  <sheetFormatPr defaultColWidth="11.42578125" defaultRowHeight="15"/>
  <cols>
    <col min="1" max="1" width="4.5703125" style="331" customWidth="1"/>
    <col min="2" max="2" width="7.85546875" style="330" customWidth="1"/>
    <col min="3" max="3" width="1.85546875" style="331" customWidth="1"/>
    <col min="4" max="4" width="70.140625" style="331" customWidth="1"/>
    <col min="5" max="5" width="25.5703125" style="331" customWidth="1"/>
    <col min="6" max="6" width="22.42578125" style="331" customWidth="1"/>
    <col min="7" max="7" width="20.5703125" style="331" customWidth="1"/>
    <col min="8" max="8" width="16.140625" style="331" customWidth="1"/>
    <col min="9" max="9" width="11.42578125" style="331" customWidth="1"/>
    <col min="10" max="10" width="21.5703125" style="331" bestFit="1" customWidth="1"/>
    <col min="11" max="11" width="4.5703125" style="331" customWidth="1"/>
    <col min="12" max="12" width="23" style="331" customWidth="1"/>
    <col min="13" max="13" width="5" style="331" customWidth="1"/>
    <col min="14" max="14" width="31.140625" style="331" customWidth="1"/>
    <col min="15" max="15" width="8.140625" style="331" customWidth="1"/>
    <col min="16" max="16" width="21.85546875" style="331" customWidth="1"/>
    <col min="17" max="17" width="11.42578125" style="331" customWidth="1"/>
    <col min="18" max="18" width="20.5703125" style="331" bestFit="1" customWidth="1"/>
    <col min="19" max="16384" width="11.42578125" style="331"/>
  </cols>
  <sheetData>
    <row r="1" spans="1:15" ht="15.75">
      <c r="A1" s="933" t="s">
        <v>116</v>
      </c>
    </row>
    <row r="2" spans="1:15" ht="15.75">
      <c r="A2" s="933" t="s">
        <v>116</v>
      </c>
    </row>
    <row r="3" spans="1:15" ht="15.75">
      <c r="D3" s="332"/>
      <c r="E3" s="333"/>
      <c r="F3" s="333"/>
      <c r="G3" s="334"/>
      <c r="I3" s="335"/>
      <c r="J3" s="335"/>
      <c r="K3" s="335"/>
      <c r="L3" s="336"/>
    </row>
    <row r="4" spans="1:15">
      <c r="J4" s="331" t="s">
        <v>823</v>
      </c>
      <c r="L4" s="865">
        <v>2024</v>
      </c>
    </row>
    <row r="5" spans="1:15">
      <c r="D5" s="337"/>
      <c r="E5" s="337"/>
      <c r="F5" s="338" t="s">
        <v>387</v>
      </c>
      <c r="G5" s="339"/>
      <c r="H5" s="339"/>
      <c r="J5" s="337"/>
      <c r="K5" s="340"/>
      <c r="L5" s="340"/>
      <c r="M5" s="341"/>
      <c r="O5" s="342"/>
    </row>
    <row r="6" spans="1:15">
      <c r="D6" s="337"/>
      <c r="E6" s="343"/>
      <c r="F6" s="338" t="s">
        <v>388</v>
      </c>
      <c r="G6" s="339"/>
      <c r="H6" s="339"/>
      <c r="J6" s="343"/>
      <c r="K6" s="340"/>
      <c r="L6" s="340"/>
      <c r="M6" s="341"/>
    </row>
    <row r="7" spans="1:15">
      <c r="D7" s="340"/>
      <c r="E7" s="340"/>
      <c r="F7" s="344" t="str">
        <f>"Utilizing  Actual/Projected FERC Form 1 Data"</f>
        <v>Utilizing  Actual/Projected FERC Form 1 Data</v>
      </c>
      <c r="G7" s="339"/>
      <c r="H7" s="339"/>
      <c r="J7" s="340"/>
      <c r="K7" s="340"/>
      <c r="L7" s="340"/>
      <c r="M7" s="341"/>
    </row>
    <row r="8" spans="1:15">
      <c r="B8" s="345"/>
      <c r="C8" s="346"/>
      <c r="D8" s="340"/>
      <c r="H8" s="347"/>
      <c r="I8" s="347"/>
      <c r="J8" s="347"/>
      <c r="K8" s="347"/>
      <c r="L8" s="340"/>
      <c r="M8" s="340"/>
    </row>
    <row r="9" spans="1:15" ht="15.75">
      <c r="B9" s="345"/>
      <c r="C9" s="346"/>
      <c r="D9" s="348"/>
      <c r="E9" s="340"/>
      <c r="F9" s="349" t="s">
        <v>787</v>
      </c>
      <c r="G9" s="350"/>
      <c r="H9" s="340"/>
      <c r="I9" s="340"/>
      <c r="J9" s="340"/>
      <c r="K9" s="340"/>
      <c r="L9" s="348"/>
      <c r="M9" s="340"/>
    </row>
    <row r="10" spans="1:15">
      <c r="B10" s="345"/>
      <c r="C10" s="346"/>
      <c r="D10" s="340"/>
      <c r="E10" s="340"/>
      <c r="F10" s="351"/>
      <c r="G10" s="350"/>
      <c r="H10" s="340"/>
      <c r="I10" s="340"/>
      <c r="J10" s="340"/>
      <c r="K10" s="340"/>
      <c r="L10" s="348"/>
      <c r="M10" s="340"/>
    </row>
    <row r="11" spans="1:15">
      <c r="B11" s="345" t="s">
        <v>171</v>
      </c>
      <c r="C11" s="346"/>
      <c r="D11" s="340"/>
      <c r="E11" s="340"/>
      <c r="F11" s="340"/>
      <c r="G11" s="350"/>
      <c r="H11" s="340"/>
      <c r="I11" s="340"/>
      <c r="J11" s="340"/>
      <c r="K11" s="340"/>
      <c r="L11" s="346" t="s">
        <v>117</v>
      </c>
      <c r="M11" s="340"/>
    </row>
    <row r="12" spans="1:15" ht="15.75" thickBot="1">
      <c r="B12" s="352" t="s">
        <v>119</v>
      </c>
      <c r="C12" s="353"/>
      <c r="D12" s="340"/>
      <c r="E12" s="353"/>
      <c r="F12" s="340"/>
      <c r="G12" s="340"/>
      <c r="H12" s="340"/>
      <c r="I12" s="340"/>
      <c r="J12" s="340"/>
      <c r="K12" s="340"/>
      <c r="L12" s="354" t="s">
        <v>172</v>
      </c>
      <c r="M12" s="340"/>
    </row>
    <row r="13" spans="1:15">
      <c r="B13" s="345">
        <f>1</f>
        <v>1</v>
      </c>
      <c r="C13" s="346"/>
      <c r="D13" s="355" t="s">
        <v>113</v>
      </c>
      <c r="E13" s="356" t="str">
        <f>"(ln "&amp;B213&amp;")"</f>
        <v>(ln 130)</v>
      </c>
      <c r="F13" s="356"/>
      <c r="G13" s="357"/>
      <c r="H13" s="358"/>
      <c r="I13" s="340"/>
      <c r="J13" s="340"/>
      <c r="K13" s="340"/>
      <c r="L13" s="359">
        <f>+L213</f>
        <v>8070188.2808096418</v>
      </c>
      <c r="M13" s="340"/>
    </row>
    <row r="14" spans="1:15" ht="15.75" thickBot="1">
      <c r="B14" s="345"/>
      <c r="C14" s="346"/>
      <c r="E14" s="360"/>
      <c r="F14" s="361"/>
      <c r="G14" s="354" t="s">
        <v>120</v>
      </c>
      <c r="H14" s="343"/>
      <c r="I14" s="362" t="s">
        <v>121</v>
      </c>
      <c r="J14" s="362"/>
      <c r="K14" s="340"/>
      <c r="L14" s="357"/>
      <c r="M14" s="340"/>
    </row>
    <row r="15" spans="1:15">
      <c r="B15" s="345">
        <f>+B13+1</f>
        <v>2</v>
      </c>
      <c r="C15" s="346"/>
      <c r="D15" s="363" t="s">
        <v>170</v>
      </c>
      <c r="E15" s="360" t="s">
        <v>619</v>
      </c>
      <c r="F15" s="361"/>
      <c r="G15" s="364">
        <f>+'WS E Rev Credits'!K31</f>
        <v>293313.32</v>
      </c>
      <c r="H15" s="361"/>
      <c r="I15" s="365" t="s">
        <v>131</v>
      </c>
      <c r="J15" s="366">
        <v>1</v>
      </c>
      <c r="K15" s="343"/>
      <c r="L15" s="367">
        <f>+J15*G15</f>
        <v>293313.32</v>
      </c>
      <c r="M15" s="340"/>
    </row>
    <row r="16" spans="1:15">
      <c r="B16" s="345"/>
      <c r="C16" s="346"/>
      <c r="D16" s="363"/>
      <c r="F16" s="343"/>
      <c r="L16" s="368"/>
      <c r="M16" s="340"/>
    </row>
    <row r="17" spans="2:13">
      <c r="B17" s="345"/>
      <c r="C17" s="346"/>
      <c r="D17" s="363"/>
      <c r="F17" s="343"/>
      <c r="L17" s="369"/>
      <c r="M17" s="340"/>
    </row>
    <row r="18" spans="2:13">
      <c r="B18" s="345">
        <f>+B15+1</f>
        <v>3</v>
      </c>
      <c r="C18" s="346"/>
      <c r="D18" s="363" t="s">
        <v>537</v>
      </c>
      <c r="E18" s="331" t="s">
        <v>620</v>
      </c>
      <c r="F18" s="343"/>
      <c r="L18" s="367">
        <f>'WS E Rev Credits'!K39</f>
        <v>0</v>
      </c>
      <c r="M18" s="340"/>
    </row>
    <row r="19" spans="2:13">
      <c r="B19" s="345"/>
      <c r="C19" s="346"/>
      <c r="D19" s="363"/>
      <c r="F19" s="343"/>
      <c r="I19" s="1325"/>
      <c r="L19" s="369"/>
      <c r="M19" s="340"/>
    </row>
    <row r="20" spans="2:13" ht="15.75" thickBot="1">
      <c r="B20" s="370">
        <f>+B18+1</f>
        <v>4</v>
      </c>
      <c r="C20" s="371"/>
      <c r="D20" s="372" t="s">
        <v>466</v>
      </c>
      <c r="E20" s="373" t="str">
        <f>"(ln "&amp;B13&amp;" less  ln " &amp;B15&amp;" plus ln "&amp;B18&amp;")"</f>
        <v>(ln 1 less  ln 2 plus ln 3)</v>
      </c>
      <c r="F20" s="340"/>
      <c r="H20" s="343"/>
      <c r="I20" s="374"/>
      <c r="J20" s="343"/>
      <c r="K20" s="343"/>
      <c r="L20" s="375">
        <f>+L13-L15+L18</f>
        <v>7776874.9608096415</v>
      </c>
      <c r="M20" s="340"/>
    </row>
    <row r="21" spans="2:13" ht="15.75" thickTop="1">
      <c r="B21" s="370"/>
      <c r="C21" s="371"/>
      <c r="D21" s="372"/>
      <c r="E21" s="373"/>
      <c r="F21" s="340"/>
      <c r="H21" s="343"/>
      <c r="I21" s="374"/>
      <c r="J21" s="343"/>
      <c r="K21" s="343"/>
      <c r="L21" s="367"/>
      <c r="M21" s="340"/>
    </row>
    <row r="22" spans="2:13">
      <c r="B22" s="370"/>
      <c r="C22" s="371"/>
      <c r="D22" s="372"/>
      <c r="E22" s="373"/>
      <c r="F22" s="340"/>
      <c r="H22" s="343"/>
      <c r="I22" s="374"/>
      <c r="J22" s="343"/>
      <c r="K22" s="343"/>
      <c r="L22" s="367"/>
      <c r="M22" s="340"/>
    </row>
    <row r="23" spans="2:13">
      <c r="B23" s="370"/>
      <c r="C23" s="371"/>
      <c r="D23" s="363"/>
      <c r="E23" s="373"/>
      <c r="F23" s="340"/>
      <c r="H23" s="343"/>
      <c r="I23" s="374"/>
      <c r="J23" s="343"/>
      <c r="K23" s="343"/>
      <c r="L23" s="376"/>
      <c r="M23" s="340"/>
    </row>
    <row r="24" spans="2:13" ht="15" customHeight="1">
      <c r="B24" s="1516"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16"/>
      <c r="D24" s="1516"/>
      <c r="E24" s="1516"/>
      <c r="F24" s="1516"/>
      <c r="G24" s="1516"/>
      <c r="H24" s="1516"/>
      <c r="I24" s="1516"/>
    </row>
    <row r="25" spans="2:13" ht="35.25" customHeight="1">
      <c r="B25" s="1516"/>
      <c r="C25" s="1516"/>
      <c r="D25" s="1516"/>
      <c r="E25" s="1516"/>
      <c r="F25" s="1516"/>
      <c r="G25" s="1516"/>
      <c r="H25" s="1516"/>
      <c r="I25" s="1516"/>
    </row>
    <row r="26" spans="2:13" ht="15" customHeight="1">
      <c r="B26" s="377"/>
      <c r="C26" s="377"/>
      <c r="D26" s="377"/>
      <c r="E26" s="377"/>
      <c r="F26" s="377"/>
      <c r="G26" s="377"/>
      <c r="H26" s="377"/>
      <c r="I26" s="377"/>
    </row>
    <row r="27" spans="2:13">
      <c r="B27" s="345">
        <f>+B20+1</f>
        <v>5</v>
      </c>
      <c r="C27" s="371"/>
      <c r="D27" s="378" t="s">
        <v>538</v>
      </c>
      <c r="E27" s="360"/>
      <c r="F27" s="361"/>
      <c r="G27" s="379">
        <f>+'WS J PROJECTED RTEP RR'!M26</f>
        <v>0</v>
      </c>
      <c r="H27" s="361"/>
      <c r="I27" s="365" t="s">
        <v>131</v>
      </c>
      <c r="J27" s="366">
        <v>1</v>
      </c>
      <c r="K27" s="356"/>
      <c r="L27" s="380">
        <f>+J27*G27</f>
        <v>0</v>
      </c>
      <c r="M27" s="340"/>
    </row>
    <row r="28" spans="2:13">
      <c r="B28" s="345"/>
      <c r="C28" s="371"/>
      <c r="D28" s="378"/>
      <c r="E28" s="373"/>
      <c r="F28" s="361"/>
      <c r="G28" s="379"/>
      <c r="H28" s="361"/>
      <c r="I28" s="361"/>
      <c r="J28" s="366"/>
      <c r="K28" s="356"/>
      <c r="L28" s="380"/>
      <c r="M28" s="340"/>
    </row>
    <row r="29" spans="2:13">
      <c r="B29" s="370">
        <f>+B27+1</f>
        <v>6</v>
      </c>
      <c r="C29" s="371"/>
      <c r="D29" s="378" t="s">
        <v>375</v>
      </c>
      <c r="E29" s="360"/>
      <c r="F29" s="340"/>
      <c r="G29" s="381"/>
      <c r="H29" s="340"/>
      <c r="J29" s="340"/>
      <c r="K29" s="340"/>
      <c r="M29" s="340"/>
    </row>
    <row r="30" spans="2:13">
      <c r="B30" s="345">
        <f>B29+1</f>
        <v>7</v>
      </c>
      <c r="C30" s="371"/>
      <c r="D30" s="382" t="s">
        <v>252</v>
      </c>
      <c r="E30" s="356" t="str">
        <f>"( (ln "&amp;B13&amp;" - ln "&amp;B168&amp;")/((ln "&amp;$B$91&amp;") x 100) )"</f>
        <v>( (ln 1 - ln 95)/((ln 42) x 100) )</v>
      </c>
      <c r="F30" s="346"/>
      <c r="G30" s="346"/>
      <c r="H30" s="346"/>
      <c r="I30" s="383"/>
      <c r="J30" s="383"/>
      <c r="K30" s="383"/>
      <c r="L30" s="384">
        <f>(L13-L168)/L$91</f>
        <v>0.15984447036207441</v>
      </c>
      <c r="M30" s="340"/>
    </row>
    <row r="31" spans="2:13">
      <c r="B31" s="345">
        <f>B30+1</f>
        <v>8</v>
      </c>
      <c r="C31" s="371"/>
      <c r="D31" s="382" t="s">
        <v>253</v>
      </c>
      <c r="E31" s="356" t="str">
        <f>"(ln "&amp;B30&amp;" / 12)"</f>
        <v>(ln 7 / 12)</v>
      </c>
      <c r="F31" s="346"/>
      <c r="G31" s="346"/>
      <c r="H31" s="346"/>
      <c r="I31" s="383"/>
      <c r="J31" s="383"/>
      <c r="K31" s="383"/>
      <c r="L31" s="385">
        <f>L30/12</f>
        <v>1.3320372530172868E-2</v>
      </c>
      <c r="M31" s="340"/>
    </row>
    <row r="32" spans="2:13">
      <c r="B32" s="345"/>
      <c r="C32" s="371"/>
      <c r="D32" s="382"/>
      <c r="E32" s="356"/>
      <c r="F32" s="346"/>
      <c r="G32" s="346"/>
      <c r="H32" s="346"/>
      <c r="I32" s="383"/>
      <c r="J32" s="383"/>
      <c r="K32" s="383"/>
      <c r="L32" s="385"/>
      <c r="M32" s="340"/>
    </row>
    <row r="33" spans="2:14">
      <c r="B33" s="345">
        <f>B31+1</f>
        <v>9</v>
      </c>
      <c r="C33" s="371"/>
      <c r="D33" s="378" t="str">
        <f>"NET PLANT CARRYING CHARGE ON LINE "&amp;B30&amp;" , w/o depreciation or ROE incentives (Note B)"</f>
        <v>NET PLANT CARRYING CHARGE ON LINE 7 , w/o depreciation or ROE incentives (Note B)</v>
      </c>
      <c r="E33" s="356"/>
      <c r="F33" s="346"/>
      <c r="G33" s="346"/>
      <c r="H33" s="346"/>
      <c r="I33" s="383"/>
      <c r="J33" s="383"/>
      <c r="K33" s="383"/>
      <c r="L33" s="385"/>
      <c r="M33" s="340"/>
    </row>
    <row r="34" spans="2:14">
      <c r="B34" s="345">
        <f>B33+1</f>
        <v>10</v>
      </c>
      <c r="C34" s="371"/>
      <c r="D34" s="382" t="s">
        <v>252</v>
      </c>
      <c r="E34" s="356" t="str">
        <f>"( (ln "&amp;B13&amp;" - ln "&amp;B168&amp;" - ln "&amp;B174&amp;" ) /((ln "&amp;$B$91&amp;") x 100) )"</f>
        <v>( (ln 1 - ln 95 - ln 100 ) /((ln 42) x 100) )</v>
      </c>
      <c r="F34" s="346"/>
      <c r="G34" s="346"/>
      <c r="H34" s="346"/>
      <c r="I34" s="383"/>
      <c r="J34" s="383"/>
      <c r="K34" s="383"/>
      <c r="L34" s="384">
        <f>(L13-L168-L174)/L91</f>
        <v>0.13023408200599834</v>
      </c>
      <c r="M34" s="340"/>
    </row>
    <row r="35" spans="2:14">
      <c r="B35" s="345"/>
      <c r="C35" s="371"/>
      <c r="D35" s="382"/>
      <c r="E35" s="356"/>
      <c r="F35" s="346"/>
      <c r="G35" s="346"/>
      <c r="H35" s="346"/>
      <c r="I35" s="383"/>
      <c r="J35" s="383"/>
      <c r="K35" s="383"/>
      <c r="L35" s="385"/>
      <c r="M35" s="340"/>
    </row>
    <row r="36" spans="2:14">
      <c r="B36" s="345">
        <f>B34+1</f>
        <v>11</v>
      </c>
      <c r="C36" s="371"/>
      <c r="D36" s="378" t="str">
        <f>"NET PLANT CARRYING CHARGE ON LINE "&amp;B34&amp;", w/o Return, income taxes or ROE incentives (Note B)"</f>
        <v>NET PLANT CARRYING CHARGE ON LINE 10, w/o Return, income taxes or ROE incentives (Note B)</v>
      </c>
      <c r="E36" s="356"/>
      <c r="F36" s="386"/>
      <c r="G36" s="386"/>
      <c r="H36" s="386"/>
      <c r="I36" s="386"/>
      <c r="J36" s="386"/>
      <c r="K36" s="386"/>
      <c r="L36" s="386"/>
      <c r="M36" s="348"/>
    </row>
    <row r="37" spans="2:14">
      <c r="B37" s="345">
        <f>B36+1</f>
        <v>12</v>
      </c>
      <c r="C37" s="371"/>
      <c r="D37" s="337" t="s">
        <v>252</v>
      </c>
      <c r="E37" s="356" t="str">
        <f>"( (ln "&amp;B13&amp;" - ln "&amp;B168&amp;" - ln "&amp;B174&amp;" - ln "&amp;B203&amp;" - ln "&amp;B205&amp;") /((ln "&amp;$B$91&amp;") x 100) )"</f>
        <v>( (ln 1 - ln 95 - ln 100 - ln 125 - ln 126) /((ln 42) x 100) )</v>
      </c>
      <c r="F37" s="386"/>
      <c r="G37" s="386"/>
      <c r="H37" s="386"/>
      <c r="I37" s="386"/>
      <c r="J37" s="386"/>
      <c r="K37" s="386"/>
      <c r="L37" s="387">
        <f>(L13-L168-L174-L203-L205)/L91</f>
        <v>4.4667108455010936E-2</v>
      </c>
      <c r="M37" s="348"/>
    </row>
    <row r="38" spans="2:14">
      <c r="B38" s="345"/>
      <c r="C38" s="371"/>
      <c r="D38" s="337"/>
      <c r="E38" s="356"/>
      <c r="F38" s="346"/>
      <c r="G38" s="346"/>
      <c r="H38" s="346"/>
      <c r="I38" s="383"/>
      <c r="J38" s="383"/>
      <c r="K38" s="383"/>
      <c r="L38" s="384"/>
      <c r="M38" s="388"/>
    </row>
    <row r="39" spans="2:14">
      <c r="B39" s="345">
        <f>B37+1</f>
        <v>13</v>
      </c>
      <c r="C39" s="346"/>
      <c r="D39" s="389" t="s">
        <v>594</v>
      </c>
      <c r="E39" s="356"/>
      <c r="F39" s="346"/>
      <c r="G39" s="346"/>
      <c r="H39" s="346"/>
      <c r="I39" s="383"/>
      <c r="J39" s="383"/>
      <c r="K39" s="383"/>
      <c r="L39" s="390">
        <f>'WS K TRUE-UP RTEP RR'!P23</f>
        <v>0</v>
      </c>
      <c r="M39" s="340"/>
    </row>
    <row r="40" spans="2:14">
      <c r="B40" s="345"/>
      <c r="C40" s="346"/>
      <c r="E40" s="356"/>
      <c r="F40" s="346"/>
      <c r="G40" s="346"/>
      <c r="H40" s="346"/>
      <c r="I40" s="383"/>
      <c r="J40" s="383"/>
      <c r="K40" s="383"/>
      <c r="L40" s="384"/>
      <c r="M40" s="340"/>
    </row>
    <row r="41" spans="2:14">
      <c r="B41" s="331"/>
      <c r="C41" s="346"/>
      <c r="E41" s="356"/>
      <c r="F41" s="346"/>
      <c r="G41" s="346"/>
      <c r="H41" s="346"/>
      <c r="I41" s="383"/>
      <c r="J41" s="383"/>
      <c r="K41" s="383"/>
      <c r="L41" s="384"/>
      <c r="M41" s="340"/>
    </row>
    <row r="42" spans="2:14" ht="15.75">
      <c r="B42" s="345">
        <f>+B39+1</f>
        <v>14</v>
      </c>
      <c r="C42" s="346"/>
      <c r="D42" s="1522" t="s">
        <v>434</v>
      </c>
      <c r="E42" s="1522"/>
      <c r="F42" s="1522"/>
      <c r="G42" s="1522"/>
      <c r="H42" s="1522"/>
      <c r="I42" s="1522"/>
      <c r="J42" s="1522"/>
      <c r="K42" s="1522"/>
      <c r="L42" s="1522"/>
      <c r="M42" s="340"/>
    </row>
    <row r="43" spans="2:14">
      <c r="B43" s="345"/>
      <c r="C43" s="346"/>
      <c r="E43" s="356"/>
      <c r="F43" s="346"/>
      <c r="G43" s="346"/>
      <c r="H43" s="346"/>
      <c r="I43" s="383"/>
      <c r="J43" s="383"/>
      <c r="K43" s="383"/>
      <c r="L43" s="384"/>
      <c r="M43" s="340"/>
    </row>
    <row r="44" spans="2:14">
      <c r="B44" s="345">
        <f>+B42+1</f>
        <v>15</v>
      </c>
      <c r="C44" s="346"/>
      <c r="D44" s="355" t="s">
        <v>436</v>
      </c>
      <c r="E44" s="356" t="str">
        <f>"Line "&amp;B146&amp;" Below"</f>
        <v>Line 75 Below</v>
      </c>
      <c r="F44" s="346"/>
      <c r="H44" s="346"/>
      <c r="I44" s="383"/>
      <c r="J44" s="383"/>
      <c r="K44" s="383"/>
      <c r="L44" s="391">
        <f>+G146</f>
        <v>14937.73</v>
      </c>
      <c r="M44" s="356"/>
      <c r="N44" s="336"/>
    </row>
    <row r="45" spans="2:14">
      <c r="B45" s="345">
        <f>+B44+1</f>
        <v>16</v>
      </c>
      <c r="C45" s="346"/>
      <c r="D45" s="355" t="s">
        <v>474</v>
      </c>
      <c r="E45" s="340"/>
      <c r="F45" s="346"/>
      <c r="H45" s="346"/>
      <c r="I45" s="383"/>
      <c r="J45" s="383"/>
      <c r="K45" s="383"/>
      <c r="L45" s="866">
        <f>'WS F Misc Exp'!D28</f>
        <v>0</v>
      </c>
      <c r="M45" s="356"/>
      <c r="N45" s="336"/>
    </row>
    <row r="46" spans="2:14">
      <c r="B46" s="345">
        <f>+B45+1</f>
        <v>17</v>
      </c>
      <c r="C46" s="346"/>
      <c r="D46" s="355" t="s">
        <v>475</v>
      </c>
      <c r="E46" s="340"/>
      <c r="F46" s="346"/>
      <c r="H46" s="346"/>
      <c r="I46" s="383"/>
      <c r="J46" s="383"/>
      <c r="K46" s="383"/>
      <c r="L46" s="866">
        <f>'WS F Misc Exp'!D32</f>
        <v>0</v>
      </c>
      <c r="M46" s="356"/>
      <c r="N46" s="336"/>
    </row>
    <row r="47" spans="2:14">
      <c r="B47" s="345"/>
      <c r="C47" s="346"/>
      <c r="E47" s="340"/>
      <c r="F47" s="346"/>
      <c r="H47" s="346"/>
      <c r="I47" s="383"/>
      <c r="J47" s="383"/>
      <c r="K47" s="383"/>
      <c r="L47" s="346"/>
      <c r="M47" s="356"/>
      <c r="N47" s="336"/>
    </row>
    <row r="48" spans="2:14" ht="15.75" thickBot="1">
      <c r="B48" s="345">
        <f>+B46+1</f>
        <v>18</v>
      </c>
      <c r="C48" s="346"/>
      <c r="D48" s="355" t="s">
        <v>435</v>
      </c>
      <c r="E48" s="358" t="str">
        <f>"(Line "&amp;B44&amp;" - Line "&amp;B45&amp;" - Line "&amp;B46&amp;")"</f>
        <v>(Line 15 - Line 16 - Line 17)</v>
      </c>
      <c r="F48" s="346"/>
      <c r="H48" s="346"/>
      <c r="I48" s="383"/>
      <c r="J48" s="383"/>
      <c r="K48" s="383"/>
      <c r="L48" s="392">
        <f>+L44-L45-L46</f>
        <v>14937.73</v>
      </c>
      <c r="M48" s="356"/>
      <c r="N48" s="336"/>
    </row>
    <row r="49" spans="2:16" ht="15.75" thickTop="1">
      <c r="B49" s="345"/>
      <c r="C49" s="346"/>
      <c r="E49" s="356"/>
      <c r="F49" s="346"/>
      <c r="G49" s="346"/>
      <c r="H49" s="346"/>
      <c r="I49" s="383"/>
      <c r="J49" s="383"/>
      <c r="K49" s="383"/>
      <c r="L49" s="384"/>
      <c r="M49" s="356"/>
      <c r="N49" s="336"/>
    </row>
    <row r="50" spans="2:16">
      <c r="B50" s="345"/>
      <c r="C50" s="346"/>
      <c r="E50" s="356"/>
      <c r="F50" s="346"/>
      <c r="G50" s="346"/>
      <c r="H50" s="346"/>
      <c r="I50" s="383"/>
      <c r="J50" s="383"/>
      <c r="K50" s="383"/>
      <c r="L50" s="384"/>
      <c r="M50" s="356"/>
      <c r="N50" s="336"/>
    </row>
    <row r="51" spans="2:16">
      <c r="B51" s="345"/>
      <c r="C51" s="346"/>
      <c r="E51" s="356"/>
      <c r="F51" s="346"/>
      <c r="G51" s="346"/>
      <c r="H51" s="346"/>
      <c r="I51" s="383"/>
      <c r="J51" s="383"/>
      <c r="K51" s="383"/>
      <c r="L51" s="384"/>
      <c r="M51" s="356"/>
      <c r="N51" s="336"/>
    </row>
    <row r="52" spans="2:16">
      <c r="D52" s="337"/>
      <c r="E52" s="337"/>
      <c r="G52" s="358"/>
      <c r="H52" s="337"/>
      <c r="I52" s="337"/>
      <c r="J52" s="337"/>
      <c r="K52" s="337"/>
      <c r="L52" s="337"/>
      <c r="M52" s="393"/>
      <c r="N52" s="336"/>
    </row>
    <row r="53" spans="2:16">
      <c r="D53" s="337"/>
      <c r="E53" s="337"/>
      <c r="F53" s="346"/>
      <c r="G53" s="358"/>
      <c r="H53" s="337"/>
      <c r="I53" s="337"/>
      <c r="J53" s="337"/>
      <c r="K53" s="337"/>
      <c r="L53" s="337"/>
      <c r="M53" s="393"/>
      <c r="N53" s="336"/>
      <c r="P53" s="394"/>
    </row>
    <row r="54" spans="2:16">
      <c r="D54" s="337"/>
      <c r="E54" s="337"/>
      <c r="F54" s="346" t="str">
        <f>F5</f>
        <v xml:space="preserve">AEP East Companies </v>
      </c>
      <c r="G54" s="358"/>
      <c r="H54" s="337"/>
      <c r="I54" s="337"/>
      <c r="J54" s="337"/>
      <c r="K54" s="337"/>
      <c r="L54" s="337"/>
      <c r="M54" s="393"/>
      <c r="N54" s="336"/>
      <c r="P54" s="394"/>
    </row>
    <row r="55" spans="2:16">
      <c r="D55" s="337"/>
      <c r="E55" s="343"/>
      <c r="F55" s="346" t="str">
        <f>F6</f>
        <v>Transmission Cost of Service Formula Rate</v>
      </c>
      <c r="G55" s="343"/>
      <c r="H55" s="343"/>
      <c r="I55" s="343"/>
      <c r="J55" s="343"/>
      <c r="K55" s="343"/>
      <c r="L55" s="343"/>
      <c r="M55" s="395"/>
      <c r="N55" s="336"/>
      <c r="P55" s="390"/>
    </row>
    <row r="56" spans="2:16">
      <c r="D56" s="337"/>
      <c r="E56" s="343"/>
      <c r="F56" s="374" t="str">
        <f>F7</f>
        <v>Utilizing  Actual/Projected FERC Form 1 Data</v>
      </c>
      <c r="G56" s="343"/>
      <c r="H56" s="343"/>
      <c r="I56" s="343"/>
      <c r="J56" s="343"/>
      <c r="K56" s="343"/>
      <c r="L56" s="343"/>
      <c r="M56" s="396"/>
      <c r="N56" s="336"/>
      <c r="P56" s="390"/>
    </row>
    <row r="57" spans="2:16">
      <c r="D57" s="337"/>
      <c r="E57" s="343"/>
      <c r="F57" s="346"/>
      <c r="G57" s="343"/>
      <c r="H57" s="343"/>
      <c r="I57" s="343"/>
      <c r="J57" s="343"/>
      <c r="K57" s="343"/>
      <c r="L57" s="343"/>
      <c r="M57" s="361"/>
      <c r="N57" s="336"/>
      <c r="P57" s="390"/>
    </row>
    <row r="58" spans="2:16">
      <c r="D58" s="337"/>
      <c r="E58" s="343"/>
      <c r="F58" s="346" t="str">
        <f>F9</f>
        <v>KINGSPORT POWER COMPANY</v>
      </c>
      <c r="G58" s="343"/>
      <c r="H58" s="343"/>
      <c r="I58" s="343"/>
      <c r="J58" s="343"/>
      <c r="K58" s="343"/>
      <c r="L58" s="343"/>
      <c r="M58" s="361"/>
      <c r="N58" s="336"/>
      <c r="P58" s="390"/>
    </row>
    <row r="59" spans="2:16">
      <c r="D59" s="337"/>
      <c r="E59" s="374"/>
      <c r="F59" s="374"/>
      <c r="G59" s="374"/>
      <c r="H59" s="374"/>
      <c r="I59" s="374"/>
      <c r="J59" s="374"/>
      <c r="K59" s="374"/>
      <c r="L59" s="343"/>
      <c r="M59" s="361"/>
      <c r="N59" s="336"/>
      <c r="P59" s="390"/>
    </row>
    <row r="60" spans="2:16">
      <c r="D60" s="346" t="s">
        <v>123</v>
      </c>
      <c r="E60" s="346" t="s">
        <v>124</v>
      </c>
      <c r="F60" s="346"/>
      <c r="G60" s="346" t="s">
        <v>125</v>
      </c>
      <c r="H60" s="343" t="s">
        <v>116</v>
      </c>
      <c r="I60" s="1517" t="s">
        <v>126</v>
      </c>
      <c r="J60" s="1518"/>
      <c r="K60" s="343"/>
      <c r="L60" s="347" t="s">
        <v>127</v>
      </c>
      <c r="M60" s="361"/>
      <c r="N60" s="336"/>
    </row>
    <row r="61" spans="2:16">
      <c r="B61" s="331"/>
      <c r="D61" s="386"/>
      <c r="E61" s="386"/>
      <c r="F61" s="386"/>
      <c r="G61" s="391"/>
      <c r="H61" s="343"/>
      <c r="I61" s="343"/>
      <c r="J61" s="398"/>
      <c r="K61" s="343"/>
      <c r="M61" s="361"/>
      <c r="N61" s="336"/>
    </row>
    <row r="62" spans="2:16" ht="15.75">
      <c r="B62" s="399"/>
      <c r="C62" s="346"/>
      <c r="D62" s="386"/>
      <c r="E62" s="400" t="s">
        <v>96</v>
      </c>
      <c r="F62" s="401"/>
      <c r="G62" s="343"/>
      <c r="H62" s="343"/>
      <c r="I62" s="343"/>
      <c r="J62" s="346"/>
      <c r="K62" s="343"/>
      <c r="L62" s="402" t="s">
        <v>120</v>
      </c>
      <c r="M62" s="361"/>
      <c r="N62" s="336"/>
      <c r="P62" s="394"/>
    </row>
    <row r="63" spans="2:16" ht="15.75">
      <c r="B63" s="331"/>
      <c r="C63" s="353"/>
      <c r="D63" s="403" t="s">
        <v>95</v>
      </c>
      <c r="E63" s="404" t="s">
        <v>114</v>
      </c>
      <c r="F63" s="343"/>
      <c r="G63" s="403" t="s">
        <v>82</v>
      </c>
      <c r="H63" s="405"/>
      <c r="I63" s="1519" t="s">
        <v>121</v>
      </c>
      <c r="J63" s="1520"/>
      <c r="K63" s="405"/>
      <c r="L63" s="403" t="s">
        <v>117</v>
      </c>
      <c r="M63" s="361"/>
      <c r="N63" s="336"/>
    </row>
    <row r="64" spans="2:16">
      <c r="B64" s="1144" t="str">
        <f>B11</f>
        <v>Line</v>
      </c>
      <c r="C64" s="371"/>
      <c r="D64" s="382"/>
      <c r="E64" s="361"/>
      <c r="F64" s="361"/>
      <c r="G64" s="1145" t="s">
        <v>356</v>
      </c>
      <c r="H64" s="361"/>
      <c r="I64" s="361"/>
      <c r="J64" s="361"/>
      <c r="K64" s="361"/>
      <c r="L64" s="361"/>
      <c r="M64" s="361"/>
      <c r="N64" s="336"/>
    </row>
    <row r="65" spans="2:15" ht="15.75" thickBot="1">
      <c r="B65" s="1146" t="str">
        <f>B12</f>
        <v>No.</v>
      </c>
      <c r="C65" s="371"/>
      <c r="D65" s="382" t="s">
        <v>83</v>
      </c>
      <c r="E65" s="406"/>
      <c r="F65" s="406"/>
      <c r="G65" s="361"/>
      <c r="H65" s="361"/>
      <c r="I65" s="365"/>
      <c r="J65" s="361"/>
      <c r="K65" s="361"/>
      <c r="L65" s="361"/>
      <c r="M65" s="361"/>
      <c r="N65" s="336"/>
    </row>
    <row r="66" spans="2:15">
      <c r="B66" s="370">
        <f>+B48+1</f>
        <v>19</v>
      </c>
      <c r="C66" s="371"/>
      <c r="D66" s="414" t="s">
        <v>128</v>
      </c>
      <c r="E66" s="361" t="str">
        <f>"(Worksheet A ln "&amp;'WS A - RB Support'!A23&amp;"."&amp;'WS A - RB Support'!C8&amp;")"</f>
        <v>(Worksheet A ln 14.(b))</v>
      </c>
      <c r="F66" s="361"/>
      <c r="G66" s="379">
        <f>'WS A - RB Support'!C23</f>
        <v>0</v>
      </c>
      <c r="H66" s="379"/>
      <c r="I66" s="365" t="s">
        <v>129</v>
      </c>
      <c r="J66" s="366">
        <v>0</v>
      </c>
      <c r="K66" s="361"/>
      <c r="L66" s="408">
        <f>+J66*G66</f>
        <v>0</v>
      </c>
      <c r="M66" s="361"/>
      <c r="N66" s="336"/>
    </row>
    <row r="67" spans="2:15">
      <c r="B67" s="370">
        <f>+B66+1</f>
        <v>20</v>
      </c>
      <c r="C67" s="371"/>
      <c r="D67" s="414" t="s">
        <v>379</v>
      </c>
      <c r="E67" s="361" t="str">
        <f>"(Worksheet A ln "&amp;'WS A - RB Support'!A23&amp;"."&amp;'WS A - RB Support'!D8&amp;")"</f>
        <v>(Worksheet A ln 14.(c))</v>
      </c>
      <c r="F67" s="361"/>
      <c r="G67" s="408">
        <f>-'WS A - RB Support'!D23</f>
        <v>0</v>
      </c>
      <c r="H67" s="379"/>
      <c r="I67" s="365" t="s">
        <v>129</v>
      </c>
      <c r="J67" s="366">
        <v>0</v>
      </c>
      <c r="K67" s="361"/>
      <c r="L67" s="408">
        <f>+J67*G67</f>
        <v>0</v>
      </c>
      <c r="M67" s="361"/>
      <c r="N67" s="336"/>
    </row>
    <row r="68" spans="2:15">
      <c r="B68" s="370">
        <f t="shared" ref="B68:B74" si="0">+B67+1</f>
        <v>21</v>
      </c>
      <c r="C68" s="423"/>
      <c r="D68" s="1147" t="s">
        <v>130</v>
      </c>
      <c r="E68" s="361" t="str">
        <f>"(Worksheet A ln "&amp;'WS A - RB Support'!A23&amp;"."&amp;'WS A - RB Support'!E8&amp;" &amp; TCOS Ln "&amp;B229&amp;")"</f>
        <v>(Worksheet A ln 14.(d) &amp; TCOS Ln 134)</v>
      </c>
      <c r="F68" s="410"/>
      <c r="G68" s="379">
        <f>'WS A - RB Support'!E23</f>
        <v>62390310.799999997</v>
      </c>
      <c r="H68" s="379"/>
      <c r="I68" s="411" t="s">
        <v>131</v>
      </c>
      <c r="J68" s="366" t="s">
        <v>116</v>
      </c>
      <c r="K68" s="412"/>
      <c r="L68" s="408">
        <f>+L229</f>
        <v>62389916.401538461</v>
      </c>
      <c r="M68" s="412"/>
      <c r="N68" s="336"/>
    </row>
    <row r="69" spans="2:15">
      <c r="B69" s="370">
        <f t="shared" si="0"/>
        <v>22</v>
      </c>
      <c r="C69" s="423"/>
      <c r="D69" s="414" t="s">
        <v>380</v>
      </c>
      <c r="E69" s="361" t="str">
        <f>"(Worksheet A ln "&amp;'WS A - RB Support'!A23&amp;"."&amp;'WS A - RB Support'!F8&amp;")"</f>
        <v>(Worksheet A ln 14.(e))</v>
      </c>
      <c r="F69" s="410"/>
      <c r="G69" s="379">
        <f>-'WS A - RB Support'!F23</f>
        <v>0</v>
      </c>
      <c r="H69" s="379"/>
      <c r="I69" s="411" t="s">
        <v>122</v>
      </c>
      <c r="J69" s="366">
        <f>L231</f>
        <v>0.99999367853026411</v>
      </c>
      <c r="K69" s="412"/>
      <c r="L69" s="408">
        <f>+G69*J69</f>
        <v>0</v>
      </c>
      <c r="M69" s="412"/>
      <c r="N69" s="336"/>
    </row>
    <row r="70" spans="2:15">
      <c r="B70" s="370">
        <f>+B69+1</f>
        <v>23</v>
      </c>
      <c r="C70" s="423"/>
      <c r="D70" s="382" t="s">
        <v>132</v>
      </c>
      <c r="E70" s="361" t="str">
        <f>"(Worksheet A ln "&amp;'WS A - RB Support'!A23&amp;"."&amp;'WS A - RB Support'!G8&amp;")"</f>
        <v>(Worksheet A ln 14.(f))</v>
      </c>
      <c r="F70" s="361"/>
      <c r="G70" s="379">
        <f>'WS A - RB Support'!G23</f>
        <v>252126433.3538461</v>
      </c>
      <c r="H70" s="379"/>
      <c r="I70" s="365" t="s">
        <v>129</v>
      </c>
      <c r="J70" s="366">
        <v>0</v>
      </c>
      <c r="K70" s="361"/>
      <c r="L70" s="408">
        <f>+J70*G70</f>
        <v>0</v>
      </c>
      <c r="M70" s="361"/>
      <c r="N70" s="336"/>
    </row>
    <row r="71" spans="2:15">
      <c r="B71" s="370">
        <f t="shared" si="0"/>
        <v>24</v>
      </c>
      <c r="C71" s="423"/>
      <c r="D71" s="414" t="s">
        <v>377</v>
      </c>
      <c r="E71" s="361" t="str">
        <f>"(Worksheet A ln "&amp;'WS A - RB Support'!A23&amp;"."&amp;'WS A - RB Support'!H8&amp;")"</f>
        <v>(Worksheet A ln 14.(g))</v>
      </c>
      <c r="F71" s="361"/>
      <c r="G71" s="408">
        <f>-'WS A - RB Support'!H23</f>
        <v>0</v>
      </c>
      <c r="H71" s="379"/>
      <c r="I71" s="365" t="s">
        <v>129</v>
      </c>
      <c r="J71" s="366">
        <v>0</v>
      </c>
      <c r="K71" s="361"/>
      <c r="L71" s="408">
        <f>+G71*J71</f>
        <v>0</v>
      </c>
      <c r="M71" s="361"/>
      <c r="N71" s="336"/>
    </row>
    <row r="72" spans="2:15">
      <c r="B72" s="370">
        <f t="shared" si="0"/>
        <v>25</v>
      </c>
      <c r="C72" s="423"/>
      <c r="D72" s="382" t="s">
        <v>133</v>
      </c>
      <c r="E72" s="361" t="str">
        <f>"(Worksheet A ln "&amp;'WS A - RB Support'!A23&amp;"."&amp;'WS A - RB Support'!I8&amp;")"</f>
        <v>(Worksheet A ln 14.(h))</v>
      </c>
      <c r="F72" s="361"/>
      <c r="G72" s="379">
        <f>'WS A - RB Support'!I23</f>
        <v>13998016.646153849</v>
      </c>
      <c r="H72" s="379"/>
      <c r="I72" s="365" t="s">
        <v>134</v>
      </c>
      <c r="J72" s="366">
        <f>L241</f>
        <v>8.299430354565529E-2</v>
      </c>
      <c r="K72" s="361"/>
      <c r="L72" s="408">
        <f>+J72*G72</f>
        <v>1161755.6425680281</v>
      </c>
      <c r="M72" s="361"/>
      <c r="N72" s="336"/>
    </row>
    <row r="73" spans="2:15">
      <c r="B73" s="370">
        <f t="shared" si="0"/>
        <v>26</v>
      </c>
      <c r="C73" s="423"/>
      <c r="D73" s="414" t="s">
        <v>378</v>
      </c>
      <c r="E73" s="361" t="str">
        <f>"(Worksheet A ln "&amp;'WS A - RB Support'!A23&amp;"."&amp;'WS A - RB Support'!J8&amp;")"</f>
        <v>(Worksheet A ln 14.(i))</v>
      </c>
      <c r="F73" s="361"/>
      <c r="G73" s="408">
        <f>-'WS A - RB Support'!J23</f>
        <v>-150407.17999999996</v>
      </c>
      <c r="H73" s="379"/>
      <c r="I73" s="365" t="s">
        <v>134</v>
      </c>
      <c r="J73" s="366">
        <f>L241</f>
        <v>8.299430354565529E-2</v>
      </c>
      <c r="K73" s="361"/>
      <c r="L73" s="408">
        <f>+G73*J73</f>
        <v>-12482.939152366011</v>
      </c>
      <c r="M73" s="361"/>
      <c r="N73" s="336"/>
    </row>
    <row r="74" spans="2:15" ht="15.75" thickBot="1">
      <c r="B74" s="370">
        <f t="shared" si="0"/>
        <v>27</v>
      </c>
      <c r="C74" s="423"/>
      <c r="D74" s="382" t="s">
        <v>135</v>
      </c>
      <c r="E74" s="361" t="str">
        <f>"(Worksheet A ln "&amp;'WS A - RB Support'!A23&amp;"."&amp;'WS A - RB Support'!K8&amp;")"</f>
        <v>(Worksheet A ln 14.(j))</v>
      </c>
      <c r="F74" s="361"/>
      <c r="G74" s="415">
        <f>'WS A - RB Support'!K23</f>
        <v>8357467.9399999995</v>
      </c>
      <c r="H74" s="379"/>
      <c r="I74" s="365" t="s">
        <v>134</v>
      </c>
      <c r="J74" s="366">
        <f>L241</f>
        <v>8.299430354565529E-2</v>
      </c>
      <c r="K74" s="361"/>
      <c r="L74" s="509">
        <f>+J74*G74</f>
        <v>693622.23108544236</v>
      </c>
      <c r="M74" s="361"/>
      <c r="N74" s="382"/>
      <c r="O74" s="337"/>
    </row>
    <row r="75" spans="2:15" ht="15.75">
      <c r="B75" s="370">
        <f>+B74+1</f>
        <v>28</v>
      </c>
      <c r="C75" s="423"/>
      <c r="D75" s="382" t="s">
        <v>48</v>
      </c>
      <c r="E75" s="371" t="str">
        <f>"(sum lns "&amp;B66&amp;" to "&amp;B74&amp;")"</f>
        <v>(sum lns 19 to 27)</v>
      </c>
      <c r="F75" s="718"/>
      <c r="G75" s="379">
        <f>SUM(G66:G74)</f>
        <v>336721821.55999994</v>
      </c>
      <c r="H75" s="379"/>
      <c r="I75" s="510" t="s">
        <v>757</v>
      </c>
      <c r="J75" s="417">
        <f>+L75/G75</f>
        <v>0.19075927731221903</v>
      </c>
      <c r="K75" s="361"/>
      <c r="L75" s="379">
        <f>SUM(L66:L74)</f>
        <v>64232811.336039566</v>
      </c>
      <c r="M75" s="361"/>
      <c r="N75" s="382"/>
      <c r="O75" s="337"/>
    </row>
    <row r="76" spans="2:15" ht="15.75">
      <c r="B76" s="370"/>
      <c r="C76" s="371"/>
      <c r="D76" s="382"/>
      <c r="E76" s="1149"/>
      <c r="F76" s="718"/>
      <c r="G76" s="379"/>
      <c r="H76" s="379"/>
      <c r="I76" s="1142" t="s">
        <v>218</v>
      </c>
      <c r="J76" s="418">
        <f>+L68/(G70+G68+G71)</f>
        <v>0.19836755136642389</v>
      </c>
      <c r="K76" s="361"/>
      <c r="L76" s="379"/>
      <c r="M76" s="361"/>
      <c r="N76" s="419"/>
      <c r="O76" s="337"/>
    </row>
    <row r="77" spans="2:15">
      <c r="B77" s="370">
        <f>+B75+1</f>
        <v>29</v>
      </c>
      <c r="C77" s="371"/>
      <c r="D77" s="382" t="s">
        <v>24</v>
      </c>
      <c r="E77" s="406"/>
      <c r="F77" s="406"/>
      <c r="G77" s="379"/>
      <c r="H77" s="420"/>
      <c r="I77" s="365"/>
      <c r="J77" s="421"/>
      <c r="K77" s="361"/>
      <c r="L77" s="379"/>
      <c r="M77" s="361"/>
      <c r="N77" s="361"/>
      <c r="O77" s="343"/>
    </row>
    <row r="78" spans="2:15">
      <c r="B78" s="370">
        <f>+B77+1</f>
        <v>30</v>
      </c>
      <c r="C78" s="371"/>
      <c r="D78" s="414" t="str">
        <f>+D66</f>
        <v xml:space="preserve">  Production</v>
      </c>
      <c r="E78" s="361" t="str">
        <f>"(Worksheet A ln "&amp;'WS A - RB Support'!A42&amp;"."&amp;'WS A - RB Support'!C27&amp;")"</f>
        <v>(Worksheet A ln 28.(b))</v>
      </c>
      <c r="F78" s="361"/>
      <c r="G78" s="379">
        <f>'WS A - RB Support'!C42</f>
        <v>0</v>
      </c>
      <c r="H78" s="379"/>
      <c r="I78" s="365" t="s">
        <v>129</v>
      </c>
      <c r="J78" s="366">
        <v>0</v>
      </c>
      <c r="K78" s="361"/>
      <c r="L78" s="408">
        <f>+J78*G78</f>
        <v>0</v>
      </c>
      <c r="M78" s="361"/>
      <c r="N78" s="361"/>
      <c r="O78" s="343"/>
    </row>
    <row r="79" spans="2:15">
      <c r="B79" s="370">
        <f t="shared" ref="B79:B87" si="1">+B78+1</f>
        <v>31</v>
      </c>
      <c r="C79" s="371"/>
      <c r="D79" s="414" t="s">
        <v>379</v>
      </c>
      <c r="E79" s="361" t="str">
        <f>"(Worksheet A ln "&amp;'WS A - RB Support'!A42&amp;"."&amp;'WS A - RB Support'!D27&amp;")"</f>
        <v>(Worksheet A ln 28.(c))</v>
      </c>
      <c r="F79" s="361"/>
      <c r="G79" s="408">
        <f>-'WS A - RB Support'!D42</f>
        <v>0</v>
      </c>
      <c r="H79" s="379"/>
      <c r="I79" s="365" t="s">
        <v>129</v>
      </c>
      <c r="J79" s="366">
        <v>0</v>
      </c>
      <c r="K79" s="361"/>
      <c r="L79" s="408">
        <f>+J79*G79</f>
        <v>0</v>
      </c>
      <c r="M79" s="361"/>
      <c r="N79" s="361"/>
      <c r="O79" s="343"/>
    </row>
    <row r="80" spans="2:15" ht="15.75">
      <c r="B80" s="370">
        <f t="shared" si="1"/>
        <v>32</v>
      </c>
      <c r="C80" s="423"/>
      <c r="D80" s="1147" t="str">
        <f>D68</f>
        <v xml:space="preserve">  Transmission</v>
      </c>
      <c r="E80" s="361" t="str">
        <f>"(Worksheet A ln "&amp;'WS A - RB Support'!A42&amp;"."&amp;'WS A - RB Support'!E27&amp;" &amp; "&amp;"ln "&amp;'WS A - RB Support'!A64&amp;"."&amp;'WS A - RB Support'!D47&amp;")"</f>
        <v>(Worksheet A ln 28.(d) &amp; ln 43.(c))</v>
      </c>
      <c r="F80" s="410"/>
      <c r="G80" s="413">
        <f>'WS A - RB Support'!E42</f>
        <v>11902162.508461539</v>
      </c>
      <c r="H80" s="379"/>
      <c r="I80" s="1143" t="s">
        <v>27</v>
      </c>
      <c r="J80" s="422">
        <f>L80/G80</f>
        <v>1</v>
      </c>
      <c r="K80" s="412"/>
      <c r="L80" s="408">
        <f>'WS A - RB Support'!D64</f>
        <v>11902162.508461539</v>
      </c>
      <c r="M80" s="412"/>
      <c r="N80" s="361"/>
      <c r="O80" s="343"/>
    </row>
    <row r="81" spans="2:15" ht="15.75">
      <c r="B81" s="370">
        <f t="shared" si="1"/>
        <v>33</v>
      </c>
      <c r="C81" s="423"/>
      <c r="D81" s="414" t="s">
        <v>380</v>
      </c>
      <c r="E81" s="361" t="str">
        <f>"(Worksheet A ln "&amp;'WS A - RB Support'!A42&amp;"."&amp;'WS A - RB Support'!F27&amp;")"</f>
        <v>(Worksheet A ln 28.(e))</v>
      </c>
      <c r="F81" s="410"/>
      <c r="G81" s="408">
        <f>-'WS A - RB Support'!F42</f>
        <v>0</v>
      </c>
      <c r="H81" s="379"/>
      <c r="I81" s="1143" t="s">
        <v>27</v>
      </c>
      <c r="J81" s="366">
        <f>+J80</f>
        <v>1</v>
      </c>
      <c r="K81" s="412"/>
      <c r="L81" s="408">
        <f t="shared" ref="L81:L86" si="2">+J81*G81</f>
        <v>0</v>
      </c>
      <c r="M81" s="412"/>
      <c r="N81" s="361"/>
      <c r="O81" s="343"/>
    </row>
    <row r="82" spans="2:15">
      <c r="B82" s="370">
        <f>+B81+1</f>
        <v>34</v>
      </c>
      <c r="C82" s="423"/>
      <c r="D82" s="382" t="str">
        <f>+D70</f>
        <v xml:space="preserve">  Distribution</v>
      </c>
      <c r="E82" s="361" t="str">
        <f>"(Worksheet A ln "&amp;'WS A - RB Support'!A42&amp;"."&amp;'WS A - RB Support'!G27&amp;")"</f>
        <v>(Worksheet A ln 28.(f))</v>
      </c>
      <c r="F82" s="361"/>
      <c r="G82" s="379">
        <f>'WS A - RB Support'!G42</f>
        <v>84138080.64692308</v>
      </c>
      <c r="H82" s="379"/>
      <c r="I82" s="365" t="s">
        <v>129</v>
      </c>
      <c r="J82" s="366">
        <v>0</v>
      </c>
      <c r="K82" s="361"/>
      <c r="L82" s="408">
        <f t="shared" si="2"/>
        <v>0</v>
      </c>
      <c r="M82" s="361"/>
      <c r="N82" s="361"/>
      <c r="O82" s="343"/>
    </row>
    <row r="83" spans="2:15">
      <c r="B83" s="370">
        <f t="shared" si="1"/>
        <v>35</v>
      </c>
      <c r="C83" s="423"/>
      <c r="D83" s="414" t="s">
        <v>377</v>
      </c>
      <c r="E83" s="361" t="str">
        <f>"(Worksheet A ln "&amp;'WS A - RB Support'!A42&amp;"."&amp;'WS A - RB Support'!H27&amp;")"</f>
        <v>(Worksheet A ln 28.(g))</v>
      </c>
      <c r="F83" s="361"/>
      <c r="G83" s="408">
        <f>-'WS A - RB Support'!H42</f>
        <v>0</v>
      </c>
      <c r="H83" s="379"/>
      <c r="I83" s="365" t="s">
        <v>129</v>
      </c>
      <c r="J83" s="366">
        <v>0</v>
      </c>
      <c r="K83" s="361"/>
      <c r="L83" s="408">
        <f t="shared" si="2"/>
        <v>0</v>
      </c>
      <c r="M83" s="361"/>
      <c r="N83" s="361"/>
      <c r="O83" s="343"/>
    </row>
    <row r="84" spans="2:15">
      <c r="B84" s="370">
        <f t="shared" si="1"/>
        <v>36</v>
      </c>
      <c r="C84" s="423"/>
      <c r="D84" s="382" t="str">
        <f>+D72</f>
        <v xml:space="preserve">  General Plant   </v>
      </c>
      <c r="E84" s="361" t="str">
        <f>"(Worksheet A ln "&amp;'WS A - RB Support'!A42&amp;"."&amp;'WS A - RB Support'!I27&amp;")"</f>
        <v>(Worksheet A ln 28.(h))</v>
      </c>
      <c r="F84" s="361"/>
      <c r="G84" s="364">
        <f>'WS A - RB Support'!I42</f>
        <v>1967950.4761538466</v>
      </c>
      <c r="H84" s="379"/>
      <c r="I84" s="365" t="s">
        <v>134</v>
      </c>
      <c r="J84" s="366">
        <f>L241</f>
        <v>8.299430354565529E-2</v>
      </c>
      <c r="K84" s="361"/>
      <c r="L84" s="408">
        <f t="shared" si="2"/>
        <v>163328.6791807292</v>
      </c>
      <c r="M84" s="361"/>
      <c r="N84" s="361"/>
      <c r="O84" s="343"/>
    </row>
    <row r="85" spans="2:15">
      <c r="B85" s="370">
        <f t="shared" si="1"/>
        <v>37</v>
      </c>
      <c r="C85" s="423"/>
      <c r="D85" s="414" t="s">
        <v>378</v>
      </c>
      <c r="E85" s="361" t="str">
        <f>"(Worksheet A ln "&amp;'WS A - RB Support'!A42&amp;"."&amp;'WS A - RB Support'!J27&amp;")"</f>
        <v>(Worksheet A ln 28.(i))</v>
      </c>
      <c r="F85" s="361"/>
      <c r="G85" s="408">
        <f>-'WS A - RB Support'!J42</f>
        <v>-78695.759999999995</v>
      </c>
      <c r="H85" s="379"/>
      <c r="I85" s="365" t="s">
        <v>134</v>
      </c>
      <c r="J85" s="366">
        <f>L241</f>
        <v>8.299430354565529E-2</v>
      </c>
      <c r="K85" s="361"/>
      <c r="L85" s="408">
        <f t="shared" si="2"/>
        <v>-6531.2997931960372</v>
      </c>
      <c r="M85" s="361"/>
      <c r="N85" s="361"/>
      <c r="O85" s="343"/>
    </row>
    <row r="86" spans="2:15" ht="15.75" thickBot="1">
      <c r="B86" s="370">
        <f t="shared" si="1"/>
        <v>38</v>
      </c>
      <c r="C86" s="423"/>
      <c r="D86" s="382" t="str">
        <f>+D74</f>
        <v xml:space="preserve">  Intangible Plant</v>
      </c>
      <c r="E86" s="361" t="str">
        <f>"(Worksheet A ln "&amp;'WS A - RB Support'!A42&amp;"."&amp;'WS A - RB Support'!K27&amp;")"</f>
        <v>(Worksheet A ln 28.(j))</v>
      </c>
      <c r="F86" s="361"/>
      <c r="G86" s="415">
        <f>'WS A - RB Support'!K42</f>
        <v>4358623.7976923073</v>
      </c>
      <c r="H86" s="379"/>
      <c r="I86" s="365" t="s">
        <v>134</v>
      </c>
      <c r="J86" s="366">
        <f>L241</f>
        <v>8.299430354565529E-2</v>
      </c>
      <c r="K86" s="361"/>
      <c r="L86" s="509">
        <f t="shared" si="2"/>
        <v>361740.94650699216</v>
      </c>
      <c r="M86" s="361"/>
      <c r="N86" s="361"/>
      <c r="O86" s="343"/>
    </row>
    <row r="87" spans="2:15">
      <c r="B87" s="370">
        <f t="shared" si="1"/>
        <v>39</v>
      </c>
      <c r="C87" s="423"/>
      <c r="D87" s="382" t="s">
        <v>47</v>
      </c>
      <c r="E87" s="1126" t="str">
        <f>"(sum lns "&amp;B78&amp;" to "&amp;B86&amp;")"</f>
        <v>(sum lns 30 to 38)</v>
      </c>
      <c r="F87" s="716"/>
      <c r="G87" s="379">
        <f>SUM(G78:G86)</f>
        <v>102288121.66923077</v>
      </c>
      <c r="H87" s="379"/>
      <c r="I87" s="365"/>
      <c r="J87" s="361"/>
      <c r="K87" s="379"/>
      <c r="L87" s="379">
        <f>SUM(L78:L86)</f>
        <v>12420700.834356064</v>
      </c>
      <c r="M87" s="361"/>
      <c r="N87" s="361"/>
      <c r="O87" s="343"/>
    </row>
    <row r="88" spans="2:15">
      <c r="B88" s="370"/>
      <c r="C88" s="371"/>
      <c r="D88" s="336"/>
      <c r="E88" s="1150"/>
      <c r="F88" s="716"/>
      <c r="G88" s="379"/>
      <c r="H88" s="379"/>
      <c r="I88" s="365"/>
      <c r="J88" s="424"/>
      <c r="K88" s="361"/>
      <c r="L88" s="379"/>
      <c r="M88" s="361"/>
      <c r="N88" s="361"/>
      <c r="O88" s="343"/>
    </row>
    <row r="89" spans="2:15">
      <c r="B89" s="370">
        <f>+B87+1</f>
        <v>40</v>
      </c>
      <c r="C89" s="371"/>
      <c r="D89" s="382" t="s">
        <v>84</v>
      </c>
      <c r="E89" s="406"/>
      <c r="F89" s="406"/>
      <c r="G89" s="379"/>
      <c r="H89" s="379"/>
      <c r="I89" s="365"/>
      <c r="J89" s="361"/>
      <c r="K89" s="361"/>
      <c r="L89" s="379"/>
      <c r="M89" s="361"/>
      <c r="N89" s="361"/>
      <c r="O89" s="343"/>
    </row>
    <row r="90" spans="2:15">
      <c r="B90" s="370">
        <f t="shared" ref="B90:B95" si="3">+B89+1</f>
        <v>41</v>
      </c>
      <c r="C90" s="423"/>
      <c r="D90" s="414" t="str">
        <f>+D78</f>
        <v xml:space="preserve">  Production</v>
      </c>
      <c r="E90" s="361" t="str">
        <f>" (ln "&amp;B66&amp;" + ln "&amp;B67&amp;" - ln "&amp;B78&amp;" - ln "&amp;B79&amp;")"</f>
        <v xml:space="preserve"> (ln 19 + ln 20 - ln 30 - ln 31)</v>
      </c>
      <c r="F90" s="361"/>
      <c r="G90" s="379">
        <f>G66+G67-G78-G79</f>
        <v>0</v>
      </c>
      <c r="H90" s="379"/>
      <c r="I90" s="365"/>
      <c r="J90" s="425"/>
      <c r="K90" s="361"/>
      <c r="L90" s="379">
        <f>L66+L67-L78-L79</f>
        <v>0</v>
      </c>
      <c r="M90" s="361"/>
      <c r="N90" s="361"/>
      <c r="O90" s="343"/>
    </row>
    <row r="91" spans="2:15">
      <c r="B91" s="370">
        <f t="shared" si="3"/>
        <v>42</v>
      </c>
      <c r="C91" s="423"/>
      <c r="D91" s="414" t="str">
        <f>+D80</f>
        <v xml:space="preserve">  Transmission</v>
      </c>
      <c r="E91" s="361" t="str">
        <f>" (ln "&amp;B68&amp;" + ln "&amp;B69&amp;" - ln "&amp;B80&amp;" - ln "&amp;B81&amp;")"</f>
        <v xml:space="preserve"> (ln 21 + ln 22 - ln 32 - ln 33)</v>
      </c>
      <c r="F91" s="361"/>
      <c r="G91" s="379">
        <f>+G68+G69-G80-G81</f>
        <v>50488148.291538462</v>
      </c>
      <c r="H91" s="379"/>
      <c r="I91" s="365"/>
      <c r="J91" s="422"/>
      <c r="K91" s="361"/>
      <c r="L91" s="379">
        <f>+L68+L69-L80-L81</f>
        <v>50487753.893076926</v>
      </c>
      <c r="M91" s="361"/>
      <c r="N91" s="361"/>
      <c r="O91" s="343"/>
    </row>
    <row r="92" spans="2:15">
      <c r="B92" s="370">
        <f>+B91+1</f>
        <v>43</v>
      </c>
      <c r="C92" s="423"/>
      <c r="D92" s="414" t="str">
        <f>+D82</f>
        <v xml:space="preserve">  Distribution</v>
      </c>
      <c r="E92" s="361" t="str">
        <f>" (ln "&amp;B70&amp;" + ln "&amp;B71&amp;" - ln "&amp;B82&amp;" - ln "&amp;B83&amp;")"</f>
        <v xml:space="preserve"> (ln 23 + ln 24 - ln 34 - ln 35)</v>
      </c>
      <c r="F92" s="361"/>
      <c r="G92" s="379">
        <f>+G70+G71-G82-G83</f>
        <v>167988352.70692301</v>
      </c>
      <c r="H92" s="379"/>
      <c r="I92" s="365"/>
      <c r="J92" s="424"/>
      <c r="K92" s="361"/>
      <c r="L92" s="379">
        <f>+L70+L71-L82-L83</f>
        <v>0</v>
      </c>
      <c r="M92" s="361"/>
      <c r="N92" s="336"/>
      <c r="O92" s="343"/>
    </row>
    <row r="93" spans="2:15">
      <c r="B93" s="370">
        <f t="shared" si="3"/>
        <v>44</v>
      </c>
      <c r="C93" s="423"/>
      <c r="D93" s="414" t="str">
        <f>+D84</f>
        <v xml:space="preserve">  General Plant   </v>
      </c>
      <c r="E93" s="361" t="str">
        <f>" (ln "&amp;B72&amp;" + ln "&amp;B73&amp;" - ln "&amp;B84&amp;" - ln "&amp;B85&amp;")"</f>
        <v xml:space="preserve"> (ln 25 + ln 26 - ln 36 - ln 37)</v>
      </c>
      <c r="F93" s="361"/>
      <c r="G93" s="379">
        <f>+G72+G73-G84-G85</f>
        <v>11958354.750000002</v>
      </c>
      <c r="H93" s="379"/>
      <c r="I93" s="365"/>
      <c r="J93" s="424"/>
      <c r="K93" s="361"/>
      <c r="L93" s="379">
        <f>+L72+L73-L84-L85</f>
        <v>992475.32402812887</v>
      </c>
      <c r="M93" s="361"/>
      <c r="N93" s="361"/>
      <c r="O93" s="343"/>
    </row>
    <row r="94" spans="2:15" ht="15.75" thickBot="1">
      <c r="B94" s="370">
        <f t="shared" si="3"/>
        <v>45</v>
      </c>
      <c r="C94" s="423"/>
      <c r="D94" s="414" t="str">
        <f>+D86</f>
        <v xml:space="preserve">  Intangible Plant</v>
      </c>
      <c r="E94" s="361" t="str">
        <f>" (ln "&amp;B74&amp;" - ln "&amp;B86&amp;")"</f>
        <v xml:space="preserve"> (ln 27 - ln 38)</v>
      </c>
      <c r="F94" s="361"/>
      <c r="G94" s="415">
        <f>+G74-G86</f>
        <v>3998844.1423076922</v>
      </c>
      <c r="H94" s="379"/>
      <c r="I94" s="365"/>
      <c r="J94" s="424"/>
      <c r="K94" s="361"/>
      <c r="L94" s="415">
        <f>+L74-L86</f>
        <v>331881.2845784502</v>
      </c>
      <c r="M94" s="361"/>
      <c r="N94" s="361"/>
      <c r="O94" s="343"/>
    </row>
    <row r="95" spans="2:15" ht="15.75">
      <c r="B95" s="370">
        <f t="shared" si="3"/>
        <v>46</v>
      </c>
      <c r="C95" s="423"/>
      <c r="D95" s="414" t="s">
        <v>46</v>
      </c>
      <c r="E95" s="414" t="str">
        <f>"(sum lns "&amp;B90&amp;" to "&amp;B94&amp;")"</f>
        <v>(sum lns 41 to 45)</v>
      </c>
      <c r="F95" s="361"/>
      <c r="G95" s="379">
        <f>SUM(G90:G94)</f>
        <v>234433699.89076918</v>
      </c>
      <c r="H95" s="379"/>
      <c r="I95" s="510" t="s">
        <v>758</v>
      </c>
      <c r="J95" s="417">
        <f>+L95/G95</f>
        <v>0.22100965230606592</v>
      </c>
      <c r="K95" s="361"/>
      <c r="L95" s="379">
        <f>SUM(L90:L94)</f>
        <v>51812110.501683503</v>
      </c>
      <c r="M95" s="361"/>
      <c r="N95" s="361"/>
      <c r="O95" s="343"/>
    </row>
    <row r="96" spans="2:15">
      <c r="B96" s="370"/>
      <c r="C96" s="371"/>
      <c r="D96" s="382"/>
      <c r="E96" s="361"/>
      <c r="F96" s="361"/>
      <c r="G96" s="379"/>
      <c r="H96" s="379"/>
      <c r="I96" s="441"/>
      <c r="J96" s="429"/>
      <c r="K96" s="361"/>
      <c r="L96" s="379"/>
      <c r="M96" s="361"/>
      <c r="N96" s="361"/>
      <c r="O96" s="343"/>
    </row>
    <row r="97" spans="2:15">
      <c r="B97" s="370"/>
      <c r="C97" s="371"/>
      <c r="D97" s="336"/>
      <c r="E97" s="336"/>
      <c r="F97" s="336"/>
      <c r="G97" s="599"/>
      <c r="H97" s="599"/>
      <c r="I97" s="1149"/>
      <c r="J97" s="599"/>
      <c r="K97" s="599"/>
      <c r="L97" s="599"/>
      <c r="M97" s="430"/>
      <c r="N97" s="361"/>
      <c r="O97" s="343"/>
    </row>
    <row r="98" spans="2:15">
      <c r="B98" s="370">
        <f>+B95+1</f>
        <v>47</v>
      </c>
      <c r="C98" s="371"/>
      <c r="D98" s="382" t="s">
        <v>328</v>
      </c>
      <c r="E98" s="361" t="s">
        <v>305</v>
      </c>
      <c r="F98" s="365"/>
      <c r="G98" s="599"/>
      <c r="H98" s="599"/>
      <c r="I98" s="1149"/>
      <c r="J98" s="599"/>
      <c r="K98" s="599"/>
      <c r="L98" s="599"/>
      <c r="M98" s="430"/>
      <c r="N98" s="361"/>
      <c r="O98" s="343"/>
    </row>
    <row r="99" spans="2:15">
      <c r="B99" s="370">
        <f t="shared" ref="B99:B104" si="4">+B98+1</f>
        <v>48</v>
      </c>
      <c r="C99" s="423"/>
      <c r="D99" s="414" t="s">
        <v>195</v>
      </c>
      <c r="E99" s="361" t="s">
        <v>539</v>
      </c>
      <c r="F99" s="361"/>
      <c r="G99" s="379">
        <f>-'WS B ADIT &amp; ITC'!I17</f>
        <v>0</v>
      </c>
      <c r="H99" s="379"/>
      <c r="I99" s="365" t="s">
        <v>129</v>
      </c>
      <c r="J99" s="366"/>
      <c r="K99" s="361"/>
      <c r="L99" s="379">
        <f>'WS B ADIT &amp; ITC'!I20</f>
        <v>0</v>
      </c>
      <c r="M99" s="361"/>
      <c r="N99" s="361"/>
      <c r="O99" s="343"/>
    </row>
    <row r="100" spans="2:15">
      <c r="B100" s="370">
        <f t="shared" si="4"/>
        <v>49</v>
      </c>
      <c r="C100" s="423"/>
      <c r="D100" s="414" t="s">
        <v>196</v>
      </c>
      <c r="E100" s="361" t="s">
        <v>540</v>
      </c>
      <c r="F100" s="361"/>
      <c r="G100" s="379">
        <f>-'WS B ADIT &amp; ITC'!I25</f>
        <v>-29820137.825000003</v>
      </c>
      <c r="H100" s="379"/>
      <c r="I100" s="365" t="s">
        <v>131</v>
      </c>
      <c r="J100" s="366"/>
      <c r="K100" s="361"/>
      <c r="L100" s="379">
        <f>-'WS B ADIT &amp; ITC'!I28</f>
        <v>-7935359.6694640629</v>
      </c>
      <c r="M100" s="361"/>
      <c r="N100" s="361"/>
      <c r="O100" s="343"/>
    </row>
    <row r="101" spans="2:15">
      <c r="B101" s="370">
        <f t="shared" si="4"/>
        <v>50</v>
      </c>
      <c r="C101" s="423"/>
      <c r="D101" s="414" t="s">
        <v>197</v>
      </c>
      <c r="E101" s="361" t="s">
        <v>541</v>
      </c>
      <c r="F101" s="361"/>
      <c r="G101" s="379">
        <f>-'WS B ADIT &amp; ITC'!I33</f>
        <v>-3223622.6500000004</v>
      </c>
      <c r="H101" s="379"/>
      <c r="I101" s="365" t="s">
        <v>131</v>
      </c>
      <c r="J101" s="366"/>
      <c r="K101" s="361"/>
      <c r="L101" s="379">
        <f>-'WS B ADIT &amp; ITC'!I36</f>
        <v>-716760.19000000041</v>
      </c>
      <c r="M101" s="361"/>
      <c r="N101" s="361"/>
      <c r="O101" s="343"/>
    </row>
    <row r="102" spans="2:15">
      <c r="B102" s="370">
        <f t="shared" si="4"/>
        <v>51</v>
      </c>
      <c r="C102" s="423"/>
      <c r="D102" s="414" t="s">
        <v>198</v>
      </c>
      <c r="E102" s="361" t="s">
        <v>542</v>
      </c>
      <c r="F102" s="361"/>
      <c r="G102" s="379">
        <f>'WS B ADIT &amp; ITC'!I41</f>
        <v>3391520.4900000007</v>
      </c>
      <c r="H102" s="379"/>
      <c r="I102" s="365" t="s">
        <v>131</v>
      </c>
      <c r="J102" s="366"/>
      <c r="K102" s="361"/>
      <c r="L102" s="379">
        <f>'WS B ADIT &amp; ITC'!I44</f>
        <v>4845621.0341458358</v>
      </c>
      <c r="M102" s="361"/>
      <c r="N102" s="361"/>
      <c r="O102" s="343"/>
    </row>
    <row r="103" spans="2:15" ht="15.75" thickBot="1">
      <c r="B103" s="370">
        <f t="shared" si="4"/>
        <v>52</v>
      </c>
      <c r="C103" s="423"/>
      <c r="D103" s="495" t="s">
        <v>136</v>
      </c>
      <c r="E103" s="361" t="s">
        <v>543</v>
      </c>
      <c r="F103" s="336"/>
      <c r="G103" s="415">
        <f>-'WS B ADIT &amp; ITC'!I51</f>
        <v>0</v>
      </c>
      <c r="H103" s="379"/>
      <c r="I103" s="365" t="s">
        <v>131</v>
      </c>
      <c r="J103" s="366"/>
      <c r="K103" s="361"/>
      <c r="L103" s="415">
        <f>-'WS B ADIT &amp; ITC'!I52</f>
        <v>0</v>
      </c>
      <c r="M103" s="431"/>
      <c r="N103" s="361"/>
      <c r="O103" s="343"/>
    </row>
    <row r="104" spans="2:15">
      <c r="B104" s="370">
        <f t="shared" si="4"/>
        <v>53</v>
      </c>
      <c r="C104" s="423"/>
      <c r="D104" s="414" t="s">
        <v>93</v>
      </c>
      <c r="E104" s="414" t="str">
        <f>"(sum lns "&amp;B99&amp;" to "&amp;B103&amp;")"</f>
        <v>(sum lns 48 to 52)</v>
      </c>
      <c r="F104" s="361"/>
      <c r="G104" s="379">
        <f>SUM(G99:G103)</f>
        <v>-29652239.984999999</v>
      </c>
      <c r="H104" s="599"/>
      <c r="I104" s="365"/>
      <c r="J104" s="433"/>
      <c r="K104" s="361"/>
      <c r="L104" s="379">
        <f>SUM(L99:L103)</f>
        <v>-3806498.8253182285</v>
      </c>
      <c r="M104" s="361"/>
      <c r="N104" s="434"/>
    </row>
    <row r="105" spans="2:15">
      <c r="B105" s="370"/>
      <c r="C105" s="371"/>
      <c r="D105" s="414"/>
      <c r="E105" s="361"/>
      <c r="F105" s="361"/>
      <c r="G105" s="379"/>
      <c r="H105" s="599"/>
      <c r="I105" s="365"/>
      <c r="J105" s="424"/>
      <c r="K105" s="361"/>
      <c r="L105" s="379"/>
      <c r="M105" s="361"/>
      <c r="N105" s="336"/>
    </row>
    <row r="106" spans="2:15">
      <c r="B106" s="370">
        <f>+B104+1</f>
        <v>54</v>
      </c>
      <c r="C106" s="371"/>
      <c r="D106" s="414" t="s">
        <v>207</v>
      </c>
      <c r="E106" s="361" t="str">
        <f>"(Worksheet A ln "&amp;'WS A - RB Support'!A69&amp;"."&amp;'WS A - RB Support'!F68&amp;" &amp; "&amp;"ln "&amp;'WS A - RB Support'!A71&amp;"."&amp;'WS A - RB Support'!F68&amp;")"</f>
        <v>(Worksheet A ln 44.(e) &amp; ln 45.(e))</v>
      </c>
      <c r="F106" s="361"/>
      <c r="G106" s="379">
        <f>'WS A - RB Support'!F69</f>
        <v>0</v>
      </c>
      <c r="H106" s="599"/>
      <c r="I106" s="365" t="s">
        <v>131</v>
      </c>
      <c r="J106" s="366"/>
      <c r="K106" s="361"/>
      <c r="L106" s="379">
        <f>'WS A - RB Support'!F71</f>
        <v>0</v>
      </c>
      <c r="M106" s="361"/>
      <c r="N106" s="336"/>
    </row>
    <row r="107" spans="2:15">
      <c r="B107" s="370"/>
      <c r="C107" s="371"/>
      <c r="D107" s="414"/>
      <c r="E107" s="361"/>
      <c r="F107" s="361"/>
      <c r="G107" s="379"/>
      <c r="H107" s="599"/>
      <c r="I107" s="365"/>
      <c r="J107" s="366"/>
      <c r="K107" s="361"/>
      <c r="L107" s="379"/>
      <c r="M107" s="361"/>
      <c r="N107" s="336"/>
    </row>
    <row r="108" spans="2:15">
      <c r="B108" s="370">
        <f>+B106+1</f>
        <v>55</v>
      </c>
      <c r="C108" s="371"/>
      <c r="D108" s="414" t="s">
        <v>329</v>
      </c>
      <c r="E108" s="361" t="str">
        <f>"(Worksheet A ln "&amp;'WS A - RB Support'!A80&amp;"."&amp;'WS A - RB Support'!F68&amp;")"</f>
        <v>(Worksheet A ln 51.(e))</v>
      </c>
      <c r="F108" s="361"/>
      <c r="G108" s="379">
        <f>'WS A - RB Support'!F80</f>
        <v>0</v>
      </c>
      <c r="H108" s="599"/>
      <c r="I108" s="365" t="s">
        <v>131</v>
      </c>
      <c r="J108" s="361"/>
      <c r="K108" s="361"/>
      <c r="L108" s="379">
        <f>+G108</f>
        <v>0</v>
      </c>
      <c r="M108" s="361"/>
      <c r="N108" s="336"/>
    </row>
    <row r="109" spans="2:15">
      <c r="B109" s="370"/>
      <c r="C109" s="371"/>
      <c r="D109" s="414"/>
      <c r="E109" s="361"/>
      <c r="F109" s="361"/>
      <c r="G109" s="379"/>
      <c r="H109" s="599"/>
      <c r="I109" s="365"/>
      <c r="J109" s="361"/>
      <c r="K109" s="361"/>
      <c r="L109" s="379"/>
      <c r="M109" s="361"/>
      <c r="N109" s="336"/>
    </row>
    <row r="110" spans="2:15" ht="14.25" customHeight="1">
      <c r="B110" s="370">
        <f>+B108+1</f>
        <v>56</v>
      </c>
      <c r="C110" s="423"/>
      <c r="D110" s="490" t="s">
        <v>746</v>
      </c>
      <c r="E110" s="361" t="str">
        <f>"(Worksheet A ln "&amp;'WS A - RB Support'!A87&amp;"."&amp;'WS A - RB Support'!F68&amp;")"</f>
        <v>(Worksheet A ln 54.(e))</v>
      </c>
      <c r="F110" s="361"/>
      <c r="G110" s="364">
        <f>-'WS A - RB Support'!F87</f>
        <v>0</v>
      </c>
      <c r="H110" s="379"/>
      <c r="I110" s="365" t="s">
        <v>134</v>
      </c>
      <c r="J110" s="366">
        <f>L241</f>
        <v>8.299430354565529E-2</v>
      </c>
      <c r="K110" s="361"/>
      <c r="L110" s="364">
        <f>G110*J110</f>
        <v>0</v>
      </c>
      <c r="M110" s="361"/>
      <c r="N110" s="336"/>
    </row>
    <row r="111" spans="2:15">
      <c r="B111" s="370"/>
      <c r="C111" s="371"/>
      <c r="D111" s="414"/>
      <c r="E111" s="361"/>
      <c r="F111" s="361"/>
      <c r="G111" s="379"/>
      <c r="H111" s="599"/>
      <c r="I111" s="365"/>
      <c r="J111" s="361"/>
      <c r="K111" s="361"/>
      <c r="L111" s="379"/>
      <c r="M111" s="361"/>
      <c r="N111" s="336"/>
    </row>
    <row r="112" spans="2:15">
      <c r="B112" s="370">
        <f>+B110+1</f>
        <v>57</v>
      </c>
      <c r="C112" s="371"/>
      <c r="D112" s="414" t="s">
        <v>94</v>
      </c>
      <c r="E112" s="361" t="s">
        <v>500</v>
      </c>
      <c r="F112" s="361"/>
      <c r="G112" s="379"/>
      <c r="H112" s="599"/>
      <c r="I112" s="365"/>
      <c r="J112" s="361"/>
      <c r="K112" s="361"/>
      <c r="L112" s="379"/>
      <c r="M112" s="361"/>
      <c r="N112" s="336"/>
    </row>
    <row r="113" spans="2:14">
      <c r="B113" s="370">
        <f t="shared" ref="B113:B120" si="5">+B112+1</f>
        <v>58</v>
      </c>
      <c r="C113" s="423"/>
      <c r="D113" s="414" t="s">
        <v>206</v>
      </c>
      <c r="E113" s="336" t="str">
        <f>"(1/8 * ln "&amp;B149&amp;")"</f>
        <v>(1/8 * ln 78)</v>
      </c>
      <c r="F113" s="336"/>
      <c r="G113" s="379">
        <f>+G149/8</f>
        <v>78661.658750000002</v>
      </c>
      <c r="H113" s="361"/>
      <c r="I113" s="365"/>
      <c r="J113" s="424"/>
      <c r="K113" s="361"/>
      <c r="L113" s="379">
        <f>+L149/8</f>
        <v>78661.161492704836</v>
      </c>
      <c r="M113" s="356"/>
      <c r="N113" s="336"/>
    </row>
    <row r="114" spans="2:14">
      <c r="B114" s="370">
        <f t="shared" si="5"/>
        <v>59</v>
      </c>
      <c r="C114" s="423"/>
      <c r="D114" s="414" t="s">
        <v>337</v>
      </c>
      <c r="E114" s="361" t="s">
        <v>544</v>
      </c>
      <c r="F114" s="361"/>
      <c r="G114" s="379">
        <f>'WS C  - Working Capital'!I17</f>
        <v>0</v>
      </c>
      <c r="H114" s="599"/>
      <c r="I114" s="365" t="s">
        <v>122</v>
      </c>
      <c r="J114" s="366">
        <f>L231</f>
        <v>0.99999367853026411</v>
      </c>
      <c r="K114" s="361"/>
      <c r="L114" s="379">
        <f>+J114*G114</f>
        <v>0</v>
      </c>
      <c r="M114" s="361"/>
      <c r="N114" s="336"/>
    </row>
    <row r="115" spans="2:14">
      <c r="B115" s="370">
        <f t="shared" si="5"/>
        <v>60</v>
      </c>
      <c r="C115" s="423"/>
      <c r="D115" s="414" t="s">
        <v>338</v>
      </c>
      <c r="E115" s="361" t="s">
        <v>545</v>
      </c>
      <c r="F115" s="361"/>
      <c r="G115" s="379">
        <f>'WS C  - Working Capital'!I19</f>
        <v>1421</v>
      </c>
      <c r="H115" s="599"/>
      <c r="I115" s="365" t="s">
        <v>134</v>
      </c>
      <c r="J115" s="366">
        <f>L241</f>
        <v>8.299430354565529E-2</v>
      </c>
      <c r="K115" s="361"/>
      <c r="L115" s="379">
        <f>+J115*G115</f>
        <v>117.93490533837617</v>
      </c>
      <c r="M115" s="361"/>
      <c r="N115" s="336"/>
    </row>
    <row r="116" spans="2:14">
      <c r="B116" s="370">
        <f t="shared" si="5"/>
        <v>61</v>
      </c>
      <c r="C116" s="423"/>
      <c r="D116" s="414" t="s">
        <v>532</v>
      </c>
      <c r="E116" s="361" t="s">
        <v>546</v>
      </c>
      <c r="F116" s="361"/>
      <c r="G116" s="379">
        <f>'WS C  - Working Capital'!I21</f>
        <v>0</v>
      </c>
      <c r="H116" s="599"/>
      <c r="I116" s="365" t="s">
        <v>757</v>
      </c>
      <c r="J116" s="366">
        <f>J75</f>
        <v>0.19075927731221903</v>
      </c>
      <c r="K116" s="361"/>
      <c r="L116" s="379">
        <f>+J116*G116</f>
        <v>0</v>
      </c>
      <c r="M116" s="361"/>
      <c r="N116" s="336"/>
    </row>
    <row r="117" spans="2:14">
      <c r="B117" s="370">
        <f t="shared" si="5"/>
        <v>62</v>
      </c>
      <c r="C117" s="423"/>
      <c r="D117" s="414" t="s">
        <v>210</v>
      </c>
      <c r="E117" s="361" t="s">
        <v>576</v>
      </c>
      <c r="F117" s="361"/>
      <c r="G117" s="379">
        <f>'WS C  - Working Capital'!J31</f>
        <v>6937196.3300000001</v>
      </c>
      <c r="H117" s="599"/>
      <c r="I117" s="365" t="s">
        <v>134</v>
      </c>
      <c r="J117" s="366">
        <f>L241</f>
        <v>8.299430354565529E-2</v>
      </c>
      <c r="K117" s="361"/>
      <c r="L117" s="379">
        <f>+J117*G117</f>
        <v>575747.77796782588</v>
      </c>
      <c r="M117" s="361"/>
      <c r="N117" s="336"/>
    </row>
    <row r="118" spans="2:14">
      <c r="B118" s="370">
        <f t="shared" si="5"/>
        <v>63</v>
      </c>
      <c r="C118" s="423"/>
      <c r="D118" s="414" t="s">
        <v>211</v>
      </c>
      <c r="E118" s="361" t="s">
        <v>575</v>
      </c>
      <c r="F118" s="361"/>
      <c r="G118" s="379">
        <f>'WS C  - Working Capital'!I31</f>
        <v>212257.10399999999</v>
      </c>
      <c r="H118" s="599"/>
      <c r="I118" s="365" t="s">
        <v>757</v>
      </c>
      <c r="J118" s="366">
        <f>J75</f>
        <v>0.19075927731221903</v>
      </c>
      <c r="K118" s="361"/>
      <c r="L118" s="379">
        <f>+G118*J118</f>
        <v>40490.011763424511</v>
      </c>
      <c r="M118" s="361"/>
      <c r="N118" s="336"/>
    </row>
    <row r="119" spans="2:14">
      <c r="B119" s="370">
        <f t="shared" si="5"/>
        <v>64</v>
      </c>
      <c r="C119" s="423"/>
      <c r="D119" s="414" t="s">
        <v>307</v>
      </c>
      <c r="E119" s="361" t="s">
        <v>577</v>
      </c>
      <c r="F119" s="361"/>
      <c r="G119" s="379">
        <f>'WS C  - Working Capital'!G31</f>
        <v>0</v>
      </c>
      <c r="H119" s="599"/>
      <c r="I119" s="365" t="s">
        <v>131</v>
      </c>
      <c r="J119" s="366">
        <v>1</v>
      </c>
      <c r="K119" s="361"/>
      <c r="L119" s="379">
        <f>+G119*J119</f>
        <v>0</v>
      </c>
      <c r="M119" s="361"/>
      <c r="N119" s="336"/>
    </row>
    <row r="120" spans="2:14" ht="15.75" thickBot="1">
      <c r="B120" s="370">
        <f t="shared" si="5"/>
        <v>65</v>
      </c>
      <c r="C120" s="423"/>
      <c r="D120" s="414" t="s">
        <v>106</v>
      </c>
      <c r="E120" s="361" t="s">
        <v>578</v>
      </c>
      <c r="F120" s="361"/>
      <c r="G120" s="415">
        <f>'WS C  - Working Capital'!E31</f>
        <v>-3970975.65</v>
      </c>
      <c r="H120" s="379"/>
      <c r="I120" s="365" t="s">
        <v>129</v>
      </c>
      <c r="J120" s="366">
        <v>0</v>
      </c>
      <c r="K120" s="361"/>
      <c r="L120" s="415">
        <f>+G120*J120</f>
        <v>0</v>
      </c>
      <c r="M120" s="361"/>
      <c r="N120" s="336"/>
    </row>
    <row r="121" spans="2:14">
      <c r="B121" s="370">
        <f>+B120+1</f>
        <v>66</v>
      </c>
      <c r="C121" s="423"/>
      <c r="D121" s="414" t="s">
        <v>45</v>
      </c>
      <c r="E121" s="414" t="str">
        <f>"(sum lns "&amp;B113&amp;" to "&amp;B120&amp;")"</f>
        <v>(sum lns 58 to 65)</v>
      </c>
      <c r="F121" s="356"/>
      <c r="G121" s="379">
        <f>SUM(G113:G120)</f>
        <v>3258560.4427500009</v>
      </c>
      <c r="H121" s="356"/>
      <c r="I121" s="371"/>
      <c r="J121" s="356"/>
      <c r="K121" s="356"/>
      <c r="L121" s="379">
        <f>SUM(L113:L120)</f>
        <v>695016.88612929359</v>
      </c>
      <c r="M121" s="356"/>
      <c r="N121" s="336"/>
    </row>
    <row r="122" spans="2:14">
      <c r="B122" s="370"/>
      <c r="C122" s="371"/>
      <c r="D122" s="414"/>
      <c r="E122" s="356"/>
      <c r="F122" s="356"/>
      <c r="G122" s="379"/>
      <c r="H122" s="356"/>
      <c r="I122" s="371"/>
      <c r="J122" s="356"/>
      <c r="K122" s="356"/>
      <c r="L122" s="379"/>
      <c r="M122" s="356"/>
      <c r="N122" s="336"/>
    </row>
    <row r="123" spans="2:14">
      <c r="B123" s="370">
        <f>+B121+1</f>
        <v>67</v>
      </c>
      <c r="C123" s="371"/>
      <c r="D123" s="414" t="s">
        <v>32</v>
      </c>
      <c r="E123" s="382" t="s">
        <v>547</v>
      </c>
      <c r="F123" s="356"/>
      <c r="G123" s="379">
        <f>+'WS D IPP Credits'!C21</f>
        <v>0</v>
      </c>
      <c r="H123" s="356"/>
      <c r="I123" s="487" t="s">
        <v>131</v>
      </c>
      <c r="J123" s="366">
        <v>1</v>
      </c>
      <c r="K123" s="361"/>
      <c r="L123" s="379">
        <f>+J123*G123</f>
        <v>0</v>
      </c>
      <c r="M123" s="356"/>
      <c r="N123" s="336"/>
    </row>
    <row r="124" spans="2:14" ht="15.75" thickBot="1">
      <c r="B124" s="370"/>
      <c r="C124" s="336"/>
      <c r="D124" s="495"/>
      <c r="E124" s="361"/>
      <c r="F124" s="361"/>
      <c r="G124" s="415"/>
      <c r="H124" s="361"/>
      <c r="I124" s="365"/>
      <c r="J124" s="361"/>
      <c r="K124" s="361"/>
      <c r="L124" s="415"/>
      <c r="M124" s="361"/>
      <c r="N124" s="336"/>
    </row>
    <row r="125" spans="2:14" ht="15.75" thickBot="1">
      <c r="B125" s="370">
        <f>+B123+1</f>
        <v>68</v>
      </c>
      <c r="C125" s="371"/>
      <c r="D125" s="382" t="str">
        <f>"RATE BASE  (sum lns "&amp;B95&amp;", "&amp;B104&amp;", "&amp;B106&amp;", "&amp;B108&amp;", "&amp;B110&amp;", "&amp;B121&amp;", "&amp;B123&amp;")"</f>
        <v>RATE BASE  (sum lns 46, 53, 54, 55, 56, 66, 67)</v>
      </c>
      <c r="E125" s="361"/>
      <c r="F125" s="361"/>
      <c r="G125" s="1148">
        <f>+G121+G106+G104+G95+G123+G108+G110</f>
        <v>208040020.34851918</v>
      </c>
      <c r="H125" s="361"/>
      <c r="I125" s="361"/>
      <c r="J125" s="424"/>
      <c r="K125" s="361"/>
      <c r="L125" s="1148">
        <f>+L121+L106+L104+L95+L123+L108+L110</f>
        <v>48700628.562494569</v>
      </c>
      <c r="M125" s="361"/>
      <c r="N125" s="336"/>
    </row>
    <row r="126" spans="2:14" ht="16.5" thickTop="1">
      <c r="B126" s="345"/>
      <c r="C126" s="386"/>
      <c r="D126" s="386"/>
      <c r="E126" s="386"/>
      <c r="F126" s="386"/>
      <c r="G126" s="386"/>
      <c r="H126" s="386"/>
      <c r="I126" s="335"/>
      <c r="J126" s="335"/>
      <c r="K126" s="335"/>
      <c r="L126" s="1106"/>
      <c r="M126" s="336"/>
      <c r="N126" s="336"/>
    </row>
    <row r="127" spans="2:14">
      <c r="B127" s="438"/>
      <c r="C127" s="346"/>
      <c r="D127" s="337"/>
      <c r="E127" s="343"/>
      <c r="F127" s="343"/>
      <c r="G127" s="343"/>
      <c r="H127" s="343"/>
      <c r="I127" s="343"/>
      <c r="J127" s="343"/>
      <c r="K127" s="343"/>
      <c r="L127" s="343"/>
      <c r="M127" s="361"/>
      <c r="N127" s="336"/>
    </row>
    <row r="128" spans="2:14">
      <c r="B128" s="438"/>
      <c r="C128" s="346"/>
      <c r="D128" s="337"/>
      <c r="E128" s="343"/>
      <c r="F128" s="374" t="str">
        <f>F54</f>
        <v xml:space="preserve">AEP East Companies </v>
      </c>
      <c r="G128" s="374"/>
      <c r="H128" s="343"/>
      <c r="I128" s="343"/>
      <c r="J128" s="343"/>
      <c r="K128" s="343"/>
      <c r="L128" s="343"/>
      <c r="M128" s="439"/>
      <c r="N128" s="336"/>
    </row>
    <row r="129" spans="2:15">
      <c r="B129" s="438"/>
      <c r="C129" s="346"/>
      <c r="D129" s="337"/>
      <c r="E129" s="343"/>
      <c r="F129" s="374" t="str">
        <f>F55</f>
        <v>Transmission Cost of Service Formula Rate</v>
      </c>
      <c r="G129" s="374"/>
      <c r="H129" s="343"/>
      <c r="I129" s="343"/>
      <c r="J129" s="343"/>
      <c r="K129" s="343"/>
      <c r="L129" s="343"/>
      <c r="M129" s="439"/>
      <c r="N129" s="336"/>
    </row>
    <row r="130" spans="2:15">
      <c r="B130" s="438"/>
      <c r="C130" s="346"/>
      <c r="E130" s="343"/>
      <c r="F130" s="374" t="str">
        <f>F56</f>
        <v>Utilizing  Actual/Projected FERC Form 1 Data</v>
      </c>
      <c r="G130" s="343"/>
      <c r="H130" s="343"/>
      <c r="I130" s="343"/>
      <c r="J130" s="343"/>
      <c r="K130" s="343"/>
      <c r="L130" s="343"/>
      <c r="M130" s="396"/>
      <c r="N130" s="336"/>
    </row>
    <row r="131" spans="2:15">
      <c r="B131" s="438"/>
      <c r="C131" s="346"/>
      <c r="E131" s="343"/>
      <c r="F131" s="374"/>
      <c r="G131" s="343"/>
      <c r="H131" s="343"/>
      <c r="I131" s="343"/>
      <c r="J131" s="343"/>
      <c r="K131" s="343"/>
      <c r="L131" s="343"/>
      <c r="M131" s="361"/>
      <c r="N131" s="336"/>
    </row>
    <row r="132" spans="2:15">
      <c r="B132" s="438"/>
      <c r="C132" s="346"/>
      <c r="E132" s="440"/>
      <c r="F132" s="374" t="str">
        <f>F58</f>
        <v>KINGSPORT POWER COMPANY</v>
      </c>
      <c r="G132" s="440"/>
      <c r="H132" s="441"/>
      <c r="I132" s="440"/>
      <c r="J132" s="440"/>
      <c r="K132" s="440"/>
      <c r="M132" s="361"/>
      <c r="N132" s="336"/>
    </row>
    <row r="133" spans="2:15">
      <c r="B133" s="438"/>
      <c r="C133" s="346"/>
      <c r="E133" s="440"/>
      <c r="F133" s="374"/>
      <c r="G133" s="440"/>
      <c r="H133" s="441"/>
      <c r="I133" s="440"/>
      <c r="J133" s="440"/>
      <c r="K133" s="440"/>
      <c r="M133" s="361"/>
      <c r="N133" s="336"/>
    </row>
    <row r="134" spans="2:15">
      <c r="B134" s="438"/>
      <c r="D134" s="346" t="s">
        <v>123</v>
      </c>
      <c r="E134" s="346" t="s">
        <v>124</v>
      </c>
      <c r="F134" s="346"/>
      <c r="G134" s="346" t="s">
        <v>125</v>
      </c>
      <c r="H134" s="361"/>
      <c r="I134" s="1517" t="s">
        <v>126</v>
      </c>
      <c r="J134" s="1521"/>
      <c r="K134" s="343"/>
      <c r="L134" s="347" t="s">
        <v>127</v>
      </c>
      <c r="M134" s="361"/>
      <c r="N134" s="443"/>
    </row>
    <row r="135" spans="2:15" ht="15.75">
      <c r="B135" s="438"/>
      <c r="D135" s="346"/>
      <c r="E135" s="346"/>
      <c r="F135" s="346"/>
      <c r="G135" s="346"/>
      <c r="H135" s="361"/>
      <c r="I135" s="343"/>
      <c r="J135" s="398"/>
      <c r="K135" s="343"/>
      <c r="M135" s="361"/>
      <c r="N135" s="444"/>
      <c r="O135" s="445"/>
    </row>
    <row r="136" spans="2:15" ht="15.75">
      <c r="B136" s="438"/>
      <c r="C136" s="346"/>
      <c r="D136" s="446" t="s">
        <v>102</v>
      </c>
      <c r="E136" s="400" t="str">
        <f>E62</f>
        <v>Data Sources</v>
      </c>
      <c r="F136" s="401"/>
      <c r="G136" s="343"/>
      <c r="H136" s="361"/>
      <c r="I136" s="343"/>
      <c r="J136" s="346"/>
      <c r="K136" s="343"/>
      <c r="L136" s="400" t="str">
        <f>L62</f>
        <v>Total</v>
      </c>
      <c r="M136" s="336"/>
      <c r="N136" s="444"/>
      <c r="O136" s="445"/>
    </row>
    <row r="137" spans="2:15" ht="15.75">
      <c r="B137" s="438"/>
      <c r="C137" s="353"/>
      <c r="D137" s="403" t="s">
        <v>103</v>
      </c>
      <c r="E137" s="447" t="str">
        <f>E63</f>
        <v>(See "General Notes")</v>
      </c>
      <c r="F137" s="343"/>
      <c r="G137" s="447" t="str">
        <f>G63</f>
        <v>TO Total</v>
      </c>
      <c r="H137" s="448"/>
      <c r="I137" s="1519" t="str">
        <f>I63</f>
        <v>Allocator</v>
      </c>
      <c r="J137" s="1520"/>
      <c r="K137" s="405"/>
      <c r="L137" s="447" t="str">
        <f>L63</f>
        <v>Transmission</v>
      </c>
      <c r="M137" s="361"/>
      <c r="N137" s="444"/>
      <c r="O137" s="445"/>
    </row>
    <row r="138" spans="2:15" ht="15.75">
      <c r="B138" s="345" t="str">
        <f>B64</f>
        <v>Line</v>
      </c>
      <c r="D138" s="337"/>
      <c r="E138" s="343"/>
      <c r="F138" s="343"/>
      <c r="G138" s="403"/>
      <c r="H138" s="449"/>
      <c r="I138" s="446"/>
      <c r="K138" s="450"/>
      <c r="L138" s="403"/>
      <c r="M138" s="361"/>
      <c r="N138" s="336"/>
    </row>
    <row r="139" spans="2:15">
      <c r="B139" s="345" t="str">
        <f>B65</f>
        <v>No.</v>
      </c>
      <c r="C139" s="346"/>
      <c r="D139" s="337" t="s">
        <v>104</v>
      </c>
      <c r="E139" s="343"/>
      <c r="F139" s="343"/>
      <c r="G139" s="343"/>
      <c r="H139" s="361"/>
      <c r="I139" s="374"/>
      <c r="J139" s="343"/>
      <c r="K139" s="343"/>
      <c r="L139" s="343"/>
      <c r="M139" s="361"/>
      <c r="N139" s="336"/>
    </row>
    <row r="140" spans="2:15">
      <c r="B140" s="345">
        <f>+B125+1</f>
        <v>69</v>
      </c>
      <c r="C140" s="346"/>
      <c r="D140" s="337" t="s">
        <v>128</v>
      </c>
      <c r="E140" s="343" t="s">
        <v>10</v>
      </c>
      <c r="F140" s="343"/>
      <c r="G140" s="867">
        <v>166170071</v>
      </c>
      <c r="H140" s="361"/>
      <c r="I140" s="374"/>
      <c r="J140" s="366"/>
      <c r="K140" s="343"/>
      <c r="L140" s="379"/>
      <c r="M140" s="361"/>
      <c r="N140" s="336"/>
    </row>
    <row r="141" spans="2:15">
      <c r="B141" s="345">
        <f>+B140+1</f>
        <v>70</v>
      </c>
      <c r="C141" s="346"/>
      <c r="D141" s="382" t="s">
        <v>132</v>
      </c>
      <c r="E141" s="343" t="s">
        <v>11</v>
      </c>
      <c r="F141" s="361"/>
      <c r="G141" s="867">
        <v>7767643</v>
      </c>
      <c r="H141" s="361"/>
      <c r="I141" s="374"/>
      <c r="J141" s="366"/>
      <c r="K141" s="343"/>
      <c r="L141" s="379"/>
      <c r="M141" s="361"/>
      <c r="N141" s="336"/>
    </row>
    <row r="142" spans="2:15">
      <c r="B142" s="345">
        <f t="shared" ref="B142:B147" si="6">+B141+1</f>
        <v>71</v>
      </c>
      <c r="C142" s="346"/>
      <c r="D142" s="382" t="s">
        <v>248</v>
      </c>
      <c r="E142" s="343" t="s">
        <v>204</v>
      </c>
      <c r="F142" s="361"/>
      <c r="G142" s="867">
        <f>1308754+96599+2690</f>
        <v>1408043</v>
      </c>
      <c r="H142" s="361"/>
      <c r="I142" s="365"/>
      <c r="J142" s="366"/>
      <c r="K142" s="361"/>
      <c r="L142" s="379"/>
      <c r="M142" s="361"/>
      <c r="N142" s="336"/>
    </row>
    <row r="143" spans="2:15">
      <c r="B143" s="345">
        <f t="shared" si="6"/>
        <v>72</v>
      </c>
      <c r="C143" s="346"/>
      <c r="D143" s="382" t="s">
        <v>249</v>
      </c>
      <c r="E143" s="343" t="s">
        <v>419</v>
      </c>
      <c r="F143" s="361"/>
      <c r="G143" s="867">
        <v>0</v>
      </c>
      <c r="H143" s="361"/>
      <c r="I143" s="365"/>
      <c r="J143" s="366"/>
      <c r="K143" s="361"/>
      <c r="L143" s="379"/>
      <c r="M143" s="361"/>
      <c r="N143" s="336"/>
    </row>
    <row r="144" spans="2:15" ht="15.75" thickBot="1">
      <c r="B144" s="345">
        <f t="shared" si="6"/>
        <v>73</v>
      </c>
      <c r="C144" s="346"/>
      <c r="D144" s="382" t="s">
        <v>137</v>
      </c>
      <c r="E144" s="343" t="s">
        <v>418</v>
      </c>
      <c r="F144" s="361"/>
      <c r="G144" s="868">
        <v>644231</v>
      </c>
      <c r="H144" s="379"/>
      <c r="I144" s="386"/>
      <c r="J144" s="386"/>
      <c r="K144" s="348"/>
      <c r="L144" s="348"/>
      <c r="M144" s="356"/>
      <c r="N144" s="361"/>
      <c r="O144" s="343"/>
    </row>
    <row r="145" spans="2:15">
      <c r="B145" s="345">
        <f t="shared" si="6"/>
        <v>74</v>
      </c>
      <c r="C145" s="346"/>
      <c r="D145" s="382" t="s">
        <v>250</v>
      </c>
      <c r="E145" s="361" t="str">
        <f>"(sum lns "&amp;B140&amp;"  to "&amp;B144&amp;")"</f>
        <v>(sum lns 69  to 73)</v>
      </c>
      <c r="F145" s="361"/>
      <c r="G145" s="379">
        <f>SUM(G140:G144)</f>
        <v>175989988</v>
      </c>
      <c r="H145" s="379"/>
      <c r="I145" s="386"/>
      <c r="J145" s="386"/>
      <c r="K145" s="348"/>
      <c r="L145" s="348"/>
      <c r="M145" s="356"/>
      <c r="N145" s="361"/>
      <c r="O145" s="343"/>
    </row>
    <row r="146" spans="2:15">
      <c r="B146" s="345">
        <f t="shared" si="6"/>
        <v>75</v>
      </c>
      <c r="C146" s="346"/>
      <c r="D146" s="382" t="s">
        <v>330</v>
      </c>
      <c r="E146" s="361" t="str">
        <f>"(Note G) (Worksheet F, ln "&amp;'WS F Misc Exp'!A33&amp;".C)"</f>
        <v>(Note G) (Worksheet F, ln 14.C)</v>
      </c>
      <c r="F146" s="361"/>
      <c r="G146" s="379">
        <f>'WS F Misc Exp'!D33</f>
        <v>14937.73</v>
      </c>
      <c r="H146" s="379"/>
      <c r="I146" s="386"/>
      <c r="J146" s="386"/>
      <c r="K146" s="348"/>
      <c r="L146" s="348"/>
      <c r="M146" s="356"/>
      <c r="N146" s="361"/>
      <c r="O146" s="343"/>
    </row>
    <row r="147" spans="2:15">
      <c r="B147" s="345">
        <f t="shared" si="6"/>
        <v>76</v>
      </c>
      <c r="C147" s="346"/>
      <c r="D147" s="382" t="s">
        <v>23</v>
      </c>
      <c r="E147" s="361" t="s">
        <v>101</v>
      </c>
      <c r="F147" s="361"/>
      <c r="G147" s="867">
        <v>0</v>
      </c>
      <c r="H147" s="379"/>
      <c r="I147" s="386"/>
      <c r="J147" s="386"/>
      <c r="K147" s="348"/>
      <c r="L147" s="348"/>
      <c r="M147" s="356"/>
      <c r="N147" s="361"/>
      <c r="O147" s="343"/>
    </row>
    <row r="148" spans="2:15" ht="15.75" thickBot="1">
      <c r="B148" s="345">
        <f>+B147+1</f>
        <v>77</v>
      </c>
      <c r="C148" s="371"/>
      <c r="D148" s="382" t="s">
        <v>334</v>
      </c>
      <c r="E148" s="361" t="s">
        <v>482</v>
      </c>
      <c r="F148" s="361"/>
      <c r="G148" s="415">
        <f>+'WS F Misc Exp'!D21</f>
        <v>0</v>
      </c>
      <c r="H148" s="379"/>
      <c r="I148" s="432"/>
      <c r="J148" s="432"/>
      <c r="K148" s="348"/>
      <c r="L148" s="348"/>
      <c r="M148" s="356"/>
      <c r="N148" s="361"/>
      <c r="O148" s="343"/>
    </row>
    <row r="149" spans="2:15">
      <c r="B149" s="345">
        <f>+B148+1</f>
        <v>78</v>
      </c>
      <c r="C149" s="346"/>
      <c r="D149" s="382" t="s">
        <v>386</v>
      </c>
      <c r="E149" s="343" t="str">
        <f>"(lns "&amp;B144&amp;" - "&amp;B146&amp;" - "&amp;B147&amp;" - "&amp;B148&amp;")"</f>
        <v>(lns 73 - 75 - 76 - 77)</v>
      </c>
      <c r="F149" s="382"/>
      <c r="G149" s="379">
        <f>G144-G146-G147-G148</f>
        <v>629293.27</v>
      </c>
      <c r="H149" s="361"/>
      <c r="I149" s="374" t="s">
        <v>122</v>
      </c>
      <c r="J149" s="366">
        <f>L231</f>
        <v>0.99999367853026411</v>
      </c>
      <c r="K149" s="361"/>
      <c r="L149" s="379">
        <f>+J149*G149</f>
        <v>629289.29194163869</v>
      </c>
      <c r="M149" s="356"/>
      <c r="N149" s="361"/>
      <c r="O149" s="343"/>
    </row>
    <row r="150" spans="2:15">
      <c r="B150" s="345"/>
      <c r="C150" s="346"/>
      <c r="D150" s="382"/>
      <c r="E150" s="361"/>
      <c r="F150" s="361"/>
      <c r="G150" s="451"/>
      <c r="H150" s="379"/>
      <c r="I150" s="386"/>
      <c r="J150" s="386"/>
      <c r="K150" s="348"/>
      <c r="L150" s="348"/>
      <c r="M150" s="356"/>
      <c r="N150" s="361"/>
      <c r="O150" s="343"/>
    </row>
    <row r="151" spans="2:15">
      <c r="B151" s="345">
        <f>+B149+1</f>
        <v>79</v>
      </c>
      <c r="C151" s="346"/>
      <c r="D151" s="337" t="s">
        <v>105</v>
      </c>
      <c r="E151" s="361" t="s">
        <v>748</v>
      </c>
      <c r="F151" s="361"/>
      <c r="G151" s="867">
        <v>3445972</v>
      </c>
      <c r="H151" s="379"/>
      <c r="I151" s="427"/>
      <c r="J151" s="427"/>
      <c r="K151" s="343"/>
      <c r="L151" s="426"/>
      <c r="M151" s="361"/>
      <c r="N151" s="361"/>
      <c r="O151" s="343"/>
    </row>
    <row r="152" spans="2:15">
      <c r="B152" s="345">
        <f t="shared" ref="B152:B165" si="7">+B151+1</f>
        <v>80</v>
      </c>
      <c r="C152" s="346"/>
      <c r="D152" s="382" t="s">
        <v>332</v>
      </c>
      <c r="E152" s="343" t="s">
        <v>420</v>
      </c>
      <c r="F152" s="343"/>
      <c r="G152" s="867">
        <v>69427</v>
      </c>
      <c r="H152" s="379"/>
      <c r="I152" s="427"/>
      <c r="J152" s="337"/>
      <c r="K152" s="343"/>
      <c r="L152" s="426"/>
      <c r="M152" s="430"/>
      <c r="N152" s="361"/>
      <c r="O152" s="343"/>
    </row>
    <row r="153" spans="2:15">
      <c r="B153" s="345">
        <f t="shared" si="7"/>
        <v>81</v>
      </c>
      <c r="C153" s="346"/>
      <c r="D153" s="1265" t="s">
        <v>855</v>
      </c>
      <c r="E153" s="361" t="str">
        <f>"PBOP Worksheet O Line "&amp;'WS O - PBOP'!A37&amp;" &amp; "&amp;'WS O - PBOP'!A39&amp;", (Note K)"</f>
        <v>PBOP Worksheet O Line 9 &amp; 10, (Note K)</v>
      </c>
      <c r="F153" s="343"/>
      <c r="G153" s="1266">
        <f>'WS O - PBOP'!H37+'WS O - PBOP'!H39</f>
        <v>-241432.00000000023</v>
      </c>
      <c r="H153" s="379"/>
      <c r="I153" s="427"/>
      <c r="J153" s="337"/>
      <c r="K153" s="343"/>
      <c r="L153" s="426"/>
      <c r="M153" s="430"/>
      <c r="N153" s="361"/>
      <c r="O153" s="343"/>
    </row>
    <row r="154" spans="2:15">
      <c r="B154" s="345">
        <f t="shared" si="7"/>
        <v>82</v>
      </c>
      <c r="C154" s="346"/>
      <c r="D154" s="382" t="s">
        <v>856</v>
      </c>
      <c r="E154" s="361" t="str">
        <f>"PBOP Worksheet O  Line "&amp;'WS O - PBOP'!A41&amp;", (Note K)"</f>
        <v>PBOP Worksheet O  Line 11, (Note K)</v>
      </c>
      <c r="F154" s="343"/>
      <c r="G154" s="1266">
        <f>'WS O - PBOP'!H41</f>
        <v>0</v>
      </c>
      <c r="H154" s="379"/>
      <c r="I154" s="427"/>
      <c r="J154" s="337"/>
      <c r="K154" s="343"/>
      <c r="L154" s="426"/>
      <c r="M154" s="430"/>
      <c r="N154" s="361"/>
      <c r="O154" s="343"/>
    </row>
    <row r="155" spans="2:15">
      <c r="B155" s="345">
        <f t="shared" si="7"/>
        <v>83</v>
      </c>
      <c r="C155" s="346"/>
      <c r="D155" s="382" t="s">
        <v>857</v>
      </c>
      <c r="E155" s="361" t="str">
        <f>"PBOP Worksheet O Line "&amp;'WS O - PBOP'!A45&amp;", (Note K)"</f>
        <v>PBOP Worksheet O Line 13, (Note K)</v>
      </c>
      <c r="F155" s="343"/>
      <c r="G155" s="1266">
        <f>'WS O - PBOP'!H45</f>
        <v>-83685.276166547861</v>
      </c>
      <c r="H155" s="379"/>
      <c r="I155" s="427"/>
      <c r="J155" s="337"/>
      <c r="K155" s="343"/>
      <c r="L155" s="426"/>
      <c r="M155" s="430"/>
      <c r="N155" s="361"/>
      <c r="O155" s="343"/>
    </row>
    <row r="156" spans="2:15">
      <c r="B156" s="345">
        <f t="shared" si="7"/>
        <v>84</v>
      </c>
      <c r="C156" s="346"/>
      <c r="D156" s="337" t="s">
        <v>331</v>
      </c>
      <c r="E156" s="343" t="s">
        <v>97</v>
      </c>
      <c r="F156" s="361"/>
      <c r="G156" s="867">
        <v>1264851</v>
      </c>
      <c r="H156" s="379"/>
      <c r="I156" s="427"/>
      <c r="J156" s="452"/>
      <c r="K156" s="343"/>
      <c r="L156" s="426"/>
      <c r="M156" s="361"/>
      <c r="N156" s="361"/>
      <c r="O156" s="343"/>
    </row>
    <row r="157" spans="2:15">
      <c r="B157" s="345">
        <f t="shared" si="7"/>
        <v>85</v>
      </c>
      <c r="C157" s="346"/>
      <c r="D157" s="382" t="s">
        <v>109</v>
      </c>
      <c r="E157" s="343" t="s">
        <v>98</v>
      </c>
      <c r="F157" s="361"/>
      <c r="G157" s="867">
        <v>1414</v>
      </c>
      <c r="H157" s="379"/>
      <c r="I157" s="427"/>
      <c r="J157" s="427"/>
      <c r="K157" s="343"/>
      <c r="L157" s="426"/>
      <c r="M157" s="361"/>
      <c r="N157" s="361"/>
      <c r="O157" s="343"/>
    </row>
    <row r="158" spans="2:15" ht="15.75" thickBot="1">
      <c r="B158" s="345">
        <f t="shared" si="7"/>
        <v>86</v>
      </c>
      <c r="C158" s="346"/>
      <c r="D158" s="382" t="s">
        <v>333</v>
      </c>
      <c r="E158" s="343" t="s">
        <v>99</v>
      </c>
      <c r="F158" s="361"/>
      <c r="G158" s="868">
        <v>253268</v>
      </c>
      <c r="H158" s="379"/>
      <c r="I158" s="427"/>
      <c r="J158" s="427"/>
      <c r="K158" s="343"/>
      <c r="L158" s="426"/>
      <c r="M158" s="361"/>
      <c r="N158" s="361"/>
      <c r="O158" s="343"/>
    </row>
    <row r="159" spans="2:15">
      <c r="B159" s="345">
        <f t="shared" si="7"/>
        <v>87</v>
      </c>
      <c r="C159" s="346"/>
      <c r="D159" s="337" t="s">
        <v>110</v>
      </c>
      <c r="E159" s="361" t="str">
        <f>"(ln "&amp;B151&amp;" - sum ln "&amp;B152&amp;"  to ln "&amp;B158&amp;")"</f>
        <v>(ln 79 - sum ln 80  to ln 86)</v>
      </c>
      <c r="F159" s="361"/>
      <c r="G159" s="379">
        <f>G151-SUM(G152:G158)</f>
        <v>2182129.276166548</v>
      </c>
      <c r="H159" s="379"/>
      <c r="I159" s="374" t="s">
        <v>134</v>
      </c>
      <c r="J159" s="366">
        <f>L241</f>
        <v>8.299430354565529E-2</v>
      </c>
      <c r="K159" s="343"/>
      <c r="L159" s="426">
        <f>+J159*G159</f>
        <v>181104.29952202755</v>
      </c>
      <c r="M159" s="361"/>
      <c r="N159" s="361"/>
      <c r="O159" s="343"/>
    </row>
    <row r="160" spans="2:15">
      <c r="B160" s="345">
        <f t="shared" si="7"/>
        <v>88</v>
      </c>
      <c r="C160" s="371"/>
      <c r="D160" s="382" t="s">
        <v>199</v>
      </c>
      <c r="E160" s="361" t="str">
        <f>"(ln "&amp;B152&amp;")"</f>
        <v>(ln 80)</v>
      </c>
      <c r="F160" s="361"/>
      <c r="G160" s="379">
        <f>+G152</f>
        <v>69427</v>
      </c>
      <c r="H160" s="379"/>
      <c r="I160" s="374" t="s">
        <v>757</v>
      </c>
      <c r="J160" s="366">
        <f>J75</f>
        <v>0.19075927731221903</v>
      </c>
      <c r="K160" s="361"/>
      <c r="L160" s="379">
        <f>+J160*G160</f>
        <v>13243.844345955431</v>
      </c>
      <c r="M160" s="361"/>
      <c r="N160" s="361"/>
      <c r="O160" s="343"/>
    </row>
    <row r="161" spans="2:15">
      <c r="B161" s="345">
        <f t="shared" si="7"/>
        <v>89</v>
      </c>
      <c r="C161" s="346"/>
      <c r="D161" s="382" t="s">
        <v>232</v>
      </c>
      <c r="E161" s="361" t="str">
        <f>"Worksheet F ln "&amp;'WS F Misc Exp'!A42&amp;".(E) (Note L)"</f>
        <v>Worksheet F ln 20.(E) (Note L)</v>
      </c>
      <c r="F161" s="361"/>
      <c r="G161" s="379">
        <f>+'WS F Misc Exp'!F42</f>
        <v>2187.91</v>
      </c>
      <c r="H161" s="379"/>
      <c r="I161" s="374" t="s">
        <v>122</v>
      </c>
      <c r="J161" s="366">
        <f>L231</f>
        <v>0.99999367853026411</v>
      </c>
      <c r="K161" s="343"/>
      <c r="L161" s="426">
        <f>J161*G161</f>
        <v>2187.8961691931499</v>
      </c>
      <c r="M161" s="361"/>
      <c r="N161" s="361"/>
      <c r="O161" s="343"/>
    </row>
    <row r="162" spans="2:15">
      <c r="B162" s="345">
        <f t="shared" si="7"/>
        <v>90</v>
      </c>
      <c r="C162" s="346"/>
      <c r="D162" s="382" t="s">
        <v>242</v>
      </c>
      <c r="E162" s="361" t="str">
        <f>"Worksheet F ln "&amp;'WS F Misc Exp'!A52&amp;".(E) (Note L)"</f>
        <v>Worksheet F ln 27.(E) (Note L)</v>
      </c>
      <c r="F162" s="361"/>
      <c r="G162" s="364">
        <f>+'WS F Misc Exp'!F52</f>
        <v>4.42</v>
      </c>
      <c r="H162" s="361"/>
      <c r="I162" s="365" t="s">
        <v>122</v>
      </c>
      <c r="J162" s="366">
        <f>L231</f>
        <v>0.99999367853026411</v>
      </c>
      <c r="K162" s="343"/>
      <c r="L162" s="426">
        <f>+J162*G162</f>
        <v>4.4199720591037677</v>
      </c>
      <c r="M162" s="361"/>
      <c r="N162" s="361"/>
      <c r="O162" s="343"/>
    </row>
    <row r="163" spans="2:15">
      <c r="B163" s="345">
        <f t="shared" si="7"/>
        <v>91</v>
      </c>
      <c r="C163" s="346"/>
      <c r="D163" s="382" t="s">
        <v>243</v>
      </c>
      <c r="E163" s="361" t="str">
        <f>"Worksheet F ln "&amp;'WS F Misc Exp'!A62&amp;".(E) (Note L)"</f>
        <v>Worksheet F ln 34.(E) (Note L)</v>
      </c>
      <c r="F163" s="361"/>
      <c r="G163" s="364">
        <f>+'WS F Misc Exp'!F62</f>
        <v>195088.78700000001</v>
      </c>
      <c r="H163" s="453"/>
      <c r="I163" s="365" t="s">
        <v>131</v>
      </c>
      <c r="J163" s="366">
        <v>1</v>
      </c>
      <c r="K163" s="343"/>
      <c r="L163" s="454">
        <f>+J163*G163</f>
        <v>195088.78700000001</v>
      </c>
      <c r="M163" s="361"/>
      <c r="N163" s="361"/>
      <c r="O163" s="343"/>
    </row>
    <row r="164" spans="2:15">
      <c r="B164" s="345">
        <f t="shared" si="7"/>
        <v>92</v>
      </c>
      <c r="C164" s="346"/>
      <c r="D164" s="382" t="s">
        <v>858</v>
      </c>
      <c r="E164" s="361" t="s">
        <v>860</v>
      </c>
      <c r="F164" s="361"/>
      <c r="G164" s="1293">
        <f>'WS O - PBOP'!E25</f>
        <v>440067</v>
      </c>
      <c r="H164" s="453"/>
      <c r="I164" s="374" t="s">
        <v>134</v>
      </c>
      <c r="J164" s="366">
        <f>L241</f>
        <v>8.299430354565529E-2</v>
      </c>
      <c r="K164" s="343"/>
      <c r="L164" s="483">
        <f>+J164*G164</f>
        <v>36523.054178425889</v>
      </c>
      <c r="M164" s="361"/>
      <c r="N164" s="361"/>
      <c r="O164" s="343"/>
    </row>
    <row r="165" spans="2:15">
      <c r="B165" s="345">
        <f t="shared" si="7"/>
        <v>93</v>
      </c>
      <c r="C165" s="346"/>
      <c r="D165" s="337" t="s">
        <v>111</v>
      </c>
      <c r="E165" s="361" t="str">
        <f>"(sum lns "&amp;B159&amp;"  to "&amp;B164&amp;")"</f>
        <v>(sum lns 87  to 92)</v>
      </c>
      <c r="F165" s="361"/>
      <c r="G165" s="426">
        <f>SUM(G159:G164)</f>
        <v>2888904.3931665481</v>
      </c>
      <c r="H165" s="379"/>
      <c r="I165" s="374"/>
      <c r="J165" s="427"/>
      <c r="K165" s="343"/>
      <c r="L165" s="426">
        <f>SUM(L159:L164)</f>
        <v>428152.30118766113</v>
      </c>
      <c r="M165" s="361"/>
      <c r="N165" s="379"/>
      <c r="O165" s="343"/>
    </row>
    <row r="166" spans="2:15" ht="15.75" thickBot="1">
      <c r="B166" s="345"/>
      <c r="C166" s="346"/>
      <c r="D166" s="382"/>
      <c r="E166" s="361"/>
      <c r="F166" s="361"/>
      <c r="G166" s="415"/>
      <c r="H166" s="361"/>
      <c r="I166" s="374"/>
      <c r="J166" s="427"/>
      <c r="K166" s="343"/>
      <c r="L166" s="436"/>
      <c r="M166" s="361"/>
      <c r="N166" s="361"/>
      <c r="O166" s="343"/>
    </row>
    <row r="167" spans="2:15">
      <c r="B167" s="345">
        <f>+B165+1</f>
        <v>94</v>
      </c>
      <c r="C167" s="371"/>
      <c r="D167" s="382" t="s">
        <v>416</v>
      </c>
      <c r="E167" s="361" t="str">
        <f>"(ln "&amp;B149&amp;" + ln "&amp;B165&amp;")"</f>
        <v>(ln 78 + ln 93)</v>
      </c>
      <c r="F167" s="361"/>
      <c r="G167" s="379">
        <f>+G149+G165</f>
        <v>3518197.6631665481</v>
      </c>
      <c r="H167" s="379"/>
      <c r="I167" s="365"/>
      <c r="J167" s="361"/>
      <c r="K167" s="361"/>
      <c r="L167" s="379">
        <f>L149+L165</f>
        <v>1057441.5931292998</v>
      </c>
      <c r="M167" s="361"/>
      <c r="N167" s="361"/>
      <c r="O167" s="343"/>
    </row>
    <row r="168" spans="2:15" ht="15.75" thickBot="1">
      <c r="B168" s="345">
        <f>+B167+1</f>
        <v>95</v>
      </c>
      <c r="C168" s="371"/>
      <c r="D168" s="382" t="s">
        <v>488</v>
      </c>
      <c r="E168" s="382"/>
      <c r="F168" s="361"/>
      <c r="G168" s="868">
        <v>0</v>
      </c>
      <c r="H168" s="379"/>
      <c r="I168" s="374" t="s">
        <v>131</v>
      </c>
      <c r="J168" s="366">
        <v>1</v>
      </c>
      <c r="K168" s="361"/>
      <c r="L168" s="436">
        <f>J168*G168</f>
        <v>0</v>
      </c>
      <c r="M168" s="361"/>
      <c r="N168" s="361"/>
      <c r="O168" s="343"/>
    </row>
    <row r="169" spans="2:15">
      <c r="B169" s="345">
        <f>+B168+1</f>
        <v>96</v>
      </c>
      <c r="C169" s="346"/>
      <c r="D169" s="382" t="s">
        <v>112</v>
      </c>
      <c r="E169" s="361" t="str">
        <f>"(ln "&amp;B167&amp;" + ln "&amp;B168&amp;")"</f>
        <v>(ln 94 + ln 95)</v>
      </c>
      <c r="F169" s="361"/>
      <c r="G169" s="379">
        <f>+G167+G168</f>
        <v>3518197.6631665481</v>
      </c>
      <c r="H169" s="379"/>
      <c r="I169" s="365"/>
      <c r="J169" s="361"/>
      <c r="K169" s="361"/>
      <c r="L169" s="379">
        <f>+L167+L168</f>
        <v>1057441.5931292998</v>
      </c>
      <c r="M169" s="361"/>
      <c r="N169" s="361"/>
      <c r="O169" s="343"/>
    </row>
    <row r="170" spans="2:15">
      <c r="B170" s="345"/>
      <c r="C170" s="346"/>
      <c r="D170" s="382"/>
      <c r="E170" s="343"/>
      <c r="F170" s="343"/>
      <c r="G170" s="426"/>
      <c r="H170" s="361"/>
      <c r="I170" s="343"/>
      <c r="J170" s="343"/>
      <c r="K170" s="343"/>
      <c r="L170" s="426"/>
      <c r="M170" s="361"/>
      <c r="N170" s="361"/>
      <c r="O170" s="343"/>
    </row>
    <row r="171" spans="2:15">
      <c r="B171" s="345">
        <f>+B169+1</f>
        <v>97</v>
      </c>
      <c r="C171" s="346"/>
      <c r="D171" s="407" t="s">
        <v>115</v>
      </c>
      <c r="E171" s="365"/>
      <c r="F171" s="365"/>
      <c r="G171" s="426"/>
      <c r="H171" s="361"/>
      <c r="I171" s="374"/>
      <c r="J171" s="343"/>
      <c r="K171" s="343"/>
      <c r="L171" s="426"/>
      <c r="M171" s="361"/>
      <c r="N171" s="361"/>
      <c r="O171" s="343"/>
    </row>
    <row r="172" spans="2:15">
      <c r="B172" s="345">
        <f t="shared" ref="B172:B177" si="8">+B171+1</f>
        <v>98</v>
      </c>
      <c r="C172" s="346"/>
      <c r="D172" s="337" t="s">
        <v>128</v>
      </c>
      <c r="E172" s="360" t="s">
        <v>426</v>
      </c>
      <c r="F172" s="365"/>
      <c r="G172" s="867">
        <v>0</v>
      </c>
      <c r="H172" s="361"/>
      <c r="I172" s="374" t="s">
        <v>129</v>
      </c>
      <c r="J172" s="366">
        <v>0</v>
      </c>
      <c r="K172" s="343"/>
      <c r="L172" s="379">
        <f>+G172*J172</f>
        <v>0</v>
      </c>
      <c r="M172" s="361"/>
      <c r="N172" s="361"/>
      <c r="O172" s="343"/>
    </row>
    <row r="173" spans="2:15">
      <c r="B173" s="345">
        <f t="shared" si="8"/>
        <v>99</v>
      </c>
      <c r="C173" s="346"/>
      <c r="D173" s="382" t="s">
        <v>132</v>
      </c>
      <c r="E173" s="360" t="s">
        <v>425</v>
      </c>
      <c r="F173" s="365"/>
      <c r="G173" s="867">
        <v>7840086</v>
      </c>
      <c r="H173" s="361"/>
      <c r="I173" s="374" t="s">
        <v>129</v>
      </c>
      <c r="J173" s="366">
        <v>0</v>
      </c>
      <c r="K173" s="343"/>
      <c r="L173" s="379">
        <f>+G173*J173</f>
        <v>0</v>
      </c>
      <c r="M173" s="361"/>
      <c r="N173" s="361"/>
      <c r="O173" s="343"/>
    </row>
    <row r="174" spans="2:15">
      <c r="B174" s="345">
        <f t="shared" si="8"/>
        <v>100</v>
      </c>
      <c r="C174" s="346"/>
      <c r="D174" s="409" t="str">
        <f>+D144</f>
        <v xml:space="preserve">  Transmission </v>
      </c>
      <c r="E174" s="360" t="s">
        <v>421</v>
      </c>
      <c r="F174" s="455"/>
      <c r="G174" s="867">
        <v>1494962</v>
      </c>
      <c r="H174" s="456"/>
      <c r="I174" s="457" t="s">
        <v>26</v>
      </c>
      <c r="J174" s="366">
        <f>J80</f>
        <v>1</v>
      </c>
      <c r="K174" s="458"/>
      <c r="L174" s="459">
        <f>J174*G174</f>
        <v>1494962</v>
      </c>
      <c r="M174" s="412"/>
      <c r="N174" s="361"/>
      <c r="O174" s="343"/>
    </row>
    <row r="175" spans="2:15">
      <c r="B175" s="345">
        <f>+B174+1</f>
        <v>101</v>
      </c>
      <c r="C175" s="346"/>
      <c r="D175" s="407" t="s">
        <v>138</v>
      </c>
      <c r="E175" s="455" t="s">
        <v>422</v>
      </c>
      <c r="F175" s="343"/>
      <c r="G175" s="867">
        <v>449268</v>
      </c>
      <c r="H175" s="379"/>
      <c r="I175" s="374" t="s">
        <v>134</v>
      </c>
      <c r="J175" s="366">
        <f>L241</f>
        <v>8.299430354565529E-2</v>
      </c>
      <c r="K175" s="343"/>
      <c r="L175" s="426">
        <f>+J175*G175</f>
        <v>37286.684765349462</v>
      </c>
      <c r="M175" s="361"/>
      <c r="N175" s="361"/>
      <c r="O175" s="343"/>
    </row>
    <row r="176" spans="2:15" ht="15.75" thickBot="1">
      <c r="B176" s="345">
        <f t="shared" si="8"/>
        <v>102</v>
      </c>
      <c r="C176" s="346"/>
      <c r="D176" s="407" t="s">
        <v>139</v>
      </c>
      <c r="E176" s="410" t="s">
        <v>423</v>
      </c>
      <c r="F176" s="361"/>
      <c r="G176" s="868">
        <v>1487874</v>
      </c>
      <c r="H176" s="379"/>
      <c r="I176" s="374" t="s">
        <v>134</v>
      </c>
      <c r="J176" s="366">
        <f>L241</f>
        <v>8.299430354565529E-2</v>
      </c>
      <c r="K176" s="343"/>
      <c r="L176" s="436">
        <f>+J176*G176</f>
        <v>123485.06639368832</v>
      </c>
      <c r="M176" s="361"/>
      <c r="N176" s="361"/>
      <c r="O176" s="343"/>
    </row>
    <row r="177" spans="2:15">
      <c r="B177" s="345">
        <f t="shared" si="8"/>
        <v>103</v>
      </c>
      <c r="C177" s="346"/>
      <c r="D177" s="407" t="s">
        <v>303</v>
      </c>
      <c r="E177" s="1514" t="str">
        <f>"(Ln "&amp;B172&amp;"+"&amp;B173&amp;"+
"&amp;B174&amp;"+"&amp;B175&amp;"+"&amp;B176&amp;")"</f>
        <v>(Ln 98+99+
100+101+102)</v>
      </c>
      <c r="F177" s="343"/>
      <c r="G177" s="379">
        <f>+G172+G173+G174+G175+G176</f>
        <v>11272190</v>
      </c>
      <c r="H177" s="361"/>
      <c r="I177" s="374"/>
      <c r="J177" s="343"/>
      <c r="K177" s="343"/>
      <c r="L177" s="379">
        <f>+L172+L173+L174+L175+L176</f>
        <v>1655733.7511590377</v>
      </c>
      <c r="M177" s="361"/>
      <c r="N177" s="361"/>
      <c r="O177" s="343"/>
    </row>
    <row r="178" spans="2:15">
      <c r="B178" s="345"/>
      <c r="C178" s="346"/>
      <c r="D178" s="407"/>
      <c r="E178" s="1515"/>
      <c r="F178" s="343"/>
      <c r="G178" s="426"/>
      <c r="H178" s="361"/>
      <c r="I178" s="374"/>
      <c r="J178" s="343"/>
      <c r="K178" s="343"/>
      <c r="L178" s="426"/>
      <c r="M178" s="361"/>
      <c r="N178" s="361"/>
      <c r="O178" s="343"/>
    </row>
    <row r="179" spans="2:15">
      <c r="B179" s="345">
        <f>+B177+1</f>
        <v>104</v>
      </c>
      <c r="C179" s="346"/>
      <c r="D179" s="407" t="s">
        <v>33</v>
      </c>
      <c r="E179" s="336" t="s">
        <v>424</v>
      </c>
      <c r="G179" s="426"/>
      <c r="H179" s="361"/>
      <c r="I179" s="374"/>
      <c r="J179" s="343"/>
      <c r="K179" s="343"/>
      <c r="L179" s="426"/>
      <c r="M179" s="361"/>
      <c r="N179" s="439"/>
      <c r="O179" s="343"/>
    </row>
    <row r="180" spans="2:15">
      <c r="B180" s="345">
        <f t="shared" ref="B180:B185" si="9">+B179+1</f>
        <v>105</v>
      </c>
      <c r="C180" s="346"/>
      <c r="D180" s="407" t="s">
        <v>140</v>
      </c>
      <c r="G180" s="426"/>
      <c r="H180" s="361"/>
      <c r="I180" s="374"/>
      <c r="K180" s="343"/>
      <c r="L180" s="426"/>
      <c r="M180" s="361"/>
      <c r="N180" s="361"/>
      <c r="O180" s="343"/>
    </row>
    <row r="181" spans="2:15">
      <c r="B181" s="345">
        <f t="shared" si="9"/>
        <v>106</v>
      </c>
      <c r="C181" s="346"/>
      <c r="D181" s="407" t="s">
        <v>141</v>
      </c>
      <c r="E181" s="361" t="str">
        <f>"Worksheet H ln "&amp;'WS H Other Taxes'!A43&amp;"."&amp;'WS H Other Taxes'!I10&amp;""</f>
        <v>Worksheet H ln 24.(D)</v>
      </c>
      <c r="F181" s="343"/>
      <c r="G181" s="379">
        <f>+'WS H Other Taxes'!I43</f>
        <v>222959</v>
      </c>
      <c r="H181" s="379"/>
      <c r="I181" s="374" t="s">
        <v>134</v>
      </c>
      <c r="J181" s="366">
        <f>L241</f>
        <v>8.299430354565529E-2</v>
      </c>
      <c r="K181" s="343"/>
      <c r="L181" s="426">
        <f>+J181*G181</f>
        <v>18504.326924235756</v>
      </c>
      <c r="M181" s="431"/>
      <c r="N181" s="361"/>
      <c r="O181" s="343"/>
    </row>
    <row r="182" spans="2:15">
      <c r="B182" s="345">
        <f t="shared" si="9"/>
        <v>107</v>
      </c>
      <c r="C182" s="346"/>
      <c r="D182" s="407" t="s">
        <v>142</v>
      </c>
      <c r="E182" s="361" t="s">
        <v>116</v>
      </c>
      <c r="F182" s="343"/>
      <c r="G182" s="379"/>
      <c r="H182" s="379"/>
      <c r="I182" s="374"/>
      <c r="K182" s="343"/>
      <c r="L182" s="426"/>
      <c r="M182" s="361"/>
      <c r="N182" s="361"/>
      <c r="O182" s="343"/>
    </row>
    <row r="183" spans="2:15">
      <c r="B183" s="345">
        <f t="shared" si="9"/>
        <v>108</v>
      </c>
      <c r="C183" s="371"/>
      <c r="D183" s="414" t="s">
        <v>143</v>
      </c>
      <c r="E183" s="361" t="str">
        <f>"Worksheet H ln "&amp;'WS H Other Taxes'!A43&amp;"."&amp;'WS H Other Taxes'!G10&amp;""</f>
        <v>Worksheet H ln 24.(C)</v>
      </c>
      <c r="F183" s="361"/>
      <c r="G183" s="379">
        <f>+'WS H Other Taxes'!G43</f>
        <v>862572.7899999998</v>
      </c>
      <c r="H183" s="379"/>
      <c r="I183" s="365" t="s">
        <v>131</v>
      </c>
      <c r="J183" s="366"/>
      <c r="K183" s="361"/>
      <c r="L183" s="439">
        <f>'WS H-1-Detail of Tax Amts'!I25</f>
        <v>201417.58359334513</v>
      </c>
      <c r="M183" s="460"/>
      <c r="N183" s="439"/>
      <c r="O183" s="361"/>
    </row>
    <row r="184" spans="2:15">
      <c r="B184" s="345">
        <f t="shared" si="9"/>
        <v>109</v>
      </c>
      <c r="C184" s="346"/>
      <c r="D184" s="407" t="s">
        <v>202</v>
      </c>
      <c r="E184" s="361" t="str">
        <f>"Worksheet H ln "&amp;'WS H Other Taxes'!A43&amp;"."&amp;'WS H Other Taxes'!M10&amp;""</f>
        <v>Worksheet H ln 24.(F)</v>
      </c>
      <c r="F184" s="343"/>
      <c r="G184" s="379">
        <f>+'WS H Other Taxes'!M43</f>
        <v>6650951</v>
      </c>
      <c r="H184" s="432"/>
      <c r="I184" s="374" t="s">
        <v>129</v>
      </c>
      <c r="J184" s="366">
        <v>0</v>
      </c>
      <c r="K184" s="343"/>
      <c r="L184" s="426">
        <f>+J184*G184</f>
        <v>0</v>
      </c>
      <c r="M184" s="361"/>
      <c r="N184" s="361"/>
      <c r="O184" s="343"/>
    </row>
    <row r="185" spans="2:15" ht="15.75" thickBot="1">
      <c r="B185" s="345">
        <f t="shared" si="9"/>
        <v>110</v>
      </c>
      <c r="C185" s="346"/>
      <c r="D185" s="407" t="s">
        <v>144</v>
      </c>
      <c r="E185" s="361" t="str">
        <f>"Worksheet H ln "&amp;'WS H Other Taxes'!A43&amp;"."&amp;'WS H Other Taxes'!K10&amp;""</f>
        <v>Worksheet H ln 24.(E)</v>
      </c>
      <c r="F185" s="343"/>
      <c r="G185" s="415">
        <f>+'WS H Other Taxes'!K43</f>
        <v>4282920</v>
      </c>
      <c r="H185" s="432"/>
      <c r="I185" s="374" t="s">
        <v>757</v>
      </c>
      <c r="J185" s="366">
        <f>J75</f>
        <v>0.19075927731221903</v>
      </c>
      <c r="K185" s="343"/>
      <c r="L185" s="436">
        <f>+J185*G185</f>
        <v>817006.72398604918</v>
      </c>
      <c r="M185" s="361"/>
      <c r="N185" s="361"/>
      <c r="O185" s="343"/>
    </row>
    <row r="186" spans="2:15">
      <c r="B186" s="345">
        <f>+B185+1</f>
        <v>111</v>
      </c>
      <c r="C186" s="346"/>
      <c r="D186" s="407" t="s">
        <v>34</v>
      </c>
      <c r="E186" s="373" t="str">
        <f>"(sum lns "&amp;B181&amp;" to "&amp;B185&amp;")"</f>
        <v>(sum lns 106 to 110)</v>
      </c>
      <c r="F186" s="343"/>
      <c r="G186" s="379">
        <f>SUM(G181:G185)</f>
        <v>12019402.789999999</v>
      </c>
      <c r="H186" s="361"/>
      <c r="I186" s="374"/>
      <c r="J186" s="461"/>
      <c r="K186" s="343"/>
      <c r="L186" s="426">
        <f>SUM(L181:L185)</f>
        <v>1036928.6345036301</v>
      </c>
      <c r="M186" s="361"/>
      <c r="N186" s="361"/>
      <c r="O186" s="343"/>
    </row>
    <row r="187" spans="2:15">
      <c r="B187" s="345"/>
      <c r="C187" s="346"/>
      <c r="D187" s="407"/>
      <c r="E187" s="343"/>
      <c r="F187" s="343"/>
      <c r="G187" s="343"/>
      <c r="H187" s="361"/>
      <c r="I187" s="374"/>
      <c r="J187" s="461"/>
      <c r="K187" s="343"/>
      <c r="L187" s="343"/>
      <c r="M187" s="429"/>
      <c r="N187" s="361"/>
      <c r="O187" s="343"/>
    </row>
    <row r="188" spans="2:15">
      <c r="B188" s="345">
        <f>+B186+1</f>
        <v>112</v>
      </c>
      <c r="C188" s="346"/>
      <c r="D188" s="407" t="s">
        <v>339</v>
      </c>
      <c r="E188" s="361" t="s">
        <v>427</v>
      </c>
      <c r="F188" s="462"/>
      <c r="G188" s="343"/>
      <c r="H188" s="386"/>
      <c r="I188" s="440"/>
      <c r="K188" s="343"/>
      <c r="L188" s="463"/>
      <c r="M188" s="361"/>
      <c r="N188" s="361"/>
      <c r="O188" s="343"/>
    </row>
    <row r="189" spans="2:15">
      <c r="B189" s="345">
        <f t="shared" ref="B189:B196" si="10">+B188+1</f>
        <v>113</v>
      </c>
      <c r="C189" s="346"/>
      <c r="D189" s="464" t="s">
        <v>340</v>
      </c>
      <c r="E189" s="343"/>
      <c r="F189" s="465"/>
      <c r="G189" s="466">
        <f>IF(F339&gt;0,1-(((1-F340)*(1-F339))/(1-F340*F339*F341)),0)</f>
        <v>0.26131760999999998</v>
      </c>
      <c r="H189" s="467"/>
      <c r="I189" s="467"/>
      <c r="K189" s="468"/>
      <c r="L189" s="463"/>
      <c r="M189" s="361"/>
      <c r="N189" s="361"/>
      <c r="O189" s="343"/>
    </row>
    <row r="190" spans="2:15">
      <c r="B190" s="345">
        <f t="shared" si="10"/>
        <v>114</v>
      </c>
      <c r="C190" s="346"/>
      <c r="D190" s="369" t="s">
        <v>341</v>
      </c>
      <c r="E190" s="343"/>
      <c r="F190" s="465"/>
      <c r="G190" s="466">
        <f>IF(L255&gt;0,($G189/(1-$G189))*(1-$L255/$L258),0)</f>
        <v>0.26664710540346687</v>
      </c>
      <c r="H190" s="467"/>
      <c r="I190" s="467"/>
      <c r="K190" s="468"/>
      <c r="L190" s="463"/>
      <c r="M190" s="361"/>
      <c r="N190" s="361"/>
      <c r="O190" s="343"/>
    </row>
    <row r="191" spans="2:15">
      <c r="B191" s="345">
        <f t="shared" si="10"/>
        <v>115</v>
      </c>
      <c r="C191" s="346"/>
      <c r="D191" s="414" t="str">
        <f>"       where WCLTD=(ln "&amp;B255&amp;") and WACC = (ln "&amp;B258&amp;")"</f>
        <v xml:space="preserve">       where WCLTD=(ln 154) and WACC = (ln 157)</v>
      </c>
      <c r="E191" s="361"/>
      <c r="F191" s="469"/>
      <c r="G191" s="343"/>
      <c r="H191" s="467"/>
      <c r="I191" s="467"/>
      <c r="J191" s="470"/>
      <c r="K191" s="468"/>
      <c r="L191" s="471"/>
      <c r="M191" s="361"/>
      <c r="N191" s="361"/>
      <c r="O191" s="343"/>
    </row>
    <row r="192" spans="2:15">
      <c r="B192" s="345">
        <f t="shared" si="10"/>
        <v>116</v>
      </c>
      <c r="C192" s="346"/>
      <c r="D192" s="407" t="s">
        <v>430</v>
      </c>
      <c r="E192" s="472"/>
      <c r="F192" s="465"/>
      <c r="G192" s="343"/>
      <c r="H192" s="386"/>
      <c r="I192" s="440"/>
      <c r="J192" s="470"/>
      <c r="K192" s="468"/>
      <c r="L192" s="463"/>
      <c r="M192" s="361"/>
      <c r="N192" s="361"/>
      <c r="O192" s="343"/>
    </row>
    <row r="193" spans="2:15">
      <c r="B193" s="345">
        <f t="shared" si="10"/>
        <v>117</v>
      </c>
      <c r="C193" s="346"/>
      <c r="D193" s="473" t="str">
        <f>"      GRCF=1 / (1 - T)  = (from ln "&amp;B189&amp;")"</f>
        <v xml:space="preserve">      GRCF=1 / (1 - T)  = (from ln 113)</v>
      </c>
      <c r="E193" s="462"/>
      <c r="F193" s="462"/>
      <c r="G193" s="474">
        <f>IF(G189&gt;0,1/(1-G189),0)</f>
        <v>1.3537617974079494</v>
      </c>
      <c r="H193" s="386"/>
      <c r="I193" s="391"/>
      <c r="J193" s="475"/>
      <c r="K193" s="476"/>
      <c r="L193" s="477"/>
      <c r="M193" s="361"/>
      <c r="N193" s="361"/>
      <c r="O193" s="343"/>
    </row>
    <row r="194" spans="2:15">
      <c r="B194" s="345">
        <f t="shared" si="10"/>
        <v>118</v>
      </c>
      <c r="C194" s="346"/>
      <c r="D194" s="407" t="s">
        <v>342</v>
      </c>
      <c r="E194" s="427" t="s">
        <v>506</v>
      </c>
      <c r="F194" s="462"/>
      <c r="G194" s="867">
        <v>0</v>
      </c>
      <c r="H194" s="386"/>
      <c r="I194" s="391"/>
      <c r="J194" s="478"/>
      <c r="K194" s="476"/>
      <c r="L194" s="463"/>
      <c r="M194" s="365"/>
      <c r="N194" s="361"/>
      <c r="O194" s="343"/>
    </row>
    <row r="195" spans="2:15">
      <c r="B195" s="345">
        <f t="shared" si="10"/>
        <v>119</v>
      </c>
      <c r="C195" s="346"/>
      <c r="D195" s="369" t="s">
        <v>535</v>
      </c>
      <c r="E195" s="361" t="s">
        <v>548</v>
      </c>
      <c r="F195" s="479"/>
      <c r="G195" s="1483">
        <v>-176122.48747199681</v>
      </c>
      <c r="H195" s="250"/>
      <c r="I195" s="374" t="s">
        <v>131</v>
      </c>
      <c r="J195" s="478"/>
      <c r="K195" s="1484"/>
      <c r="L195" s="1483">
        <v>-92619.487471996807</v>
      </c>
      <c r="M195" s="365"/>
      <c r="N195" s="361"/>
      <c r="O195" s="343"/>
    </row>
    <row r="196" spans="2:15">
      <c r="B196" s="345">
        <f t="shared" si="10"/>
        <v>120</v>
      </c>
      <c r="C196" s="346"/>
      <c r="D196" s="495" t="s">
        <v>747</v>
      </c>
      <c r="E196" s="361" t="s">
        <v>548</v>
      </c>
      <c r="F196" s="479"/>
      <c r="G196" s="1483">
        <v>52295.718941180006</v>
      </c>
      <c r="H196" s="250"/>
      <c r="I196" s="374" t="s">
        <v>131</v>
      </c>
      <c r="J196" s="478"/>
      <c r="K196" s="1484"/>
      <c r="L196" s="1483">
        <v>14597.812591780001</v>
      </c>
      <c r="M196" s="365"/>
      <c r="N196" s="361"/>
      <c r="O196" s="343"/>
    </row>
    <row r="197" spans="2:15">
      <c r="B197" s="345"/>
      <c r="C197" s="346"/>
      <c r="D197" s="414"/>
      <c r="E197" s="343"/>
      <c r="F197" s="465"/>
      <c r="G197" s="426"/>
      <c r="H197" s="386"/>
      <c r="I197" s="391"/>
      <c r="J197" s="480"/>
      <c r="K197" s="476"/>
      <c r="L197" s="463"/>
      <c r="M197" s="361"/>
      <c r="N197" s="361"/>
      <c r="O197" s="343"/>
    </row>
    <row r="198" spans="2:15">
      <c r="B198" s="345">
        <f>+B196+1</f>
        <v>121</v>
      </c>
      <c r="C198" s="346"/>
      <c r="D198" s="473" t="s">
        <v>343</v>
      </c>
      <c r="E198" s="479" t="str">
        <f>"(ln "&amp;B190&amp;" * ln "&amp;B205&amp;")"</f>
        <v>(ln 114 * ln 126)</v>
      </c>
      <c r="F198" s="481"/>
      <c r="G198" s="426">
        <f>+G190*G205</f>
        <v>3979937.2466153535</v>
      </c>
      <c r="H198" s="386"/>
      <c r="I198" s="391"/>
      <c r="J198" s="480"/>
      <c r="K198" s="426"/>
      <c r="L198" s="426">
        <f>+L205*G190</f>
        <v>931673.84441101982</v>
      </c>
      <c r="M198" s="361"/>
      <c r="N198" s="361"/>
      <c r="O198" s="343"/>
    </row>
    <row r="199" spans="2:15">
      <c r="B199" s="345">
        <f>+B198+1</f>
        <v>122</v>
      </c>
      <c r="C199" s="346"/>
      <c r="D199" s="495" t="s">
        <v>344</v>
      </c>
      <c r="E199" s="479" t="str">
        <f>"(ln "&amp;B193&amp;" * ln "&amp;B194&amp;")"</f>
        <v>(ln 117 * ln 118)</v>
      </c>
      <c r="F199" s="479"/>
      <c r="G199" s="454">
        <f>G193*G194</f>
        <v>0</v>
      </c>
      <c r="H199" s="386"/>
      <c r="I199" s="365" t="s">
        <v>757</v>
      </c>
      <c r="J199" s="366">
        <f>J75</f>
        <v>0.19075927731221903</v>
      </c>
      <c r="K199" s="426"/>
      <c r="L199" s="454">
        <f>+G199*J199</f>
        <v>0</v>
      </c>
      <c r="M199" s="361"/>
      <c r="N199" s="361"/>
      <c r="O199" s="343"/>
    </row>
    <row r="200" spans="2:15">
      <c r="B200" s="345">
        <f>B199+1</f>
        <v>123</v>
      </c>
      <c r="C200" s="346"/>
      <c r="D200" s="495" t="s">
        <v>535</v>
      </c>
      <c r="E200" s="479" t="str">
        <f>"(ln "&amp;B193&amp;" * ln "&amp;B195&amp;")"</f>
        <v>(ln 117 * ln 119)</v>
      </c>
      <c r="F200" s="479"/>
      <c r="G200" s="454">
        <f>G195*G193</f>
        <v>-238427.89520404945</v>
      </c>
      <c r="H200" s="386"/>
      <c r="I200" s="482"/>
      <c r="J200" s="366"/>
      <c r="K200" s="426"/>
      <c r="L200" s="454">
        <f>L195*G193</f>
        <v>-125384.72383509345</v>
      </c>
      <c r="M200" s="361"/>
      <c r="N200" s="361"/>
      <c r="O200" s="343"/>
    </row>
    <row r="201" spans="2:15">
      <c r="B201" s="345">
        <f>B200+1</f>
        <v>124</v>
      </c>
      <c r="C201" s="346"/>
      <c r="D201" s="495" t="s">
        <v>747</v>
      </c>
      <c r="E201" s="479" t="str">
        <f>"(ln "&amp;B193&amp;" * ln "&amp;B196&amp;")"</f>
        <v>(ln 117 * ln 120)</v>
      </c>
      <c r="F201" s="479"/>
      <c r="G201" s="483">
        <f>G196*G193</f>
        <v>70795.946470552793</v>
      </c>
      <c r="H201" s="386"/>
      <c r="I201" s="482"/>
      <c r="J201" s="366"/>
      <c r="K201" s="426"/>
      <c r="L201" s="483">
        <f>L196*G193</f>
        <v>19761.96101247249</v>
      </c>
      <c r="M201" s="361"/>
      <c r="N201" s="361"/>
      <c r="O201" s="343"/>
    </row>
    <row r="202" spans="2:15">
      <c r="B202" s="345"/>
      <c r="C202" s="346"/>
      <c r="D202" s="369"/>
      <c r="E202" s="479"/>
      <c r="F202" s="479"/>
      <c r="G202" s="454"/>
      <c r="H202" s="386"/>
      <c r="I202" s="482"/>
      <c r="J202" s="366"/>
      <c r="K202" s="426"/>
      <c r="L202" s="454"/>
      <c r="M202" s="361"/>
      <c r="N202" s="361"/>
      <c r="O202" s="343"/>
    </row>
    <row r="203" spans="2:15">
      <c r="B203" s="345">
        <f>+B201+1</f>
        <v>125</v>
      </c>
      <c r="C203" s="346"/>
      <c r="D203" s="464" t="s">
        <v>36</v>
      </c>
      <c r="E203" s="343" t="str">
        <f>"(sum lns "&amp;B198&amp;" to "&amp;B201&amp;")"</f>
        <v>(sum lns 121 to 124)</v>
      </c>
      <c r="F203" s="479"/>
      <c r="G203" s="393">
        <f>SUM(G198:G201)</f>
        <v>3812305.2978818566</v>
      </c>
      <c r="H203" s="386"/>
      <c r="I203" s="391" t="s">
        <v>116</v>
      </c>
      <c r="J203" s="484"/>
      <c r="K203" s="426"/>
      <c r="L203" s="393">
        <f>SUM(L198:L201)</f>
        <v>826051.0815883989</v>
      </c>
      <c r="M203" s="361"/>
      <c r="N203" s="361"/>
      <c r="O203" s="343"/>
    </row>
    <row r="204" spans="2:15">
      <c r="B204" s="345"/>
      <c r="C204" s="346"/>
      <c r="D204" s="407"/>
      <c r="E204" s="343"/>
      <c r="F204" s="343"/>
      <c r="G204" s="343"/>
      <c r="H204" s="361"/>
      <c r="I204" s="374"/>
      <c r="J204" s="461"/>
      <c r="K204" s="343"/>
      <c r="L204" s="343"/>
      <c r="M204" s="361"/>
      <c r="N204" s="361"/>
      <c r="O204" s="343"/>
    </row>
    <row r="205" spans="2:15">
      <c r="B205" s="345">
        <f>+B203+1</f>
        <v>126</v>
      </c>
      <c r="C205" s="346"/>
      <c r="D205" s="473" t="s">
        <v>201</v>
      </c>
      <c r="E205" s="473" t="str">
        <f>"(ln "&amp;B125&amp;" * ln "&amp;B258&amp;")"</f>
        <v>(ln 68 * ln 157)</v>
      </c>
      <c r="F205" s="437"/>
      <c r="G205" s="426">
        <f>+$L258*G125</f>
        <v>14925859.55730989</v>
      </c>
      <c r="H205" s="361"/>
      <c r="I205" s="391"/>
      <c r="J205" s="426"/>
      <c r="K205" s="426"/>
      <c r="L205" s="426">
        <f>+L258*L125</f>
        <v>3494033.2204292757</v>
      </c>
      <c r="M205" s="361"/>
      <c r="N205" s="485"/>
      <c r="O205" s="463"/>
    </row>
    <row r="206" spans="2:15">
      <c r="B206" s="345"/>
      <c r="C206" s="346"/>
      <c r="D206" s="464"/>
      <c r="G206" s="426"/>
      <c r="H206" s="426"/>
      <c r="I206" s="391"/>
      <c r="J206" s="391"/>
      <c r="K206" s="426"/>
      <c r="L206" s="426"/>
      <c r="M206" s="361"/>
      <c r="N206" s="336"/>
    </row>
    <row r="207" spans="2:15">
      <c r="B207" s="345">
        <f>+B205+1</f>
        <v>127</v>
      </c>
      <c r="C207" s="346"/>
      <c r="D207" s="486" t="s">
        <v>100</v>
      </c>
      <c r="F207" s="455"/>
      <c r="G207" s="379">
        <f>-'WS D IPP Credits'!C13</f>
        <v>0</v>
      </c>
      <c r="H207" s="379"/>
      <c r="I207" s="435" t="s">
        <v>131</v>
      </c>
      <c r="J207" s="366">
        <v>1</v>
      </c>
      <c r="K207" s="459"/>
      <c r="L207" s="426">
        <f>+J207*G207</f>
        <v>0</v>
      </c>
      <c r="M207" s="412"/>
      <c r="N207" s="336"/>
    </row>
    <row r="208" spans="2:15">
      <c r="B208" s="345"/>
      <c r="C208" s="346"/>
      <c r="D208" s="486"/>
      <c r="F208" s="455"/>
      <c r="G208" s="379"/>
      <c r="H208" s="379"/>
      <c r="I208" s="435"/>
      <c r="J208" s="366"/>
      <c r="K208" s="459"/>
      <c r="L208" s="426"/>
      <c r="M208" s="412"/>
      <c r="N208" s="336"/>
    </row>
    <row r="209" spans="2:15">
      <c r="B209" s="345">
        <f>+B207+1</f>
        <v>128</v>
      </c>
      <c r="C209" s="346"/>
      <c r="D209" s="486"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36"/>
      <c r="F209" s="410"/>
      <c r="G209" s="379">
        <f>+'WS N - Sale of Plant Held'!O33</f>
        <v>0</v>
      </c>
      <c r="H209" s="379"/>
      <c r="I209" s="487"/>
      <c r="J209" s="366"/>
      <c r="K209" s="413"/>
      <c r="L209" s="379">
        <f>'WS N - Sale of Plant Held'!S33</f>
        <v>0</v>
      </c>
      <c r="M209" s="412"/>
      <c r="N209" s="336"/>
    </row>
    <row r="210" spans="2:15">
      <c r="B210" s="345"/>
      <c r="C210" s="346"/>
      <c r="D210" s="486"/>
      <c r="E210" s="336"/>
      <c r="F210" s="410"/>
      <c r="G210" s="379"/>
      <c r="H210" s="379"/>
      <c r="I210" s="487"/>
      <c r="J210" s="366"/>
      <c r="K210" s="413"/>
      <c r="L210" s="379"/>
      <c r="M210" s="412"/>
      <c r="N210" s="336"/>
    </row>
    <row r="211" spans="2:15">
      <c r="B211" s="345">
        <f>+B209+1</f>
        <v>129</v>
      </c>
      <c r="C211" s="346"/>
      <c r="D211" s="486" t="str">
        <f>" Tax Impact on Net Loss / (Gain) on Sales of Plant Held for Future Use (ln "&amp;B209&amp;" * ln"&amp;B190&amp;")"</f>
        <v xml:space="preserve"> Tax Impact on Net Loss / (Gain) on Sales of Plant Held for Future Use (ln 128 * ln114)</v>
      </c>
      <c r="E211" s="336"/>
      <c r="F211" s="410"/>
      <c r="G211" s="379">
        <f>-+G190*G209</f>
        <v>0</v>
      </c>
      <c r="H211" s="379"/>
      <c r="I211" s="487"/>
      <c r="J211" s="366"/>
      <c r="K211" s="413"/>
      <c r="L211" s="379">
        <f>L209*-G190</f>
        <v>0</v>
      </c>
      <c r="M211" s="412"/>
      <c r="N211" s="336"/>
    </row>
    <row r="212" spans="2:15" ht="15.75" thickBot="1">
      <c r="B212" s="345"/>
      <c r="C212" s="346"/>
      <c r="D212" s="407"/>
      <c r="G212" s="436"/>
      <c r="H212" s="488"/>
      <c r="I212" s="391"/>
      <c r="J212" s="391"/>
      <c r="K212" s="426"/>
      <c r="L212" s="436"/>
      <c r="M212" s="361"/>
      <c r="N212" s="336"/>
    </row>
    <row r="213" spans="2:15" ht="15.75" thickBot="1">
      <c r="B213" s="345">
        <f>+B211+1</f>
        <v>130</v>
      </c>
      <c r="C213" s="346"/>
      <c r="D213" s="331" t="s">
        <v>251</v>
      </c>
      <c r="G213" s="489">
        <f>+G207+G205+G203+G186+G177+G169+G209+G211</f>
        <v>45547955.308358289</v>
      </c>
      <c r="L213" s="489">
        <f>+L207+L205+L203+L186+L177+L169+L209+L211</f>
        <v>8070188.2808096418</v>
      </c>
      <c r="M213" s="361"/>
      <c r="N213" s="336"/>
    </row>
    <row r="214" spans="2:15" ht="15.75" thickTop="1">
      <c r="B214" s="345"/>
      <c r="C214" s="346"/>
      <c r="D214" s="337" t="str">
        <f>"    (sum lns "&amp;B169&amp;", "&amp;B177&amp;", "&amp;B186&amp;", "&amp;B203&amp;", "&amp;B205&amp;", "&amp;B207&amp;", "&amp;B209&amp;", "&amp;B211&amp;")"</f>
        <v xml:space="preserve">    (sum lns 96, 103, 111, 125, 126, 127, 128, 129)</v>
      </c>
      <c r="F214" s="490"/>
      <c r="M214" s="361"/>
      <c r="N214" s="336"/>
    </row>
    <row r="215" spans="2:15">
      <c r="B215" s="345"/>
      <c r="C215" s="346"/>
      <c r="F215" s="490"/>
      <c r="M215" s="361"/>
      <c r="N215" s="336"/>
    </row>
    <row r="216" spans="2:15">
      <c r="B216" s="345"/>
      <c r="C216" s="346"/>
      <c r="D216" s="337"/>
      <c r="F216" s="440" t="str">
        <f>F128</f>
        <v xml:space="preserve">AEP East Companies </v>
      </c>
      <c r="M216" s="439"/>
      <c r="N216" s="336"/>
    </row>
    <row r="217" spans="2:15">
      <c r="B217" s="345"/>
      <c r="C217" s="346"/>
      <c r="D217" s="337"/>
      <c r="F217" s="440" t="str">
        <f>F129</f>
        <v>Transmission Cost of Service Formula Rate</v>
      </c>
      <c r="M217" s="439"/>
      <c r="N217" s="336"/>
    </row>
    <row r="218" spans="2:15">
      <c r="B218" s="331"/>
      <c r="C218" s="346"/>
      <c r="F218" s="440" t="str">
        <f>F130</f>
        <v>Utilizing  Actual/Projected FERC Form 1 Data</v>
      </c>
      <c r="M218" s="396"/>
      <c r="N218" s="336"/>
    </row>
    <row r="219" spans="2:15">
      <c r="B219" s="345"/>
      <c r="C219" s="346"/>
      <c r="E219" s="440"/>
      <c r="F219" s="440"/>
      <c r="G219" s="440"/>
      <c r="H219" s="440"/>
      <c r="I219" s="440"/>
      <c r="J219" s="440"/>
      <c r="K219" s="440"/>
      <c r="M219" s="361"/>
      <c r="N219" s="336"/>
    </row>
    <row r="220" spans="2:15">
      <c r="B220" s="345"/>
      <c r="C220" s="346"/>
      <c r="E220" s="337"/>
      <c r="F220" s="440" t="str">
        <f>F132</f>
        <v>KINGSPORT POWER COMPANY</v>
      </c>
      <c r="G220" s="337"/>
      <c r="H220" s="337"/>
      <c r="I220" s="337"/>
      <c r="J220" s="337"/>
      <c r="K220" s="337"/>
      <c r="L220" s="337"/>
      <c r="M220" s="382"/>
      <c r="N220" s="336"/>
    </row>
    <row r="221" spans="2:15">
      <c r="B221" s="345"/>
      <c r="C221" s="346"/>
      <c r="E221" s="337"/>
      <c r="F221" s="440"/>
      <c r="G221" s="337"/>
      <c r="H221" s="337"/>
      <c r="I221" s="337"/>
      <c r="J221" s="337"/>
      <c r="K221" s="337"/>
      <c r="L221" s="337"/>
      <c r="M221" s="382"/>
      <c r="N221" s="336"/>
    </row>
    <row r="222" spans="2:15" ht="15.75">
      <c r="B222" s="345"/>
      <c r="C222" s="346"/>
      <c r="F222" s="446" t="s">
        <v>41</v>
      </c>
      <c r="H222" s="340"/>
      <c r="I222" s="340"/>
      <c r="J222" s="340"/>
      <c r="K222" s="340"/>
      <c r="L222" s="340"/>
      <c r="M222" s="361"/>
      <c r="N222" s="336"/>
    </row>
    <row r="223" spans="2:15" ht="15.75">
      <c r="B223" s="345"/>
      <c r="C223" s="346"/>
      <c r="D223" s="491"/>
      <c r="E223" s="340"/>
      <c r="F223" s="340"/>
      <c r="G223" s="340"/>
      <c r="H223" s="340"/>
      <c r="I223" s="340"/>
      <c r="J223" s="340"/>
      <c r="K223" s="340"/>
      <c r="L223" s="340"/>
      <c r="M223" s="361"/>
      <c r="N223" s="336"/>
    </row>
    <row r="224" spans="2:15" ht="15.75">
      <c r="B224" s="345" t="s">
        <v>118</v>
      </c>
      <c r="C224" s="346"/>
      <c r="D224" s="491"/>
      <c r="E224" s="340"/>
      <c r="F224" s="340"/>
      <c r="G224" s="340"/>
      <c r="H224" s="340"/>
      <c r="I224" s="340"/>
      <c r="J224" s="340"/>
      <c r="K224" s="340"/>
      <c r="L224" s="340"/>
      <c r="M224" s="361"/>
      <c r="N224" s="336"/>
      <c r="O224" s="336"/>
    </row>
    <row r="225" spans="2:16" ht="15.75" thickBot="1">
      <c r="B225" s="352" t="s">
        <v>119</v>
      </c>
      <c r="C225" s="353"/>
      <c r="D225" s="382" t="s">
        <v>223</v>
      </c>
      <c r="E225" s="356"/>
      <c r="F225" s="356"/>
      <c r="G225" s="356"/>
      <c r="H225" s="356"/>
      <c r="I225" s="356"/>
      <c r="J225" s="356"/>
      <c r="K225" s="336"/>
      <c r="M225" s="361"/>
      <c r="N225" s="336"/>
      <c r="O225" s="336"/>
      <c r="P225" s="348"/>
    </row>
    <row r="226" spans="2:16">
      <c r="B226" s="345">
        <f>+B213+1</f>
        <v>131</v>
      </c>
      <c r="C226" s="346"/>
      <c r="D226" s="356" t="s">
        <v>168</v>
      </c>
      <c r="E226" s="492" t="str">
        <f>"(ln "&amp;B68&amp;")"</f>
        <v>(ln 21)</v>
      </c>
      <c r="F226" s="493"/>
      <c r="H226" s="494"/>
      <c r="I226" s="494"/>
      <c r="J226" s="494"/>
      <c r="K226" s="494"/>
      <c r="L226" s="364">
        <f>+G68</f>
        <v>62390310.799999997</v>
      </c>
      <c r="M226" s="361"/>
      <c r="N226" s="336"/>
      <c r="O226" s="336"/>
      <c r="P226" s="348"/>
    </row>
    <row r="227" spans="2:16">
      <c r="B227" s="345">
        <f>+B226+1</f>
        <v>132</v>
      </c>
      <c r="C227" s="346"/>
      <c r="D227" s="356" t="str">
        <f>"  Less transmission plant excluded from PJM Tariff  (Worksheet A, ln "&amp;'WS A - RB Support'!A62&amp;", Col. "&amp;'WS A - RB Support'!E47&amp;") (Note P)"</f>
        <v xml:space="preserve">  Less transmission plant excluded from PJM Tariff  (Worksheet A, ln 42, Col. (d)) (Note P)</v>
      </c>
      <c r="E227" s="495"/>
      <c r="F227" s="495"/>
      <c r="G227" s="496"/>
      <c r="H227" s="495"/>
      <c r="I227" s="495"/>
      <c r="J227" s="495"/>
      <c r="K227" s="495"/>
      <c r="L227" s="867">
        <f>'WS A - RB Support'!E62</f>
        <v>394.3984615384565</v>
      </c>
      <c r="M227" s="361"/>
      <c r="N227" s="336"/>
      <c r="P227" s="348"/>
    </row>
    <row r="228" spans="2:16" ht="15.75" thickBot="1">
      <c r="B228" s="345">
        <f>+B227+1</f>
        <v>133</v>
      </c>
      <c r="C228" s="346"/>
      <c r="D228" s="493" t="str">
        <f>"  Less transmission plant included in OATT Ancillary Services (Worksheet A, ln "&amp;'WS A - RB Support'!A62&amp;", Col. "&amp;'WS A - RB Support'!C47&amp;")  (Note Q)"</f>
        <v xml:space="preserve">  Less transmission plant included in OATT Ancillary Services (Worksheet A, ln 42, Col. (b))  (Note Q)</v>
      </c>
      <c r="E228" s="493"/>
      <c r="F228" s="493"/>
      <c r="G228" s="406"/>
      <c r="H228" s="494"/>
      <c r="I228" s="494"/>
      <c r="J228" s="406"/>
      <c r="K228" s="494"/>
      <c r="L228" s="497">
        <f>'WS A - RB Support'!C62</f>
        <v>0</v>
      </c>
      <c r="M228" s="361"/>
      <c r="N228" s="336"/>
      <c r="P228" s="348"/>
    </row>
    <row r="229" spans="2:16">
      <c r="B229" s="345">
        <f>+B228+1</f>
        <v>134</v>
      </c>
      <c r="C229" s="346"/>
      <c r="D229" s="356" t="s">
        <v>224</v>
      </c>
      <c r="E229" s="498" t="str">
        <f>"(ln "&amp;B226&amp;" - ln "&amp;B227&amp;" - ln "&amp;B228&amp;")"</f>
        <v>(ln 131 - ln 132 - ln 133)</v>
      </c>
      <c r="F229" s="493"/>
      <c r="H229" s="494"/>
      <c r="I229" s="494"/>
      <c r="J229" s="406"/>
      <c r="K229" s="494"/>
      <c r="L229" s="364">
        <f>L226-L227-L228</f>
        <v>62389916.401538461</v>
      </c>
      <c r="M229" s="361"/>
      <c r="N229" s="336"/>
      <c r="P229" s="348"/>
    </row>
    <row r="230" spans="2:16">
      <c r="B230" s="345"/>
      <c r="C230" s="346"/>
      <c r="D230" s="336"/>
      <c r="E230" s="493"/>
      <c r="F230" s="493"/>
      <c r="G230" s="406"/>
      <c r="H230" s="494"/>
      <c r="I230" s="494"/>
      <c r="J230" s="406"/>
      <c r="K230" s="494"/>
      <c r="L230" s="495"/>
      <c r="M230" s="361"/>
      <c r="N230" s="336"/>
      <c r="P230" s="348"/>
    </row>
    <row r="231" spans="2:16" ht="15.75">
      <c r="B231" s="345">
        <f>+B229+1</f>
        <v>135</v>
      </c>
      <c r="C231" s="346"/>
      <c r="D231" s="356" t="s">
        <v>225</v>
      </c>
      <c r="E231" s="499" t="str">
        <f>"(ln "&amp;B229&amp;" / ln "&amp;B226&amp;")"</f>
        <v>(ln 134 / ln 131)</v>
      </c>
      <c r="F231" s="500"/>
      <c r="H231" s="501"/>
      <c r="I231" s="502"/>
      <c r="J231" s="502"/>
      <c r="K231" s="503" t="s">
        <v>145</v>
      </c>
      <c r="L231" s="504">
        <f>IF(L226&gt;0,L229/L226,0)</f>
        <v>0.99999367853026411</v>
      </c>
      <c r="M231" s="361"/>
      <c r="N231" s="336"/>
      <c r="P231" s="348"/>
    </row>
    <row r="232" spans="2:16" ht="15.75">
      <c r="B232" s="345"/>
      <c r="C232" s="346"/>
      <c r="D232" s="505"/>
      <c r="E232" s="356"/>
      <c r="F232" s="356"/>
      <c r="G232" s="506"/>
      <c r="H232" s="356"/>
      <c r="I232" s="371"/>
      <c r="J232" s="356"/>
      <c r="K232" s="356"/>
      <c r="L232" s="340"/>
      <c r="M232" s="361"/>
      <c r="N232" s="336"/>
    </row>
    <row r="233" spans="2:16" ht="45">
      <c r="B233" s="345">
        <f>B231+1</f>
        <v>136</v>
      </c>
      <c r="C233" s="371"/>
      <c r="D233" s="382" t="s">
        <v>42</v>
      </c>
      <c r="E233" s="365" t="s">
        <v>345</v>
      </c>
      <c r="F233" s="365" t="s">
        <v>186</v>
      </c>
      <c r="G233" s="507" t="s">
        <v>216</v>
      </c>
      <c r="H233" s="441" t="s">
        <v>120</v>
      </c>
      <c r="I233" s="374"/>
      <c r="J233" s="343"/>
      <c r="K233" s="343"/>
      <c r="L233" s="343"/>
      <c r="M233" s="361"/>
      <c r="N233" s="336"/>
    </row>
    <row r="234" spans="2:16">
      <c r="B234" s="345">
        <f t="shared" ref="B234:B239" si="11">+B233+1</f>
        <v>137</v>
      </c>
      <c r="C234" s="371"/>
      <c r="D234" s="382" t="s">
        <v>128</v>
      </c>
      <c r="E234" s="343" t="s">
        <v>433</v>
      </c>
      <c r="F234" s="869">
        <v>0</v>
      </c>
      <c r="G234" s="869">
        <v>0</v>
      </c>
      <c r="H234" s="408">
        <f>+F234+G234</f>
        <v>0</v>
      </c>
      <c r="I234" s="374" t="s">
        <v>129</v>
      </c>
      <c r="J234" s="366">
        <v>0</v>
      </c>
      <c r="K234" s="508"/>
      <c r="L234" s="426">
        <f>(F234+G234)*J234</f>
        <v>0</v>
      </c>
      <c r="M234" s="361"/>
      <c r="N234" s="336"/>
    </row>
    <row r="235" spans="2:16">
      <c r="B235" s="345">
        <f t="shared" si="11"/>
        <v>138</v>
      </c>
      <c r="C235" s="371"/>
      <c r="D235" s="414" t="s">
        <v>130</v>
      </c>
      <c r="E235" s="361" t="s">
        <v>12</v>
      </c>
      <c r="F235" s="869">
        <v>9605</v>
      </c>
      <c r="G235" s="869">
        <v>347008.27</v>
      </c>
      <c r="H235" s="408">
        <f>+F235+G235</f>
        <v>356613.27</v>
      </c>
      <c r="I235" s="371" t="s">
        <v>122</v>
      </c>
      <c r="J235" s="366">
        <f>L231</f>
        <v>0.99999367853026411</v>
      </c>
      <c r="K235" s="508"/>
      <c r="L235" s="426">
        <f>(F235+G235)*J235</f>
        <v>356611.0156800063</v>
      </c>
      <c r="M235" s="361"/>
      <c r="N235" s="336"/>
    </row>
    <row r="236" spans="2:16">
      <c r="B236" s="345">
        <f t="shared" si="11"/>
        <v>139</v>
      </c>
      <c r="C236" s="371"/>
      <c r="D236" s="414" t="s">
        <v>228</v>
      </c>
      <c r="E236" s="343" t="s">
        <v>468</v>
      </c>
      <c r="F236" s="869">
        <v>0</v>
      </c>
      <c r="G236" s="869">
        <v>0</v>
      </c>
      <c r="H236" s="408">
        <f>+F236+G236</f>
        <v>0</v>
      </c>
      <c r="I236" s="374" t="s">
        <v>129</v>
      </c>
      <c r="J236" s="366">
        <v>0</v>
      </c>
      <c r="K236" s="508"/>
      <c r="L236" s="426">
        <f>(F236+G236)*J236</f>
        <v>0</v>
      </c>
      <c r="M236" s="361"/>
      <c r="N236" s="336"/>
    </row>
    <row r="237" spans="2:16">
      <c r="B237" s="345">
        <f t="shared" si="11"/>
        <v>140</v>
      </c>
      <c r="C237" s="371"/>
      <c r="D237" s="414" t="s">
        <v>132</v>
      </c>
      <c r="E237" s="343" t="s">
        <v>431</v>
      </c>
      <c r="F237" s="869">
        <v>2593770</v>
      </c>
      <c r="G237" s="869">
        <v>570281.89</v>
      </c>
      <c r="H237" s="408">
        <f>+F237+G237</f>
        <v>3164051.89</v>
      </c>
      <c r="I237" s="374" t="s">
        <v>129</v>
      </c>
      <c r="J237" s="366">
        <v>0</v>
      </c>
      <c r="K237" s="508"/>
      <c r="L237" s="426">
        <f>(F237+G237)*J237</f>
        <v>0</v>
      </c>
      <c r="M237" s="361"/>
      <c r="N237" s="336"/>
    </row>
    <row r="238" spans="2:16" ht="15.75" thickBot="1">
      <c r="B238" s="345">
        <f t="shared" si="11"/>
        <v>141</v>
      </c>
      <c r="C238" s="371"/>
      <c r="D238" s="414" t="s">
        <v>203</v>
      </c>
      <c r="E238" s="343" t="s">
        <v>432</v>
      </c>
      <c r="F238" s="870">
        <v>311452</v>
      </c>
      <c r="G238" s="870">
        <v>464696</v>
      </c>
      <c r="H238" s="509">
        <f>+F238+G238</f>
        <v>776148</v>
      </c>
      <c r="I238" s="374" t="s">
        <v>129</v>
      </c>
      <c r="J238" s="366">
        <v>0</v>
      </c>
      <c r="K238" s="508"/>
      <c r="L238" s="436">
        <f>(F238+G238)*J238</f>
        <v>0</v>
      </c>
      <c r="M238" s="361"/>
      <c r="N238" s="336"/>
    </row>
    <row r="239" spans="2:16" ht="15.75">
      <c r="B239" s="345">
        <f t="shared" si="11"/>
        <v>142</v>
      </c>
      <c r="C239" s="371"/>
      <c r="D239" s="414" t="s">
        <v>120</v>
      </c>
      <c r="E239" s="414" t="str">
        <f>"(sum lns "&amp;B234&amp;" to "&amp;B238&amp;")"</f>
        <v>(sum lns 137 to 141)</v>
      </c>
      <c r="F239" s="361">
        <f>SUM(F234:F238)</f>
        <v>2914827</v>
      </c>
      <c r="G239" s="361">
        <f>SUM(G234:G238)</f>
        <v>1381986.1600000001</v>
      </c>
      <c r="H239" s="361">
        <f>SUM(H234:H238)</f>
        <v>4296813.16</v>
      </c>
      <c r="I239" s="374"/>
      <c r="J239" s="343"/>
      <c r="K239" s="343"/>
      <c r="L239" s="426">
        <f>SUM(L234:L238)</f>
        <v>356611.0156800063</v>
      </c>
      <c r="M239" s="510"/>
      <c r="N239" s="336"/>
    </row>
    <row r="240" spans="2:16">
      <c r="B240" s="345"/>
      <c r="C240" s="371"/>
      <c r="D240" s="414" t="s">
        <v>116</v>
      </c>
      <c r="E240" s="361" t="s">
        <v>116</v>
      </c>
      <c r="F240" s="361"/>
      <c r="G240" s="336"/>
      <c r="H240" s="361"/>
      <c r="I240" s="440"/>
      <c r="M240" s="336"/>
      <c r="N240" s="336"/>
    </row>
    <row r="241" spans="2:21" ht="15.75">
      <c r="B241" s="345">
        <f>B239+1</f>
        <v>143</v>
      </c>
      <c r="C241" s="346"/>
      <c r="D241" s="407" t="s">
        <v>43</v>
      </c>
      <c r="E241" s="361"/>
      <c r="F241" s="361"/>
      <c r="G241" s="361"/>
      <c r="H241" s="361"/>
      <c r="I241" s="440"/>
      <c r="K241" s="511" t="s">
        <v>44</v>
      </c>
      <c r="L241" s="512">
        <f>L239/(F239+G239)</f>
        <v>8.299430354565529E-2</v>
      </c>
      <c r="M241" s="336"/>
      <c r="N241" s="336"/>
    </row>
    <row r="242" spans="2:21">
      <c r="B242" s="345"/>
      <c r="C242" s="346"/>
      <c r="D242" s="407"/>
      <c r="E242" s="361"/>
      <c r="F242" s="361"/>
      <c r="G242" s="361"/>
      <c r="H242" s="361"/>
      <c r="I242" s="374"/>
      <c r="J242" s="343"/>
      <c r="K242" s="343"/>
      <c r="L242" s="343"/>
      <c r="M242" s="361"/>
      <c r="N242" s="336"/>
    </row>
    <row r="243" spans="2:21" ht="15.75">
      <c r="B243" s="345"/>
      <c r="C243" s="346"/>
      <c r="D243" s="407"/>
      <c r="E243" s="490"/>
      <c r="F243" s="343"/>
      <c r="H243" s="343"/>
      <c r="I243" s="343"/>
      <c r="J243" s="343"/>
      <c r="K243" s="405"/>
      <c r="L243" s="513"/>
      <c r="M243" s="361"/>
      <c r="N243" s="336"/>
    </row>
    <row r="244" spans="2:21" ht="15.75" thickBot="1">
      <c r="B244" s="345">
        <f>+B241+1</f>
        <v>144</v>
      </c>
      <c r="C244" s="371"/>
      <c r="D244" s="414" t="s">
        <v>200</v>
      </c>
      <c r="E244" s="361"/>
      <c r="F244" s="361"/>
      <c r="G244" s="361"/>
      <c r="H244" s="361"/>
      <c r="I244" s="361"/>
      <c r="J244" s="361"/>
      <c r="K244" s="361"/>
      <c r="L244" s="514" t="s">
        <v>146</v>
      </c>
      <c r="M244" s="361"/>
      <c r="N244" s="336"/>
    </row>
    <row r="245" spans="2:21">
      <c r="B245" s="345">
        <f t="shared" ref="B245:B252" si="12">+B244+1</f>
        <v>145</v>
      </c>
      <c r="C245" s="371"/>
      <c r="D245" s="361" t="s">
        <v>221</v>
      </c>
      <c r="E245" s="336" t="str">
        <f>"(Worksheet M, ln. "&amp;'WS M - Cost of Capital'!A56&amp;", col. "&amp;'WS M - Cost of Capital'!E47&amp;")"</f>
        <v>(Worksheet M, ln. 37, col. (d))</v>
      </c>
      <c r="F245" s="361"/>
      <c r="G245" s="361"/>
      <c r="H245" s="361"/>
      <c r="I245" s="361"/>
      <c r="J245" s="361"/>
      <c r="K245" s="361"/>
      <c r="L245" s="379">
        <f>'WS M - Cost of Capital'!E56</f>
        <v>3884900</v>
      </c>
      <c r="M245" s="361"/>
      <c r="N245" s="336"/>
    </row>
    <row r="246" spans="2:21">
      <c r="B246" s="345">
        <f t="shared" si="12"/>
        <v>146</v>
      </c>
      <c r="C246" s="371"/>
      <c r="D246" s="361" t="s">
        <v>222</v>
      </c>
      <c r="E246" s="336" t="str">
        <f>"(Worksheet M, ln. "&amp;'WS M - Cost of Capital'!A103&amp;")"</f>
        <v>(Worksheet M, ln. 71)</v>
      </c>
      <c r="F246" s="361"/>
      <c r="G246" s="361"/>
      <c r="H246" s="361"/>
      <c r="I246" s="361"/>
      <c r="J246" s="361"/>
      <c r="K246" s="361"/>
      <c r="L246" s="379">
        <f>'WS M - Cost of Capital'!E103</f>
        <v>0</v>
      </c>
      <c r="M246" s="361"/>
      <c r="N246" s="336"/>
    </row>
    <row r="247" spans="2:21">
      <c r="B247" s="345">
        <f t="shared" si="12"/>
        <v>147</v>
      </c>
      <c r="C247" s="371"/>
      <c r="D247" s="515" t="s">
        <v>244</v>
      </c>
      <c r="E247" s="361"/>
      <c r="F247" s="361"/>
      <c r="G247" s="361"/>
      <c r="H247" s="430"/>
      <c r="I247" s="361"/>
      <c r="J247" s="361"/>
      <c r="K247" s="361"/>
      <c r="L247" s="379"/>
      <c r="M247" s="361"/>
      <c r="N247" s="336"/>
    </row>
    <row r="248" spans="2:21">
      <c r="B248" s="345">
        <f t="shared" si="12"/>
        <v>148</v>
      </c>
      <c r="C248" s="371"/>
      <c r="D248" s="361" t="s">
        <v>245</v>
      </c>
      <c r="E248" s="542" t="str">
        <f>"(Worksheet M, ln. "&amp;'WS M - Cost of Capital'!A23&amp;", col. "&amp;'WS M - Cost of Capital'!C8&amp;")"</f>
        <v>(Worksheet M, ln. 14, col. (b))</v>
      </c>
      <c r="F248" s="361"/>
      <c r="G248" s="356"/>
      <c r="H248" s="432"/>
      <c r="I248" s="361"/>
      <c r="J248" s="361"/>
      <c r="K248" s="361"/>
      <c r="L248" s="379">
        <f>'WS M - Cost of Capital'!C23</f>
        <v>114890723.01453847</v>
      </c>
      <c r="M248" s="361"/>
      <c r="N248" s="336"/>
    </row>
    <row r="249" spans="2:21">
      <c r="B249" s="345">
        <f t="shared" si="12"/>
        <v>149</v>
      </c>
      <c r="C249" s="371"/>
      <c r="D249" s="361" t="s">
        <v>370</v>
      </c>
      <c r="E249" s="542" t="str">
        <f>"(Worksheet M, ln. "&amp;'WS M - Cost of Capital'!A23&amp;", col. "&amp;'WS M - Cost of Capital'!D8&amp;")"</f>
        <v>(Worksheet M, ln. 14, col. (c))</v>
      </c>
      <c r="F249" s="361"/>
      <c r="G249" s="361"/>
      <c r="H249" s="432"/>
      <c r="I249" s="361"/>
      <c r="J249" s="361"/>
      <c r="K249" s="361"/>
      <c r="L249" s="408">
        <f>'WS M - Cost of Capital'!D23</f>
        <v>0</v>
      </c>
      <c r="M249" s="361"/>
      <c r="N249" s="336"/>
    </row>
    <row r="250" spans="2:21">
      <c r="B250" s="345">
        <f>+B249+1</f>
        <v>150</v>
      </c>
      <c r="C250" s="371"/>
      <c r="D250" s="361" t="s">
        <v>363</v>
      </c>
      <c r="E250" s="542" t="str">
        <f>"(Worksheet M, ln. "&amp;'WS M - Cost of Capital'!A23&amp;", col. "&amp;'WS M - Cost of Capital'!E8&amp;")"</f>
        <v>(Worksheet M, ln. 14, col. (d))</v>
      </c>
      <c r="F250" s="361"/>
      <c r="G250" s="361"/>
      <c r="H250" s="432"/>
      <c r="I250" s="361"/>
      <c r="J250" s="361"/>
      <c r="K250" s="361"/>
      <c r="L250" s="408">
        <f>'WS M - Cost of Capital'!E23</f>
        <v>0</v>
      </c>
      <c r="M250" s="361"/>
      <c r="N250" s="336"/>
    </row>
    <row r="251" spans="2:21" ht="15.75" thickBot="1">
      <c r="B251" s="345">
        <f t="shared" si="12"/>
        <v>151</v>
      </c>
      <c r="C251" s="371"/>
      <c r="D251" s="361" t="s">
        <v>369</v>
      </c>
      <c r="E251" s="542" t="str">
        <f>"(Worksheet M, ln. "&amp;'WS M - Cost of Capital'!A23&amp;", col. "&amp;'WS M - Cost of Capital'!F8&amp;")"</f>
        <v>(Worksheet M, ln. 14, col. (e))</v>
      </c>
      <c r="F251" s="361"/>
      <c r="G251" s="361"/>
      <c r="H251" s="432"/>
      <c r="I251" s="361"/>
      <c r="J251" s="433"/>
      <c r="K251" s="361"/>
      <c r="L251" s="509">
        <f>'WS M - Cost of Capital'!F23</f>
        <v>0</v>
      </c>
      <c r="M251" s="361"/>
      <c r="N251" s="336"/>
    </row>
    <row r="252" spans="2:21">
      <c r="B252" s="345">
        <f t="shared" si="12"/>
        <v>152</v>
      </c>
      <c r="C252" s="371"/>
      <c r="D252" s="331" t="s">
        <v>246</v>
      </c>
      <c r="E252" s="361" t="str">
        <f>"(ln "&amp;B248&amp;" - ln "&amp;B249&amp;" - ln "&amp;B250&amp;" - ln "&amp;B251&amp;")"</f>
        <v>(ln 148 - ln 149 - ln 150 - ln 151)</v>
      </c>
      <c r="F252" s="516"/>
      <c r="G252" s="336"/>
      <c r="H252" s="356"/>
      <c r="I252" s="356"/>
      <c r="J252" s="356"/>
      <c r="K252" s="356"/>
      <c r="L252" s="379">
        <f>+L248-L249-L250-L251</f>
        <v>114890723.01453847</v>
      </c>
      <c r="M252" s="343"/>
    </row>
    <row r="253" spans="2:21" ht="15.75">
      <c r="B253" s="345"/>
      <c r="C253" s="371"/>
      <c r="D253" s="414"/>
      <c r="E253" s="361"/>
      <c r="F253" s="361"/>
      <c r="G253" s="1524" t="s">
        <v>919</v>
      </c>
      <c r="H253" s="1524"/>
      <c r="I253" s="1524"/>
      <c r="J253" s="518" t="s">
        <v>147</v>
      </c>
      <c r="K253" s="361"/>
      <c r="L253" s="361"/>
      <c r="M253" s="343"/>
    </row>
    <row r="254" spans="2:21" ht="15.75" thickBot="1">
      <c r="B254" s="345">
        <f>+B252+1</f>
        <v>153</v>
      </c>
      <c r="C254" s="371"/>
      <c r="D254" s="414"/>
      <c r="F254" s="361"/>
      <c r="G254" s="519" t="s">
        <v>146</v>
      </c>
      <c r="H254" s="519" t="s">
        <v>148</v>
      </c>
      <c r="I254" s="514" t="s">
        <v>918</v>
      </c>
      <c r="J254" s="520" t="s">
        <v>429</v>
      </c>
      <c r="K254" s="361"/>
      <c r="L254" s="519" t="s">
        <v>149</v>
      </c>
      <c r="M254" s="343"/>
      <c r="N254" s="337"/>
      <c r="O254" s="337"/>
      <c r="P254" s="337"/>
      <c r="Q254" s="337"/>
      <c r="R254" s="337"/>
      <c r="S254" s="337"/>
      <c r="T254" s="337"/>
      <c r="U254" s="337"/>
    </row>
    <row r="255" spans="2:21">
      <c r="B255" s="345">
        <f>+B254+1</f>
        <v>154</v>
      </c>
      <c r="C255" s="371"/>
      <c r="D255" s="542" t="str">
        <f>"  Long Term Debt  (Note T) Worksheet M, ln "&amp;'WS M - Cost of Capital'!A42&amp;", col. (g), ln "&amp;'WS M - Cost of Capital'!A58&amp;", col. "&amp;'WS M - Cost of Capital'!E47&amp;")"</f>
        <v xml:space="preserve">  Long Term Debt  (Note T) Worksheet M, ln 28, col. (g), ln 38, col. (d))</v>
      </c>
      <c r="E255" s="542"/>
      <c r="F255" s="361"/>
      <c r="G255" s="379">
        <f>'WS M - Cost of Capital'!H42</f>
        <v>105000000</v>
      </c>
      <c r="H255" s="1324">
        <f>IF($G$258&gt;0,G255/$G$258,0)</f>
        <v>0.47750991292642092</v>
      </c>
      <c r="I255" s="521">
        <f>IF(H257&gt;E260,1-I256-I257,H255)</f>
        <v>0.47750991292642092</v>
      </c>
      <c r="J255" s="433">
        <f>'WS M - Cost of Capital'!E58</f>
        <v>3.6999047619047619E-2</v>
      </c>
      <c r="K255" s="336"/>
      <c r="L255" s="523">
        <f>I255*J255</f>
        <v>1.7667412006931931E-2</v>
      </c>
      <c r="M255" s="524"/>
      <c r="N255" s="337"/>
      <c r="O255" s="337"/>
      <c r="P255" s="337"/>
      <c r="Q255" s="337"/>
      <c r="R255" s="337"/>
      <c r="S255" s="337"/>
      <c r="T255" s="337"/>
      <c r="U255" s="337"/>
    </row>
    <row r="256" spans="2:21">
      <c r="B256" s="345">
        <f>+B255+1</f>
        <v>155</v>
      </c>
      <c r="C256" s="371"/>
      <c r="D256" s="414" t="str">
        <f>"  Preferred Stock (ln "&amp;B249&amp;")"</f>
        <v xml:space="preserve">  Preferred Stock (ln 149)</v>
      </c>
      <c r="F256" s="336"/>
      <c r="G256" s="379">
        <f>+L249</f>
        <v>0</v>
      </c>
      <c r="H256" s="521">
        <f>IF($G$258&gt;0,G256/$G$258,0)</f>
        <v>0</v>
      </c>
      <c r="I256" s="521">
        <f>H256</f>
        <v>0</v>
      </c>
      <c r="J256" s="522">
        <f>IF(G256&gt;0,L246/G256,0)</f>
        <v>0</v>
      </c>
      <c r="K256" s="336"/>
      <c r="L256" s="525">
        <f>I256*J256</f>
        <v>0</v>
      </c>
      <c r="M256" s="343"/>
    </row>
    <row r="257" spans="2:21" ht="15.75" thickBot="1">
      <c r="B257" s="345">
        <f>+B256+1</f>
        <v>156</v>
      </c>
      <c r="C257" s="371"/>
      <c r="D257" s="414" t="str">
        <f>"  Common Stock (ln "&amp;B252&amp;")"</f>
        <v xml:space="preserve">  Common Stock (ln 152)</v>
      </c>
      <c r="F257" s="336"/>
      <c r="G257" s="415">
        <f>+L252</f>
        <v>114890723.01453847</v>
      </c>
      <c r="H257" s="521">
        <f>IF($G$258&gt;0,G257/$G$258,0)</f>
        <v>0.52249008707357913</v>
      </c>
      <c r="I257" s="521">
        <f>IF(H257&gt;E260,E260,H257)</f>
        <v>0.52249008707357913</v>
      </c>
      <c r="J257" s="871">
        <v>0.10349999999999999</v>
      </c>
      <c r="K257" s="336"/>
      <c r="L257" s="526">
        <f>I257*J257</f>
        <v>5.4077724012115434E-2</v>
      </c>
      <c r="M257" s="343"/>
    </row>
    <row r="258" spans="2:21" ht="15.75">
      <c r="B258" s="345">
        <f>+B257+1</f>
        <v>157</v>
      </c>
      <c r="C258" s="371"/>
      <c r="D258" s="414" t="str">
        <f>" Total (Sum lns "&amp;B255&amp;" to "&amp;B257&amp;")"</f>
        <v xml:space="preserve"> Total (Sum lns 154 to 156)</v>
      </c>
      <c r="F258" s="336"/>
      <c r="G258" s="379">
        <f>G257+G256+G255</f>
        <v>219890723.01453847</v>
      </c>
      <c r="I258" s="517"/>
      <c r="J258" s="527"/>
      <c r="K258" s="428" t="s">
        <v>25</v>
      </c>
      <c r="L258" s="528">
        <f>SUM(L255:L257)</f>
        <v>7.1745136019047362E-2</v>
      </c>
      <c r="M258" s="529"/>
    </row>
    <row r="259" spans="2:21" ht="15.75">
      <c r="B259" s="345"/>
      <c r="C259" s="371"/>
      <c r="D259" s="414"/>
      <c r="F259" s="336"/>
      <c r="G259" s="379"/>
      <c r="I259" s="517"/>
      <c r="J259" s="527"/>
      <c r="K259" s="428"/>
      <c r="L259" s="528"/>
      <c r="M259" s="529"/>
    </row>
    <row r="260" spans="2:21" ht="15.75">
      <c r="B260" s="370">
        <f>B258+1</f>
        <v>158</v>
      </c>
      <c r="C260" s="536"/>
      <c r="D260" s="536" t="s">
        <v>920</v>
      </c>
      <c r="E260" s="1320">
        <v>0.55000000000000004</v>
      </c>
      <c r="F260" s="336"/>
      <c r="G260" s="379"/>
      <c r="I260" s="517"/>
      <c r="J260" s="527"/>
      <c r="K260" s="428"/>
      <c r="L260" s="528"/>
      <c r="M260" s="529"/>
    </row>
    <row r="261" spans="2:21">
      <c r="B261" s="345"/>
      <c r="C261" s="386"/>
      <c r="D261" s="386"/>
      <c r="E261" s="348"/>
      <c r="F261" s="348"/>
      <c r="G261" s="348"/>
      <c r="H261" s="348"/>
      <c r="I261" s="348"/>
      <c r="J261" s="343"/>
      <c r="K261" s="340"/>
      <c r="L261" s="343"/>
      <c r="M261" s="340"/>
      <c r="N261" s="356"/>
      <c r="O261" s="356"/>
      <c r="P261" s="356"/>
      <c r="Q261" s="356"/>
      <c r="R261" s="356"/>
      <c r="S261" s="356"/>
      <c r="T261" s="356"/>
      <c r="U261" s="356"/>
    </row>
    <row r="262" spans="2:21" ht="15.75">
      <c r="B262" s="438"/>
      <c r="C262" s="346"/>
      <c r="D262" s="333"/>
      <c r="E262" s="333"/>
      <c r="F262" s="440" t="str">
        <f>F216</f>
        <v xml:space="preserve">AEP East Companies </v>
      </c>
      <c r="G262" s="334"/>
      <c r="H262" s="343"/>
      <c r="I262" s="343"/>
      <c r="J262" s="343"/>
      <c r="K262" s="340"/>
      <c r="L262" s="343"/>
      <c r="M262" s="530"/>
      <c r="N262" s="356"/>
      <c r="O262" s="356"/>
      <c r="P262" s="356"/>
      <c r="Q262" s="356"/>
      <c r="R262" s="356"/>
      <c r="S262" s="356"/>
      <c r="T262" s="356"/>
      <c r="U262" s="356"/>
    </row>
    <row r="263" spans="2:21">
      <c r="B263" s="438"/>
      <c r="C263" s="346"/>
      <c r="D263" s="531"/>
      <c r="E263" s="346"/>
      <c r="F263" s="440" t="str">
        <f>F217</f>
        <v>Transmission Cost of Service Formula Rate</v>
      </c>
      <c r="G263" s="343"/>
      <c r="H263" s="343"/>
      <c r="I263" s="343"/>
      <c r="J263" s="343"/>
      <c r="K263" s="340"/>
      <c r="L263" s="359"/>
      <c r="M263" s="396"/>
      <c r="N263" s="356"/>
      <c r="O263" s="356"/>
      <c r="P263" s="356"/>
      <c r="Q263" s="356"/>
      <c r="R263" s="356"/>
      <c r="S263" s="356"/>
      <c r="T263" s="356"/>
      <c r="U263" s="356"/>
    </row>
    <row r="264" spans="2:21" ht="15.75">
      <c r="B264" s="438"/>
      <c r="C264" s="346"/>
      <c r="D264" s="531"/>
      <c r="E264" s="446"/>
      <c r="F264" s="440" t="str">
        <f>F218</f>
        <v>Utilizing  Actual/Projected FERC Form 1 Data</v>
      </c>
      <c r="G264" s="343"/>
      <c r="H264" s="343"/>
      <c r="I264" s="343"/>
      <c r="J264" s="343"/>
      <c r="K264" s="340"/>
      <c r="L264" s="359"/>
      <c r="M264" s="530"/>
      <c r="N264" s="356"/>
      <c r="O264" s="356"/>
      <c r="P264" s="356"/>
      <c r="Q264" s="356"/>
      <c r="R264" s="356"/>
      <c r="S264" s="356"/>
      <c r="T264" s="356"/>
      <c r="U264" s="356"/>
    </row>
    <row r="265" spans="2:21" ht="15.75">
      <c r="B265" s="345"/>
      <c r="C265" s="346"/>
      <c r="D265" s="531"/>
      <c r="E265" s="446"/>
      <c r="F265" s="440"/>
      <c r="G265" s="343"/>
      <c r="H265" s="343"/>
      <c r="I265" s="343"/>
      <c r="J265" s="343"/>
      <c r="K265" s="340"/>
      <c r="L265" s="359"/>
      <c r="M265" s="336"/>
      <c r="N265" s="356"/>
      <c r="O265" s="356"/>
      <c r="P265" s="356"/>
      <c r="Q265" s="356"/>
      <c r="R265" s="356"/>
      <c r="S265" s="356"/>
      <c r="T265" s="356"/>
      <c r="U265" s="356"/>
    </row>
    <row r="266" spans="2:21" ht="15.75">
      <c r="B266" s="345"/>
      <c r="C266" s="346"/>
      <c r="D266" s="531"/>
      <c r="E266" s="446"/>
      <c r="F266" s="440" t="str">
        <f>F220</f>
        <v>KINGSPORT POWER COMPANY</v>
      </c>
      <c r="G266" s="343"/>
      <c r="H266" s="343"/>
      <c r="I266" s="343"/>
      <c r="J266" s="343"/>
      <c r="K266" s="340"/>
      <c r="L266" s="359"/>
      <c r="M266" s="336"/>
      <c r="N266" s="356"/>
      <c r="O266" s="356"/>
      <c r="P266" s="356"/>
      <c r="Q266" s="356"/>
      <c r="R266" s="356"/>
      <c r="S266" s="356"/>
      <c r="T266" s="356"/>
      <c r="U266" s="356"/>
    </row>
    <row r="267" spans="2:21" ht="15.75">
      <c r="B267" s="345"/>
      <c r="C267" s="346"/>
      <c r="D267" s="531"/>
      <c r="E267" s="446"/>
      <c r="F267" s="440"/>
      <c r="G267" s="343"/>
      <c r="H267" s="343"/>
      <c r="I267" s="343"/>
      <c r="J267" s="343"/>
      <c r="K267" s="340"/>
      <c r="L267" s="359"/>
      <c r="M267" s="336"/>
      <c r="N267" s="356"/>
      <c r="O267" s="356"/>
      <c r="P267" s="356"/>
      <c r="Q267" s="356"/>
      <c r="R267" s="356"/>
      <c r="S267" s="356"/>
      <c r="T267" s="356"/>
      <c r="U267" s="356"/>
    </row>
    <row r="268" spans="2:21" ht="15.75">
      <c r="B268" s="532" t="s">
        <v>178</v>
      </c>
      <c r="C268" s="353"/>
      <c r="D268" s="382"/>
      <c r="E268" s="356"/>
      <c r="F268" s="532" t="s">
        <v>177</v>
      </c>
      <c r="G268" s="361"/>
      <c r="H268" s="361"/>
      <c r="I268" s="361"/>
      <c r="J268" s="361"/>
      <c r="K268" s="356"/>
      <c r="L268" s="361"/>
      <c r="M268" s="336"/>
      <c r="N268" s="356"/>
      <c r="O268" s="356"/>
      <c r="P268" s="356"/>
      <c r="Q268" s="356"/>
      <c r="R268" s="356"/>
      <c r="S268" s="356"/>
      <c r="T268" s="356"/>
      <c r="U268" s="356"/>
    </row>
    <row r="269" spans="2:21">
      <c r="C269" s="353"/>
      <c r="L269" s="359"/>
      <c r="M269" s="336"/>
      <c r="N269" s="356"/>
      <c r="O269" s="356"/>
      <c r="P269" s="356"/>
      <c r="Q269" s="356"/>
      <c r="R269" s="356"/>
      <c r="S269" s="356"/>
      <c r="T269" s="356"/>
      <c r="U269" s="356"/>
    </row>
    <row r="270" spans="2:21">
      <c r="B270" s="345"/>
      <c r="C270" s="346"/>
      <c r="D270" s="337" t="s">
        <v>5</v>
      </c>
      <c r="E270" s="371"/>
      <c r="F270" s="371"/>
      <c r="G270" s="361"/>
      <c r="H270" s="361"/>
      <c r="I270" s="361"/>
      <c r="J270" s="361"/>
      <c r="K270" s="356"/>
      <c r="L270" s="361"/>
      <c r="M270" s="356"/>
      <c r="N270" s="356"/>
      <c r="O270" s="356"/>
      <c r="P270" s="356"/>
      <c r="Q270" s="356"/>
      <c r="R270" s="356"/>
      <c r="S270" s="356"/>
      <c r="T270" s="356"/>
      <c r="U270" s="356"/>
    </row>
    <row r="271" spans="2:21">
      <c r="B271" s="331"/>
      <c r="D271" s="382"/>
      <c r="E271" s="356"/>
      <c r="F271" s="356"/>
      <c r="G271" s="361"/>
      <c r="H271" s="361"/>
      <c r="I271" s="361"/>
      <c r="J271" s="361"/>
      <c r="K271" s="356"/>
      <c r="L271" s="361"/>
      <c r="M271" s="356"/>
      <c r="N271" s="356"/>
      <c r="O271" s="356"/>
      <c r="P271" s="356"/>
      <c r="Q271" s="356"/>
      <c r="R271" s="356"/>
      <c r="S271" s="356"/>
      <c r="T271" s="356"/>
      <c r="U271" s="356"/>
    </row>
    <row r="272" spans="2:21" ht="3.75" customHeight="1">
      <c r="B272" s="331"/>
      <c r="D272" s="382"/>
      <c r="E272" s="356"/>
      <c r="F272" s="356"/>
      <c r="G272" s="361"/>
      <c r="H272" s="361"/>
      <c r="I272" s="361"/>
      <c r="J272" s="361"/>
      <c r="K272" s="356"/>
      <c r="L272" s="361"/>
      <c r="M272" s="356"/>
      <c r="N272" s="356"/>
      <c r="O272" s="356"/>
      <c r="P272" s="356"/>
      <c r="Q272" s="356"/>
      <c r="R272" s="356"/>
      <c r="S272" s="356"/>
      <c r="T272" s="356"/>
      <c r="U272" s="356"/>
    </row>
    <row r="273" spans="2:21">
      <c r="B273" s="533" t="s">
        <v>150</v>
      </c>
      <c r="C273" s="353"/>
      <c r="D273" s="382" t="s">
        <v>479</v>
      </c>
      <c r="E273" s="356"/>
      <c r="F273" s="356"/>
      <c r="G273" s="361"/>
      <c r="H273" s="361"/>
      <c r="I273" s="361"/>
      <c r="J273" s="361"/>
      <c r="K273" s="356"/>
      <c r="L273" s="361"/>
      <c r="M273" s="356"/>
      <c r="N273" s="356"/>
      <c r="O273" s="356"/>
      <c r="P273" s="356"/>
      <c r="Q273" s="356"/>
      <c r="R273" s="356"/>
      <c r="S273" s="356"/>
      <c r="T273" s="356"/>
      <c r="U273" s="356"/>
    </row>
    <row r="274" spans="2:21">
      <c r="B274" s="533"/>
      <c r="C274" s="441"/>
      <c r="D274" s="382" t="s">
        <v>371</v>
      </c>
      <c r="E274" s="356"/>
      <c r="F274" s="356"/>
      <c r="G274" s="356"/>
      <c r="H274" s="356"/>
      <c r="I274" s="356"/>
      <c r="J274" s="356"/>
      <c r="K274" s="356"/>
      <c r="L274" s="356"/>
      <c r="M274" s="356"/>
      <c r="N274" s="356"/>
      <c r="O274" s="356"/>
      <c r="P274" s="356"/>
      <c r="Q274" s="356"/>
      <c r="R274" s="356"/>
      <c r="S274" s="356"/>
      <c r="T274" s="356"/>
      <c r="U274" s="356"/>
    </row>
    <row r="275" spans="2:21">
      <c r="B275" s="534"/>
      <c r="C275" s="336"/>
      <c r="D275" s="331" t="s">
        <v>372</v>
      </c>
      <c r="E275" s="535"/>
      <c r="F275" s="535"/>
      <c r="G275" s="356"/>
      <c r="H275" s="356"/>
      <c r="I275" s="356"/>
      <c r="J275" s="356"/>
      <c r="K275" s="356"/>
      <c r="L275" s="356"/>
      <c r="M275" s="356"/>
      <c r="N275" s="356"/>
      <c r="O275" s="356"/>
      <c r="P275" s="356"/>
      <c r="Q275" s="356"/>
      <c r="R275" s="356"/>
      <c r="S275" s="356"/>
      <c r="T275" s="356"/>
      <c r="U275" s="356"/>
    </row>
    <row r="276" spans="2:21">
      <c r="B276" s="534"/>
      <c r="C276" s="336"/>
      <c r="D276" s="382" t="s">
        <v>480</v>
      </c>
      <c r="E276" s="356"/>
      <c r="F276" s="356"/>
      <c r="G276" s="356"/>
      <c r="H276" s="356"/>
      <c r="I276" s="356"/>
      <c r="J276" s="356"/>
      <c r="K276" s="356"/>
      <c r="L276" s="356"/>
      <c r="M276" s="356"/>
      <c r="N276" s="356"/>
      <c r="O276" s="356"/>
      <c r="P276" s="356"/>
      <c r="Q276" s="356"/>
      <c r="R276" s="356"/>
      <c r="S276" s="356"/>
      <c r="T276" s="356"/>
      <c r="U276" s="356"/>
    </row>
    <row r="277" spans="2:21">
      <c r="B277" s="370"/>
      <c r="C277" s="371"/>
      <c r="D277" s="382" t="s">
        <v>481</v>
      </c>
      <c r="E277" s="356"/>
      <c r="F277" s="356"/>
      <c r="G277" s="356"/>
      <c r="H277" s="356"/>
      <c r="I277" s="356"/>
      <c r="J277" s="356"/>
      <c r="K277" s="356"/>
      <c r="L277" s="356"/>
      <c r="M277" s="356"/>
      <c r="N277" s="356"/>
      <c r="O277" s="356"/>
      <c r="P277" s="356"/>
      <c r="Q277" s="356"/>
      <c r="R277" s="356"/>
      <c r="S277" s="356"/>
      <c r="T277" s="356"/>
      <c r="U277" s="356"/>
    </row>
    <row r="278" spans="2:21">
      <c r="B278" s="370"/>
      <c r="C278" s="371"/>
      <c r="D278" s="382" t="s">
        <v>373</v>
      </c>
      <c r="E278" s="356"/>
      <c r="F278" s="356"/>
      <c r="G278" s="356"/>
      <c r="H278" s="356"/>
      <c r="I278" s="356"/>
      <c r="J278" s="356"/>
      <c r="K278" s="356"/>
      <c r="L278" s="356"/>
      <c r="M278" s="356"/>
      <c r="N278" s="356"/>
      <c r="O278" s="356"/>
      <c r="P278" s="356"/>
      <c r="Q278" s="356"/>
      <c r="R278" s="356"/>
      <c r="S278" s="356"/>
      <c r="T278" s="356"/>
      <c r="U278" s="356"/>
    </row>
    <row r="279" spans="2:21">
      <c r="B279" s="370"/>
      <c r="C279" s="371"/>
      <c r="D279" s="382" t="s">
        <v>374</v>
      </c>
      <c r="E279" s="356"/>
      <c r="F279" s="356"/>
      <c r="G279" s="356"/>
      <c r="H279" s="356"/>
      <c r="I279" s="356"/>
      <c r="J279" s="356"/>
      <c r="K279" s="356"/>
      <c r="L279" s="356"/>
      <c r="M279" s="356"/>
      <c r="N279" s="356"/>
      <c r="O279" s="356"/>
      <c r="P279" s="356"/>
      <c r="Q279" s="356"/>
      <c r="R279" s="356"/>
      <c r="S279" s="356"/>
      <c r="T279" s="356"/>
      <c r="U279" s="356"/>
    </row>
    <row r="280" spans="2:21" ht="45" customHeight="1">
      <c r="B280" s="370"/>
      <c r="C280" s="371"/>
      <c r="D280" s="1536" t="s">
        <v>579</v>
      </c>
      <c r="E280" s="1536"/>
      <c r="F280" s="1536"/>
      <c r="G280" s="1536"/>
      <c r="H280" s="1536"/>
      <c r="I280" s="1536"/>
      <c r="J280" s="1536"/>
      <c r="K280" s="1536"/>
      <c r="L280" s="1536"/>
      <c r="M280" s="356"/>
      <c r="N280" s="356"/>
      <c r="O280" s="356"/>
      <c r="P280" s="356"/>
      <c r="Q280" s="356"/>
      <c r="R280" s="356"/>
      <c r="S280" s="356"/>
      <c r="T280" s="356"/>
      <c r="U280" s="356"/>
    </row>
    <row r="281" spans="2:21">
      <c r="B281" s="370"/>
      <c r="C281" s="371"/>
      <c r="D281" s="382" t="s">
        <v>489</v>
      </c>
      <c r="E281" s="356"/>
      <c r="F281" s="356"/>
      <c r="G281" s="356"/>
      <c r="H281" s="356"/>
      <c r="I281" s="356"/>
      <c r="J281" s="356"/>
      <c r="K281" s="356"/>
      <c r="L281" s="356"/>
      <c r="M281" s="356"/>
      <c r="N281" s="356"/>
      <c r="O281" s="356"/>
      <c r="P281" s="356"/>
      <c r="Q281" s="356"/>
      <c r="R281" s="356"/>
      <c r="S281" s="356"/>
      <c r="T281" s="356"/>
      <c r="U281" s="356"/>
    </row>
    <row r="282" spans="2:21">
      <c r="B282" s="370"/>
      <c r="C282" s="371"/>
      <c r="D282" s="536"/>
      <c r="E282" s="356"/>
      <c r="F282" s="356"/>
      <c r="G282" s="356"/>
      <c r="H282" s="356"/>
      <c r="I282" s="356"/>
      <c r="J282" s="356"/>
      <c r="K282" s="356"/>
      <c r="L282" s="382"/>
      <c r="M282" s="356"/>
      <c r="N282" s="356"/>
      <c r="O282" s="356"/>
      <c r="P282" s="356"/>
      <c r="Q282" s="356"/>
      <c r="R282" s="356"/>
      <c r="S282" s="356"/>
      <c r="T282" s="356"/>
      <c r="U282" s="356"/>
    </row>
    <row r="283" spans="2:21" ht="15" customHeight="1">
      <c r="B283" s="370" t="s">
        <v>151</v>
      </c>
      <c r="C283" s="371"/>
      <c r="D283" s="1525" t="s">
        <v>597</v>
      </c>
      <c r="E283" s="1526"/>
      <c r="F283" s="1526"/>
      <c r="G283" s="1526"/>
      <c r="H283" s="1526"/>
      <c r="I283" s="1526"/>
      <c r="J283" s="1526"/>
      <c r="K283" s="1526"/>
      <c r="L283" s="382"/>
      <c r="M283" s="356"/>
      <c r="N283" s="356"/>
      <c r="O283" s="356"/>
      <c r="P283" s="356"/>
      <c r="Q283" s="356"/>
      <c r="R283" s="356"/>
      <c r="S283" s="356"/>
      <c r="T283" s="356"/>
      <c r="U283" s="356"/>
    </row>
    <row r="284" spans="2:21">
      <c r="B284" s="370"/>
      <c r="C284" s="371"/>
      <c r="D284" s="1526"/>
      <c r="E284" s="1526"/>
      <c r="F284" s="1526"/>
      <c r="G284" s="1526"/>
      <c r="H284" s="1526"/>
      <c r="I284" s="1526"/>
      <c r="J284" s="1526"/>
      <c r="K284" s="1526"/>
      <c r="L284" s="382"/>
      <c r="M284" s="356"/>
      <c r="N284" s="356"/>
      <c r="O284" s="356"/>
      <c r="P284" s="356"/>
      <c r="Q284" s="356"/>
      <c r="R284" s="356"/>
      <c r="S284" s="356"/>
      <c r="T284" s="356"/>
      <c r="U284" s="356"/>
    </row>
    <row r="285" spans="2:21">
      <c r="E285" s="356"/>
      <c r="F285" s="356"/>
      <c r="G285" s="356"/>
      <c r="H285" s="356"/>
      <c r="I285" s="356"/>
      <c r="J285" s="356"/>
      <c r="K285" s="356"/>
      <c r="L285" s="356"/>
      <c r="M285" s="356"/>
      <c r="N285" s="356"/>
      <c r="O285" s="356"/>
      <c r="P285" s="356"/>
      <c r="Q285" s="356"/>
      <c r="R285" s="356"/>
      <c r="S285" s="356"/>
      <c r="T285" s="356"/>
      <c r="U285" s="356"/>
    </row>
    <row r="286" spans="2:21">
      <c r="B286" s="370" t="s">
        <v>152</v>
      </c>
      <c r="C286" s="371"/>
      <c r="D286" s="537" t="s">
        <v>869</v>
      </c>
      <c r="E286" s="356"/>
      <c r="F286" s="356"/>
      <c r="G286" s="356"/>
      <c r="H286" s="356"/>
      <c r="I286" s="356"/>
      <c r="J286" s="356"/>
      <c r="K286" s="356"/>
      <c r="L286" s="356"/>
      <c r="M286" s="356"/>
      <c r="N286" s="356"/>
      <c r="O286" s="356"/>
      <c r="P286" s="356"/>
      <c r="Q286" s="356"/>
      <c r="R286" s="356"/>
      <c r="S286" s="356"/>
      <c r="T286" s="356"/>
      <c r="U286" s="356"/>
    </row>
    <row r="287" spans="2:21">
      <c r="B287" s="370"/>
      <c r="C287" s="371"/>
      <c r="D287" s="537"/>
      <c r="E287" s="356"/>
      <c r="F287" s="356"/>
      <c r="G287" s="356"/>
      <c r="H287" s="356"/>
      <c r="I287" s="356"/>
      <c r="J287" s="356"/>
      <c r="K287" s="356"/>
      <c r="L287" s="356"/>
      <c r="M287" s="356"/>
      <c r="N287" s="356"/>
      <c r="O287" s="356"/>
      <c r="P287" s="356"/>
      <c r="Q287" s="356"/>
      <c r="R287" s="356"/>
      <c r="S287" s="356"/>
      <c r="T287" s="356"/>
      <c r="U287" s="356"/>
    </row>
    <row r="288" spans="2:21">
      <c r="B288" s="370" t="s">
        <v>153</v>
      </c>
      <c r="C288" s="371"/>
      <c r="D288" s="1536" t="s">
        <v>581</v>
      </c>
      <c r="E288" s="1536"/>
      <c r="F288" s="1536"/>
      <c r="G288" s="1536"/>
      <c r="H288" s="1536"/>
      <c r="I288" s="1536"/>
      <c r="J288" s="1536"/>
      <c r="K288" s="1536"/>
      <c r="L288" s="1536"/>
      <c r="M288" s="356"/>
      <c r="N288" s="356"/>
      <c r="O288" s="356"/>
      <c r="P288" s="382"/>
      <c r="Q288" s="382"/>
      <c r="R288" s="356"/>
      <c r="S288" s="356"/>
      <c r="T288" s="356"/>
      <c r="U288" s="356"/>
    </row>
    <row r="289" spans="2:21">
      <c r="B289" s="370"/>
      <c r="C289" s="371"/>
      <c r="D289" s="1536"/>
      <c r="E289" s="1536"/>
      <c r="F289" s="1536"/>
      <c r="G289" s="1536"/>
      <c r="H289" s="1536"/>
      <c r="I289" s="1536"/>
      <c r="J289" s="1536"/>
      <c r="K289" s="1536"/>
      <c r="L289" s="1536"/>
      <c r="M289" s="356"/>
      <c r="N289" s="356"/>
      <c r="O289" s="356"/>
      <c r="P289" s="382"/>
      <c r="Q289" s="382"/>
      <c r="R289" s="356"/>
      <c r="S289" s="356"/>
      <c r="T289" s="356"/>
      <c r="U289" s="356"/>
    </row>
    <row r="290" spans="2:21">
      <c r="B290" s="370"/>
      <c r="C290" s="371"/>
      <c r="D290" s="382" t="s">
        <v>582</v>
      </c>
      <c r="E290" s="356"/>
      <c r="F290" s="356"/>
      <c r="G290" s="356"/>
      <c r="H290" s="356"/>
      <c r="I290" s="356"/>
      <c r="J290" s="356"/>
      <c r="K290" s="356"/>
      <c r="L290" s="493"/>
      <c r="M290" s="356"/>
      <c r="N290" s="356"/>
      <c r="O290" s="356"/>
      <c r="P290" s="382"/>
      <c r="Q290" s="382"/>
      <c r="R290" s="356"/>
      <c r="S290" s="356"/>
      <c r="T290" s="356"/>
      <c r="U290" s="356"/>
    </row>
    <row r="291" spans="2:21">
      <c r="B291" s="370"/>
      <c r="C291" s="371"/>
      <c r="D291" s="382" t="s">
        <v>583</v>
      </c>
      <c r="E291" s="356"/>
      <c r="F291" s="356"/>
      <c r="G291" s="356"/>
      <c r="H291" s="356"/>
      <c r="I291" s="356"/>
      <c r="J291" s="356"/>
      <c r="K291" s="356"/>
      <c r="L291" s="493"/>
      <c r="M291" s="356"/>
      <c r="N291" s="356"/>
      <c r="O291" s="356"/>
      <c r="P291" s="382"/>
      <c r="Q291" s="356"/>
      <c r="R291" s="356"/>
      <c r="S291" s="356"/>
      <c r="T291" s="356"/>
      <c r="U291" s="356"/>
    </row>
    <row r="292" spans="2:21" ht="30" customHeight="1">
      <c r="B292" s="370"/>
      <c r="C292" s="371"/>
      <c r="D292" s="1536" t="s">
        <v>580</v>
      </c>
      <c r="E292" s="1536"/>
      <c r="F292" s="1536"/>
      <c r="G292" s="1536"/>
      <c r="H292" s="1536"/>
      <c r="I292" s="1536"/>
      <c r="J292" s="1536"/>
      <c r="K292" s="1536"/>
      <c r="L292" s="1536"/>
      <c r="M292" s="356"/>
      <c r="N292" s="356"/>
      <c r="O292" s="356"/>
      <c r="P292" s="382"/>
      <c r="Q292" s="356"/>
      <c r="R292" s="356"/>
      <c r="S292" s="356"/>
      <c r="T292" s="356"/>
      <c r="U292" s="356"/>
    </row>
    <row r="293" spans="2:21" ht="21.75" customHeight="1">
      <c r="B293" s="370" t="s">
        <v>154</v>
      </c>
      <c r="C293" s="382"/>
      <c r="D293" s="382"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38"/>
      <c r="F293" s="538"/>
      <c r="G293" s="538"/>
      <c r="H293" s="538"/>
      <c r="I293" s="538"/>
      <c r="J293" s="538"/>
      <c r="K293" s="538"/>
      <c r="L293" s="538"/>
      <c r="M293" s="356"/>
      <c r="N293" s="356"/>
      <c r="O293" s="356"/>
      <c r="P293" s="356"/>
      <c r="Q293" s="356"/>
      <c r="R293" s="356"/>
      <c r="S293" s="356"/>
      <c r="T293" s="356"/>
      <c r="U293" s="356"/>
    </row>
    <row r="294" spans="2:21">
      <c r="B294" s="370"/>
      <c r="C294" s="382"/>
      <c r="D294" s="539"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16"/>
      <c r="F294" s="416"/>
      <c r="G294" s="416"/>
      <c r="H294" s="416"/>
      <c r="I294" s="416"/>
      <c r="J294" s="416"/>
      <c r="K294" s="416"/>
      <c r="L294" s="416"/>
      <c r="M294" s="356"/>
      <c r="N294" s="356"/>
      <c r="O294" s="356"/>
      <c r="P294" s="356"/>
      <c r="Q294" s="356"/>
      <c r="R294" s="356"/>
      <c r="S294" s="356"/>
      <c r="T294" s="356"/>
      <c r="U294" s="356"/>
    </row>
    <row r="295" spans="2:21">
      <c r="B295" s="370"/>
      <c r="C295" s="382"/>
      <c r="D295" s="540" t="str">
        <f>+"2)  Costs of Transmission of Electricity by Others, as described in Note H."</f>
        <v>2)  Costs of Transmission of Electricity by Others, as described in Note H.</v>
      </c>
      <c r="E295" s="538"/>
      <c r="F295" s="538"/>
      <c r="G295" s="538"/>
      <c r="H295" s="538"/>
      <c r="I295" s="538"/>
      <c r="J295" s="538"/>
      <c r="K295" s="538"/>
      <c r="L295" s="538"/>
      <c r="M295" s="356"/>
      <c r="N295" s="356"/>
      <c r="O295" s="356"/>
      <c r="P295" s="356"/>
      <c r="Q295" s="356"/>
      <c r="R295" s="356"/>
      <c r="S295" s="356"/>
      <c r="T295" s="356"/>
      <c r="U295" s="356"/>
    </row>
    <row r="296" spans="2:21">
      <c r="B296" s="370"/>
      <c r="C296" s="382"/>
      <c r="D296" s="539" t="str">
        <f>+"3)  The impact of state regulatory deferrals and amortizations, as shown on line  "&amp;B148&amp;""</f>
        <v>3)  The impact of state regulatory deferrals and amortizations, as shown on line  77</v>
      </c>
      <c r="E296" s="416"/>
      <c r="F296" s="416"/>
      <c r="G296" s="416"/>
      <c r="H296" s="416"/>
      <c r="I296" s="416"/>
      <c r="J296" s="416"/>
      <c r="K296" s="416"/>
      <c r="L296" s="416"/>
      <c r="M296" s="356"/>
      <c r="N296" s="356"/>
      <c r="O296" s="356"/>
      <c r="P296" s="356"/>
      <c r="Q296" s="356"/>
      <c r="R296" s="356"/>
      <c r="S296" s="356"/>
      <c r="T296" s="356"/>
      <c r="U296" s="356"/>
    </row>
    <row r="297" spans="2:21">
      <c r="B297" s="370"/>
      <c r="C297" s="416"/>
      <c r="D297" s="540" t="str">
        <f>"4) All A&amp;G Expenses, as shown on line "&amp;B165&amp;"."</f>
        <v>4) All A&amp;G Expenses, as shown on line 93.</v>
      </c>
      <c r="E297" s="538"/>
      <c r="F297" s="538"/>
      <c r="G297" s="538"/>
      <c r="H297" s="538"/>
      <c r="I297" s="538"/>
      <c r="J297" s="538"/>
      <c r="K297" s="538"/>
      <c r="L297" s="538"/>
      <c r="M297" s="356"/>
      <c r="N297" s="356"/>
      <c r="O297" s="356"/>
      <c r="P297" s="356"/>
      <c r="Q297" s="356"/>
      <c r="R297" s="356"/>
      <c r="S297" s="356"/>
      <c r="T297" s="356"/>
      <c r="U297" s="356"/>
    </row>
    <row r="298" spans="2:21">
      <c r="B298" s="370"/>
      <c r="C298" s="371"/>
      <c r="D298" s="539"/>
      <c r="E298" s="541"/>
      <c r="F298" s="541"/>
      <c r="G298" s="541"/>
      <c r="H298" s="541"/>
      <c r="I298" s="541"/>
      <c r="J298" s="541"/>
      <c r="K298" s="541"/>
      <c r="L298" s="541"/>
      <c r="M298" s="356"/>
      <c r="N298" s="356"/>
      <c r="O298" s="356"/>
      <c r="P298" s="356"/>
      <c r="Q298" s="356"/>
      <c r="R298" s="356"/>
      <c r="S298" s="356"/>
      <c r="T298" s="356"/>
      <c r="U298" s="356"/>
    </row>
    <row r="299" spans="2:21">
      <c r="B299" s="533" t="s">
        <v>155</v>
      </c>
      <c r="C299" s="441"/>
      <c r="D299" s="542"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2"/>
      <c r="F299" s="542"/>
      <c r="G299" s="542"/>
      <c r="H299" s="542"/>
      <c r="I299" s="542"/>
      <c r="J299" s="542"/>
      <c r="K299" s="542"/>
      <c r="L299" s="542"/>
      <c r="M299" s="356"/>
      <c r="N299" s="356"/>
      <c r="O299" s="356"/>
      <c r="P299" s="356"/>
      <c r="Q299" s="356"/>
      <c r="R299" s="356"/>
      <c r="S299" s="356"/>
      <c r="T299" s="356"/>
      <c r="U299" s="356"/>
    </row>
    <row r="300" spans="2:21">
      <c r="B300" s="534"/>
      <c r="C300" s="336"/>
      <c r="D300" s="542" t="s">
        <v>220</v>
      </c>
      <c r="E300" s="542"/>
      <c r="F300" s="542"/>
      <c r="G300" s="542"/>
      <c r="H300" s="542"/>
      <c r="I300" s="542"/>
      <c r="J300" s="542"/>
      <c r="K300" s="542"/>
      <c r="L300" s="542"/>
      <c r="M300" s="356"/>
      <c r="N300" s="356"/>
      <c r="O300" s="356"/>
      <c r="P300" s="356"/>
      <c r="Q300" s="356"/>
      <c r="R300" s="356"/>
      <c r="S300" s="356"/>
      <c r="T300" s="356"/>
      <c r="U300" s="356"/>
    </row>
    <row r="301" spans="2:21">
      <c r="B301" s="534"/>
      <c r="C301" s="336"/>
      <c r="D301" s="542" t="str">
        <f>"expense is included on line "&amp;B207&amp;"."</f>
        <v>expense is included on line 127.</v>
      </c>
      <c r="E301" s="542"/>
      <c r="F301" s="542"/>
      <c r="G301" s="542"/>
      <c r="H301" s="542"/>
      <c r="I301" s="542"/>
      <c r="J301" s="542"/>
      <c r="K301" s="542"/>
      <c r="L301" s="542"/>
      <c r="M301" s="356"/>
      <c r="N301" s="356"/>
      <c r="O301" s="356"/>
      <c r="P301" s="356"/>
      <c r="Q301" s="356"/>
      <c r="R301" s="356"/>
      <c r="S301" s="356"/>
      <c r="T301" s="356"/>
      <c r="U301" s="356"/>
    </row>
    <row r="302" spans="2:21">
      <c r="B302" s="534"/>
      <c r="C302" s="336"/>
      <c r="D302" s="542"/>
      <c r="E302" s="542"/>
      <c r="F302" s="542"/>
      <c r="G302" s="542"/>
      <c r="H302" s="542"/>
      <c r="I302" s="542"/>
      <c r="J302" s="542"/>
      <c r="K302" s="542"/>
      <c r="L302" s="542"/>
      <c r="M302" s="336"/>
      <c r="N302" s="356"/>
      <c r="O302" s="356"/>
      <c r="P302" s="356"/>
      <c r="Q302" s="356"/>
      <c r="R302" s="356"/>
      <c r="S302" s="356"/>
      <c r="T302" s="356"/>
      <c r="U302" s="356"/>
    </row>
    <row r="303" spans="2:21">
      <c r="B303" s="533" t="s">
        <v>156</v>
      </c>
      <c r="C303" s="336"/>
      <c r="D303" s="1535"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35"/>
      <c r="F303" s="1535"/>
      <c r="G303" s="1535"/>
      <c r="H303" s="1535"/>
      <c r="I303" s="1535"/>
      <c r="J303" s="1535"/>
      <c r="K303" s="1535"/>
      <c r="L303" s="542"/>
      <c r="M303" s="336"/>
      <c r="N303" s="356"/>
      <c r="O303" s="356"/>
      <c r="P303" s="356"/>
      <c r="Q303" s="356"/>
      <c r="R303" s="356"/>
      <c r="S303" s="356"/>
      <c r="T303" s="356"/>
      <c r="U303" s="356"/>
    </row>
    <row r="304" spans="2:21">
      <c r="B304" s="533"/>
      <c r="C304" s="336"/>
      <c r="D304" s="1535"/>
      <c r="E304" s="1535"/>
      <c r="F304" s="1535"/>
      <c r="G304" s="1535"/>
      <c r="H304" s="1535"/>
      <c r="I304" s="1535"/>
      <c r="J304" s="1535"/>
      <c r="K304" s="1535"/>
      <c r="L304" s="542"/>
      <c r="M304" s="336"/>
      <c r="N304" s="356"/>
      <c r="O304" s="356"/>
      <c r="P304" s="356"/>
      <c r="Q304" s="356"/>
      <c r="R304" s="356"/>
      <c r="S304" s="356"/>
      <c r="T304" s="356"/>
      <c r="U304" s="356"/>
    </row>
    <row r="305" spans="2:21">
      <c r="B305" s="533"/>
      <c r="C305" s="336"/>
      <c r="D305" s="1535"/>
      <c r="E305" s="1535"/>
      <c r="F305" s="1535"/>
      <c r="G305" s="1535"/>
      <c r="H305" s="1535"/>
      <c r="I305" s="1535"/>
      <c r="J305" s="1535"/>
      <c r="K305" s="1535"/>
      <c r="L305" s="542"/>
      <c r="M305" s="336"/>
      <c r="N305" s="356"/>
      <c r="O305" s="356"/>
      <c r="P305" s="356"/>
      <c r="Q305" s="356"/>
      <c r="R305" s="356"/>
      <c r="S305" s="356"/>
      <c r="T305" s="356"/>
      <c r="U305" s="356"/>
    </row>
    <row r="306" spans="2:21">
      <c r="B306" s="533"/>
      <c r="C306" s="336"/>
      <c r="D306" s="539"/>
      <c r="E306" s="542"/>
      <c r="F306" s="542"/>
      <c r="G306" s="542"/>
      <c r="H306" s="542"/>
      <c r="I306" s="542"/>
      <c r="J306" s="542"/>
      <c r="K306" s="542"/>
      <c r="L306" s="542"/>
      <c r="M306" s="336"/>
      <c r="N306" s="356"/>
      <c r="O306" s="356"/>
      <c r="P306" s="356"/>
      <c r="Q306" s="356"/>
      <c r="R306" s="356"/>
      <c r="S306" s="356"/>
      <c r="T306" s="356"/>
      <c r="U306" s="356"/>
    </row>
    <row r="307" spans="2:21">
      <c r="B307" s="533" t="s">
        <v>157</v>
      </c>
      <c r="C307" s="336"/>
      <c r="D307" s="1538"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38"/>
      <c r="F307" s="1538"/>
      <c r="G307" s="1538"/>
      <c r="H307" s="1538"/>
      <c r="I307" s="1538"/>
      <c r="J307" s="1538"/>
      <c r="K307" s="1538"/>
      <c r="L307" s="542"/>
      <c r="M307" s="336"/>
      <c r="N307" s="356"/>
      <c r="O307" s="356"/>
      <c r="P307" s="356"/>
      <c r="Q307" s="356"/>
      <c r="R307" s="356"/>
      <c r="S307" s="356"/>
      <c r="T307" s="356"/>
      <c r="U307" s="356"/>
    </row>
    <row r="308" spans="2:21">
      <c r="B308" s="533"/>
      <c r="C308" s="336"/>
      <c r="D308" s="1538"/>
      <c r="E308" s="1538"/>
      <c r="F308" s="1538"/>
      <c r="G308" s="1538"/>
      <c r="H308" s="1538"/>
      <c r="I308" s="1538"/>
      <c r="J308" s="1538"/>
      <c r="K308" s="1538"/>
      <c r="L308" s="542"/>
      <c r="M308" s="336"/>
      <c r="N308" s="356"/>
      <c r="O308" s="356"/>
      <c r="P308" s="356"/>
      <c r="Q308" s="356"/>
      <c r="R308" s="356"/>
      <c r="S308" s="356"/>
      <c r="T308" s="356"/>
      <c r="U308" s="356"/>
    </row>
    <row r="309" spans="2:21">
      <c r="B309" s="533"/>
      <c r="C309" s="336"/>
      <c r="D309" s="1539"/>
      <c r="E309" s="1539"/>
      <c r="F309" s="1539"/>
      <c r="G309" s="1539"/>
      <c r="H309" s="1539"/>
      <c r="I309" s="1539"/>
      <c r="J309" s="1539"/>
      <c r="K309" s="1539"/>
      <c r="L309" s="542"/>
      <c r="M309" s="336"/>
      <c r="N309" s="356"/>
      <c r="O309" s="356"/>
      <c r="P309" s="356"/>
      <c r="Q309" s="356"/>
      <c r="R309" s="356"/>
      <c r="S309" s="356"/>
      <c r="T309" s="356"/>
      <c r="U309" s="356"/>
    </row>
    <row r="310" spans="2:21">
      <c r="B310" s="533"/>
      <c r="C310" s="336"/>
      <c r="D310" s="1529"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29"/>
      <c r="F310" s="1529"/>
      <c r="G310" s="1529"/>
      <c r="H310" s="1529"/>
      <c r="I310" s="1529"/>
      <c r="J310" s="1529"/>
      <c r="K310" s="543"/>
      <c r="L310" s="542"/>
      <c r="M310" s="336"/>
      <c r="N310" s="356"/>
      <c r="O310" s="356"/>
      <c r="P310" s="356"/>
      <c r="Q310" s="356"/>
      <c r="R310" s="356"/>
      <c r="S310" s="356"/>
      <c r="T310" s="356"/>
      <c r="U310" s="356"/>
    </row>
    <row r="311" spans="2:21">
      <c r="B311" s="533"/>
      <c r="C311" s="336"/>
      <c r="D311" s="1529"/>
      <c r="E311" s="1529"/>
      <c r="F311" s="1529"/>
      <c r="G311" s="1529"/>
      <c r="H311" s="1529"/>
      <c r="I311" s="1529"/>
      <c r="J311" s="1529"/>
      <c r="K311" s="543"/>
      <c r="L311" s="542"/>
      <c r="M311" s="336"/>
      <c r="N311" s="356"/>
      <c r="O311" s="356"/>
      <c r="P311" s="356"/>
      <c r="Q311" s="356"/>
      <c r="R311" s="356"/>
      <c r="S311" s="356"/>
      <c r="T311" s="356"/>
      <c r="U311" s="356"/>
    </row>
    <row r="312" spans="2:21">
      <c r="B312" s="533"/>
      <c r="C312" s="336"/>
      <c r="D312" s="542" t="str">
        <f>"The company records referenced on line "&amp;B168&amp;" is the "&amp;F9&amp;" general ledger."</f>
        <v>The company records referenced on line 95 is the KINGSPORT POWER COMPANY general ledger.</v>
      </c>
      <c r="E312" s="544"/>
      <c r="F312" s="544"/>
      <c r="G312" s="544"/>
      <c r="H312" s="544"/>
      <c r="I312" s="544"/>
      <c r="J312" s="544"/>
      <c r="K312" s="544"/>
      <c r="L312" s="542"/>
      <c r="M312" s="336"/>
      <c r="N312" s="356"/>
      <c r="O312" s="356"/>
      <c r="P312" s="356"/>
      <c r="Q312" s="356"/>
      <c r="R312" s="356"/>
      <c r="S312" s="356"/>
      <c r="T312" s="356"/>
      <c r="U312" s="356"/>
    </row>
    <row r="313" spans="2:21">
      <c r="B313" s="533"/>
      <c r="C313" s="336"/>
      <c r="D313" s="542"/>
      <c r="E313" s="544"/>
      <c r="F313" s="544"/>
      <c r="G313" s="544"/>
      <c r="H313" s="544"/>
      <c r="I313" s="544"/>
      <c r="J313" s="544"/>
      <c r="K313" s="544"/>
      <c r="L313" s="542"/>
      <c r="M313" s="336"/>
      <c r="N313" s="356"/>
      <c r="O313" s="356"/>
      <c r="P313" s="356"/>
      <c r="Q313" s="356"/>
      <c r="R313" s="356"/>
      <c r="S313" s="356"/>
      <c r="T313" s="356"/>
      <c r="U313" s="356"/>
    </row>
    <row r="314" spans="2:21">
      <c r="B314" s="533" t="s">
        <v>158</v>
      </c>
      <c r="C314" s="336"/>
      <c r="D314" s="336" t="s">
        <v>584</v>
      </c>
      <c r="E314" s="386"/>
      <c r="F314" s="386"/>
      <c r="G314" s="386"/>
      <c r="H314" s="386"/>
      <c r="I314" s="386"/>
      <c r="J314" s="386"/>
      <c r="K314" s="386"/>
      <c r="L314" s="545"/>
      <c r="M314" s="336"/>
      <c r="N314" s="356"/>
      <c r="O314" s="356"/>
      <c r="P314" s="356"/>
      <c r="Q314" s="356"/>
      <c r="R314" s="356"/>
      <c r="S314" s="356"/>
      <c r="T314" s="356"/>
      <c r="U314" s="356"/>
    </row>
    <row r="315" spans="2:21">
      <c r="B315" s="533"/>
      <c r="C315" s="336"/>
      <c r="D315" s="545"/>
      <c r="E315" s="545"/>
      <c r="F315" s="545"/>
      <c r="G315" s="545"/>
      <c r="H315" s="545"/>
      <c r="I315" s="545"/>
      <c r="J315" s="545"/>
      <c r="K315" s="545"/>
      <c r="L315" s="545"/>
      <c r="M315" s="336"/>
      <c r="N315" s="356"/>
      <c r="O315" s="356"/>
      <c r="P315" s="356"/>
      <c r="Q315" s="356"/>
      <c r="R315" s="356"/>
      <c r="S315" s="356"/>
      <c r="T315" s="356"/>
      <c r="U315" s="356"/>
    </row>
    <row r="316" spans="2:21">
      <c r="B316" s="533" t="s">
        <v>159</v>
      </c>
      <c r="C316" s="336"/>
      <c r="D316" s="1533" t="s">
        <v>49</v>
      </c>
      <c r="E316" s="1526"/>
      <c r="F316" s="1526"/>
      <c r="G316" s="1526"/>
      <c r="H316" s="1526"/>
      <c r="I316" s="1526"/>
      <c r="J316" s="1526"/>
      <c r="K316" s="542"/>
      <c r="L316" s="542"/>
      <c r="M316" s="336"/>
      <c r="N316" s="356"/>
      <c r="O316" s="356"/>
      <c r="P316" s="356"/>
      <c r="Q316" s="356"/>
      <c r="R316" s="356"/>
      <c r="S316" s="356"/>
      <c r="T316" s="356"/>
      <c r="U316" s="356"/>
    </row>
    <row r="317" spans="2:21">
      <c r="B317" s="533"/>
      <c r="C317" s="336"/>
      <c r="D317" s="1534"/>
      <c r="E317" s="1534"/>
      <c r="F317" s="1534"/>
      <c r="G317" s="1534"/>
      <c r="H317" s="1534"/>
      <c r="I317" s="1534"/>
      <c r="J317" s="1534"/>
      <c r="K317" s="545"/>
      <c r="L317" s="545"/>
      <c r="M317" s="336"/>
      <c r="N317" s="356"/>
      <c r="O317" s="356"/>
      <c r="P317" s="356"/>
      <c r="Q317" s="356"/>
      <c r="R317" s="356"/>
      <c r="S317" s="356"/>
      <c r="T317" s="356"/>
      <c r="U317" s="356"/>
    </row>
    <row r="318" spans="2:21">
      <c r="B318" s="533"/>
      <c r="C318" s="336"/>
      <c r="D318" s="1526"/>
      <c r="E318" s="1526"/>
      <c r="F318" s="1526"/>
      <c r="G318" s="1526"/>
      <c r="H318" s="1526"/>
      <c r="I318" s="1526"/>
      <c r="J318" s="1526"/>
      <c r="K318" s="542"/>
      <c r="L318" s="542"/>
      <c r="M318" s="336"/>
      <c r="N318" s="356"/>
      <c r="O318" s="356"/>
      <c r="P318" s="356"/>
      <c r="Q318" s="356"/>
      <c r="R318" s="356"/>
      <c r="S318" s="356"/>
      <c r="T318" s="356"/>
      <c r="U318" s="356"/>
    </row>
    <row r="319" spans="2:21">
      <c r="B319" s="533"/>
      <c r="C319" s="336"/>
      <c r="D319" s="542"/>
      <c r="E319" s="542"/>
      <c r="F319" s="542"/>
      <c r="G319" s="542"/>
      <c r="H319" s="542"/>
      <c r="I319" s="542"/>
      <c r="J319" s="542"/>
      <c r="K319" s="542"/>
      <c r="L319" s="542"/>
      <c r="M319" s="336"/>
      <c r="N319" s="356"/>
      <c r="O319" s="356"/>
      <c r="P319" s="356"/>
      <c r="Q319" s="356"/>
      <c r="R319" s="356"/>
      <c r="S319" s="356"/>
      <c r="T319" s="356"/>
      <c r="U319" s="356"/>
    </row>
    <row r="320" spans="2:21" ht="15.75">
      <c r="B320" s="1137" t="s">
        <v>160</v>
      </c>
      <c r="C320" s="1138"/>
      <c r="D320" s="1527" t="s">
        <v>864</v>
      </c>
      <c r="E320" s="1528"/>
      <c r="F320" s="1528"/>
      <c r="G320" s="1528"/>
      <c r="H320" s="1528"/>
      <c r="I320" s="1528"/>
      <c r="J320" s="1528"/>
      <c r="K320" s="1528"/>
      <c r="L320" s="545"/>
      <c r="M320" s="336"/>
      <c r="N320" s="356"/>
      <c r="O320" s="356"/>
      <c r="P320" s="356"/>
      <c r="Q320" s="356"/>
      <c r="R320" s="356"/>
      <c r="S320" s="356"/>
      <c r="T320" s="356"/>
      <c r="U320" s="356"/>
    </row>
    <row r="321" spans="2:21" ht="15.75">
      <c r="B321" s="1105"/>
      <c r="C321" s="1138"/>
      <c r="D321" s="1528"/>
      <c r="E321" s="1528"/>
      <c r="F321" s="1528"/>
      <c r="G321" s="1528"/>
      <c r="H321" s="1528"/>
      <c r="I321" s="1528"/>
      <c r="J321" s="1528"/>
      <c r="K321" s="1528"/>
      <c r="L321" s="542"/>
      <c r="M321" s="336"/>
      <c r="N321" s="356"/>
      <c r="O321" s="356"/>
      <c r="P321" s="356"/>
      <c r="Q321" s="356"/>
      <c r="R321" s="356"/>
      <c r="S321" s="356"/>
      <c r="T321" s="356"/>
      <c r="U321" s="356"/>
    </row>
    <row r="322" spans="2:21">
      <c r="B322" s="533"/>
      <c r="C322" s="336"/>
      <c r="D322" s="542"/>
      <c r="E322" s="542"/>
      <c r="F322" s="542"/>
      <c r="G322" s="542"/>
      <c r="H322" s="542"/>
      <c r="I322" s="542"/>
      <c r="J322" s="542"/>
      <c r="K322" s="542"/>
      <c r="L322" s="542"/>
      <c r="M322" s="336"/>
      <c r="N322" s="356"/>
      <c r="O322" s="356"/>
      <c r="P322" s="356"/>
      <c r="Q322" s="356"/>
      <c r="R322" s="356"/>
      <c r="S322" s="356"/>
      <c r="T322" s="356"/>
      <c r="U322" s="356"/>
    </row>
    <row r="323" spans="2:21">
      <c r="B323" s="370" t="s">
        <v>161</v>
      </c>
      <c r="C323" s="371"/>
      <c r="D323" s="1536" t="s">
        <v>585</v>
      </c>
      <c r="E323" s="1536"/>
      <c r="F323" s="1536"/>
      <c r="G323" s="1536"/>
      <c r="H323" s="1536"/>
      <c r="I323" s="1536"/>
      <c r="J323" s="1536"/>
      <c r="K323" s="1536"/>
      <c r="L323" s="1536"/>
      <c r="M323" s="336"/>
      <c r="N323" s="356"/>
      <c r="O323" s="356"/>
      <c r="P323" s="356"/>
      <c r="Q323" s="356"/>
      <c r="R323" s="356"/>
      <c r="S323" s="356"/>
      <c r="T323" s="356"/>
      <c r="U323" s="356"/>
    </row>
    <row r="324" spans="2:21">
      <c r="B324" s="370"/>
      <c r="C324" s="371"/>
      <c r="D324" s="1536"/>
      <c r="E324" s="1536"/>
      <c r="F324" s="1536"/>
      <c r="G324" s="1536"/>
      <c r="H324" s="1536"/>
      <c r="I324" s="1536"/>
      <c r="J324" s="1536"/>
      <c r="K324" s="1536"/>
      <c r="L324" s="1536"/>
      <c r="M324" s="336"/>
      <c r="N324" s="356"/>
      <c r="O324" s="356"/>
      <c r="P324" s="356"/>
      <c r="Q324" s="356"/>
      <c r="R324" s="356"/>
      <c r="S324" s="356"/>
      <c r="T324" s="356"/>
      <c r="U324" s="356"/>
    </row>
    <row r="325" spans="2:21">
      <c r="B325" s="370"/>
      <c r="C325" s="371"/>
      <c r="D325" s="1536"/>
      <c r="E325" s="1536"/>
      <c r="F325" s="1536"/>
      <c r="G325" s="1536"/>
      <c r="H325" s="1536"/>
      <c r="I325" s="1536"/>
      <c r="J325" s="1536"/>
      <c r="K325" s="1536"/>
      <c r="L325" s="1536"/>
      <c r="M325" s="336"/>
      <c r="N325" s="356"/>
      <c r="O325" s="356"/>
      <c r="P325" s="356"/>
      <c r="Q325" s="356"/>
      <c r="R325" s="356"/>
      <c r="S325" s="356"/>
      <c r="T325" s="356"/>
      <c r="U325" s="356"/>
    </row>
    <row r="326" spans="2:21">
      <c r="B326" s="370"/>
      <c r="C326" s="371"/>
      <c r="D326" s="1536"/>
      <c r="E326" s="1536"/>
      <c r="F326" s="1536"/>
      <c r="G326" s="1536"/>
      <c r="H326" s="1536"/>
      <c r="I326" s="1536"/>
      <c r="J326" s="1536"/>
      <c r="K326" s="1536"/>
      <c r="L326" s="1536"/>
      <c r="M326" s="336"/>
      <c r="N326" s="356"/>
      <c r="O326" s="356"/>
      <c r="P326" s="356"/>
      <c r="Q326" s="356"/>
      <c r="R326" s="356"/>
      <c r="S326" s="356"/>
      <c r="T326" s="356"/>
      <c r="U326" s="356"/>
    </row>
    <row r="327" spans="2:21">
      <c r="B327" s="370"/>
      <c r="C327" s="371"/>
      <c r="D327" s="542"/>
      <c r="E327" s="541"/>
      <c r="F327" s="541"/>
      <c r="G327" s="541"/>
      <c r="H327" s="541"/>
      <c r="I327" s="541"/>
      <c r="J327" s="541"/>
      <c r="K327" s="541"/>
      <c r="L327" s="541"/>
      <c r="M327" s="336"/>
      <c r="N327" s="356"/>
      <c r="O327" s="356"/>
      <c r="P327" s="356"/>
      <c r="Q327" s="356"/>
      <c r="R327" s="356"/>
      <c r="S327" s="356"/>
      <c r="T327" s="356"/>
      <c r="U327" s="356"/>
    </row>
    <row r="328" spans="2:21" ht="15" customHeight="1">
      <c r="B328" s="370" t="s">
        <v>162</v>
      </c>
      <c r="C328" s="371"/>
      <c r="D328" s="1530" t="s">
        <v>859</v>
      </c>
      <c r="E328" s="1531"/>
      <c r="F328" s="1531"/>
      <c r="G328" s="1531"/>
      <c r="H328" s="1531"/>
      <c r="I328" s="1531"/>
      <c r="J328" s="1531"/>
      <c r="K328" s="1531"/>
      <c r="L328" s="1532"/>
      <c r="M328" s="336"/>
      <c r="N328" s="356"/>
      <c r="O328" s="356"/>
      <c r="P328" s="356"/>
      <c r="Q328" s="356"/>
      <c r="R328" s="356"/>
      <c r="S328" s="356"/>
      <c r="T328" s="356"/>
      <c r="U328" s="356"/>
    </row>
    <row r="329" spans="2:21">
      <c r="B329" s="370"/>
      <c r="C329" s="371"/>
      <c r="D329" s="1531"/>
      <c r="E329" s="1531"/>
      <c r="F329" s="1531"/>
      <c r="G329" s="1531"/>
      <c r="H329" s="1531"/>
      <c r="I329" s="1531"/>
      <c r="J329" s="1531"/>
      <c r="K329" s="1531"/>
      <c r="L329" s="1532"/>
      <c r="M329" s="336"/>
      <c r="N329" s="356"/>
      <c r="O329" s="356"/>
      <c r="P329" s="356"/>
      <c r="Q329" s="356"/>
      <c r="R329" s="356"/>
      <c r="S329" s="356"/>
      <c r="T329" s="356"/>
      <c r="U329" s="356"/>
    </row>
    <row r="330" spans="2:21">
      <c r="B330" s="370"/>
      <c r="C330" s="371"/>
      <c r="D330" s="1532"/>
      <c r="E330" s="1532"/>
      <c r="F330" s="1532"/>
      <c r="G330" s="1532"/>
      <c r="H330" s="1532"/>
      <c r="I330" s="1532"/>
      <c r="J330" s="1532"/>
      <c r="K330" s="1532"/>
      <c r="L330" s="1532"/>
      <c r="M330" s="336"/>
      <c r="N330" s="356"/>
      <c r="O330" s="356"/>
      <c r="P330" s="356"/>
      <c r="Q330" s="356"/>
      <c r="R330" s="356"/>
      <c r="S330" s="356"/>
      <c r="T330" s="356"/>
      <c r="U330" s="356"/>
    </row>
    <row r="331" spans="2:21">
      <c r="B331" s="370"/>
      <c r="C331" s="371"/>
      <c r="D331" s="485"/>
      <c r="E331" s="356"/>
      <c r="F331" s="356"/>
      <c r="G331" s="356"/>
      <c r="H331" s="356"/>
      <c r="I331" s="356"/>
      <c r="J331" s="356"/>
      <c r="K331" s="356"/>
      <c r="L331" s="356"/>
      <c r="M331" s="336"/>
      <c r="N331" s="356"/>
      <c r="O331" s="356"/>
      <c r="P331" s="356"/>
      <c r="Q331" s="356"/>
      <c r="R331" s="356"/>
      <c r="S331" s="356"/>
      <c r="T331" s="356"/>
      <c r="U331" s="356"/>
    </row>
    <row r="332" spans="2:21">
      <c r="B332" s="440" t="s">
        <v>247</v>
      </c>
      <c r="C332" s="371"/>
      <c r="D332" s="382" t="s">
        <v>357</v>
      </c>
      <c r="E332" s="339"/>
      <c r="F332" s="339"/>
      <c r="G332" s="339"/>
      <c r="H332" s="339"/>
      <c r="I332" s="339"/>
      <c r="J332" s="339"/>
      <c r="K332" s="336"/>
      <c r="L332" s="336"/>
      <c r="M332" s="336"/>
      <c r="N332" s="356"/>
      <c r="O332" s="356"/>
      <c r="P332" s="356"/>
      <c r="Q332" s="356"/>
      <c r="R332" s="356"/>
      <c r="S332" s="356"/>
      <c r="T332" s="356"/>
      <c r="U332" s="356"/>
    </row>
    <row r="333" spans="2:21">
      <c r="B333" s="440"/>
      <c r="C333" s="371"/>
      <c r="D333" s="339"/>
      <c r="E333" s="339"/>
      <c r="F333" s="339"/>
      <c r="G333" s="339"/>
      <c r="H333" s="339"/>
      <c r="I333" s="339"/>
      <c r="J333" s="339"/>
      <c r="K333" s="336"/>
      <c r="L333" s="336"/>
      <c r="M333" s="336"/>
      <c r="N333" s="356"/>
      <c r="O333" s="356"/>
      <c r="P333" s="356"/>
      <c r="Q333" s="356"/>
      <c r="R333" s="356"/>
      <c r="S333" s="356"/>
      <c r="T333" s="356"/>
      <c r="U333" s="356"/>
    </row>
    <row r="334" spans="2:21">
      <c r="B334" s="370" t="s">
        <v>306</v>
      </c>
      <c r="C334" s="371"/>
      <c r="D334" s="382" t="s">
        <v>346</v>
      </c>
      <c r="E334" s="336"/>
      <c r="F334" s="336"/>
      <c r="G334" s="336"/>
      <c r="H334" s="336"/>
      <c r="I334" s="336"/>
      <c r="J334" s="336"/>
      <c r="K334" s="336"/>
      <c r="L334" s="336"/>
      <c r="M334" s="336"/>
      <c r="N334" s="356"/>
      <c r="O334" s="356"/>
      <c r="P334" s="356"/>
      <c r="Q334" s="356"/>
      <c r="R334" s="356"/>
      <c r="S334" s="356"/>
      <c r="T334" s="356"/>
      <c r="U334" s="356"/>
    </row>
    <row r="335" spans="2:21">
      <c r="B335" s="440"/>
      <c r="C335" s="371"/>
      <c r="D335" s="382" t="s">
        <v>235</v>
      </c>
      <c r="E335" s="336"/>
      <c r="F335" s="336"/>
      <c r="G335" s="336"/>
      <c r="H335" s="336"/>
      <c r="I335" s="336"/>
      <c r="J335" s="336"/>
      <c r="K335" s="336"/>
      <c r="L335" s="336"/>
      <c r="M335" s="336"/>
      <c r="N335" s="356"/>
      <c r="O335" s="356"/>
      <c r="P335" s="356"/>
      <c r="Q335" s="356"/>
      <c r="R335" s="356"/>
      <c r="S335" s="356"/>
      <c r="T335" s="356"/>
      <c r="U335" s="356"/>
    </row>
    <row r="336" spans="2:21">
      <c r="B336" s="440"/>
      <c r="C336" s="371"/>
      <c r="D336" s="382" t="s">
        <v>236</v>
      </c>
      <c r="E336" s="336"/>
      <c r="F336" s="336"/>
      <c r="G336" s="336"/>
      <c r="H336" s="336"/>
      <c r="I336" s="336"/>
      <c r="J336" s="336"/>
      <c r="K336" s="336"/>
      <c r="L336" s="336"/>
      <c r="M336" s="336"/>
      <c r="N336" s="356"/>
      <c r="O336" s="356"/>
      <c r="P336" s="356"/>
      <c r="Q336" s="356"/>
      <c r="R336" s="356"/>
      <c r="S336" s="356"/>
      <c r="T336" s="356"/>
      <c r="U336" s="356"/>
    </row>
    <row r="337" spans="2:21">
      <c r="B337" s="440"/>
      <c r="C337" s="371"/>
      <c r="D337" s="382" t="s">
        <v>237</v>
      </c>
      <c r="E337" s="336"/>
      <c r="F337" s="336"/>
      <c r="G337" s="336"/>
      <c r="H337" s="336"/>
      <c r="I337" s="336"/>
      <c r="J337" s="336"/>
      <c r="K337" s="336"/>
      <c r="L337" s="336"/>
      <c r="M337" s="336"/>
      <c r="N337" s="356"/>
      <c r="O337" s="356"/>
      <c r="P337" s="356"/>
      <c r="Q337" s="356"/>
      <c r="R337" s="356"/>
      <c r="S337" s="356"/>
      <c r="T337" s="356"/>
      <c r="U337" s="356"/>
    </row>
    <row r="338" spans="2:21">
      <c r="B338" s="370"/>
      <c r="C338" s="371"/>
      <c r="D338" s="382" t="str">
        <f>"(ln "&amp;B194&amp;") multiplied by (1/1-T) .  If the applicable tax rates are zero enter 0."</f>
        <v>(ln 118) multiplied by (1/1-T) .  If the applicable tax rates are zero enter 0.</v>
      </c>
      <c r="H338" s="336"/>
      <c r="I338" s="336"/>
      <c r="J338" s="336"/>
      <c r="K338" s="336"/>
      <c r="L338" s="336"/>
      <c r="M338" s="336"/>
      <c r="N338" s="356"/>
      <c r="O338" s="356"/>
      <c r="P338" s="356"/>
      <c r="Q338" s="356"/>
      <c r="R338" s="356"/>
      <c r="S338" s="356"/>
      <c r="T338" s="356"/>
      <c r="U338" s="356"/>
    </row>
    <row r="339" spans="2:21">
      <c r="B339" s="546"/>
      <c r="C339" s="356"/>
      <c r="D339" s="382" t="s">
        <v>347</v>
      </c>
      <c r="E339" s="356" t="s">
        <v>348</v>
      </c>
      <c r="F339" s="871">
        <v>0.21</v>
      </c>
      <c r="G339" s="356"/>
      <c r="H339" s="336"/>
      <c r="I339" s="336"/>
      <c r="J339" s="336"/>
      <c r="K339" s="336"/>
      <c r="L339" s="336"/>
      <c r="M339" s="336"/>
      <c r="N339" s="356"/>
      <c r="O339" s="356"/>
      <c r="P339" s="356"/>
      <c r="Q339" s="356"/>
      <c r="R339" s="356"/>
      <c r="S339" s="356"/>
      <c r="T339" s="356"/>
      <c r="U339" s="356"/>
    </row>
    <row r="340" spans="2:21">
      <c r="B340" s="546"/>
      <c r="C340" s="356"/>
      <c r="D340" s="382"/>
      <c r="E340" s="356" t="s">
        <v>349</v>
      </c>
      <c r="F340" s="535">
        <f>+'WS G  State Tax Rate'!F18</f>
        <v>6.4959000000000003E-2</v>
      </c>
      <c r="G340" s="356" t="s">
        <v>507</v>
      </c>
      <c r="H340" s="336"/>
      <c r="I340" s="336"/>
      <c r="J340" s="336"/>
      <c r="K340" s="336"/>
      <c r="L340" s="336"/>
      <c r="M340" s="336"/>
      <c r="N340" s="356"/>
      <c r="O340" s="356"/>
      <c r="P340" s="356"/>
      <c r="Q340" s="356"/>
      <c r="R340" s="356"/>
      <c r="S340" s="356"/>
      <c r="T340" s="356"/>
      <c r="U340" s="356"/>
    </row>
    <row r="341" spans="2:21">
      <c r="B341" s="546"/>
      <c r="C341" s="356"/>
      <c r="D341" s="382"/>
      <c r="E341" s="356" t="s">
        <v>350</v>
      </c>
      <c r="F341" s="871">
        <v>0</v>
      </c>
      <c r="G341" s="356" t="s">
        <v>351</v>
      </c>
      <c r="H341" s="336"/>
      <c r="I341" s="336"/>
      <c r="J341" s="336"/>
      <c r="K341" s="336"/>
      <c r="L341" s="336"/>
      <c r="M341" s="336"/>
      <c r="N341" s="356"/>
      <c r="O341" s="356"/>
      <c r="P341" s="356"/>
      <c r="Q341" s="356"/>
      <c r="R341" s="356"/>
      <c r="S341" s="356"/>
      <c r="T341" s="356"/>
      <c r="U341" s="356"/>
    </row>
    <row r="342" spans="2:21">
      <c r="B342" s="440"/>
      <c r="C342" s="371"/>
      <c r="D342" s="382" t="s">
        <v>595</v>
      </c>
      <c r="E342" s="336"/>
      <c r="F342" s="336"/>
      <c r="G342" s="336"/>
      <c r="H342" s="336"/>
      <c r="I342" s="336"/>
      <c r="J342" s="336"/>
      <c r="K342" s="336"/>
      <c r="L342" s="336"/>
      <c r="M342" s="356"/>
      <c r="N342" s="356"/>
      <c r="O342" s="356"/>
      <c r="P342" s="356"/>
      <c r="Q342" s="356"/>
      <c r="R342" s="356"/>
      <c r="S342" s="356"/>
      <c r="T342" s="356"/>
      <c r="U342" s="356"/>
    </row>
    <row r="343" spans="2:21">
      <c r="B343" s="440"/>
      <c r="C343" s="371"/>
      <c r="D343" s="382" t="s">
        <v>596</v>
      </c>
      <c r="E343" s="336"/>
      <c r="F343" s="336"/>
      <c r="G343" s="336"/>
      <c r="H343" s="336"/>
      <c r="I343" s="336"/>
      <c r="J343" s="336"/>
      <c r="K343" s="336"/>
      <c r="L343" s="336"/>
      <c r="M343" s="356"/>
      <c r="N343" s="356"/>
      <c r="O343" s="356"/>
      <c r="P343" s="356"/>
      <c r="Q343" s="356"/>
      <c r="R343" s="356"/>
      <c r="S343" s="356"/>
      <c r="T343" s="356"/>
      <c r="U343" s="356"/>
    </row>
    <row r="344" spans="2:21">
      <c r="B344" s="370" t="s">
        <v>352</v>
      </c>
      <c r="C344" s="371"/>
      <c r="D344" s="382" t="s">
        <v>226</v>
      </c>
      <c r="E344" s="336"/>
      <c r="F344" s="336"/>
      <c r="G344" s="336"/>
      <c r="H344" s="336"/>
      <c r="I344" s="336"/>
      <c r="J344" s="336"/>
      <c r="K344" s="336"/>
      <c r="L344" s="336"/>
      <c r="M344" s="336"/>
      <c r="N344" s="356"/>
      <c r="O344" s="356"/>
      <c r="P344" s="356"/>
      <c r="Q344" s="356"/>
      <c r="R344" s="356"/>
      <c r="S344" s="356"/>
      <c r="T344" s="356"/>
      <c r="U344" s="356"/>
    </row>
    <row r="345" spans="2:21">
      <c r="B345" s="331"/>
      <c r="D345" s="382"/>
      <c r="E345" s="336"/>
      <c r="F345" s="336"/>
      <c r="G345" s="336"/>
      <c r="H345" s="336"/>
      <c r="I345" s="336"/>
      <c r="J345" s="336"/>
      <c r="K345" s="336"/>
      <c r="L345" s="336"/>
      <c r="M345" s="336"/>
      <c r="N345" s="356"/>
      <c r="O345" s="356"/>
      <c r="P345" s="356"/>
      <c r="Q345" s="356"/>
      <c r="R345" s="356"/>
      <c r="S345" s="356"/>
      <c r="T345" s="356"/>
      <c r="U345" s="356"/>
    </row>
    <row r="346" spans="2:21">
      <c r="B346" s="370" t="s">
        <v>353</v>
      </c>
      <c r="C346" s="371"/>
      <c r="D346" s="382" t="s">
        <v>22</v>
      </c>
      <c r="E346" s="336"/>
      <c r="F346" s="336"/>
      <c r="G346" s="336"/>
      <c r="H346" s="336"/>
      <c r="I346" s="336"/>
      <c r="J346" s="336"/>
      <c r="K346" s="336"/>
      <c r="L346" s="336"/>
      <c r="M346" s="336"/>
      <c r="N346" s="356"/>
      <c r="O346" s="356"/>
      <c r="P346" s="356"/>
      <c r="Q346" s="356"/>
      <c r="R346" s="356"/>
      <c r="S346" s="356"/>
      <c r="T346" s="356"/>
      <c r="U346" s="356"/>
    </row>
    <row r="347" spans="2:21">
      <c r="B347" s="370"/>
      <c r="C347" s="371"/>
      <c r="D347" s="382"/>
      <c r="E347" s="356"/>
      <c r="F347" s="356"/>
      <c r="G347" s="356"/>
      <c r="H347" s="356"/>
      <c r="I347" s="356"/>
      <c r="J347" s="356"/>
      <c r="K347" s="356"/>
      <c r="L347" s="356"/>
      <c r="M347" s="356"/>
      <c r="N347" s="356"/>
      <c r="O347" s="356"/>
      <c r="P347" s="356"/>
      <c r="Q347" s="356"/>
      <c r="R347" s="356"/>
      <c r="S347" s="356"/>
      <c r="T347" s="356"/>
      <c r="U347" s="356"/>
    </row>
    <row r="348" spans="2:21">
      <c r="B348" s="370" t="s">
        <v>354</v>
      </c>
      <c r="C348" s="371"/>
      <c r="D348" s="382" t="s">
        <v>417</v>
      </c>
      <c r="E348" s="356"/>
      <c r="F348" s="356"/>
      <c r="G348" s="356"/>
      <c r="H348" s="356"/>
      <c r="I348" s="356"/>
      <c r="J348" s="356"/>
      <c r="K348" s="356"/>
      <c r="L348" s="356"/>
      <c r="M348" s="356"/>
      <c r="N348" s="356"/>
      <c r="O348" s="356"/>
      <c r="P348" s="356"/>
      <c r="Q348" s="356"/>
      <c r="R348" s="356"/>
      <c r="S348" s="356"/>
      <c r="T348" s="356"/>
      <c r="U348" s="356"/>
    </row>
    <row r="349" spans="2:21">
      <c r="B349" s="370"/>
      <c r="C349" s="371"/>
      <c r="D349" s="382"/>
      <c r="E349" s="356"/>
      <c r="F349" s="356"/>
      <c r="G349" s="356"/>
      <c r="H349" s="356"/>
      <c r="I349" s="356"/>
      <c r="J349" s="356"/>
      <c r="K349" s="356"/>
      <c r="L349" s="356"/>
      <c r="M349" s="356"/>
      <c r="N349" s="356"/>
      <c r="O349" s="356"/>
      <c r="P349" s="356"/>
      <c r="Q349" s="356"/>
      <c r="R349" s="356"/>
      <c r="S349" s="356"/>
      <c r="T349" s="356"/>
      <c r="U349" s="356"/>
    </row>
    <row r="350" spans="2:21">
      <c r="B350" s="533" t="s">
        <v>355</v>
      </c>
      <c r="C350" s="441"/>
      <c r="D350" s="382" t="s">
        <v>1138</v>
      </c>
      <c r="M350" s="356"/>
      <c r="N350" s="356"/>
      <c r="O350" s="356"/>
      <c r="P350" s="356"/>
      <c r="Q350" s="356"/>
      <c r="R350" s="356"/>
      <c r="S350" s="356"/>
      <c r="T350" s="356"/>
      <c r="U350" s="356"/>
    </row>
    <row r="351" spans="2:21">
      <c r="B351" s="534"/>
      <c r="C351" s="336"/>
      <c r="D351" s="382" t="s">
        <v>1139</v>
      </c>
      <c r="M351" s="356"/>
      <c r="N351" s="356"/>
      <c r="O351" s="356"/>
      <c r="P351" s="356"/>
      <c r="Q351" s="356"/>
      <c r="R351" s="356"/>
      <c r="S351" s="356"/>
      <c r="T351" s="356"/>
      <c r="U351" s="356"/>
    </row>
    <row r="352" spans="2:21" ht="15" customHeight="1">
      <c r="B352" s="534"/>
      <c r="C352" s="336"/>
      <c r="D352" s="1537" t="s">
        <v>1140</v>
      </c>
      <c r="E352" s="1537"/>
      <c r="F352" s="1537"/>
      <c r="G352" s="1537"/>
      <c r="H352" s="1537"/>
      <c r="I352" s="1537"/>
      <c r="J352" s="1537"/>
      <c r="K352" s="1537"/>
      <c r="L352" s="1537"/>
      <c r="M352" s="356"/>
      <c r="N352" s="356"/>
      <c r="O352" s="356"/>
      <c r="P352" s="356"/>
      <c r="Q352" s="356"/>
      <c r="R352" s="356"/>
      <c r="S352" s="356"/>
      <c r="T352" s="356"/>
      <c r="U352" s="356"/>
    </row>
    <row r="353" spans="2:21">
      <c r="B353" s="534"/>
      <c r="C353" s="336"/>
      <c r="D353" s="1537"/>
      <c r="E353" s="1537"/>
      <c r="F353" s="1537"/>
      <c r="G353" s="1537"/>
      <c r="H353" s="1537"/>
      <c r="I353" s="1537"/>
      <c r="J353" s="1537"/>
      <c r="K353" s="1537"/>
      <c r="L353" s="1537"/>
      <c r="M353" s="356"/>
      <c r="N353" s="356"/>
      <c r="O353" s="356"/>
      <c r="P353" s="356"/>
      <c r="Q353" s="356"/>
      <c r="R353" s="356"/>
      <c r="S353" s="356"/>
      <c r="T353" s="356"/>
      <c r="U353" s="356"/>
    </row>
    <row r="354" spans="2:21" ht="14.25" customHeight="1">
      <c r="B354" s="534"/>
      <c r="C354" s="336"/>
      <c r="D354" s="1537"/>
      <c r="E354" s="1537"/>
      <c r="F354" s="1537"/>
      <c r="G354" s="1537"/>
      <c r="H354" s="1537"/>
      <c r="I354" s="1537"/>
      <c r="J354" s="1537"/>
      <c r="K354" s="1537"/>
      <c r="L354" s="1537"/>
      <c r="M354" s="356"/>
      <c r="N354" s="356"/>
      <c r="O354" s="356"/>
      <c r="P354" s="356"/>
      <c r="Q354" s="356"/>
      <c r="R354" s="356"/>
      <c r="S354" s="356"/>
      <c r="T354" s="356"/>
      <c r="U354" s="356"/>
    </row>
    <row r="355" spans="2:21" ht="15" hidden="1" customHeight="1">
      <c r="B355" s="534"/>
      <c r="C355" s="336"/>
      <c r="D355" s="1537"/>
      <c r="E355" s="1537"/>
      <c r="F355" s="1537"/>
      <c r="G355" s="1537"/>
      <c r="H355" s="1537"/>
      <c r="I355" s="1537"/>
      <c r="J355" s="1537"/>
      <c r="K355" s="1537"/>
      <c r="L355" s="1537"/>
      <c r="M355" s="356"/>
      <c r="N355" s="356"/>
      <c r="O355" s="356"/>
      <c r="P355" s="356"/>
      <c r="Q355" s="356"/>
      <c r="R355" s="356"/>
      <c r="S355" s="356"/>
      <c r="T355" s="356"/>
      <c r="U355" s="356"/>
    </row>
    <row r="356" spans="2:21" ht="15" hidden="1" customHeight="1">
      <c r="B356" s="534"/>
      <c r="C356" s="336"/>
      <c r="D356" s="1537"/>
      <c r="E356" s="1537"/>
      <c r="F356" s="1537"/>
      <c r="G356" s="1537"/>
      <c r="H356" s="1537"/>
      <c r="I356" s="1537"/>
      <c r="J356" s="1537"/>
      <c r="K356" s="1537"/>
      <c r="L356" s="1537"/>
      <c r="M356" s="356"/>
      <c r="N356" s="356"/>
      <c r="O356" s="356"/>
      <c r="P356" s="356"/>
      <c r="Q356" s="356"/>
      <c r="R356" s="356"/>
      <c r="S356" s="356"/>
      <c r="T356" s="356"/>
      <c r="U356" s="356"/>
    </row>
    <row r="357" spans="2:21" ht="15" hidden="1" customHeight="1">
      <c r="B357" s="534"/>
      <c r="C357" s="336"/>
      <c r="D357" s="1537"/>
      <c r="E357" s="1537"/>
      <c r="F357" s="1537"/>
      <c r="G357" s="1537"/>
      <c r="H357" s="1537"/>
      <c r="I357" s="1537"/>
      <c r="J357" s="1537"/>
      <c r="K357" s="1537"/>
      <c r="L357" s="1537"/>
      <c r="M357" s="356"/>
      <c r="N357" s="356"/>
      <c r="O357" s="356"/>
      <c r="P357" s="356"/>
      <c r="Q357" s="356"/>
      <c r="R357" s="356"/>
      <c r="S357" s="356"/>
      <c r="T357" s="356"/>
      <c r="U357" s="356"/>
    </row>
    <row r="358" spans="2:21" s="336" customFormat="1">
      <c r="B358" s="370" t="s">
        <v>428</v>
      </c>
      <c r="C358" s="371"/>
      <c r="D358" s="542" t="s">
        <v>35</v>
      </c>
      <c r="E358" s="542"/>
      <c r="F358" s="542"/>
      <c r="G358" s="542"/>
      <c r="H358" s="542"/>
      <c r="I358" s="542"/>
      <c r="J358" s="542"/>
      <c r="M358" s="356"/>
      <c r="N358" s="356"/>
      <c r="O358" s="356"/>
      <c r="P358" s="356"/>
      <c r="Q358" s="356"/>
      <c r="R358" s="356"/>
      <c r="S358" s="356"/>
      <c r="T358" s="356"/>
      <c r="U358" s="356"/>
    </row>
    <row r="359" spans="2:21" s="336" customFormat="1">
      <c r="B359" s="370"/>
      <c r="C359" s="371"/>
      <c r="D359" s="542" t="str">
        <f>"This total balance of $265,249,280 at 12/31/12 is not included in the balance in line "&amp;B255&amp;" above."</f>
        <v>This total balance of $265,249,280 at 12/31/12 is not included in the balance in line 154 above.</v>
      </c>
      <c r="E359" s="542"/>
      <c r="F359" s="542"/>
      <c r="G359" s="542"/>
      <c r="H359" s="542"/>
      <c r="I359" s="542"/>
      <c r="J359" s="542"/>
      <c r="M359" s="356"/>
      <c r="N359" s="356"/>
      <c r="O359" s="356"/>
      <c r="P359" s="356"/>
      <c r="Q359" s="356"/>
      <c r="R359" s="356"/>
      <c r="S359" s="356"/>
      <c r="T359" s="356"/>
      <c r="U359" s="356"/>
    </row>
    <row r="360" spans="2:21" s="336" customFormat="1">
      <c r="B360" s="370"/>
      <c r="C360" s="371"/>
      <c r="D360" s="1523" t="s">
        <v>586</v>
      </c>
      <c r="E360" s="1523"/>
      <c r="F360" s="1523"/>
      <c r="G360" s="1523"/>
      <c r="H360" s="1523"/>
      <c r="I360" s="1523"/>
      <c r="J360" s="1523"/>
      <c r="K360" s="1523"/>
      <c r="L360" s="1523"/>
      <c r="M360" s="356"/>
      <c r="N360" s="356"/>
      <c r="O360" s="356"/>
      <c r="P360" s="356"/>
      <c r="Q360" s="356"/>
      <c r="R360" s="356"/>
      <c r="S360" s="356"/>
      <c r="T360" s="356"/>
      <c r="U360" s="356"/>
    </row>
    <row r="361" spans="2:21" s="336" customFormat="1">
      <c r="B361" s="370"/>
      <c r="C361" s="371"/>
      <c r="D361" s="1523"/>
      <c r="E361" s="1523"/>
      <c r="F361" s="1523"/>
      <c r="G361" s="1523"/>
      <c r="H361" s="1523"/>
      <c r="I361" s="1523"/>
      <c r="J361" s="1523"/>
      <c r="K361" s="1523"/>
      <c r="L361" s="1523"/>
      <c r="M361" s="356"/>
      <c r="N361" s="356"/>
      <c r="O361" s="356"/>
      <c r="P361" s="356"/>
      <c r="Q361" s="356"/>
      <c r="R361" s="356"/>
      <c r="S361" s="356"/>
      <c r="T361" s="356"/>
      <c r="U361" s="356"/>
    </row>
    <row r="362" spans="2:21" s="336" customFormat="1">
      <c r="B362" s="370"/>
      <c r="C362" s="371"/>
      <c r="D362" s="1523"/>
      <c r="E362" s="1523"/>
      <c r="F362" s="1523"/>
      <c r="G362" s="1523"/>
      <c r="H362" s="1523"/>
      <c r="I362" s="1523"/>
      <c r="J362" s="1523"/>
      <c r="K362" s="1523"/>
      <c r="L362" s="1523"/>
      <c r="M362" s="356"/>
      <c r="N362" s="356"/>
      <c r="O362" s="356"/>
      <c r="P362" s="356"/>
      <c r="Q362" s="356"/>
      <c r="R362" s="356"/>
      <c r="S362" s="356"/>
      <c r="T362" s="356"/>
      <c r="U362" s="356"/>
    </row>
    <row r="363" spans="2:21">
      <c r="B363" s="370" t="s">
        <v>496</v>
      </c>
      <c r="C363" s="547"/>
      <c r="D363" s="1523" t="s">
        <v>759</v>
      </c>
      <c r="E363" s="1523"/>
      <c r="F363" s="1523"/>
      <c r="G363" s="1523"/>
      <c r="H363" s="1523"/>
      <c r="I363" s="1523"/>
      <c r="J363" s="1523"/>
      <c r="K363" s="1523"/>
      <c r="L363" s="1523"/>
      <c r="M363" s="356"/>
      <c r="N363" s="356"/>
      <c r="O363" s="356"/>
      <c r="P363" s="356"/>
      <c r="Q363" s="356"/>
      <c r="R363" s="356"/>
      <c r="S363" s="356"/>
      <c r="T363" s="356"/>
      <c r="U363" s="356"/>
    </row>
    <row r="364" spans="2:21" ht="64.5" customHeight="1">
      <c r="B364" s="370"/>
      <c r="C364" s="371"/>
      <c r="D364" s="1523"/>
      <c r="E364" s="1523"/>
      <c r="F364" s="1523"/>
      <c r="G364" s="1523"/>
      <c r="H364" s="1523"/>
      <c r="I364" s="1523"/>
      <c r="J364" s="1523"/>
      <c r="K364" s="1523"/>
      <c r="L364" s="1523"/>
      <c r="M364" s="356"/>
      <c r="N364" s="356"/>
      <c r="O364" s="356"/>
      <c r="P364" s="356"/>
      <c r="Q364" s="356"/>
      <c r="R364" s="356"/>
      <c r="S364" s="356"/>
      <c r="T364" s="356"/>
      <c r="U364" s="356"/>
    </row>
    <row r="365" spans="2:21">
      <c r="B365" s="370" t="s">
        <v>588</v>
      </c>
      <c r="C365" s="371"/>
      <c r="D365" s="1541" t="s">
        <v>587</v>
      </c>
      <c r="E365" s="1541"/>
      <c r="F365" s="1541"/>
      <c r="G365" s="1541"/>
      <c r="H365" s="1541"/>
      <c r="I365" s="1541"/>
      <c r="J365" s="1541"/>
      <c r="K365" s="1541"/>
      <c r="L365" s="1541"/>
      <c r="M365" s="356"/>
      <c r="N365" s="356"/>
      <c r="O365" s="356"/>
      <c r="P365" s="356"/>
      <c r="Q365" s="356"/>
      <c r="R365" s="356"/>
      <c r="S365" s="356"/>
      <c r="T365" s="356"/>
      <c r="U365" s="356"/>
    </row>
    <row r="366" spans="2:21">
      <c r="B366" s="370"/>
      <c r="C366" s="371"/>
      <c r="D366" s="1541"/>
      <c r="E366" s="1541"/>
      <c r="F366" s="1541"/>
      <c r="G366" s="1541"/>
      <c r="H366" s="1541"/>
      <c r="I366" s="1541"/>
      <c r="J366" s="1541"/>
      <c r="K366" s="1541"/>
      <c r="L366" s="1541"/>
      <c r="M366" s="356"/>
      <c r="N366" s="356"/>
      <c r="O366" s="356"/>
      <c r="P366" s="356"/>
      <c r="Q366" s="356"/>
      <c r="R366" s="356"/>
      <c r="S366" s="356"/>
      <c r="T366" s="356"/>
      <c r="U366" s="356"/>
    </row>
    <row r="367" spans="2:21">
      <c r="B367" s="370" t="s">
        <v>590</v>
      </c>
      <c r="C367" s="371"/>
      <c r="D367" s="1542" t="s">
        <v>591</v>
      </c>
      <c r="E367" s="1542"/>
      <c r="F367" s="1542"/>
      <c r="G367" s="1542"/>
      <c r="H367" s="1542"/>
      <c r="I367" s="1542"/>
      <c r="J367" s="1542"/>
      <c r="K367" s="1542"/>
      <c r="L367" s="1542"/>
      <c r="M367" s="356"/>
      <c r="N367" s="356"/>
      <c r="O367" s="356"/>
      <c r="P367" s="356"/>
      <c r="Q367" s="356"/>
      <c r="R367" s="356"/>
      <c r="S367" s="356"/>
      <c r="T367" s="356"/>
      <c r="U367" s="356"/>
    </row>
    <row r="368" spans="2:21">
      <c r="B368" s="370" t="s">
        <v>589</v>
      </c>
      <c r="C368" s="371"/>
      <c r="D368" s="1541" t="s">
        <v>592</v>
      </c>
      <c r="E368" s="1541"/>
      <c r="F368" s="1541"/>
      <c r="G368" s="1541"/>
      <c r="H368" s="1541"/>
      <c r="I368" s="1541"/>
      <c r="J368" s="1541"/>
      <c r="K368" s="1541"/>
      <c r="L368" s="1541"/>
      <c r="M368" s="356"/>
      <c r="N368" s="356"/>
      <c r="O368" s="356"/>
      <c r="P368" s="356"/>
      <c r="Q368" s="356"/>
      <c r="R368" s="356"/>
      <c r="S368" s="356"/>
      <c r="T368" s="356"/>
      <c r="U368" s="356"/>
    </row>
    <row r="369" spans="2:21">
      <c r="B369" s="370"/>
      <c r="C369" s="371"/>
      <c r="D369" s="1541"/>
      <c r="E369" s="1541"/>
      <c r="F369" s="1541"/>
      <c r="G369" s="1541"/>
      <c r="H369" s="1541"/>
      <c r="I369" s="1541"/>
      <c r="J369" s="1541"/>
      <c r="K369" s="1541"/>
      <c r="L369" s="1541"/>
      <c r="M369" s="356"/>
      <c r="N369" s="356"/>
      <c r="O369" s="356"/>
      <c r="P369" s="356"/>
      <c r="Q369" s="356"/>
      <c r="R369" s="356"/>
      <c r="S369" s="356"/>
      <c r="T369" s="356"/>
      <c r="U369" s="356"/>
    </row>
    <row r="370" spans="2:21">
      <c r="B370" s="348"/>
      <c r="C370" s="348"/>
      <c r="D370" s="1541"/>
      <c r="E370" s="1541"/>
      <c r="F370" s="1541"/>
      <c r="G370" s="1541"/>
      <c r="H370" s="1541"/>
      <c r="I370" s="1541"/>
      <c r="J370" s="1541"/>
      <c r="K370" s="1541"/>
      <c r="L370" s="1541"/>
      <c r="M370" s="356"/>
      <c r="N370" s="356"/>
      <c r="O370" s="356"/>
      <c r="P370" s="356"/>
      <c r="Q370" s="356"/>
      <c r="R370" s="356"/>
      <c r="S370" s="356"/>
      <c r="T370" s="356"/>
      <c r="U370" s="356"/>
    </row>
    <row r="371" spans="2:21" ht="18" customHeight="1">
      <c r="B371" s="1151" t="s">
        <v>633</v>
      </c>
      <c r="C371" s="1152"/>
      <c r="D371" s="536" t="s">
        <v>868</v>
      </c>
      <c r="E371" s="599"/>
      <c r="F371" s="599"/>
      <c r="G371" s="599"/>
      <c r="H371" s="348"/>
      <c r="M371" s="356"/>
      <c r="N371" s="356"/>
      <c r="O371" s="356"/>
      <c r="P371" s="356"/>
      <c r="Q371" s="356"/>
      <c r="R371" s="356"/>
      <c r="S371" s="356"/>
      <c r="T371" s="356"/>
      <c r="U371" s="356"/>
    </row>
    <row r="372" spans="2:21">
      <c r="B372" s="348"/>
      <c r="C372" s="348"/>
      <c r="D372" s="348"/>
      <c r="E372" s="348"/>
      <c r="F372" s="348"/>
      <c r="G372" s="348"/>
      <c r="H372" s="348"/>
      <c r="M372" s="356"/>
      <c r="N372" s="356"/>
      <c r="O372" s="356"/>
      <c r="P372" s="356"/>
      <c r="Q372" s="356"/>
      <c r="R372" s="356"/>
      <c r="S372" s="356"/>
      <c r="T372" s="356"/>
      <c r="U372" s="356"/>
    </row>
    <row r="373" spans="2:21">
      <c r="B373" s="1151" t="s">
        <v>921</v>
      </c>
      <c r="C373" s="430"/>
      <c r="D373" s="1540" t="s">
        <v>922</v>
      </c>
      <c r="E373" s="1540"/>
      <c r="F373" s="1540"/>
      <c r="G373" s="1540"/>
      <c r="H373" s="1540"/>
      <c r="I373" s="1540"/>
      <c r="J373" s="1540"/>
      <c r="K373" s="1540"/>
      <c r="L373" s="1540"/>
      <c r="M373" s="356"/>
      <c r="N373" s="356"/>
      <c r="O373" s="356"/>
      <c r="P373" s="356"/>
      <c r="Q373" s="356"/>
      <c r="R373" s="356"/>
      <c r="S373" s="356"/>
      <c r="T373" s="356"/>
      <c r="U373" s="356"/>
    </row>
    <row r="374" spans="2:21">
      <c r="B374" s="430"/>
      <c r="C374" s="430"/>
      <c r="D374" s="1540"/>
      <c r="E374" s="1540"/>
      <c r="F374" s="1540"/>
      <c r="G374" s="1540"/>
      <c r="H374" s="1540"/>
      <c r="I374" s="1540"/>
      <c r="J374" s="1540"/>
      <c r="K374" s="1540"/>
      <c r="L374" s="1540"/>
      <c r="M374" s="356"/>
      <c r="N374" s="356"/>
      <c r="O374" s="356"/>
      <c r="P374" s="356"/>
      <c r="Q374" s="356"/>
      <c r="R374" s="356"/>
      <c r="S374" s="356"/>
      <c r="T374" s="356"/>
      <c r="U374" s="356"/>
    </row>
    <row r="375" spans="2:21">
      <c r="B375" s="348"/>
      <c r="C375" s="348"/>
      <c r="D375" s="348"/>
      <c r="E375" s="348"/>
      <c r="F375" s="348"/>
      <c r="G375" s="348"/>
      <c r="H375" s="348"/>
      <c r="M375" s="356"/>
      <c r="N375" s="356"/>
      <c r="O375" s="356"/>
      <c r="P375" s="356"/>
      <c r="Q375" s="356"/>
      <c r="R375" s="356"/>
      <c r="S375" s="356"/>
      <c r="T375" s="356"/>
      <c r="U375" s="356"/>
    </row>
    <row r="376" spans="2:21">
      <c r="B376" s="348"/>
      <c r="C376" s="348"/>
      <c r="D376" s="348"/>
      <c r="E376" s="348"/>
      <c r="F376" s="348"/>
      <c r="G376" s="348"/>
      <c r="H376" s="348"/>
      <c r="M376" s="356"/>
      <c r="N376" s="356"/>
      <c r="O376" s="356"/>
      <c r="P376" s="356"/>
      <c r="Q376" s="356"/>
      <c r="R376" s="356"/>
      <c r="S376" s="356"/>
      <c r="T376" s="356"/>
      <c r="U376" s="356"/>
    </row>
    <row r="377" spans="2:21">
      <c r="B377" s="348"/>
      <c r="C377" s="348"/>
      <c r="D377" s="348"/>
      <c r="E377" s="348"/>
      <c r="F377" s="348"/>
      <c r="G377" s="348"/>
      <c r="H377" s="348"/>
      <c r="M377" s="356"/>
      <c r="N377" s="356"/>
      <c r="O377" s="356"/>
      <c r="P377" s="356"/>
      <c r="Q377" s="356"/>
      <c r="R377" s="356"/>
      <c r="S377" s="356"/>
      <c r="T377" s="356"/>
      <c r="U377" s="356"/>
    </row>
    <row r="378" spans="2:21">
      <c r="B378" s="348"/>
      <c r="C378" s="348"/>
      <c r="D378" s="348"/>
      <c r="E378" s="348"/>
      <c r="F378" s="348"/>
      <c r="G378" s="348"/>
      <c r="H378" s="348"/>
      <c r="M378" s="356"/>
      <c r="N378" s="356"/>
      <c r="O378" s="356"/>
      <c r="P378" s="356"/>
      <c r="Q378" s="356"/>
      <c r="R378" s="356"/>
      <c r="S378" s="356"/>
      <c r="T378" s="356"/>
      <c r="U378" s="356"/>
    </row>
    <row r="379" spans="2:21">
      <c r="B379" s="348"/>
      <c r="C379" s="348"/>
      <c r="D379" s="348"/>
      <c r="E379" s="348"/>
      <c r="F379" s="348"/>
      <c r="G379" s="348"/>
      <c r="H379" s="348"/>
      <c r="M379" s="356"/>
      <c r="N379" s="356"/>
      <c r="O379" s="356"/>
      <c r="P379" s="356"/>
      <c r="Q379" s="356"/>
      <c r="R379" s="356"/>
      <c r="S379" s="356"/>
      <c r="T379" s="356"/>
      <c r="U379" s="356"/>
    </row>
    <row r="380" spans="2:21">
      <c r="B380" s="370"/>
      <c r="C380" s="371"/>
      <c r="M380" s="356"/>
      <c r="N380" s="356"/>
      <c r="O380" s="356"/>
      <c r="P380" s="356"/>
      <c r="Q380" s="356"/>
      <c r="R380" s="356"/>
      <c r="S380" s="356"/>
      <c r="T380" s="356"/>
      <c r="U380" s="356"/>
    </row>
    <row r="381" spans="2:21">
      <c r="B381" s="331"/>
      <c r="M381" s="356"/>
      <c r="N381" s="356"/>
      <c r="O381" s="356"/>
      <c r="P381" s="356"/>
      <c r="Q381" s="356"/>
      <c r="R381" s="356"/>
      <c r="S381" s="356"/>
      <c r="T381" s="356"/>
      <c r="U381" s="356"/>
    </row>
    <row r="382" spans="2:21">
      <c r="B382" s="331"/>
      <c r="M382" s="356"/>
      <c r="N382" s="356"/>
      <c r="O382" s="356"/>
      <c r="P382" s="356"/>
      <c r="Q382" s="356"/>
      <c r="R382" s="356"/>
      <c r="S382" s="356"/>
      <c r="T382" s="356"/>
      <c r="U382" s="356"/>
    </row>
    <row r="383" spans="2:21">
      <c r="B383" s="331"/>
      <c r="M383" s="356"/>
      <c r="N383" s="356"/>
      <c r="O383" s="356"/>
      <c r="P383" s="356"/>
      <c r="Q383" s="356"/>
      <c r="R383" s="356"/>
      <c r="S383" s="356"/>
      <c r="T383" s="356"/>
      <c r="U383" s="356"/>
    </row>
    <row r="384" spans="2:21">
      <c r="B384" s="331"/>
      <c r="H384" s="356"/>
      <c r="I384" s="356"/>
      <c r="J384" s="356"/>
      <c r="K384" s="356"/>
      <c r="L384" s="356"/>
      <c r="M384" s="356"/>
      <c r="N384" s="356"/>
      <c r="O384" s="356"/>
      <c r="P384" s="356"/>
      <c r="Q384" s="356"/>
      <c r="R384" s="356"/>
      <c r="S384" s="356"/>
      <c r="T384" s="356"/>
      <c r="U384" s="356"/>
    </row>
    <row r="385" spans="2:21">
      <c r="B385" s="331"/>
      <c r="H385" s="356"/>
      <c r="K385" s="356"/>
      <c r="L385" s="356"/>
      <c r="M385" s="356"/>
      <c r="N385" s="356"/>
      <c r="O385" s="356"/>
      <c r="P385" s="356"/>
      <c r="Q385" s="356"/>
      <c r="R385" s="356"/>
      <c r="S385" s="356"/>
      <c r="T385" s="356"/>
      <c r="U385" s="356"/>
    </row>
    <row r="386" spans="2:21">
      <c r="B386" s="331"/>
      <c r="H386" s="356"/>
      <c r="I386" s="356" t="s">
        <v>116</v>
      </c>
      <c r="J386" s="549"/>
      <c r="K386" s="356"/>
      <c r="L386" s="356"/>
      <c r="M386" s="356"/>
      <c r="N386" s="356"/>
      <c r="O386" s="356"/>
      <c r="P386" s="356"/>
      <c r="Q386" s="356"/>
      <c r="R386" s="356"/>
      <c r="S386" s="356"/>
      <c r="T386" s="356"/>
      <c r="U386" s="356"/>
    </row>
    <row r="387" spans="2:21">
      <c r="B387" s="331"/>
      <c r="H387" s="356"/>
      <c r="I387" s="371" t="s">
        <v>116</v>
      </c>
      <c r="J387" s="549" t="s">
        <v>116</v>
      </c>
      <c r="K387" s="356"/>
      <c r="L387" s="356"/>
      <c r="M387" s="356"/>
      <c r="N387" s="356"/>
      <c r="O387" s="356"/>
      <c r="P387" s="356"/>
      <c r="Q387" s="356"/>
      <c r="R387" s="356"/>
      <c r="S387" s="356"/>
      <c r="T387" s="356"/>
      <c r="U387" s="356"/>
    </row>
    <row r="388" spans="2:21">
      <c r="B388" s="331"/>
      <c r="H388" s="356"/>
      <c r="I388" s="371" t="s">
        <v>116</v>
      </c>
      <c r="J388" s="549" t="s">
        <v>116</v>
      </c>
      <c r="K388" s="356"/>
      <c r="L388" s="356"/>
      <c r="M388" s="356"/>
      <c r="N388" s="356"/>
      <c r="O388" s="356"/>
      <c r="P388" s="356"/>
      <c r="Q388" s="356"/>
      <c r="R388" s="356"/>
      <c r="S388" s="356"/>
      <c r="T388" s="356"/>
      <c r="U388" s="356"/>
    </row>
    <row r="389" spans="2:21">
      <c r="B389" s="331"/>
      <c r="H389" s="356"/>
      <c r="I389" s="371" t="s">
        <v>116</v>
      </c>
      <c r="J389" s="549" t="s">
        <v>116</v>
      </c>
      <c r="K389" s="356"/>
      <c r="L389" s="356"/>
      <c r="M389" s="356"/>
      <c r="N389" s="356"/>
      <c r="O389" s="356"/>
      <c r="P389" s="356"/>
      <c r="Q389" s="356"/>
      <c r="R389" s="356"/>
      <c r="S389" s="356"/>
      <c r="T389" s="356"/>
      <c r="U389" s="356"/>
    </row>
    <row r="390" spans="2:21">
      <c r="B390" s="546"/>
      <c r="C390" s="356"/>
      <c r="D390" s="356"/>
      <c r="E390" s="356"/>
      <c r="F390" s="356"/>
      <c r="G390" s="356"/>
      <c r="H390" s="356"/>
      <c r="I390" s="371" t="s">
        <v>116</v>
      </c>
      <c r="J390" s="550" t="s">
        <v>116</v>
      </c>
      <c r="K390" s="356"/>
      <c r="L390" s="356"/>
      <c r="M390" s="356"/>
      <c r="N390" s="356"/>
      <c r="O390" s="356"/>
      <c r="P390" s="356"/>
      <c r="Q390" s="356"/>
      <c r="R390" s="356"/>
      <c r="S390" s="356"/>
      <c r="T390" s="356"/>
      <c r="U390" s="356"/>
    </row>
    <row r="391" spans="2:21">
      <c r="B391" s="546"/>
      <c r="C391" s="356"/>
      <c r="D391" s="356"/>
      <c r="E391" s="356"/>
      <c r="F391" s="356"/>
      <c r="G391" s="356"/>
      <c r="H391" s="356"/>
      <c r="I391" s="371" t="s">
        <v>116</v>
      </c>
      <c r="J391" s="549" t="s">
        <v>116</v>
      </c>
      <c r="K391" s="356"/>
      <c r="L391" s="356"/>
      <c r="M391" s="356"/>
      <c r="N391" s="356"/>
      <c r="O391" s="356"/>
      <c r="P391" s="356"/>
      <c r="Q391" s="356"/>
      <c r="R391" s="356"/>
      <c r="S391" s="356"/>
      <c r="T391" s="356"/>
      <c r="U391" s="356"/>
    </row>
    <row r="392" spans="2:21">
      <c r="B392" s="546"/>
      <c r="C392" s="356"/>
      <c r="D392" s="356"/>
      <c r="E392" s="356"/>
      <c r="F392" s="356"/>
      <c r="G392" s="356"/>
      <c r="H392" s="356"/>
      <c r="I392" s="371" t="s">
        <v>116</v>
      </c>
      <c r="J392" s="549" t="s">
        <v>116</v>
      </c>
      <c r="K392" s="356"/>
      <c r="L392" s="356"/>
      <c r="M392" s="356"/>
      <c r="N392" s="356"/>
      <c r="O392" s="356"/>
      <c r="P392" s="356"/>
      <c r="Q392" s="356"/>
      <c r="R392" s="356"/>
      <c r="S392" s="356"/>
      <c r="T392" s="356"/>
      <c r="U392" s="356"/>
    </row>
    <row r="393" spans="2:21">
      <c r="B393" s="534"/>
      <c r="C393" s="336"/>
      <c r="D393" s="336"/>
      <c r="E393" s="336"/>
      <c r="F393" s="336"/>
      <c r="G393" s="336"/>
      <c r="H393" s="336"/>
      <c r="I393" s="371" t="s">
        <v>116</v>
      </c>
      <c r="J393" s="549" t="s">
        <v>116</v>
      </c>
      <c r="K393" s="336"/>
      <c r="L393" s="336"/>
      <c r="M393" s="336"/>
    </row>
    <row r="394" spans="2:21">
      <c r="B394" s="534"/>
      <c r="C394" s="336"/>
      <c r="D394" s="336"/>
      <c r="E394" s="336"/>
      <c r="F394" s="336"/>
      <c r="G394" s="336"/>
      <c r="H394" s="336"/>
      <c r="I394" s="371" t="s">
        <v>116</v>
      </c>
      <c r="J394" s="549" t="s">
        <v>116</v>
      </c>
      <c r="K394" s="336"/>
      <c r="L394" s="336"/>
      <c r="M394" s="336"/>
    </row>
    <row r="395" spans="2:21">
      <c r="B395" s="534"/>
      <c r="C395" s="336"/>
      <c r="D395" s="336"/>
      <c r="E395" s="336"/>
      <c r="F395" s="336"/>
      <c r="G395" s="336"/>
      <c r="H395" s="336"/>
      <c r="I395" s="336"/>
      <c r="J395" s="336"/>
      <c r="K395" s="336"/>
      <c r="L395" s="336"/>
      <c r="M395" s="336"/>
    </row>
    <row r="396" spans="2:21">
      <c r="B396" s="534"/>
      <c r="C396" s="336"/>
      <c r="D396" s="336"/>
      <c r="E396" s="336"/>
      <c r="F396" s="336"/>
      <c r="G396" s="336"/>
      <c r="H396" s="336"/>
      <c r="I396" s="336"/>
      <c r="J396" s="336"/>
      <c r="K396" s="336"/>
      <c r="L396" s="336"/>
      <c r="M396" s="336"/>
    </row>
    <row r="397" spans="2:21">
      <c r="B397" s="534"/>
      <c r="C397" s="336"/>
      <c r="D397" s="336"/>
      <c r="E397" s="336"/>
      <c r="F397" s="336"/>
      <c r="G397" s="336"/>
      <c r="H397" s="336"/>
      <c r="I397" s="336"/>
      <c r="J397" s="336"/>
      <c r="K397" s="336"/>
      <c r="L397" s="336"/>
      <c r="M397" s="336"/>
    </row>
    <row r="398" spans="2:21">
      <c r="B398" s="534"/>
      <c r="C398" s="336"/>
      <c r="D398" s="336"/>
      <c r="E398" s="336"/>
      <c r="F398" s="336"/>
      <c r="G398" s="336"/>
      <c r="H398" s="336"/>
      <c r="I398" s="336"/>
      <c r="J398" s="336"/>
      <c r="K398" s="336"/>
      <c r="L398" s="336"/>
      <c r="M398" s="336"/>
    </row>
    <row r="399" spans="2:21">
      <c r="B399" s="534"/>
      <c r="C399" s="336"/>
      <c r="D399" s="336"/>
      <c r="E399" s="336"/>
      <c r="F399" s="336"/>
      <c r="G399" s="336"/>
      <c r="H399" s="336"/>
      <c r="I399" s="336"/>
      <c r="J399" s="336"/>
      <c r="K399" s="336"/>
      <c r="L399" s="336"/>
      <c r="M399" s="336"/>
    </row>
    <row r="400" spans="2:21">
      <c r="B400" s="534"/>
      <c r="C400" s="336"/>
      <c r="D400" s="336"/>
      <c r="E400" s="336"/>
      <c r="F400" s="336"/>
      <c r="G400" s="336"/>
      <c r="H400" s="336"/>
      <c r="I400" s="336"/>
      <c r="J400" s="336"/>
      <c r="K400" s="336"/>
      <c r="L400" s="336"/>
      <c r="M400" s="336"/>
    </row>
    <row r="401" spans="2:13">
      <c r="B401" s="534"/>
      <c r="C401" s="336"/>
      <c r="D401" s="336"/>
      <c r="E401" s="336"/>
      <c r="F401" s="336"/>
      <c r="G401" s="336"/>
      <c r="H401" s="336"/>
      <c r="I401" s="336"/>
      <c r="J401" s="336"/>
      <c r="K401" s="336"/>
      <c r="L401" s="336"/>
      <c r="M401" s="336"/>
    </row>
    <row r="402" spans="2:13">
      <c r="B402" s="534"/>
      <c r="C402" s="336"/>
      <c r="D402" s="336"/>
      <c r="E402" s="336"/>
      <c r="F402" s="336"/>
      <c r="G402" s="336"/>
      <c r="H402" s="336"/>
      <c r="I402" s="336"/>
      <c r="J402" s="336"/>
      <c r="K402" s="336"/>
      <c r="L402" s="336"/>
      <c r="M402" s="336"/>
    </row>
    <row r="403" spans="2:13">
      <c r="B403" s="534"/>
      <c r="C403" s="336"/>
      <c r="D403" s="336"/>
      <c r="E403" s="336"/>
      <c r="F403" s="336"/>
      <c r="G403" s="336"/>
      <c r="H403" s="336"/>
      <c r="I403" s="336"/>
      <c r="J403" s="336"/>
      <c r="K403" s="336"/>
      <c r="L403" s="336"/>
      <c r="M403" s="336"/>
    </row>
    <row r="404" spans="2:13">
      <c r="B404" s="534"/>
      <c r="C404" s="336"/>
      <c r="D404" s="336"/>
      <c r="E404" s="336"/>
      <c r="F404" s="336"/>
      <c r="G404" s="336"/>
      <c r="H404" s="336"/>
      <c r="I404" s="336"/>
      <c r="J404" s="336"/>
      <c r="K404" s="336"/>
      <c r="L404" s="336"/>
      <c r="M404" s="336"/>
    </row>
    <row r="405" spans="2:13">
      <c r="B405" s="534"/>
      <c r="C405" s="336"/>
      <c r="D405" s="336"/>
      <c r="E405" s="336"/>
      <c r="F405" s="336"/>
      <c r="G405" s="336"/>
      <c r="H405" s="336"/>
      <c r="I405" s="336"/>
      <c r="J405" s="336"/>
      <c r="K405" s="336"/>
      <c r="L405" s="336"/>
      <c r="M405" s="336"/>
    </row>
    <row r="406" spans="2:13">
      <c r="B406" s="534"/>
      <c r="C406" s="336"/>
      <c r="D406" s="336"/>
      <c r="E406" s="336"/>
      <c r="F406" s="336"/>
      <c r="G406" s="336"/>
      <c r="H406" s="336"/>
      <c r="I406" s="336"/>
      <c r="J406" s="336"/>
      <c r="K406" s="336"/>
      <c r="L406" s="336"/>
      <c r="M406" s="336"/>
    </row>
    <row r="407" spans="2:13">
      <c r="B407" s="534"/>
      <c r="C407" s="336"/>
      <c r="D407" s="336"/>
      <c r="E407" s="336"/>
      <c r="F407" s="336"/>
      <c r="G407" s="336"/>
      <c r="H407" s="336"/>
      <c r="I407" s="336"/>
      <c r="J407" s="336"/>
      <c r="K407" s="336"/>
      <c r="L407" s="336"/>
      <c r="M407" s="336"/>
    </row>
    <row r="408" spans="2:13">
      <c r="B408" s="534"/>
      <c r="C408" s="336"/>
      <c r="D408" s="336"/>
      <c r="E408" s="336"/>
      <c r="F408" s="336"/>
      <c r="G408" s="336"/>
      <c r="H408" s="336"/>
      <c r="I408" s="336"/>
      <c r="J408" s="336"/>
      <c r="K408" s="336"/>
      <c r="L408" s="336"/>
      <c r="M408" s="336"/>
    </row>
    <row r="409" spans="2:13">
      <c r="B409" s="534"/>
      <c r="C409" s="336"/>
      <c r="D409" s="336"/>
      <c r="E409" s="336"/>
      <c r="F409" s="336"/>
      <c r="G409" s="336"/>
      <c r="H409" s="336"/>
      <c r="I409" s="336"/>
      <c r="J409" s="336"/>
      <c r="K409" s="336"/>
      <c r="L409" s="336"/>
      <c r="M409" s="336"/>
    </row>
    <row r="410" spans="2:13">
      <c r="B410" s="534"/>
      <c r="C410" s="336"/>
      <c r="D410" s="336"/>
      <c r="E410" s="336"/>
      <c r="F410" s="336"/>
      <c r="G410" s="336"/>
      <c r="H410" s="336"/>
      <c r="I410" s="336"/>
      <c r="J410" s="336"/>
      <c r="K410" s="336"/>
      <c r="L410" s="336"/>
      <c r="M410" s="336"/>
    </row>
    <row r="411" spans="2:13">
      <c r="B411" s="534"/>
      <c r="C411" s="336"/>
      <c r="D411" s="336"/>
      <c r="E411" s="336"/>
      <c r="F411" s="336"/>
      <c r="G411" s="336"/>
      <c r="H411" s="336"/>
      <c r="I411" s="336"/>
      <c r="J411" s="336"/>
      <c r="K411" s="336"/>
      <c r="L411" s="336"/>
      <c r="M411" s="336"/>
    </row>
    <row r="412" spans="2:13">
      <c r="B412" s="534"/>
      <c r="C412" s="336"/>
      <c r="D412" s="336"/>
      <c r="E412" s="336"/>
      <c r="F412" s="336"/>
      <c r="G412" s="336"/>
      <c r="H412" s="336"/>
      <c r="I412" s="336"/>
      <c r="J412" s="336"/>
      <c r="K412" s="336"/>
      <c r="L412" s="336"/>
      <c r="M412" s="336"/>
    </row>
    <row r="413" spans="2:13">
      <c r="B413" s="534"/>
      <c r="C413" s="336"/>
      <c r="D413" s="336"/>
      <c r="E413" s="336"/>
      <c r="F413" s="336"/>
      <c r="G413" s="336"/>
      <c r="H413" s="336"/>
      <c r="I413" s="336"/>
      <c r="J413" s="336"/>
      <c r="K413" s="336"/>
      <c r="L413" s="336"/>
      <c r="M413" s="336"/>
    </row>
    <row r="414" spans="2:13">
      <c r="B414" s="534"/>
      <c r="C414" s="336"/>
      <c r="D414" s="336"/>
      <c r="E414" s="336"/>
      <c r="F414" s="336"/>
      <c r="G414" s="336"/>
      <c r="H414" s="336"/>
      <c r="I414" s="336"/>
      <c r="J414" s="336"/>
      <c r="K414" s="336"/>
      <c r="L414" s="336"/>
      <c r="M414" s="336"/>
    </row>
    <row r="415" spans="2:13">
      <c r="B415" s="534"/>
      <c r="C415" s="336"/>
      <c r="D415" s="336"/>
      <c r="E415" s="336"/>
      <c r="F415" s="336"/>
      <c r="G415" s="336"/>
      <c r="H415" s="336"/>
      <c r="I415" s="336"/>
      <c r="J415" s="336"/>
      <c r="K415" s="336"/>
      <c r="L415" s="336"/>
      <c r="M415" s="336"/>
    </row>
    <row r="416" spans="2:13">
      <c r="B416" s="534"/>
      <c r="C416" s="336"/>
      <c r="D416" s="336"/>
      <c r="E416" s="336"/>
      <c r="F416" s="336"/>
      <c r="G416" s="336"/>
      <c r="H416" s="336"/>
      <c r="I416" s="336"/>
      <c r="J416" s="336"/>
      <c r="K416" s="336"/>
      <c r="L416" s="336"/>
      <c r="M416" s="336"/>
    </row>
    <row r="417" spans="2:13">
      <c r="B417" s="534"/>
      <c r="C417" s="336"/>
      <c r="D417" s="336"/>
      <c r="E417" s="336"/>
      <c r="F417" s="336"/>
      <c r="G417" s="336"/>
      <c r="H417" s="336"/>
      <c r="I417" s="336"/>
      <c r="J417" s="336"/>
      <c r="K417" s="336"/>
      <c r="L417" s="336"/>
      <c r="M417" s="336"/>
    </row>
    <row r="418" spans="2:13">
      <c r="B418" s="534"/>
      <c r="C418" s="336"/>
      <c r="D418" s="336"/>
      <c r="E418" s="336"/>
      <c r="F418" s="336"/>
      <c r="G418" s="336"/>
      <c r="H418" s="336"/>
      <c r="I418" s="336"/>
      <c r="J418" s="336"/>
      <c r="K418" s="336"/>
      <c r="L418" s="336"/>
      <c r="M418" s="336"/>
    </row>
    <row r="419" spans="2:13">
      <c r="B419" s="534"/>
      <c r="C419" s="336"/>
      <c r="D419" s="336"/>
      <c r="E419" s="336"/>
      <c r="F419" s="336"/>
      <c r="G419" s="336"/>
      <c r="H419" s="336"/>
      <c r="I419" s="336"/>
      <c r="J419" s="336"/>
      <c r="K419" s="336"/>
      <c r="L419" s="336"/>
      <c r="M419" s="336"/>
    </row>
    <row r="420" spans="2:13">
      <c r="B420" s="534"/>
      <c r="C420" s="336"/>
      <c r="D420" s="336"/>
      <c r="E420" s="336"/>
      <c r="F420" s="336"/>
      <c r="G420" s="336"/>
      <c r="H420" s="336"/>
      <c r="I420" s="336"/>
      <c r="J420" s="336"/>
      <c r="K420" s="336"/>
      <c r="L420" s="336"/>
      <c r="M420" s="336"/>
    </row>
    <row r="421" spans="2:13">
      <c r="B421" s="534"/>
      <c r="C421" s="336"/>
      <c r="D421" s="336"/>
      <c r="E421" s="336"/>
      <c r="F421" s="336"/>
      <c r="G421" s="336"/>
      <c r="H421" s="336"/>
      <c r="I421" s="336"/>
      <c r="J421" s="336"/>
      <c r="K421" s="336"/>
      <c r="L421" s="336"/>
      <c r="M421" s="336"/>
    </row>
    <row r="422" spans="2:13">
      <c r="B422" s="534"/>
      <c r="C422" s="336"/>
      <c r="D422" s="336"/>
      <c r="E422" s="336"/>
      <c r="F422" s="336"/>
      <c r="G422" s="336"/>
      <c r="H422" s="336"/>
      <c r="I422" s="336"/>
      <c r="J422" s="336"/>
      <c r="K422" s="336"/>
      <c r="L422" s="336"/>
      <c r="M422" s="336"/>
    </row>
    <row r="423" spans="2:13">
      <c r="B423" s="534"/>
      <c r="C423" s="336"/>
      <c r="D423" s="336"/>
      <c r="E423" s="336"/>
      <c r="F423" s="336"/>
      <c r="G423" s="336"/>
      <c r="H423" s="336"/>
      <c r="I423" s="336"/>
      <c r="J423" s="336"/>
      <c r="K423" s="336"/>
      <c r="L423" s="336"/>
      <c r="M423" s="336"/>
    </row>
    <row r="424" spans="2:13">
      <c r="B424" s="534"/>
      <c r="C424" s="336"/>
      <c r="D424" s="336"/>
      <c r="E424" s="336"/>
      <c r="F424" s="336"/>
      <c r="G424" s="336"/>
      <c r="H424" s="336"/>
      <c r="I424" s="336"/>
      <c r="J424" s="336"/>
      <c r="K424" s="336"/>
      <c r="L424" s="336"/>
      <c r="M424" s="336"/>
    </row>
    <row r="425" spans="2:13">
      <c r="B425" s="534"/>
      <c r="C425" s="336"/>
      <c r="D425" s="336"/>
      <c r="E425" s="336"/>
      <c r="F425" s="336"/>
      <c r="G425" s="336"/>
      <c r="H425" s="336"/>
      <c r="I425" s="336"/>
      <c r="J425" s="336"/>
      <c r="K425" s="336"/>
      <c r="L425" s="336"/>
      <c r="M425" s="336"/>
    </row>
    <row r="426" spans="2:13">
      <c r="B426" s="534"/>
      <c r="C426" s="336"/>
      <c r="D426" s="336"/>
      <c r="E426" s="336"/>
      <c r="F426" s="336"/>
      <c r="G426" s="336"/>
      <c r="H426" s="336"/>
      <c r="I426" s="336"/>
      <c r="J426" s="336"/>
      <c r="K426" s="336"/>
      <c r="L426" s="336"/>
      <c r="M426" s="336"/>
    </row>
    <row r="427" spans="2:13">
      <c r="B427" s="534"/>
      <c r="C427" s="336"/>
      <c r="D427" s="336"/>
      <c r="E427" s="336"/>
      <c r="F427" s="336"/>
      <c r="G427" s="336"/>
      <c r="H427" s="336"/>
      <c r="I427" s="336"/>
      <c r="J427" s="336"/>
      <c r="K427" s="336"/>
      <c r="L427" s="336"/>
      <c r="M427" s="336"/>
    </row>
    <row r="428" spans="2:13">
      <c r="B428" s="534"/>
      <c r="C428" s="336"/>
      <c r="D428" s="336"/>
      <c r="E428" s="336"/>
      <c r="F428" s="336"/>
      <c r="G428" s="336"/>
      <c r="H428" s="336"/>
      <c r="I428" s="336"/>
      <c r="J428" s="336"/>
      <c r="K428" s="336"/>
      <c r="L428" s="336"/>
      <c r="M428" s="336"/>
    </row>
    <row r="429" spans="2:13">
      <c r="B429" s="534"/>
      <c r="C429" s="336"/>
      <c r="D429" s="336"/>
      <c r="E429" s="336"/>
      <c r="F429" s="336"/>
      <c r="G429" s="336"/>
      <c r="H429" s="336"/>
      <c r="I429" s="336"/>
      <c r="J429" s="336"/>
      <c r="K429" s="336"/>
      <c r="L429" s="336"/>
      <c r="M429" s="336"/>
    </row>
    <row r="430" spans="2:13">
      <c r="B430" s="534"/>
      <c r="C430" s="336"/>
      <c r="D430" s="336"/>
      <c r="E430" s="336"/>
      <c r="F430" s="336"/>
      <c r="G430" s="336"/>
      <c r="H430" s="336"/>
      <c r="I430" s="336"/>
      <c r="J430" s="336"/>
      <c r="K430" s="336"/>
      <c r="L430" s="336"/>
      <c r="M430" s="336"/>
    </row>
    <row r="431" spans="2:13">
      <c r="B431" s="534"/>
      <c r="C431" s="336"/>
      <c r="D431" s="336"/>
      <c r="E431" s="336"/>
      <c r="F431" s="336"/>
      <c r="G431" s="336"/>
      <c r="H431" s="336"/>
      <c r="I431" s="336"/>
      <c r="J431" s="336"/>
      <c r="K431" s="336"/>
      <c r="L431" s="336"/>
      <c r="M431" s="336"/>
    </row>
    <row r="432" spans="2:13">
      <c r="B432" s="534"/>
      <c r="C432" s="336"/>
      <c r="D432" s="336"/>
      <c r="E432" s="336"/>
      <c r="F432" s="336"/>
      <c r="G432" s="336"/>
      <c r="H432" s="336"/>
      <c r="I432" s="336"/>
      <c r="J432" s="336"/>
      <c r="K432" s="336"/>
      <c r="L432" s="336"/>
      <c r="M432" s="336"/>
    </row>
    <row r="433" spans="2:13">
      <c r="B433" s="534"/>
      <c r="C433" s="336"/>
      <c r="D433" s="336"/>
      <c r="E433" s="336"/>
      <c r="F433" s="336"/>
      <c r="G433" s="336"/>
      <c r="H433" s="336"/>
      <c r="I433" s="336"/>
      <c r="J433" s="336"/>
      <c r="K433" s="336"/>
      <c r="L433" s="336"/>
      <c r="M433" s="336"/>
    </row>
    <row r="434" spans="2:13">
      <c r="B434" s="534"/>
      <c r="C434" s="336"/>
      <c r="D434" s="336"/>
      <c r="E434" s="336"/>
      <c r="F434" s="336"/>
      <c r="G434" s="336"/>
      <c r="H434" s="336"/>
      <c r="I434" s="336"/>
      <c r="J434" s="336"/>
      <c r="K434" s="336"/>
      <c r="L434" s="336"/>
      <c r="M434" s="336"/>
    </row>
    <row r="435" spans="2:13">
      <c r="B435" s="534"/>
      <c r="C435" s="336"/>
      <c r="D435" s="336"/>
      <c r="E435" s="336"/>
      <c r="F435" s="336"/>
      <c r="G435" s="336"/>
      <c r="H435" s="336"/>
      <c r="I435" s="336"/>
      <c r="J435" s="336"/>
      <c r="K435" s="336"/>
      <c r="L435" s="336"/>
      <c r="M435" s="336"/>
    </row>
    <row r="436" spans="2:13">
      <c r="B436" s="534"/>
      <c r="C436" s="336"/>
      <c r="D436" s="336"/>
      <c r="E436" s="336"/>
      <c r="F436" s="336"/>
      <c r="G436" s="336"/>
      <c r="H436" s="336"/>
      <c r="I436" s="336"/>
      <c r="J436" s="336"/>
      <c r="K436" s="336"/>
      <c r="L436" s="336"/>
      <c r="M436" s="336"/>
    </row>
    <row r="437" spans="2:13">
      <c r="B437" s="534"/>
      <c r="C437" s="336"/>
      <c r="D437" s="336"/>
      <c r="E437" s="336"/>
      <c r="F437" s="336"/>
      <c r="G437" s="336"/>
      <c r="H437" s="336"/>
      <c r="I437" s="336"/>
      <c r="J437" s="336"/>
      <c r="K437" s="336"/>
      <c r="L437" s="336"/>
      <c r="M437" s="336"/>
    </row>
    <row r="438" spans="2:13">
      <c r="B438" s="534"/>
      <c r="C438" s="336"/>
      <c r="D438" s="336"/>
      <c r="E438" s="336"/>
      <c r="F438" s="336"/>
      <c r="G438" s="336"/>
      <c r="H438" s="336"/>
      <c r="I438" s="336"/>
      <c r="J438" s="336"/>
      <c r="K438" s="336"/>
      <c r="L438" s="336"/>
      <c r="M438" s="336"/>
    </row>
    <row r="439" spans="2:13">
      <c r="B439" s="534"/>
      <c r="C439" s="336"/>
      <c r="D439" s="336"/>
      <c r="E439" s="336"/>
      <c r="F439" s="336"/>
      <c r="G439" s="336"/>
      <c r="H439" s="336"/>
      <c r="I439" s="336"/>
      <c r="J439" s="336"/>
      <c r="K439" s="336"/>
      <c r="L439" s="336"/>
      <c r="M439" s="336"/>
    </row>
    <row r="440" spans="2:13">
      <c r="B440" s="534"/>
      <c r="C440" s="336"/>
      <c r="D440" s="336"/>
      <c r="E440" s="336"/>
      <c r="F440" s="336"/>
      <c r="G440" s="336"/>
      <c r="H440" s="336"/>
      <c r="I440" s="336"/>
      <c r="J440" s="336"/>
      <c r="K440" s="336"/>
      <c r="L440" s="336"/>
      <c r="M440" s="336"/>
    </row>
    <row r="441" spans="2:13">
      <c r="B441" s="534"/>
      <c r="C441" s="336"/>
      <c r="D441" s="336"/>
      <c r="E441" s="336"/>
      <c r="F441" s="336"/>
      <c r="G441" s="336"/>
      <c r="H441" s="336"/>
      <c r="I441" s="336"/>
      <c r="J441" s="336"/>
      <c r="K441" s="336"/>
      <c r="L441" s="336"/>
      <c r="M441" s="336"/>
    </row>
    <row r="442" spans="2:13">
      <c r="B442" s="534"/>
      <c r="C442" s="336"/>
      <c r="D442" s="336"/>
      <c r="E442" s="336"/>
      <c r="F442" s="336"/>
      <c r="G442" s="336"/>
      <c r="H442" s="336"/>
      <c r="I442" s="336"/>
      <c r="J442" s="336"/>
      <c r="K442" s="336"/>
      <c r="L442" s="336"/>
      <c r="M442" s="336"/>
    </row>
    <row r="443" spans="2:13">
      <c r="B443" s="534"/>
      <c r="C443" s="336"/>
      <c r="D443" s="336"/>
      <c r="E443" s="336"/>
      <c r="F443" s="336"/>
      <c r="G443" s="336"/>
      <c r="H443" s="336"/>
      <c r="I443" s="336"/>
      <c r="J443" s="336"/>
      <c r="K443" s="336"/>
      <c r="L443" s="336"/>
      <c r="M443" s="336"/>
    </row>
    <row r="444" spans="2:13">
      <c r="B444" s="534"/>
      <c r="C444" s="336"/>
      <c r="D444" s="336"/>
      <c r="E444" s="336"/>
      <c r="F444" s="336"/>
      <c r="G444" s="336"/>
      <c r="H444" s="336"/>
      <c r="I444" s="336"/>
      <c r="J444" s="336"/>
      <c r="K444" s="336"/>
      <c r="L444" s="336"/>
      <c r="M444" s="336"/>
    </row>
    <row r="445" spans="2:13">
      <c r="B445" s="534"/>
      <c r="C445" s="336"/>
      <c r="D445" s="336"/>
      <c r="E445" s="336"/>
      <c r="F445" s="336"/>
      <c r="G445" s="336"/>
      <c r="H445" s="336"/>
      <c r="I445" s="336"/>
      <c r="J445" s="336"/>
      <c r="K445" s="336"/>
      <c r="L445" s="336"/>
      <c r="M445" s="336"/>
    </row>
    <row r="446" spans="2:13">
      <c r="B446" s="534"/>
      <c r="C446" s="336"/>
      <c r="D446" s="336"/>
      <c r="E446" s="336"/>
      <c r="F446" s="336"/>
      <c r="G446" s="336"/>
      <c r="H446" s="336"/>
      <c r="I446" s="336"/>
      <c r="J446" s="336"/>
      <c r="K446" s="336"/>
      <c r="L446" s="336"/>
      <c r="M446" s="336"/>
    </row>
    <row r="447" spans="2:13">
      <c r="B447" s="534"/>
      <c r="C447" s="336"/>
      <c r="D447" s="336"/>
      <c r="E447" s="336"/>
      <c r="F447" s="336"/>
      <c r="G447" s="336"/>
      <c r="H447" s="336"/>
      <c r="I447" s="336"/>
      <c r="J447" s="336"/>
      <c r="K447" s="336"/>
      <c r="L447" s="336"/>
      <c r="M447" s="336"/>
    </row>
    <row r="448" spans="2:13">
      <c r="B448" s="534"/>
      <c r="C448" s="336"/>
      <c r="D448" s="336"/>
      <c r="E448" s="336"/>
      <c r="F448" s="336"/>
      <c r="G448" s="336"/>
      <c r="H448" s="336"/>
      <c r="I448" s="336"/>
      <c r="J448" s="336"/>
      <c r="K448" s="336"/>
      <c r="L448" s="336"/>
      <c r="M448" s="336"/>
    </row>
    <row r="449" spans="2:13">
      <c r="B449" s="534"/>
      <c r="C449" s="336"/>
      <c r="D449" s="336"/>
      <c r="E449" s="336"/>
      <c r="F449" s="336"/>
      <c r="G449" s="336"/>
      <c r="H449" s="336"/>
      <c r="I449" s="336"/>
      <c r="J449" s="336"/>
      <c r="K449" s="336"/>
      <c r="L449" s="336"/>
      <c r="M449" s="336"/>
    </row>
    <row r="450" spans="2:13">
      <c r="B450" s="534"/>
      <c r="C450" s="336"/>
      <c r="D450" s="336"/>
      <c r="E450" s="336"/>
      <c r="F450" s="336"/>
      <c r="G450" s="336"/>
      <c r="H450" s="336"/>
      <c r="I450" s="336"/>
      <c r="J450" s="336"/>
      <c r="K450" s="336"/>
      <c r="L450" s="336"/>
      <c r="M450" s="336"/>
    </row>
    <row r="451" spans="2:13">
      <c r="B451" s="534"/>
      <c r="C451" s="336"/>
      <c r="D451" s="336"/>
      <c r="E451" s="336"/>
      <c r="F451" s="336"/>
      <c r="G451" s="336"/>
      <c r="H451" s="336"/>
      <c r="I451" s="336"/>
      <c r="J451" s="336"/>
      <c r="K451" s="336"/>
      <c r="L451" s="336"/>
      <c r="M451" s="336"/>
    </row>
    <row r="452" spans="2:13">
      <c r="B452" s="534"/>
      <c r="C452" s="336"/>
      <c r="D452" s="336"/>
      <c r="E452" s="336"/>
      <c r="F452" s="336"/>
      <c r="G452" s="336"/>
      <c r="H452" s="336"/>
      <c r="I452" s="336"/>
      <c r="J452" s="336"/>
      <c r="K452" s="336"/>
      <c r="L452" s="336"/>
      <c r="M452" s="336"/>
    </row>
    <row r="453" spans="2:13">
      <c r="B453" s="534"/>
      <c r="C453" s="336"/>
      <c r="D453" s="336"/>
      <c r="E453" s="336"/>
      <c r="F453" s="336"/>
      <c r="G453" s="336"/>
      <c r="H453" s="336"/>
      <c r="I453" s="336"/>
      <c r="J453" s="336"/>
      <c r="K453" s="336"/>
      <c r="L453" s="336"/>
      <c r="M453" s="336"/>
    </row>
    <row r="454" spans="2:13">
      <c r="B454" s="534"/>
      <c r="C454" s="336"/>
      <c r="D454" s="336"/>
      <c r="E454" s="336"/>
      <c r="F454" s="336"/>
      <c r="G454" s="336"/>
      <c r="H454" s="336"/>
      <c r="I454" s="336"/>
      <c r="J454" s="336"/>
      <c r="K454" s="336"/>
      <c r="L454" s="336"/>
      <c r="M454" s="336"/>
    </row>
    <row r="455" spans="2:13">
      <c r="B455" s="534"/>
      <c r="C455" s="336"/>
      <c r="D455" s="336"/>
      <c r="E455" s="336"/>
      <c r="F455" s="336"/>
      <c r="G455" s="336"/>
      <c r="H455" s="336"/>
      <c r="I455" s="336"/>
      <c r="J455" s="336"/>
      <c r="K455" s="336"/>
      <c r="L455" s="336"/>
      <c r="M455" s="336"/>
    </row>
    <row r="456" spans="2:13">
      <c r="B456" s="534"/>
      <c r="C456" s="336"/>
      <c r="D456" s="336"/>
      <c r="E456" s="336"/>
      <c r="F456" s="336"/>
      <c r="G456" s="336"/>
      <c r="H456" s="336"/>
      <c r="I456" s="336"/>
      <c r="J456" s="336"/>
      <c r="K456" s="336"/>
      <c r="L456" s="336"/>
      <c r="M456" s="336"/>
    </row>
    <row r="457" spans="2:13">
      <c r="B457" s="534"/>
      <c r="C457" s="336"/>
      <c r="D457" s="336"/>
      <c r="E457" s="336"/>
      <c r="F457" s="336"/>
      <c r="G457" s="336"/>
      <c r="H457" s="336"/>
      <c r="I457" s="336"/>
      <c r="J457" s="336"/>
      <c r="K457" s="336"/>
      <c r="L457" s="336"/>
      <c r="M457" s="336"/>
    </row>
    <row r="458" spans="2:13">
      <c r="B458" s="534"/>
      <c r="C458" s="336"/>
      <c r="D458" s="336"/>
      <c r="E458" s="336"/>
      <c r="F458" s="336"/>
      <c r="G458" s="336"/>
      <c r="H458" s="336"/>
      <c r="I458" s="336"/>
      <c r="J458" s="336"/>
      <c r="K458" s="336"/>
      <c r="L458" s="336"/>
      <c r="M458" s="336"/>
    </row>
    <row r="459" spans="2:13">
      <c r="B459" s="534"/>
      <c r="C459" s="336"/>
      <c r="D459" s="336"/>
      <c r="E459" s="336"/>
      <c r="F459" s="336"/>
      <c r="G459" s="336"/>
      <c r="H459" s="336"/>
      <c r="I459" s="336"/>
      <c r="J459" s="336"/>
      <c r="K459" s="336"/>
      <c r="L459" s="336"/>
      <c r="M459" s="336"/>
    </row>
    <row r="460" spans="2:13">
      <c r="B460" s="534"/>
      <c r="C460" s="336"/>
      <c r="D460" s="336"/>
      <c r="E460" s="336"/>
      <c r="F460" s="336"/>
      <c r="G460" s="336"/>
      <c r="H460" s="336"/>
      <c r="I460" s="336"/>
      <c r="J460" s="336"/>
      <c r="K460" s="336"/>
      <c r="L460" s="336"/>
      <c r="M460" s="336"/>
    </row>
    <row r="461" spans="2:13">
      <c r="B461" s="534"/>
      <c r="C461" s="336"/>
      <c r="D461" s="336"/>
      <c r="E461" s="336"/>
      <c r="F461" s="336"/>
      <c r="G461" s="336"/>
      <c r="H461" s="336"/>
      <c r="I461" s="336"/>
      <c r="J461" s="336"/>
      <c r="K461" s="336"/>
      <c r="L461" s="336"/>
      <c r="M461" s="336"/>
    </row>
    <row r="462" spans="2:13">
      <c r="B462" s="534"/>
      <c r="C462" s="336"/>
      <c r="D462" s="336"/>
      <c r="E462" s="336"/>
      <c r="F462" s="336"/>
      <c r="G462" s="336"/>
      <c r="H462" s="336"/>
      <c r="I462" s="336"/>
      <c r="J462" s="336"/>
      <c r="K462" s="336"/>
      <c r="L462" s="336"/>
      <c r="M462" s="336"/>
    </row>
    <row r="463" spans="2:13">
      <c r="B463" s="534"/>
      <c r="C463" s="336"/>
      <c r="D463" s="336"/>
      <c r="E463" s="336"/>
      <c r="F463" s="336"/>
      <c r="G463" s="336"/>
      <c r="H463" s="336"/>
      <c r="I463" s="336"/>
      <c r="J463" s="336"/>
      <c r="K463" s="336"/>
      <c r="L463" s="336"/>
      <c r="M463" s="336"/>
    </row>
    <row r="464" spans="2:13">
      <c r="B464" s="534"/>
      <c r="C464" s="336"/>
      <c r="D464" s="336"/>
      <c r="E464" s="336"/>
      <c r="F464" s="336"/>
      <c r="G464" s="336"/>
      <c r="H464" s="336"/>
      <c r="I464" s="336"/>
      <c r="J464" s="336"/>
      <c r="K464" s="336"/>
      <c r="L464" s="336"/>
      <c r="M464" s="336"/>
    </row>
    <row r="465" spans="2:13">
      <c r="B465" s="534"/>
      <c r="C465" s="336"/>
      <c r="D465" s="336"/>
      <c r="E465" s="336"/>
      <c r="F465" s="336"/>
      <c r="G465" s="336"/>
      <c r="H465" s="336"/>
      <c r="I465" s="336"/>
      <c r="J465" s="336"/>
      <c r="K465" s="336"/>
      <c r="L465" s="336"/>
      <c r="M465" s="336"/>
    </row>
    <row r="466" spans="2:13">
      <c r="B466" s="534"/>
      <c r="C466" s="336"/>
      <c r="D466" s="336"/>
      <c r="E466" s="336"/>
      <c r="F466" s="336"/>
      <c r="G466" s="336"/>
      <c r="H466" s="336"/>
      <c r="I466" s="336"/>
      <c r="J466" s="336"/>
      <c r="K466" s="336"/>
      <c r="L466" s="336"/>
      <c r="M466" s="336"/>
    </row>
    <row r="467" spans="2:13">
      <c r="B467" s="534"/>
      <c r="C467" s="336"/>
      <c r="D467" s="336"/>
      <c r="E467" s="336"/>
      <c r="F467" s="336"/>
      <c r="G467" s="336"/>
      <c r="H467" s="336"/>
      <c r="I467" s="336"/>
      <c r="J467" s="336"/>
      <c r="K467" s="336"/>
      <c r="L467" s="336"/>
      <c r="M467" s="336"/>
    </row>
    <row r="468" spans="2:13">
      <c r="B468" s="534"/>
      <c r="C468" s="336"/>
      <c r="D468" s="336"/>
      <c r="E468" s="336"/>
      <c r="F468" s="336"/>
      <c r="G468" s="336"/>
      <c r="H468" s="336"/>
      <c r="I468" s="336"/>
      <c r="J468" s="336"/>
      <c r="K468" s="336"/>
      <c r="L468" s="336"/>
      <c r="M468" s="336"/>
    </row>
    <row r="469" spans="2:13">
      <c r="B469" s="534"/>
      <c r="C469" s="336"/>
      <c r="D469" s="336"/>
      <c r="E469" s="336"/>
      <c r="F469" s="336"/>
      <c r="G469" s="336"/>
      <c r="H469" s="336"/>
      <c r="I469" s="336"/>
      <c r="J469" s="336"/>
      <c r="K469" s="336"/>
      <c r="L469" s="336"/>
      <c r="M469" s="336"/>
    </row>
    <row r="470" spans="2:13">
      <c r="B470" s="534"/>
      <c r="C470" s="336"/>
      <c r="D470" s="336"/>
      <c r="E470" s="336"/>
      <c r="F470" s="336"/>
      <c r="G470" s="336"/>
      <c r="H470" s="336"/>
      <c r="I470" s="336"/>
      <c r="J470" s="336"/>
      <c r="K470" s="336"/>
      <c r="L470" s="336"/>
      <c r="M470" s="336"/>
    </row>
    <row r="471" spans="2:13">
      <c r="B471" s="534"/>
      <c r="C471" s="336"/>
      <c r="D471" s="336"/>
      <c r="E471" s="336"/>
      <c r="F471" s="336"/>
      <c r="G471" s="336"/>
      <c r="H471" s="336"/>
      <c r="I471" s="336"/>
      <c r="J471" s="336"/>
      <c r="K471" s="336"/>
      <c r="L471" s="336"/>
      <c r="M471" s="336"/>
    </row>
    <row r="472" spans="2:13">
      <c r="B472" s="534"/>
      <c r="C472" s="336"/>
      <c r="D472" s="336"/>
      <c r="E472" s="336"/>
      <c r="F472" s="336"/>
      <c r="G472" s="336"/>
      <c r="H472" s="336"/>
      <c r="I472" s="336"/>
      <c r="J472" s="336"/>
      <c r="K472" s="336"/>
      <c r="L472" s="336"/>
      <c r="M472" s="336"/>
    </row>
    <row r="473" spans="2:13">
      <c r="B473" s="534"/>
      <c r="C473" s="336"/>
      <c r="D473" s="336"/>
      <c r="E473" s="336"/>
      <c r="F473" s="336"/>
      <c r="G473" s="336"/>
      <c r="H473" s="336"/>
      <c r="I473" s="336"/>
      <c r="J473" s="336"/>
      <c r="K473" s="336"/>
      <c r="L473" s="336"/>
      <c r="M473" s="336"/>
    </row>
    <row r="474" spans="2:13">
      <c r="B474" s="534"/>
      <c r="C474" s="336"/>
      <c r="D474" s="336"/>
      <c r="E474" s="336"/>
      <c r="F474" s="336"/>
      <c r="G474" s="336"/>
      <c r="H474" s="336"/>
      <c r="I474" s="336"/>
      <c r="J474" s="336"/>
      <c r="K474" s="336"/>
      <c r="L474" s="336"/>
      <c r="M474" s="336"/>
    </row>
    <row r="475" spans="2:13">
      <c r="B475" s="534"/>
      <c r="C475" s="336"/>
      <c r="D475" s="336"/>
      <c r="E475" s="336"/>
      <c r="F475" s="336"/>
      <c r="G475" s="336"/>
      <c r="H475" s="336"/>
      <c r="I475" s="336"/>
      <c r="J475" s="336"/>
      <c r="K475" s="336"/>
      <c r="L475" s="336"/>
      <c r="M475" s="336"/>
    </row>
    <row r="476" spans="2:13">
      <c r="B476" s="534"/>
      <c r="C476" s="336"/>
      <c r="D476" s="336"/>
      <c r="E476" s="336"/>
      <c r="F476" s="336"/>
      <c r="G476" s="336"/>
      <c r="H476" s="336"/>
      <c r="I476" s="336"/>
      <c r="J476" s="336"/>
      <c r="K476" s="336"/>
      <c r="L476" s="336"/>
      <c r="M476" s="336"/>
    </row>
    <row r="477" spans="2:13">
      <c r="B477" s="534"/>
      <c r="C477" s="336"/>
      <c r="D477" s="336"/>
      <c r="E477" s="336"/>
      <c r="F477" s="336"/>
      <c r="G477" s="336"/>
      <c r="H477" s="336"/>
      <c r="I477" s="336"/>
      <c r="J477" s="336"/>
      <c r="K477" s="336"/>
      <c r="L477" s="336"/>
      <c r="M477" s="336"/>
    </row>
    <row r="478" spans="2:13">
      <c r="B478" s="534"/>
      <c r="C478" s="336"/>
      <c r="D478" s="336"/>
      <c r="E478" s="336"/>
      <c r="F478" s="336"/>
      <c r="G478" s="336"/>
      <c r="H478" s="336"/>
      <c r="I478" s="336"/>
      <c r="J478" s="336"/>
      <c r="K478" s="336"/>
      <c r="L478" s="336"/>
      <c r="M478" s="336"/>
    </row>
    <row r="479" spans="2:13">
      <c r="B479" s="534"/>
      <c r="C479" s="336"/>
      <c r="D479" s="336"/>
      <c r="E479" s="336"/>
      <c r="F479" s="336"/>
      <c r="G479" s="336"/>
      <c r="H479" s="336"/>
      <c r="I479" s="336"/>
      <c r="J479" s="336"/>
      <c r="K479" s="336"/>
      <c r="L479" s="336"/>
      <c r="M479" s="336"/>
    </row>
    <row r="480" spans="2:13">
      <c r="B480" s="534"/>
      <c r="C480" s="336"/>
      <c r="D480" s="336"/>
      <c r="E480" s="336"/>
      <c r="F480" s="336"/>
      <c r="G480" s="336"/>
      <c r="H480" s="336"/>
      <c r="I480" s="336"/>
      <c r="J480" s="336"/>
      <c r="K480" s="336"/>
      <c r="L480" s="336"/>
      <c r="M480" s="336"/>
    </row>
    <row r="481" spans="2:13">
      <c r="B481" s="534"/>
      <c r="C481" s="336"/>
      <c r="D481" s="336"/>
      <c r="E481" s="336"/>
      <c r="F481" s="336"/>
      <c r="G481" s="336"/>
      <c r="H481" s="336"/>
      <c r="I481" s="336"/>
      <c r="J481" s="336"/>
      <c r="K481" s="336"/>
      <c r="L481" s="336"/>
      <c r="M481" s="336"/>
    </row>
    <row r="482" spans="2:13">
      <c r="B482" s="534"/>
      <c r="C482" s="336"/>
      <c r="D482" s="336"/>
      <c r="E482" s="336"/>
      <c r="F482" s="336"/>
      <c r="G482" s="336"/>
      <c r="H482" s="336"/>
      <c r="I482" s="336"/>
      <c r="J482" s="336"/>
      <c r="K482" s="336"/>
      <c r="L482" s="336"/>
      <c r="M482" s="336"/>
    </row>
    <row r="483" spans="2:13">
      <c r="B483" s="534"/>
      <c r="C483" s="336"/>
      <c r="D483" s="336"/>
      <c r="E483" s="336"/>
      <c r="F483" s="336"/>
      <c r="G483" s="336"/>
      <c r="H483" s="336"/>
      <c r="I483" s="336"/>
      <c r="J483" s="336"/>
      <c r="K483" s="336"/>
      <c r="L483" s="336"/>
      <c r="M483" s="336"/>
    </row>
    <row r="484" spans="2:13">
      <c r="B484" s="534"/>
      <c r="C484" s="336"/>
      <c r="D484" s="336"/>
      <c r="E484" s="336"/>
      <c r="F484" s="336"/>
      <c r="G484" s="336"/>
      <c r="H484" s="336"/>
      <c r="I484" s="336"/>
      <c r="J484" s="336"/>
      <c r="K484" s="336"/>
      <c r="L484" s="336"/>
      <c r="M484" s="336"/>
    </row>
    <row r="485" spans="2:13">
      <c r="B485" s="534"/>
      <c r="C485" s="336"/>
      <c r="D485" s="336"/>
      <c r="E485" s="336"/>
      <c r="F485" s="336"/>
      <c r="G485" s="336"/>
      <c r="H485" s="336"/>
      <c r="I485" s="336"/>
      <c r="J485" s="336"/>
      <c r="K485" s="336"/>
      <c r="L485" s="336"/>
      <c r="M485" s="336"/>
    </row>
    <row r="486" spans="2:13">
      <c r="B486" s="534"/>
      <c r="C486" s="336"/>
      <c r="D486" s="336"/>
      <c r="E486" s="336"/>
      <c r="F486" s="336"/>
      <c r="G486" s="336"/>
      <c r="H486" s="336"/>
      <c r="I486" s="336"/>
      <c r="J486" s="336"/>
      <c r="K486" s="336"/>
      <c r="L486" s="336"/>
      <c r="M486" s="336"/>
    </row>
    <row r="487" spans="2:13">
      <c r="B487" s="534"/>
      <c r="C487" s="336"/>
      <c r="D487" s="336"/>
      <c r="E487" s="336"/>
      <c r="F487" s="336"/>
      <c r="G487" s="336"/>
      <c r="H487" s="336"/>
      <c r="I487" s="336"/>
      <c r="J487" s="336"/>
      <c r="K487" s="336"/>
      <c r="L487" s="336"/>
      <c r="M487" s="336"/>
    </row>
    <row r="488" spans="2:13">
      <c r="B488" s="534"/>
      <c r="C488" s="336"/>
      <c r="D488" s="336"/>
      <c r="E488" s="336"/>
      <c r="F488" s="336"/>
      <c r="G488" s="336"/>
      <c r="H488" s="336"/>
      <c r="I488" s="336"/>
      <c r="J488" s="336"/>
      <c r="K488" s="336"/>
      <c r="L488" s="336"/>
      <c r="M488" s="336"/>
    </row>
    <row r="489" spans="2:13">
      <c r="B489" s="534"/>
      <c r="C489" s="336"/>
      <c r="D489" s="336"/>
      <c r="E489" s="336"/>
      <c r="F489" s="336"/>
      <c r="G489" s="336"/>
      <c r="H489" s="336"/>
      <c r="I489" s="336"/>
      <c r="J489" s="336"/>
      <c r="K489" s="336"/>
      <c r="L489" s="336"/>
      <c r="M489" s="336"/>
    </row>
    <row r="490" spans="2:13">
      <c r="B490" s="534"/>
      <c r="C490" s="336"/>
      <c r="D490" s="336"/>
      <c r="E490" s="336"/>
      <c r="F490" s="336"/>
      <c r="G490" s="336"/>
      <c r="H490" s="336"/>
      <c r="I490" s="336"/>
      <c r="J490" s="336"/>
      <c r="K490" s="336"/>
      <c r="L490" s="336"/>
      <c r="M490" s="336"/>
    </row>
    <row r="491" spans="2:13">
      <c r="B491" s="534"/>
      <c r="C491" s="336"/>
      <c r="D491" s="336"/>
      <c r="E491" s="336"/>
      <c r="F491" s="336"/>
      <c r="G491" s="336"/>
      <c r="H491" s="336"/>
      <c r="I491" s="336"/>
      <c r="J491" s="336"/>
      <c r="K491" s="336"/>
      <c r="L491" s="336"/>
      <c r="M491" s="336"/>
    </row>
    <row r="492" spans="2:13">
      <c r="B492" s="534"/>
      <c r="C492" s="336"/>
      <c r="D492" s="336"/>
      <c r="E492" s="336"/>
      <c r="F492" s="336"/>
      <c r="G492" s="336"/>
      <c r="H492" s="336"/>
      <c r="I492" s="336"/>
      <c r="J492" s="336"/>
      <c r="K492" s="336"/>
      <c r="L492" s="336"/>
      <c r="M492" s="336"/>
    </row>
    <row r="493" spans="2:13">
      <c r="B493" s="534"/>
      <c r="C493" s="336"/>
      <c r="D493" s="336"/>
      <c r="E493" s="336"/>
      <c r="F493" s="336"/>
      <c r="G493" s="336"/>
      <c r="H493" s="336"/>
      <c r="I493" s="336"/>
      <c r="J493" s="336"/>
      <c r="K493" s="336"/>
      <c r="L493" s="336"/>
      <c r="M493" s="336"/>
    </row>
    <row r="494" spans="2:13">
      <c r="B494" s="534"/>
      <c r="C494" s="336"/>
      <c r="D494" s="336"/>
      <c r="E494" s="336"/>
      <c r="F494" s="336"/>
      <c r="G494" s="336"/>
      <c r="H494" s="336"/>
      <c r="I494" s="336"/>
      <c r="J494" s="336"/>
      <c r="K494" s="336"/>
      <c r="L494" s="336"/>
      <c r="M494" s="336"/>
    </row>
    <row r="495" spans="2:13">
      <c r="B495" s="534"/>
      <c r="C495" s="336"/>
      <c r="D495" s="336"/>
      <c r="E495" s="336"/>
      <c r="F495" s="336"/>
      <c r="G495" s="336"/>
      <c r="H495" s="336"/>
      <c r="I495" s="336"/>
      <c r="J495" s="336"/>
      <c r="K495" s="336"/>
      <c r="L495" s="336"/>
      <c r="M495" s="336"/>
    </row>
    <row r="496" spans="2:13">
      <c r="B496" s="534"/>
      <c r="C496" s="336"/>
      <c r="D496" s="336"/>
      <c r="E496" s="336"/>
      <c r="F496" s="336"/>
      <c r="G496" s="336"/>
      <c r="H496" s="336"/>
      <c r="I496" s="336"/>
      <c r="J496" s="336"/>
      <c r="K496" s="336"/>
      <c r="L496" s="336"/>
      <c r="M496" s="336"/>
    </row>
    <row r="497" spans="2:13">
      <c r="B497" s="534"/>
      <c r="C497" s="336"/>
      <c r="D497" s="336"/>
      <c r="E497" s="336"/>
      <c r="F497" s="336"/>
      <c r="G497" s="336"/>
      <c r="H497" s="336"/>
      <c r="I497" s="336"/>
      <c r="J497" s="336"/>
      <c r="K497" s="336"/>
      <c r="L497" s="336"/>
      <c r="M497" s="336"/>
    </row>
    <row r="498" spans="2:13">
      <c r="B498" s="534"/>
      <c r="C498" s="336"/>
      <c r="D498" s="336"/>
      <c r="E498" s="336"/>
      <c r="F498" s="336"/>
      <c r="G498" s="336"/>
      <c r="H498" s="336"/>
      <c r="I498" s="336"/>
      <c r="J498" s="336"/>
      <c r="K498" s="336"/>
      <c r="L498" s="336"/>
      <c r="M498" s="336"/>
    </row>
    <row r="499" spans="2:13">
      <c r="B499" s="534"/>
      <c r="C499" s="336"/>
      <c r="D499" s="336"/>
      <c r="E499" s="336"/>
      <c r="F499" s="336"/>
      <c r="G499" s="336"/>
      <c r="H499" s="336"/>
      <c r="I499" s="336"/>
      <c r="J499" s="336"/>
      <c r="K499" s="336"/>
      <c r="L499" s="336"/>
      <c r="M499" s="336"/>
    </row>
    <row r="500" spans="2:13">
      <c r="B500" s="534"/>
      <c r="C500" s="336"/>
      <c r="D500" s="336"/>
      <c r="E500" s="336"/>
      <c r="F500" s="336"/>
      <c r="G500" s="336"/>
      <c r="H500" s="336"/>
      <c r="I500" s="336"/>
      <c r="J500" s="336"/>
      <c r="K500" s="336"/>
      <c r="L500" s="336"/>
      <c r="M500" s="336"/>
    </row>
    <row r="501" spans="2:13">
      <c r="B501" s="534"/>
      <c r="C501" s="336"/>
      <c r="D501" s="336"/>
      <c r="E501" s="336"/>
      <c r="F501" s="336"/>
      <c r="G501" s="336"/>
      <c r="H501" s="336"/>
      <c r="I501" s="336"/>
      <c r="J501" s="336"/>
      <c r="K501" s="336"/>
      <c r="L501" s="336"/>
      <c r="M501" s="336"/>
    </row>
    <row r="502" spans="2:13">
      <c r="B502" s="534"/>
      <c r="C502" s="336"/>
      <c r="D502" s="336"/>
      <c r="E502" s="336"/>
      <c r="F502" s="336"/>
      <c r="G502" s="336"/>
      <c r="H502" s="336"/>
      <c r="I502" s="336"/>
      <c r="J502" s="336"/>
      <c r="K502" s="336"/>
      <c r="L502" s="336"/>
      <c r="M502" s="336"/>
    </row>
    <row r="503" spans="2:13">
      <c r="B503" s="534"/>
      <c r="C503" s="336"/>
      <c r="D503" s="336"/>
      <c r="E503" s="336"/>
      <c r="F503" s="336"/>
      <c r="G503" s="336"/>
      <c r="H503" s="336"/>
      <c r="I503" s="336"/>
      <c r="J503" s="336"/>
      <c r="K503" s="336"/>
      <c r="L503" s="336"/>
      <c r="M503" s="336"/>
    </row>
    <row r="504" spans="2:13">
      <c r="B504" s="534"/>
      <c r="C504" s="336"/>
      <c r="D504" s="336"/>
      <c r="E504" s="336"/>
      <c r="F504" s="336"/>
      <c r="G504" s="336"/>
      <c r="H504" s="336"/>
      <c r="I504" s="336"/>
      <c r="J504" s="336"/>
      <c r="K504" s="336"/>
      <c r="L504" s="336"/>
      <c r="M504" s="336"/>
    </row>
    <row r="505" spans="2:13">
      <c r="B505" s="534"/>
      <c r="C505" s="336"/>
      <c r="D505" s="336"/>
      <c r="E505" s="336"/>
      <c r="F505" s="336"/>
      <c r="G505" s="336"/>
      <c r="H505" s="336"/>
      <c r="I505" s="336"/>
      <c r="J505" s="336"/>
      <c r="K505" s="336"/>
      <c r="L505" s="336"/>
      <c r="M505" s="336"/>
    </row>
    <row r="506" spans="2:13">
      <c r="B506" s="534"/>
      <c r="C506" s="336"/>
      <c r="D506" s="336"/>
      <c r="E506" s="336"/>
      <c r="F506" s="336"/>
      <c r="G506" s="336"/>
      <c r="H506" s="336"/>
      <c r="I506" s="336"/>
      <c r="J506" s="336"/>
      <c r="K506" s="336"/>
      <c r="L506" s="336"/>
      <c r="M506" s="336"/>
    </row>
    <row r="507" spans="2:13">
      <c r="B507" s="534"/>
      <c r="C507" s="336"/>
      <c r="D507" s="336"/>
      <c r="E507" s="336"/>
      <c r="F507" s="336"/>
      <c r="G507" s="336"/>
      <c r="H507" s="336"/>
      <c r="I507" s="336"/>
      <c r="J507" s="336"/>
      <c r="K507" s="336"/>
      <c r="L507" s="336"/>
      <c r="M507" s="336"/>
    </row>
    <row r="508" spans="2:13">
      <c r="B508" s="534"/>
      <c r="C508" s="336"/>
      <c r="D508" s="336"/>
      <c r="E508" s="336"/>
      <c r="F508" s="336"/>
      <c r="G508" s="336"/>
      <c r="H508" s="336"/>
      <c r="I508" s="336"/>
      <c r="J508" s="336"/>
      <c r="K508" s="336"/>
      <c r="L508" s="336"/>
      <c r="M508" s="336"/>
    </row>
    <row r="509" spans="2:13">
      <c r="B509" s="534"/>
      <c r="C509" s="336"/>
      <c r="D509" s="336"/>
      <c r="E509" s="336"/>
      <c r="F509" s="336"/>
      <c r="G509" s="336"/>
      <c r="H509" s="336"/>
      <c r="I509" s="336"/>
      <c r="J509" s="336"/>
      <c r="K509" s="336"/>
      <c r="L509" s="336"/>
      <c r="M509" s="336"/>
    </row>
    <row r="510" spans="2:13">
      <c r="B510" s="534"/>
      <c r="C510" s="336"/>
      <c r="D510" s="336"/>
      <c r="E510" s="336"/>
      <c r="F510" s="336"/>
      <c r="G510" s="336"/>
      <c r="H510" s="336"/>
      <c r="I510" s="336"/>
      <c r="J510" s="336"/>
      <c r="K510" s="336"/>
      <c r="L510" s="336"/>
      <c r="M510" s="336"/>
    </row>
    <row r="511" spans="2:13">
      <c r="B511" s="534"/>
      <c r="C511" s="336"/>
      <c r="D511" s="336"/>
      <c r="E511" s="336"/>
      <c r="F511" s="336"/>
      <c r="G511" s="336"/>
      <c r="H511" s="336"/>
      <c r="I511" s="336"/>
      <c r="J511" s="336"/>
      <c r="K511" s="336"/>
      <c r="L511" s="336"/>
      <c r="M511" s="336"/>
    </row>
    <row r="512" spans="2:13">
      <c r="B512" s="534"/>
      <c r="C512" s="336"/>
      <c r="D512" s="336"/>
      <c r="E512" s="336"/>
      <c r="F512" s="336"/>
      <c r="G512" s="336"/>
      <c r="H512" s="336"/>
      <c r="I512" s="336"/>
      <c r="J512" s="336"/>
      <c r="K512" s="336"/>
      <c r="L512" s="336"/>
      <c r="M512" s="336"/>
    </row>
    <row r="513" spans="2:13">
      <c r="B513" s="534"/>
      <c r="C513" s="336"/>
      <c r="D513" s="336"/>
      <c r="E513" s="336"/>
      <c r="F513" s="336"/>
      <c r="G513" s="336"/>
      <c r="H513" s="336"/>
      <c r="I513" s="336"/>
      <c r="J513" s="336"/>
      <c r="K513" s="336"/>
      <c r="L513" s="336"/>
      <c r="M513" s="336"/>
    </row>
    <row r="514" spans="2:13">
      <c r="B514" s="534"/>
      <c r="C514" s="336"/>
      <c r="D514" s="336"/>
      <c r="E514" s="336"/>
      <c r="F514" s="336"/>
      <c r="G514" s="336"/>
      <c r="H514" s="336"/>
      <c r="I514" s="336"/>
      <c r="J514" s="336"/>
      <c r="K514" s="336"/>
      <c r="L514" s="336"/>
      <c r="M514" s="336"/>
    </row>
    <row r="515" spans="2:13">
      <c r="B515" s="534"/>
      <c r="C515" s="336"/>
      <c r="D515" s="336"/>
      <c r="E515" s="336"/>
      <c r="F515" s="336"/>
      <c r="G515" s="336"/>
      <c r="H515" s="336"/>
      <c r="I515" s="336"/>
      <c r="J515" s="336"/>
      <c r="K515" s="336"/>
      <c r="L515" s="336"/>
      <c r="M515" s="336"/>
    </row>
    <row r="516" spans="2:13">
      <c r="B516" s="534"/>
      <c r="C516" s="336"/>
      <c r="D516" s="336"/>
      <c r="E516" s="336"/>
      <c r="F516" s="336"/>
      <c r="G516" s="336"/>
      <c r="H516" s="336"/>
      <c r="I516" s="336"/>
      <c r="J516" s="336"/>
      <c r="K516" s="336"/>
      <c r="L516" s="336"/>
      <c r="M516" s="336"/>
    </row>
    <row r="517" spans="2:13">
      <c r="B517" s="534"/>
      <c r="C517" s="336"/>
      <c r="D517" s="336"/>
      <c r="E517" s="336"/>
      <c r="F517" s="336"/>
      <c r="G517" s="336"/>
      <c r="H517" s="336"/>
      <c r="I517" s="336"/>
      <c r="J517" s="336"/>
      <c r="K517" s="336"/>
      <c r="L517" s="336"/>
      <c r="M517" s="336"/>
    </row>
    <row r="518" spans="2:13">
      <c r="B518" s="534"/>
      <c r="C518" s="336"/>
      <c r="D518" s="336"/>
      <c r="E518" s="336"/>
      <c r="F518" s="336"/>
      <c r="G518" s="336"/>
      <c r="H518" s="336"/>
      <c r="I518" s="336"/>
      <c r="J518" s="336"/>
      <c r="K518" s="336"/>
      <c r="L518" s="336"/>
      <c r="M518" s="336"/>
    </row>
    <row r="519" spans="2:13">
      <c r="B519" s="534"/>
      <c r="C519" s="336"/>
      <c r="D519" s="336"/>
      <c r="E519" s="336"/>
      <c r="F519" s="336"/>
      <c r="G519" s="336"/>
      <c r="H519" s="336"/>
      <c r="I519" s="336"/>
      <c r="J519" s="336"/>
      <c r="K519" s="336"/>
      <c r="L519" s="336"/>
      <c r="M519" s="336"/>
    </row>
    <row r="520" spans="2:13">
      <c r="B520" s="534"/>
      <c r="C520" s="336"/>
      <c r="D520" s="336"/>
      <c r="E520" s="336"/>
      <c r="F520" s="336"/>
      <c r="G520" s="336"/>
      <c r="H520" s="336"/>
      <c r="I520" s="336"/>
      <c r="J520" s="336"/>
      <c r="K520" s="336"/>
      <c r="L520" s="336"/>
      <c r="M520" s="336"/>
    </row>
    <row r="521" spans="2:13">
      <c r="B521" s="534"/>
      <c r="C521" s="336"/>
      <c r="D521" s="336"/>
      <c r="E521" s="336"/>
      <c r="F521" s="336"/>
      <c r="G521" s="336"/>
      <c r="H521" s="336"/>
      <c r="I521" s="336"/>
      <c r="J521" s="336"/>
      <c r="K521" s="336"/>
      <c r="L521" s="336"/>
      <c r="M521" s="336"/>
    </row>
    <row r="522" spans="2:13">
      <c r="B522" s="534"/>
      <c r="C522" s="336"/>
      <c r="D522" s="336"/>
      <c r="E522" s="336"/>
      <c r="F522" s="336"/>
      <c r="G522" s="336"/>
      <c r="H522" s="336"/>
      <c r="I522" s="336"/>
      <c r="J522" s="336"/>
      <c r="K522" s="336"/>
      <c r="L522" s="336"/>
      <c r="M522" s="336"/>
    </row>
    <row r="523" spans="2:13">
      <c r="B523" s="534"/>
      <c r="C523" s="336"/>
      <c r="D523" s="336"/>
      <c r="E523" s="336"/>
      <c r="F523" s="336"/>
      <c r="G523" s="336"/>
      <c r="H523" s="336"/>
      <c r="I523" s="336"/>
      <c r="J523" s="336"/>
      <c r="K523" s="336"/>
      <c r="L523" s="336"/>
      <c r="M523" s="336"/>
    </row>
    <row r="524" spans="2:13">
      <c r="B524" s="534"/>
      <c r="C524" s="336"/>
      <c r="D524" s="336"/>
      <c r="E524" s="336"/>
      <c r="F524" s="336"/>
      <c r="G524" s="336"/>
      <c r="H524" s="336"/>
      <c r="I524" s="336"/>
      <c r="J524" s="336"/>
      <c r="K524" s="336"/>
      <c r="L524" s="336"/>
      <c r="M524" s="336"/>
    </row>
    <row r="525" spans="2:13">
      <c r="B525" s="534"/>
      <c r="C525" s="336"/>
      <c r="D525" s="336"/>
      <c r="E525" s="336"/>
      <c r="F525" s="336"/>
      <c r="G525" s="336"/>
      <c r="H525" s="336"/>
      <c r="I525" s="336"/>
      <c r="J525" s="336"/>
      <c r="K525" s="336"/>
      <c r="L525" s="336"/>
      <c r="M525" s="336"/>
    </row>
    <row r="526" spans="2:13">
      <c r="B526" s="534"/>
      <c r="C526" s="336"/>
      <c r="D526" s="336"/>
      <c r="E526" s="336"/>
      <c r="F526" s="336"/>
      <c r="G526" s="336"/>
      <c r="H526" s="336"/>
      <c r="I526" s="336"/>
      <c r="J526" s="336"/>
      <c r="K526" s="336"/>
      <c r="L526" s="336"/>
      <c r="M526" s="336"/>
    </row>
    <row r="527" spans="2:13">
      <c r="B527" s="534"/>
      <c r="C527" s="336"/>
      <c r="D527" s="336"/>
      <c r="E527" s="336"/>
      <c r="F527" s="336"/>
      <c r="G527" s="336"/>
      <c r="H527" s="336"/>
      <c r="I527" s="336"/>
      <c r="J527" s="336"/>
      <c r="K527" s="336"/>
      <c r="L527" s="336"/>
      <c r="M527" s="336"/>
    </row>
    <row r="528" spans="2:13">
      <c r="B528" s="534"/>
      <c r="C528" s="336"/>
      <c r="D528" s="336"/>
      <c r="E528" s="336"/>
      <c r="F528" s="336"/>
      <c r="G528" s="336"/>
      <c r="H528" s="336"/>
      <c r="I528" s="336"/>
      <c r="J528" s="336"/>
      <c r="K528" s="336"/>
      <c r="L528" s="336"/>
      <c r="M528" s="336"/>
    </row>
    <row r="529" spans="2:13">
      <c r="B529" s="534"/>
      <c r="C529" s="336"/>
      <c r="D529" s="336"/>
      <c r="E529" s="336"/>
      <c r="F529" s="336"/>
      <c r="G529" s="336"/>
      <c r="H529" s="336"/>
      <c r="I529" s="336"/>
      <c r="J529" s="336"/>
      <c r="K529" s="336"/>
      <c r="L529" s="336"/>
      <c r="M529" s="336"/>
    </row>
    <row r="530" spans="2:13">
      <c r="B530" s="534"/>
      <c r="C530" s="336"/>
      <c r="D530" s="336"/>
      <c r="E530" s="336"/>
      <c r="F530" s="336"/>
      <c r="G530" s="336"/>
      <c r="H530" s="336"/>
      <c r="I530" s="336"/>
      <c r="J530" s="336"/>
      <c r="K530" s="336"/>
      <c r="L530" s="336"/>
      <c r="M530" s="336"/>
    </row>
    <row r="531" spans="2:13">
      <c r="B531" s="534"/>
      <c r="C531" s="336"/>
      <c r="D531" s="336"/>
      <c r="E531" s="336"/>
      <c r="F531" s="336"/>
      <c r="G531" s="336"/>
      <c r="H531" s="336"/>
      <c r="I531" s="336"/>
      <c r="J531" s="336"/>
      <c r="K531" s="336"/>
      <c r="L531" s="336"/>
      <c r="M531" s="336"/>
    </row>
    <row r="532" spans="2:13">
      <c r="B532" s="534"/>
      <c r="C532" s="336"/>
      <c r="D532" s="336"/>
      <c r="E532" s="336"/>
      <c r="F532" s="336"/>
      <c r="G532" s="336"/>
      <c r="H532" s="336"/>
      <c r="I532" s="336"/>
      <c r="J532" s="336"/>
      <c r="K532" s="336"/>
      <c r="L532" s="336"/>
      <c r="M532" s="336"/>
    </row>
    <row r="533" spans="2:13">
      <c r="B533" s="534"/>
      <c r="C533" s="336"/>
      <c r="D533" s="336"/>
      <c r="E533" s="336"/>
      <c r="F533" s="336"/>
      <c r="G533" s="336"/>
      <c r="H533" s="336"/>
      <c r="I533" s="336"/>
      <c r="J533" s="336"/>
      <c r="K533" s="336"/>
      <c r="L533" s="336"/>
      <c r="M533" s="336"/>
    </row>
    <row r="534" spans="2:13">
      <c r="B534" s="534"/>
      <c r="C534" s="336"/>
      <c r="D534" s="336"/>
      <c r="E534" s="336"/>
      <c r="F534" s="336"/>
      <c r="G534" s="336"/>
      <c r="H534" s="336"/>
      <c r="I534" s="336"/>
      <c r="J534" s="336"/>
      <c r="K534" s="336"/>
      <c r="L534" s="336"/>
      <c r="M534" s="336"/>
    </row>
    <row r="535" spans="2:13">
      <c r="B535" s="534"/>
      <c r="C535" s="336"/>
      <c r="D535" s="336"/>
      <c r="E535" s="336"/>
      <c r="F535" s="336"/>
      <c r="G535" s="336"/>
      <c r="H535" s="336"/>
      <c r="I535" s="336"/>
      <c r="J535" s="336"/>
      <c r="K535" s="336"/>
      <c r="L535" s="336"/>
      <c r="M535" s="336"/>
    </row>
    <row r="536" spans="2:13">
      <c r="B536" s="534"/>
      <c r="C536" s="336"/>
      <c r="D536" s="336"/>
      <c r="E536" s="336"/>
      <c r="F536" s="336"/>
      <c r="G536" s="336"/>
      <c r="H536" s="336"/>
      <c r="I536" s="336"/>
      <c r="J536" s="336"/>
      <c r="K536" s="336"/>
      <c r="L536" s="336"/>
      <c r="M536" s="336"/>
    </row>
    <row r="537" spans="2:13">
      <c r="B537" s="534"/>
      <c r="C537" s="336"/>
      <c r="D537" s="336"/>
      <c r="E537" s="336"/>
      <c r="F537" s="336"/>
      <c r="G537" s="336"/>
      <c r="H537" s="336"/>
      <c r="I537" s="336"/>
      <c r="J537" s="336"/>
      <c r="K537" s="336"/>
      <c r="L537" s="336"/>
      <c r="M537" s="336"/>
    </row>
    <row r="538" spans="2:13">
      <c r="B538" s="534"/>
      <c r="C538" s="336"/>
      <c r="D538" s="336"/>
      <c r="E538" s="336"/>
      <c r="F538" s="336"/>
      <c r="G538" s="336"/>
      <c r="H538" s="336"/>
      <c r="I538" s="336"/>
      <c r="J538" s="336"/>
      <c r="K538" s="336"/>
      <c r="L538" s="336"/>
      <c r="M538" s="336"/>
    </row>
    <row r="539" spans="2:13">
      <c r="B539" s="534"/>
      <c r="C539" s="336"/>
      <c r="D539" s="336"/>
      <c r="E539" s="336"/>
      <c r="F539" s="336"/>
      <c r="G539" s="336"/>
      <c r="H539" s="336"/>
      <c r="I539" s="336"/>
      <c r="J539" s="336"/>
      <c r="K539" s="336"/>
      <c r="L539" s="336"/>
      <c r="M539" s="336"/>
    </row>
    <row r="540" spans="2:13">
      <c r="B540" s="534"/>
      <c r="C540" s="336"/>
      <c r="D540" s="336"/>
      <c r="E540" s="336"/>
      <c r="F540" s="336"/>
      <c r="G540" s="336"/>
      <c r="H540" s="336"/>
      <c r="I540" s="336"/>
      <c r="J540" s="336"/>
      <c r="K540" s="336"/>
      <c r="L540" s="336"/>
      <c r="M540" s="336"/>
    </row>
    <row r="541" spans="2:13">
      <c r="B541" s="534"/>
      <c r="C541" s="336"/>
      <c r="D541" s="336"/>
      <c r="E541" s="336"/>
      <c r="F541" s="336"/>
      <c r="G541" s="336"/>
      <c r="H541" s="336"/>
      <c r="I541" s="336"/>
      <c r="J541" s="336"/>
      <c r="K541" s="336"/>
      <c r="L541" s="336"/>
      <c r="M541" s="336"/>
    </row>
    <row r="542" spans="2:13">
      <c r="B542" s="534"/>
      <c r="C542" s="336"/>
      <c r="D542" s="336"/>
      <c r="E542" s="336"/>
      <c r="F542" s="336"/>
      <c r="G542" s="336"/>
      <c r="H542" s="336"/>
      <c r="I542" s="336"/>
      <c r="J542" s="336"/>
      <c r="K542" s="336"/>
      <c r="L542" s="336"/>
      <c r="M542" s="336"/>
    </row>
    <row r="543" spans="2:13">
      <c r="B543" s="534"/>
      <c r="C543" s="336"/>
      <c r="D543" s="336"/>
      <c r="E543" s="336"/>
      <c r="F543" s="336"/>
      <c r="G543" s="336"/>
      <c r="H543" s="336"/>
      <c r="I543" s="336"/>
      <c r="J543" s="336"/>
      <c r="K543" s="336"/>
      <c r="L543" s="336"/>
      <c r="M543" s="336"/>
    </row>
    <row r="544" spans="2:13">
      <c r="B544" s="534"/>
      <c r="C544" s="336"/>
      <c r="D544" s="336"/>
      <c r="E544" s="336"/>
      <c r="F544" s="336"/>
      <c r="G544" s="336"/>
      <c r="H544" s="336"/>
      <c r="I544" s="336"/>
      <c r="J544" s="336"/>
      <c r="K544" s="336"/>
      <c r="L544" s="336"/>
      <c r="M544" s="336"/>
    </row>
    <row r="545" spans="2:13">
      <c r="B545" s="534"/>
      <c r="C545" s="336"/>
      <c r="D545" s="336"/>
      <c r="E545" s="336"/>
      <c r="F545" s="336"/>
      <c r="G545" s="336"/>
      <c r="H545" s="336"/>
      <c r="I545" s="336"/>
      <c r="J545" s="336"/>
      <c r="K545" s="336"/>
      <c r="L545" s="336"/>
      <c r="M545" s="336"/>
    </row>
    <row r="546" spans="2:13">
      <c r="B546" s="534"/>
      <c r="C546" s="336"/>
      <c r="D546" s="336"/>
      <c r="E546" s="336"/>
      <c r="F546" s="336"/>
      <c r="G546" s="336"/>
      <c r="H546" s="336"/>
      <c r="I546" s="336"/>
      <c r="J546" s="336"/>
      <c r="K546" s="336"/>
      <c r="L546" s="336"/>
      <c r="M546" s="336"/>
    </row>
    <row r="547" spans="2:13">
      <c r="B547" s="534"/>
      <c r="C547" s="336"/>
      <c r="D547" s="336"/>
      <c r="E547" s="336"/>
      <c r="F547" s="336"/>
      <c r="G547" s="336"/>
      <c r="H547" s="336"/>
      <c r="I547" s="336"/>
      <c r="J547" s="336"/>
      <c r="K547" s="336"/>
      <c r="L547" s="336"/>
      <c r="M547" s="336"/>
    </row>
    <row r="548" spans="2:13">
      <c r="B548" s="534"/>
      <c r="C548" s="336"/>
      <c r="D548" s="336"/>
      <c r="E548" s="336"/>
      <c r="F548" s="336"/>
      <c r="G548" s="336"/>
      <c r="H548" s="336"/>
      <c r="I548" s="336"/>
      <c r="J548" s="336"/>
      <c r="K548" s="336"/>
      <c r="L548" s="336"/>
      <c r="M548" s="336"/>
    </row>
    <row r="549" spans="2:13">
      <c r="B549" s="534"/>
      <c r="C549" s="336"/>
      <c r="D549" s="336"/>
      <c r="E549" s="336"/>
      <c r="F549" s="336"/>
      <c r="G549" s="336"/>
      <c r="H549" s="336"/>
      <c r="I549" s="336"/>
      <c r="J549" s="336"/>
      <c r="K549" s="336"/>
      <c r="L549" s="336"/>
      <c r="M549" s="336"/>
    </row>
    <row r="550" spans="2:13">
      <c r="B550" s="534"/>
      <c r="C550" s="336"/>
      <c r="D550" s="336"/>
      <c r="E550" s="336"/>
      <c r="F550" s="336"/>
      <c r="G550" s="336"/>
      <c r="H550" s="336"/>
      <c r="I550" s="336"/>
      <c r="J550" s="336"/>
      <c r="K550" s="336"/>
      <c r="L550" s="336"/>
      <c r="M550" s="336"/>
    </row>
    <row r="551" spans="2:13">
      <c r="B551" s="534"/>
      <c r="C551" s="336"/>
      <c r="D551" s="336"/>
      <c r="E551" s="336"/>
      <c r="F551" s="336"/>
      <c r="G551" s="336"/>
      <c r="H551" s="336"/>
      <c r="I551" s="336"/>
      <c r="J551" s="336"/>
      <c r="K551" s="336"/>
      <c r="L551" s="336"/>
      <c r="M551" s="336"/>
    </row>
    <row r="552" spans="2:13">
      <c r="B552" s="534"/>
      <c r="C552" s="336"/>
      <c r="D552" s="336"/>
      <c r="E552" s="336"/>
      <c r="F552" s="336"/>
      <c r="G552" s="336"/>
      <c r="H552" s="336"/>
      <c r="I552" s="336"/>
      <c r="J552" s="336"/>
      <c r="K552" s="336"/>
      <c r="L552" s="336"/>
      <c r="M552" s="336"/>
    </row>
    <row r="553" spans="2:13">
      <c r="B553" s="534"/>
      <c r="C553" s="336"/>
      <c r="D553" s="336"/>
      <c r="E553" s="336"/>
      <c r="F553" s="336"/>
      <c r="G553" s="336"/>
      <c r="H553" s="336"/>
      <c r="I553" s="336"/>
      <c r="J553" s="336"/>
      <c r="K553" s="336"/>
      <c r="L553" s="336"/>
      <c r="M553" s="336"/>
    </row>
    <row r="554" spans="2:13">
      <c r="B554" s="534"/>
      <c r="C554" s="336"/>
      <c r="D554" s="336"/>
      <c r="E554" s="336"/>
      <c r="F554" s="336"/>
      <c r="G554" s="336"/>
      <c r="H554" s="336"/>
      <c r="I554" s="336"/>
      <c r="J554" s="336"/>
      <c r="K554" s="336"/>
      <c r="L554" s="336"/>
      <c r="M554" s="336"/>
    </row>
    <row r="555" spans="2:13">
      <c r="B555" s="534"/>
      <c r="C555" s="336"/>
      <c r="D555" s="336"/>
      <c r="E555" s="336"/>
      <c r="F555" s="336"/>
      <c r="G555" s="336"/>
      <c r="H555" s="336"/>
      <c r="I555" s="336"/>
      <c r="J555" s="336"/>
      <c r="K555" s="336"/>
      <c r="L555" s="336"/>
      <c r="M555" s="336"/>
    </row>
    <row r="556" spans="2:13">
      <c r="B556" s="534"/>
      <c r="C556" s="336"/>
      <c r="D556" s="336"/>
      <c r="E556" s="336"/>
      <c r="F556" s="336"/>
      <c r="G556" s="336"/>
      <c r="H556" s="336"/>
      <c r="I556" s="336"/>
      <c r="J556" s="336"/>
      <c r="K556" s="336"/>
      <c r="L556" s="336"/>
      <c r="M556" s="336"/>
    </row>
    <row r="557" spans="2:13">
      <c r="B557" s="534"/>
      <c r="C557" s="336"/>
      <c r="D557" s="336"/>
      <c r="E557" s="336"/>
      <c r="F557" s="336"/>
      <c r="G557" s="336"/>
      <c r="H557" s="336"/>
      <c r="I557" s="336"/>
      <c r="J557" s="336"/>
      <c r="K557" s="336"/>
      <c r="L557" s="336"/>
      <c r="M557" s="336"/>
    </row>
    <row r="558" spans="2:13">
      <c r="B558" s="534"/>
      <c r="C558" s="336"/>
      <c r="D558" s="336"/>
      <c r="E558" s="336"/>
      <c r="F558" s="336"/>
      <c r="G558" s="336"/>
      <c r="H558" s="336"/>
      <c r="I558" s="336"/>
      <c r="J558" s="336"/>
      <c r="K558" s="336"/>
      <c r="L558" s="336"/>
      <c r="M558" s="336"/>
    </row>
    <row r="559" spans="2:13">
      <c r="B559" s="534"/>
      <c r="C559" s="336"/>
      <c r="D559" s="336"/>
      <c r="E559" s="336"/>
      <c r="F559" s="336"/>
      <c r="G559" s="336"/>
      <c r="H559" s="336"/>
      <c r="I559" s="336"/>
      <c r="J559" s="336"/>
      <c r="K559" s="336"/>
      <c r="L559" s="336"/>
      <c r="M559" s="336"/>
    </row>
    <row r="560" spans="2:13">
      <c r="B560" s="534"/>
      <c r="C560" s="336"/>
      <c r="D560" s="336"/>
      <c r="E560" s="336"/>
      <c r="F560" s="336"/>
      <c r="G560" s="336"/>
      <c r="H560" s="336"/>
      <c r="I560" s="336"/>
      <c r="J560" s="336"/>
      <c r="K560" s="336"/>
      <c r="L560" s="336"/>
      <c r="M560" s="336"/>
    </row>
    <row r="561" spans="2:13">
      <c r="B561" s="534"/>
      <c r="C561" s="336"/>
      <c r="D561" s="336"/>
      <c r="E561" s="336"/>
      <c r="F561" s="336"/>
      <c r="G561" s="336"/>
      <c r="H561" s="336"/>
      <c r="I561" s="336"/>
      <c r="J561" s="336"/>
      <c r="K561" s="336"/>
      <c r="L561" s="336"/>
      <c r="M561" s="336"/>
    </row>
    <row r="562" spans="2:13">
      <c r="B562" s="534"/>
      <c r="C562" s="336"/>
      <c r="D562" s="336"/>
      <c r="E562" s="336"/>
      <c r="F562" s="336"/>
      <c r="G562" s="336"/>
      <c r="H562" s="336"/>
      <c r="I562" s="336"/>
      <c r="J562" s="336"/>
      <c r="K562" s="336"/>
      <c r="L562" s="336"/>
      <c r="M562" s="336"/>
    </row>
    <row r="563" spans="2:13">
      <c r="B563" s="534"/>
      <c r="C563" s="336"/>
      <c r="D563" s="336"/>
      <c r="E563" s="336"/>
      <c r="F563" s="336"/>
      <c r="G563" s="336"/>
      <c r="H563" s="336"/>
      <c r="I563" s="336"/>
      <c r="J563" s="336"/>
      <c r="K563" s="336"/>
      <c r="L563" s="336"/>
      <c r="M563" s="336"/>
    </row>
    <row r="564" spans="2:13">
      <c r="B564" s="534"/>
      <c r="C564" s="336"/>
      <c r="D564" s="336"/>
      <c r="E564" s="336"/>
      <c r="F564" s="336"/>
      <c r="G564" s="336"/>
      <c r="H564" s="336"/>
      <c r="I564" s="336"/>
      <c r="J564" s="336"/>
      <c r="K564" s="336"/>
      <c r="L564" s="336"/>
      <c r="M564" s="336"/>
    </row>
    <row r="565" spans="2:13">
      <c r="B565" s="534"/>
      <c r="C565" s="336"/>
      <c r="D565" s="336"/>
      <c r="E565" s="336"/>
      <c r="F565" s="336"/>
      <c r="G565" s="336"/>
      <c r="H565" s="336"/>
      <c r="I565" s="336"/>
      <c r="J565" s="336"/>
      <c r="K565" s="336"/>
      <c r="L565" s="336"/>
      <c r="M565" s="336"/>
    </row>
    <row r="566" spans="2:13">
      <c r="B566" s="534"/>
      <c r="C566" s="336"/>
      <c r="D566" s="336"/>
      <c r="E566" s="336"/>
      <c r="F566" s="336"/>
      <c r="G566" s="336"/>
      <c r="H566" s="336"/>
      <c r="I566" s="336"/>
      <c r="J566" s="336"/>
      <c r="K566" s="336"/>
      <c r="L566" s="336"/>
      <c r="M566" s="336"/>
    </row>
    <row r="567" spans="2:13">
      <c r="B567" s="534"/>
      <c r="C567" s="336"/>
      <c r="D567" s="336"/>
      <c r="E567" s="336"/>
      <c r="F567" s="336"/>
      <c r="G567" s="336"/>
      <c r="H567" s="336"/>
      <c r="I567" s="336"/>
      <c r="J567" s="336"/>
      <c r="K567" s="336"/>
      <c r="L567" s="336"/>
      <c r="M567" s="336"/>
    </row>
    <row r="568" spans="2:13">
      <c r="B568" s="534"/>
      <c r="C568" s="336"/>
      <c r="D568" s="336"/>
      <c r="E568" s="336"/>
      <c r="F568" s="336"/>
      <c r="G568" s="336"/>
      <c r="H568" s="336"/>
      <c r="I568" s="336"/>
      <c r="J568" s="336"/>
      <c r="K568" s="336"/>
      <c r="L568" s="336"/>
      <c r="M568" s="336"/>
    </row>
    <row r="569" spans="2:13">
      <c r="B569" s="534"/>
      <c r="C569" s="336"/>
      <c r="D569" s="336"/>
      <c r="E569" s="336"/>
      <c r="F569" s="336"/>
      <c r="G569" s="336"/>
      <c r="H569" s="336"/>
      <c r="I569" s="336"/>
      <c r="J569" s="336"/>
      <c r="K569" s="336"/>
      <c r="L569" s="336"/>
      <c r="M569" s="336"/>
    </row>
    <row r="570" spans="2:13">
      <c r="B570" s="534"/>
      <c r="C570" s="336"/>
      <c r="D570" s="336"/>
      <c r="E570" s="336"/>
      <c r="F570" s="336"/>
      <c r="G570" s="336"/>
      <c r="H570" s="336"/>
      <c r="I570" s="336"/>
      <c r="J570" s="336"/>
      <c r="K570" s="336"/>
      <c r="L570" s="336"/>
      <c r="M570" s="336"/>
    </row>
    <row r="571" spans="2:13">
      <c r="B571" s="534"/>
      <c r="C571" s="336"/>
      <c r="D571" s="336"/>
      <c r="E571" s="336"/>
      <c r="F571" s="336"/>
      <c r="G571" s="336"/>
      <c r="H571" s="336"/>
      <c r="I571" s="336"/>
      <c r="J571" s="336"/>
      <c r="K571" s="336"/>
      <c r="L571" s="336"/>
      <c r="M571" s="336"/>
    </row>
    <row r="572" spans="2:13">
      <c r="B572" s="534"/>
      <c r="C572" s="336"/>
      <c r="D572" s="336"/>
      <c r="E572" s="336"/>
      <c r="F572" s="336"/>
      <c r="G572" s="336"/>
      <c r="H572" s="336"/>
      <c r="I572" s="336"/>
      <c r="J572" s="336"/>
      <c r="K572" s="336"/>
      <c r="L572" s="336"/>
      <c r="M572" s="336"/>
    </row>
    <row r="573" spans="2:13">
      <c r="B573" s="534"/>
      <c r="C573" s="336"/>
      <c r="D573" s="336"/>
      <c r="E573" s="336"/>
      <c r="F573" s="336"/>
      <c r="G573" s="336"/>
      <c r="H573" s="336"/>
      <c r="I573" s="336"/>
      <c r="J573" s="336"/>
      <c r="K573" s="336"/>
      <c r="L573" s="336"/>
      <c r="M573" s="336"/>
    </row>
    <row r="574" spans="2:13">
      <c r="B574" s="534"/>
      <c r="C574" s="336"/>
      <c r="D574" s="336"/>
      <c r="E574" s="336"/>
      <c r="F574" s="336"/>
      <c r="G574" s="336"/>
      <c r="H574" s="336"/>
      <c r="I574" s="336"/>
      <c r="J574" s="336"/>
      <c r="K574" s="336"/>
      <c r="L574" s="336"/>
      <c r="M574" s="336"/>
    </row>
    <row r="575" spans="2:13">
      <c r="B575" s="534"/>
      <c r="C575" s="336"/>
      <c r="D575" s="336"/>
      <c r="E575" s="336"/>
      <c r="F575" s="336"/>
      <c r="G575" s="336"/>
      <c r="H575" s="336"/>
      <c r="I575" s="336"/>
      <c r="J575" s="336"/>
      <c r="K575" s="336"/>
      <c r="L575" s="336"/>
      <c r="M575" s="336"/>
    </row>
    <row r="576" spans="2:13">
      <c r="B576" s="534"/>
      <c r="C576" s="336"/>
      <c r="D576" s="336"/>
      <c r="E576" s="336"/>
      <c r="F576" s="336"/>
      <c r="G576" s="336"/>
      <c r="H576" s="336"/>
      <c r="I576" s="336"/>
      <c r="J576" s="336"/>
      <c r="K576" s="336"/>
      <c r="L576" s="336"/>
      <c r="M576" s="336"/>
    </row>
    <row r="577" spans="2:13">
      <c r="B577" s="534"/>
      <c r="C577" s="336"/>
      <c r="D577" s="336"/>
      <c r="E577" s="336"/>
      <c r="F577" s="336"/>
      <c r="G577" s="336"/>
      <c r="H577" s="336"/>
      <c r="I577" s="336"/>
      <c r="J577" s="336"/>
      <c r="K577" s="336"/>
      <c r="L577" s="336"/>
      <c r="M577" s="336"/>
    </row>
    <row r="578" spans="2:13">
      <c r="B578" s="534"/>
      <c r="C578" s="336"/>
      <c r="D578" s="336"/>
      <c r="E578" s="336"/>
      <c r="F578" s="336"/>
      <c r="G578" s="336"/>
      <c r="H578" s="336"/>
      <c r="I578" s="336"/>
      <c r="J578" s="336"/>
      <c r="K578" s="336"/>
      <c r="L578" s="336"/>
      <c r="M578" s="336"/>
    </row>
    <row r="579" spans="2:13">
      <c r="B579" s="534"/>
      <c r="C579" s="336"/>
      <c r="D579" s="336"/>
      <c r="E579" s="336"/>
      <c r="F579" s="336"/>
      <c r="G579" s="336"/>
      <c r="H579" s="336"/>
      <c r="I579" s="336"/>
      <c r="J579" s="336"/>
      <c r="K579" s="336"/>
      <c r="L579" s="336"/>
      <c r="M579" s="336"/>
    </row>
    <row r="580" spans="2:13">
      <c r="B580" s="534"/>
      <c r="C580" s="336"/>
      <c r="D580" s="336"/>
      <c r="E580" s="336"/>
      <c r="F580" s="336"/>
      <c r="G580" s="336"/>
      <c r="H580" s="336"/>
      <c r="I580" s="336"/>
      <c r="J580" s="336"/>
      <c r="K580" s="336"/>
      <c r="L580" s="336"/>
      <c r="M580" s="336"/>
    </row>
    <row r="581" spans="2:13">
      <c r="B581" s="534"/>
      <c r="C581" s="336"/>
      <c r="D581" s="336"/>
      <c r="E581" s="336"/>
      <c r="F581" s="336"/>
      <c r="G581" s="336"/>
      <c r="H581" s="336"/>
      <c r="I581" s="336"/>
      <c r="J581" s="336"/>
      <c r="K581" s="336"/>
      <c r="L581" s="336"/>
      <c r="M581" s="336"/>
    </row>
    <row r="582" spans="2:13">
      <c r="B582" s="534"/>
      <c r="C582" s="336"/>
      <c r="D582" s="336"/>
      <c r="E582" s="336"/>
      <c r="F582" s="336"/>
      <c r="G582" s="336"/>
      <c r="H582" s="336"/>
      <c r="I582" s="336"/>
      <c r="J582" s="336"/>
      <c r="K582" s="336"/>
      <c r="L582" s="336"/>
      <c r="M582" s="336"/>
    </row>
    <row r="583" spans="2:13">
      <c r="B583" s="534"/>
      <c r="C583" s="336"/>
      <c r="D583" s="336"/>
      <c r="E583" s="336"/>
      <c r="F583" s="336"/>
      <c r="G583" s="336"/>
      <c r="H583" s="336"/>
      <c r="I583" s="336"/>
      <c r="J583" s="336"/>
      <c r="K583" s="336"/>
      <c r="L583" s="336"/>
      <c r="M583" s="336"/>
    </row>
    <row r="584" spans="2:13">
      <c r="B584" s="534"/>
      <c r="C584" s="336"/>
      <c r="D584" s="336"/>
      <c r="E584" s="336"/>
      <c r="F584" s="336"/>
      <c r="G584" s="336"/>
      <c r="H584" s="336"/>
      <c r="I584" s="336"/>
      <c r="J584" s="336"/>
      <c r="K584" s="336"/>
      <c r="L584" s="336"/>
      <c r="M584" s="336"/>
    </row>
    <row r="585" spans="2:13">
      <c r="B585" s="534"/>
      <c r="C585" s="336"/>
      <c r="D585" s="336"/>
      <c r="E585" s="336"/>
      <c r="F585" s="336"/>
      <c r="G585" s="336"/>
      <c r="H585" s="336"/>
      <c r="I585" s="336"/>
      <c r="J585" s="336"/>
      <c r="K585" s="336"/>
      <c r="L585" s="336"/>
      <c r="M585" s="336"/>
    </row>
    <row r="586" spans="2:13">
      <c r="B586" s="534"/>
      <c r="C586" s="336"/>
      <c r="D586" s="336"/>
      <c r="E586" s="336"/>
      <c r="F586" s="336"/>
      <c r="G586" s="336"/>
      <c r="H586" s="336"/>
      <c r="I586" s="336"/>
      <c r="J586" s="336"/>
      <c r="K586" s="336"/>
      <c r="L586" s="336"/>
      <c r="M586" s="336"/>
    </row>
    <row r="587" spans="2:13">
      <c r="B587" s="534"/>
      <c r="C587" s="336"/>
      <c r="D587" s="336"/>
      <c r="E587" s="336"/>
      <c r="F587" s="336"/>
      <c r="G587" s="336"/>
      <c r="H587" s="336"/>
      <c r="I587" s="336"/>
      <c r="J587" s="336"/>
      <c r="K587" s="336"/>
      <c r="L587" s="336"/>
      <c r="M587" s="336"/>
    </row>
    <row r="588" spans="2:13">
      <c r="B588" s="534"/>
      <c r="C588" s="336"/>
      <c r="D588" s="336"/>
      <c r="E588" s="336"/>
      <c r="F588" s="336"/>
      <c r="G588" s="336"/>
      <c r="H588" s="336"/>
      <c r="I588" s="336"/>
      <c r="J588" s="336"/>
      <c r="K588" s="336"/>
      <c r="L588" s="336"/>
      <c r="M588" s="336"/>
    </row>
    <row r="589" spans="2:13">
      <c r="B589" s="534"/>
      <c r="C589" s="336"/>
      <c r="D589" s="336"/>
      <c r="E589" s="336"/>
      <c r="F589" s="336"/>
      <c r="G589" s="336"/>
      <c r="H589" s="336"/>
      <c r="I589" s="336"/>
      <c r="J589" s="336"/>
      <c r="K589" s="336"/>
      <c r="L589" s="336"/>
      <c r="M589" s="336"/>
    </row>
    <row r="590" spans="2:13">
      <c r="B590" s="534"/>
      <c r="C590" s="336"/>
      <c r="D590" s="336"/>
      <c r="E590" s="336"/>
      <c r="F590" s="336"/>
      <c r="G590" s="336"/>
      <c r="H590" s="336"/>
      <c r="I590" s="336"/>
      <c r="J590" s="336"/>
      <c r="K590" s="336"/>
      <c r="L590" s="336"/>
      <c r="M590" s="336"/>
    </row>
    <row r="591" spans="2:13">
      <c r="B591" s="534"/>
      <c r="C591" s="336"/>
      <c r="D591" s="336"/>
      <c r="E591" s="336"/>
      <c r="F591" s="336"/>
      <c r="G591" s="336"/>
      <c r="H591" s="336"/>
      <c r="I591" s="336"/>
      <c r="J591" s="336"/>
      <c r="K591" s="336"/>
      <c r="L591" s="336"/>
      <c r="M591" s="336"/>
    </row>
    <row r="592" spans="2:13">
      <c r="B592" s="534"/>
      <c r="C592" s="336"/>
      <c r="D592" s="336"/>
      <c r="E592" s="336"/>
      <c r="F592" s="336"/>
      <c r="G592" s="336"/>
      <c r="H592" s="336"/>
      <c r="I592" s="336"/>
      <c r="J592" s="336"/>
      <c r="K592" s="336"/>
      <c r="L592" s="336"/>
      <c r="M592" s="336"/>
    </row>
    <row r="593" spans="2:13">
      <c r="B593" s="534"/>
      <c r="C593" s="336"/>
      <c r="D593" s="336"/>
      <c r="E593" s="336"/>
      <c r="F593" s="336"/>
      <c r="G593" s="336"/>
      <c r="H593" s="336"/>
      <c r="I593" s="336"/>
      <c r="J593" s="336"/>
      <c r="K593" s="336"/>
      <c r="L593" s="336"/>
      <c r="M593" s="336"/>
    </row>
    <row r="594" spans="2:13">
      <c r="B594" s="534"/>
      <c r="C594" s="336"/>
      <c r="D594" s="336"/>
      <c r="E594" s="336"/>
      <c r="F594" s="336"/>
      <c r="G594" s="336"/>
      <c r="H594" s="336"/>
      <c r="I594" s="336"/>
      <c r="J594" s="336"/>
      <c r="K594" s="336"/>
      <c r="L594" s="336"/>
      <c r="M594" s="336"/>
    </row>
    <row r="595" spans="2:13">
      <c r="B595" s="534"/>
      <c r="C595" s="336"/>
      <c r="D595" s="336"/>
      <c r="E595" s="336"/>
      <c r="F595" s="336"/>
      <c r="G595" s="336"/>
      <c r="H595" s="336"/>
      <c r="I595" s="336"/>
      <c r="J595" s="336"/>
      <c r="K595" s="336"/>
      <c r="L595" s="336"/>
      <c r="M595" s="336"/>
    </row>
    <row r="596" spans="2:13">
      <c r="B596" s="534"/>
      <c r="C596" s="336"/>
      <c r="D596" s="336"/>
      <c r="E596" s="336"/>
      <c r="F596" s="336"/>
      <c r="G596" s="336"/>
      <c r="H596" s="336"/>
      <c r="I596" s="336"/>
      <c r="J596" s="336"/>
      <c r="K596" s="336"/>
      <c r="L596" s="336"/>
      <c r="M596" s="336"/>
    </row>
    <row r="597" spans="2:13">
      <c r="B597" s="534"/>
      <c r="C597" s="336"/>
      <c r="D597" s="336"/>
      <c r="E597" s="336"/>
      <c r="F597" s="336"/>
      <c r="G597" s="336"/>
      <c r="H597" s="336"/>
      <c r="I597" s="336"/>
      <c r="J597" s="336"/>
      <c r="K597" s="336"/>
      <c r="L597" s="336"/>
      <c r="M597" s="336"/>
    </row>
    <row r="598" spans="2:13">
      <c r="B598" s="534"/>
      <c r="C598" s="336"/>
      <c r="D598" s="336"/>
      <c r="E598" s="336"/>
      <c r="F598" s="336"/>
      <c r="G598" s="336"/>
      <c r="H598" s="336"/>
      <c r="I598" s="336"/>
      <c r="J598" s="336"/>
      <c r="K598" s="336"/>
      <c r="L598" s="336"/>
      <c r="M598" s="336"/>
    </row>
    <row r="599" spans="2:13">
      <c r="B599" s="534"/>
      <c r="C599" s="336"/>
      <c r="D599" s="336"/>
      <c r="E599" s="336"/>
      <c r="F599" s="336"/>
      <c r="G599" s="336"/>
      <c r="H599" s="336"/>
      <c r="I599" s="336"/>
      <c r="J599" s="336"/>
      <c r="K599" s="336"/>
      <c r="L599" s="336"/>
      <c r="M599" s="336"/>
    </row>
    <row r="600" spans="2:13">
      <c r="B600" s="534"/>
      <c r="C600" s="336"/>
      <c r="D600" s="336"/>
      <c r="E600" s="336"/>
      <c r="F600" s="336"/>
      <c r="G600" s="336"/>
      <c r="H600" s="336"/>
      <c r="I600" s="336"/>
      <c r="J600" s="336"/>
      <c r="K600" s="336"/>
      <c r="L600" s="336"/>
      <c r="M600" s="336"/>
    </row>
    <row r="601" spans="2:13">
      <c r="B601" s="534"/>
      <c r="C601" s="336"/>
      <c r="D601" s="336"/>
      <c r="E601" s="336"/>
      <c r="F601" s="336"/>
      <c r="G601" s="336"/>
      <c r="H601" s="336"/>
      <c r="I601" s="336"/>
      <c r="J601" s="336"/>
      <c r="K601" s="336"/>
      <c r="L601" s="336"/>
      <c r="M601" s="336"/>
    </row>
    <row r="602" spans="2:13">
      <c r="B602" s="534"/>
      <c r="C602" s="336"/>
      <c r="D602" s="336"/>
      <c r="E602" s="336"/>
      <c r="F602" s="336"/>
      <c r="G602" s="336"/>
      <c r="H602" s="336"/>
      <c r="I602" s="336"/>
      <c r="J602" s="336"/>
      <c r="K602" s="336"/>
      <c r="L602" s="336"/>
      <c r="M602" s="336"/>
    </row>
    <row r="603" spans="2:13">
      <c r="B603" s="534"/>
      <c r="C603" s="336"/>
      <c r="D603" s="336"/>
      <c r="E603" s="336"/>
      <c r="F603" s="336"/>
      <c r="G603" s="336"/>
      <c r="H603" s="336"/>
      <c r="I603" s="336"/>
      <c r="J603" s="336"/>
      <c r="K603" s="336"/>
      <c r="L603" s="336"/>
      <c r="M603" s="336"/>
    </row>
    <row r="604" spans="2:13">
      <c r="B604" s="534"/>
      <c r="C604" s="336"/>
      <c r="D604" s="336"/>
      <c r="E604" s="336"/>
      <c r="F604" s="336"/>
      <c r="G604" s="336"/>
      <c r="H604" s="336"/>
      <c r="I604" s="336"/>
      <c r="J604" s="336"/>
      <c r="K604" s="336"/>
      <c r="L604" s="336"/>
      <c r="M604" s="336"/>
    </row>
    <row r="605" spans="2:13">
      <c r="B605" s="534"/>
      <c r="C605" s="336"/>
      <c r="D605" s="336"/>
      <c r="E605" s="336"/>
      <c r="F605" s="336"/>
      <c r="G605" s="336"/>
      <c r="H605" s="336"/>
      <c r="I605" s="336"/>
      <c r="J605" s="336"/>
      <c r="K605" s="336"/>
      <c r="L605" s="336"/>
      <c r="M605" s="336"/>
    </row>
    <row r="606" spans="2:13">
      <c r="B606" s="534"/>
      <c r="C606" s="336"/>
      <c r="D606" s="336"/>
      <c r="E606" s="336"/>
      <c r="F606" s="336"/>
      <c r="G606" s="336"/>
      <c r="H606" s="336"/>
      <c r="I606" s="336"/>
      <c r="J606" s="336"/>
      <c r="K606" s="336"/>
      <c r="L606" s="336"/>
      <c r="M606" s="336"/>
    </row>
    <row r="607" spans="2:13">
      <c r="B607" s="534"/>
      <c r="C607" s="336"/>
      <c r="D607" s="336"/>
      <c r="E607" s="336"/>
      <c r="F607" s="336"/>
      <c r="G607" s="336"/>
      <c r="H607" s="336"/>
      <c r="I607" s="336"/>
      <c r="J607" s="336"/>
      <c r="K607" s="336"/>
      <c r="L607" s="336"/>
      <c r="M607" s="336"/>
    </row>
    <row r="608" spans="2:13">
      <c r="B608" s="534"/>
      <c r="C608" s="336"/>
      <c r="D608" s="336"/>
      <c r="E608" s="336"/>
      <c r="F608" s="336"/>
      <c r="G608" s="336"/>
      <c r="H608" s="336"/>
      <c r="I608" s="336"/>
      <c r="J608" s="336"/>
      <c r="K608" s="336"/>
      <c r="L608" s="336"/>
      <c r="M608" s="336"/>
    </row>
    <row r="609" spans="2:13">
      <c r="B609" s="534"/>
      <c r="C609" s="336"/>
      <c r="D609" s="336"/>
      <c r="E609" s="336"/>
      <c r="F609" s="336"/>
      <c r="G609" s="336"/>
      <c r="H609" s="336"/>
      <c r="I609" s="336"/>
      <c r="J609" s="336"/>
      <c r="K609" s="336"/>
      <c r="L609" s="336"/>
      <c r="M609" s="336"/>
    </row>
    <row r="610" spans="2:13">
      <c r="B610" s="534"/>
      <c r="C610" s="336"/>
      <c r="D610" s="336"/>
      <c r="E610" s="336"/>
      <c r="F610" s="336"/>
      <c r="G610" s="336"/>
      <c r="H610" s="336"/>
      <c r="I610" s="336"/>
      <c r="J610" s="336"/>
      <c r="K610" s="336"/>
      <c r="L610" s="336"/>
      <c r="M610" s="336"/>
    </row>
    <row r="611" spans="2:13">
      <c r="B611" s="534"/>
      <c r="C611" s="336"/>
      <c r="D611" s="336"/>
      <c r="E611" s="336"/>
      <c r="F611" s="336"/>
      <c r="G611" s="336"/>
      <c r="H611" s="336"/>
      <c r="I611" s="336"/>
      <c r="J611" s="336"/>
      <c r="K611" s="336"/>
      <c r="L611" s="336"/>
      <c r="M611" s="336"/>
    </row>
    <row r="612" spans="2:13">
      <c r="B612" s="534"/>
      <c r="C612" s="336"/>
      <c r="D612" s="336"/>
      <c r="E612" s="336"/>
      <c r="F612" s="336"/>
      <c r="G612" s="336"/>
      <c r="H612" s="336"/>
      <c r="I612" s="336"/>
      <c r="J612" s="336"/>
      <c r="K612" s="336"/>
      <c r="L612" s="336"/>
      <c r="M612" s="336"/>
    </row>
    <row r="613" spans="2:13">
      <c r="B613" s="534"/>
      <c r="C613" s="336"/>
      <c r="D613" s="336"/>
      <c r="E613" s="336"/>
      <c r="F613" s="336"/>
      <c r="G613" s="336"/>
      <c r="H613" s="336"/>
      <c r="I613" s="336"/>
      <c r="J613" s="336"/>
      <c r="K613" s="336"/>
      <c r="L613" s="336"/>
      <c r="M613" s="336"/>
    </row>
    <row r="614" spans="2:13">
      <c r="B614" s="534"/>
      <c r="C614" s="336"/>
      <c r="D614" s="336"/>
      <c r="E614" s="336"/>
      <c r="F614" s="336"/>
      <c r="G614" s="336"/>
      <c r="H614" s="336"/>
      <c r="I614" s="336"/>
      <c r="J614" s="336"/>
      <c r="K614" s="336"/>
      <c r="L614" s="336"/>
      <c r="M614" s="336"/>
    </row>
    <row r="615" spans="2:13">
      <c r="B615" s="534"/>
      <c r="C615" s="336"/>
      <c r="D615" s="336"/>
      <c r="E615" s="336"/>
      <c r="F615" s="336"/>
      <c r="G615" s="336"/>
      <c r="H615" s="336"/>
      <c r="I615" s="336"/>
      <c r="J615" s="336"/>
      <c r="K615" s="336"/>
      <c r="L615" s="336"/>
      <c r="M615" s="336"/>
    </row>
    <row r="616" spans="2:13">
      <c r="B616" s="534"/>
      <c r="C616" s="336"/>
      <c r="D616" s="336"/>
      <c r="E616" s="336"/>
      <c r="F616" s="336"/>
      <c r="G616" s="336"/>
      <c r="H616" s="336"/>
      <c r="I616" s="336"/>
      <c r="J616" s="336"/>
      <c r="K616" s="336"/>
      <c r="L616" s="336"/>
      <c r="M616" s="336"/>
    </row>
    <row r="617" spans="2:13">
      <c r="B617" s="534"/>
      <c r="C617" s="336"/>
      <c r="D617" s="336"/>
      <c r="E617" s="336"/>
      <c r="F617" s="336"/>
      <c r="G617" s="336"/>
      <c r="H617" s="336"/>
      <c r="I617" s="336"/>
      <c r="J617" s="336"/>
      <c r="K617" s="336"/>
      <c r="L617" s="336"/>
      <c r="M617" s="336"/>
    </row>
    <row r="618" spans="2:13">
      <c r="B618" s="534"/>
      <c r="C618" s="336"/>
      <c r="D618" s="336"/>
      <c r="E618" s="336"/>
      <c r="F618" s="336"/>
      <c r="G618" s="336"/>
      <c r="H618" s="336"/>
      <c r="I618" s="336"/>
      <c r="J618" s="336"/>
      <c r="K618" s="336"/>
      <c r="L618" s="336"/>
      <c r="M618" s="336"/>
    </row>
    <row r="619" spans="2:13">
      <c r="B619" s="534"/>
      <c r="C619" s="336"/>
      <c r="D619" s="336"/>
      <c r="E619" s="336"/>
      <c r="F619" s="336"/>
      <c r="G619" s="336"/>
      <c r="H619" s="336"/>
      <c r="I619" s="336"/>
      <c r="J619" s="336"/>
      <c r="K619" s="336"/>
      <c r="L619" s="336"/>
      <c r="M619" s="336"/>
    </row>
    <row r="620" spans="2:13">
      <c r="B620" s="534"/>
      <c r="C620" s="336"/>
      <c r="D620" s="336"/>
      <c r="E620" s="336"/>
      <c r="F620" s="336"/>
      <c r="G620" s="336"/>
      <c r="H620" s="336"/>
      <c r="I620" s="336"/>
      <c r="J620" s="336"/>
      <c r="K620" s="336"/>
      <c r="L620" s="336"/>
      <c r="M620" s="336"/>
    </row>
    <row r="621" spans="2:13">
      <c r="B621" s="534"/>
      <c r="C621" s="336"/>
      <c r="D621" s="336"/>
      <c r="E621" s="336"/>
      <c r="F621" s="336"/>
      <c r="G621" s="336"/>
      <c r="H621" s="336"/>
      <c r="I621" s="336"/>
      <c r="J621" s="336"/>
      <c r="K621" s="336"/>
      <c r="L621" s="336"/>
      <c r="M621" s="336"/>
    </row>
    <row r="622" spans="2:13">
      <c r="B622" s="534"/>
      <c r="C622" s="336"/>
      <c r="D622" s="336"/>
      <c r="E622" s="336"/>
      <c r="F622" s="336"/>
      <c r="G622" s="336"/>
      <c r="H622" s="336"/>
      <c r="I622" s="336"/>
      <c r="J622" s="336"/>
      <c r="K622" s="336"/>
      <c r="L622" s="336"/>
      <c r="M622" s="336"/>
    </row>
    <row r="623" spans="2:13">
      <c r="B623" s="534"/>
      <c r="C623" s="336"/>
      <c r="D623" s="336"/>
      <c r="E623" s="336"/>
      <c r="F623" s="336"/>
      <c r="G623" s="336"/>
      <c r="H623" s="336"/>
      <c r="I623" s="336"/>
      <c r="J623" s="336"/>
      <c r="K623" s="336"/>
      <c r="L623" s="336"/>
      <c r="M623" s="336"/>
    </row>
    <row r="624" spans="2:13">
      <c r="B624" s="534"/>
      <c r="C624" s="336"/>
      <c r="D624" s="336"/>
      <c r="E624" s="336"/>
      <c r="F624" s="336"/>
      <c r="G624" s="336"/>
      <c r="H624" s="336"/>
      <c r="I624" s="336"/>
      <c r="J624" s="336"/>
      <c r="K624" s="336"/>
      <c r="L624" s="336"/>
      <c r="M624" s="336"/>
    </row>
    <row r="625" spans="2:13">
      <c r="B625" s="534"/>
      <c r="C625" s="336"/>
      <c r="D625" s="336"/>
      <c r="E625" s="336"/>
      <c r="F625" s="336"/>
      <c r="G625" s="336"/>
      <c r="H625" s="336"/>
      <c r="I625" s="336"/>
      <c r="J625" s="336"/>
      <c r="K625" s="336"/>
      <c r="L625" s="336"/>
      <c r="M625" s="336"/>
    </row>
    <row r="626" spans="2:13">
      <c r="B626" s="534"/>
      <c r="C626" s="336"/>
      <c r="D626" s="336"/>
      <c r="E626" s="336"/>
      <c r="F626" s="336"/>
      <c r="G626" s="336"/>
      <c r="H626" s="336"/>
      <c r="I626" s="336"/>
      <c r="J626" s="336"/>
      <c r="K626" s="336"/>
      <c r="L626" s="336"/>
      <c r="M626" s="336"/>
    </row>
    <row r="627" spans="2:13">
      <c r="B627" s="534"/>
      <c r="C627" s="336"/>
      <c r="D627" s="336"/>
      <c r="E627" s="336"/>
      <c r="F627" s="336"/>
      <c r="G627" s="336"/>
      <c r="H627" s="336"/>
      <c r="I627" s="336"/>
      <c r="J627" s="336"/>
      <c r="K627" s="336"/>
      <c r="L627" s="336"/>
      <c r="M627" s="336"/>
    </row>
    <row r="628" spans="2:13">
      <c r="B628" s="534"/>
      <c r="C628" s="336"/>
      <c r="D628" s="336"/>
      <c r="E628" s="336"/>
      <c r="F628" s="336"/>
      <c r="G628" s="336"/>
      <c r="H628" s="336"/>
      <c r="I628" s="336"/>
      <c r="J628" s="336"/>
      <c r="K628" s="336"/>
      <c r="L628" s="336"/>
      <c r="M628" s="336"/>
    </row>
    <row r="629" spans="2:13">
      <c r="B629" s="534"/>
      <c r="C629" s="336"/>
      <c r="D629" s="336"/>
      <c r="E629" s="336"/>
      <c r="F629" s="336"/>
      <c r="G629" s="336"/>
      <c r="H629" s="336"/>
      <c r="I629" s="336"/>
      <c r="J629" s="336"/>
      <c r="K629" s="336"/>
      <c r="L629" s="336"/>
      <c r="M629" s="336"/>
    </row>
    <row r="630" spans="2:13">
      <c r="B630" s="534"/>
      <c r="C630" s="336"/>
      <c r="D630" s="336"/>
      <c r="E630" s="336"/>
      <c r="F630" s="336"/>
      <c r="G630" s="336"/>
      <c r="H630" s="336"/>
      <c r="I630" s="336"/>
      <c r="J630" s="336"/>
      <c r="K630" s="336"/>
      <c r="L630" s="336"/>
      <c r="M630" s="336"/>
    </row>
    <row r="631" spans="2:13">
      <c r="B631" s="534"/>
      <c r="C631" s="336"/>
      <c r="D631" s="336"/>
      <c r="E631" s="336"/>
      <c r="F631" s="336"/>
      <c r="G631" s="336"/>
      <c r="H631" s="336"/>
      <c r="I631" s="336"/>
      <c r="J631" s="336"/>
      <c r="K631" s="336"/>
      <c r="L631" s="336"/>
      <c r="M631" s="336"/>
    </row>
    <row r="632" spans="2:13">
      <c r="B632" s="534"/>
      <c r="C632" s="336"/>
      <c r="D632" s="336"/>
      <c r="E632" s="336"/>
      <c r="F632" s="336"/>
      <c r="G632" s="336"/>
      <c r="H632" s="336"/>
      <c r="I632" s="336"/>
      <c r="J632" s="336"/>
      <c r="K632" s="336"/>
      <c r="L632" s="336"/>
      <c r="M632" s="336"/>
    </row>
    <row r="633" spans="2:13">
      <c r="B633" s="534"/>
      <c r="C633" s="336"/>
      <c r="D633" s="336"/>
      <c r="E633" s="336"/>
      <c r="F633" s="336"/>
      <c r="G633" s="336"/>
      <c r="H633" s="336"/>
      <c r="I633" s="336"/>
      <c r="J633" s="336"/>
      <c r="K633" s="336"/>
      <c r="L633" s="336"/>
      <c r="M633" s="336"/>
    </row>
    <row r="634" spans="2:13">
      <c r="B634" s="534"/>
      <c r="C634" s="336"/>
      <c r="D634" s="336"/>
      <c r="E634" s="336"/>
      <c r="F634" s="336"/>
      <c r="G634" s="336"/>
      <c r="H634" s="336"/>
      <c r="I634" s="336"/>
      <c r="J634" s="336"/>
      <c r="K634" s="336"/>
      <c r="L634" s="336"/>
      <c r="M634" s="336"/>
    </row>
    <row r="635" spans="2:13">
      <c r="B635" s="534"/>
      <c r="C635" s="336"/>
      <c r="D635" s="336"/>
      <c r="E635" s="336"/>
      <c r="F635" s="336"/>
      <c r="G635" s="336"/>
      <c r="H635" s="336"/>
      <c r="I635" s="336"/>
      <c r="J635" s="336"/>
      <c r="K635" s="336"/>
      <c r="L635" s="336"/>
      <c r="M635" s="336"/>
    </row>
    <row r="636" spans="2:13">
      <c r="B636" s="534"/>
      <c r="C636" s="336"/>
      <c r="D636" s="336"/>
      <c r="E636" s="336"/>
      <c r="F636" s="336"/>
      <c r="G636" s="336"/>
      <c r="H636" s="336"/>
      <c r="I636" s="336"/>
      <c r="J636" s="336"/>
      <c r="K636" s="336"/>
      <c r="L636" s="336"/>
      <c r="M636" s="336"/>
    </row>
    <row r="637" spans="2:13">
      <c r="B637" s="534"/>
      <c r="C637" s="336"/>
      <c r="D637" s="336"/>
      <c r="E637" s="336"/>
      <c r="F637" s="336"/>
      <c r="G637" s="336"/>
      <c r="H637" s="336"/>
      <c r="I637" s="336"/>
      <c r="J637" s="336"/>
      <c r="K637" s="336"/>
      <c r="L637" s="336"/>
      <c r="M637" s="336"/>
    </row>
    <row r="638" spans="2:13">
      <c r="B638" s="534"/>
      <c r="C638" s="336"/>
      <c r="D638" s="336"/>
      <c r="E638" s="336"/>
      <c r="F638" s="336"/>
      <c r="G638" s="336"/>
      <c r="H638" s="336"/>
      <c r="I638" s="336"/>
      <c r="J638" s="336"/>
      <c r="K638" s="336"/>
      <c r="L638" s="336"/>
      <c r="M638" s="336"/>
    </row>
    <row r="639" spans="2:13">
      <c r="B639" s="534"/>
      <c r="C639" s="336"/>
      <c r="D639" s="336"/>
      <c r="E639" s="336"/>
      <c r="F639" s="336"/>
      <c r="G639" s="336"/>
      <c r="H639" s="336"/>
      <c r="I639" s="336"/>
      <c r="J639" s="336"/>
      <c r="K639" s="336"/>
      <c r="L639" s="336"/>
      <c r="M639" s="336"/>
    </row>
    <row r="640" spans="2:13">
      <c r="B640" s="534"/>
      <c r="C640" s="336"/>
      <c r="D640" s="336"/>
      <c r="E640" s="336"/>
      <c r="F640" s="336"/>
      <c r="G640" s="336"/>
      <c r="H640" s="336"/>
      <c r="I640" s="336"/>
      <c r="J640" s="336"/>
      <c r="K640" s="336"/>
      <c r="L640" s="336"/>
      <c r="M640" s="336"/>
    </row>
    <row r="641" spans="2:13">
      <c r="B641" s="534"/>
      <c r="C641" s="336"/>
      <c r="D641" s="336"/>
      <c r="E641" s="336"/>
      <c r="F641" s="336"/>
      <c r="G641" s="336"/>
      <c r="H641" s="336"/>
      <c r="I641" s="336"/>
      <c r="J641" s="336"/>
      <c r="K641" s="336"/>
      <c r="L641" s="336"/>
      <c r="M641" s="336"/>
    </row>
    <row r="642" spans="2:13">
      <c r="B642" s="534"/>
      <c r="C642" s="336"/>
      <c r="D642" s="336"/>
      <c r="E642" s="336"/>
      <c r="F642" s="336"/>
      <c r="G642" s="336"/>
      <c r="H642" s="336"/>
      <c r="I642" s="336"/>
      <c r="J642" s="336"/>
      <c r="K642" s="336"/>
      <c r="L642" s="336"/>
      <c r="M642" s="336"/>
    </row>
    <row r="643" spans="2:13">
      <c r="B643" s="534"/>
      <c r="C643" s="336"/>
      <c r="D643" s="336"/>
      <c r="E643" s="336"/>
      <c r="F643" s="336"/>
      <c r="G643" s="336"/>
      <c r="H643" s="336"/>
      <c r="I643" s="336"/>
      <c r="J643" s="336"/>
      <c r="K643" s="336"/>
      <c r="L643" s="336"/>
      <c r="M643" s="336"/>
    </row>
    <row r="644" spans="2:13">
      <c r="B644" s="534"/>
      <c r="C644" s="336"/>
      <c r="D644" s="336"/>
      <c r="E644" s="336"/>
      <c r="F644" s="336"/>
      <c r="G644" s="336"/>
      <c r="H644" s="336"/>
      <c r="I644" s="336"/>
      <c r="J644" s="336"/>
      <c r="K644" s="336"/>
      <c r="L644" s="336"/>
      <c r="M644" s="336"/>
    </row>
    <row r="645" spans="2:13">
      <c r="B645" s="534"/>
      <c r="C645" s="336"/>
      <c r="D645" s="336"/>
      <c r="E645" s="336"/>
      <c r="F645" s="336"/>
      <c r="G645" s="336"/>
      <c r="H645" s="336"/>
      <c r="I645" s="336"/>
      <c r="J645" s="336"/>
      <c r="K645" s="336"/>
      <c r="L645" s="336"/>
      <c r="M645" s="336"/>
    </row>
    <row r="646" spans="2:13">
      <c r="B646" s="534"/>
      <c r="C646" s="336"/>
      <c r="D646" s="336"/>
      <c r="E646" s="336"/>
      <c r="F646" s="336"/>
      <c r="G646" s="336"/>
      <c r="H646" s="336"/>
      <c r="I646" s="336"/>
      <c r="J646" s="336"/>
      <c r="K646" s="336"/>
      <c r="L646" s="336"/>
      <c r="M646" s="336"/>
    </row>
    <row r="647" spans="2:13">
      <c r="B647" s="534"/>
      <c r="C647" s="336"/>
      <c r="D647" s="336"/>
      <c r="E647" s="336"/>
      <c r="F647" s="336"/>
      <c r="G647" s="336"/>
      <c r="H647" s="336"/>
      <c r="I647" s="336"/>
      <c r="J647" s="336"/>
      <c r="K647" s="336"/>
      <c r="L647" s="336"/>
      <c r="M647" s="336"/>
    </row>
    <row r="648" spans="2:13">
      <c r="B648" s="534"/>
      <c r="C648" s="336"/>
      <c r="D648" s="336"/>
      <c r="E648" s="336"/>
      <c r="F648" s="336"/>
      <c r="G648" s="336"/>
      <c r="H648" s="336"/>
      <c r="I648" s="336"/>
      <c r="J648" s="336"/>
      <c r="K648" s="336"/>
      <c r="L648" s="336"/>
      <c r="M648" s="336"/>
    </row>
    <row r="649" spans="2:13">
      <c r="B649" s="534"/>
      <c r="C649" s="336"/>
      <c r="D649" s="336"/>
      <c r="E649" s="336"/>
      <c r="F649" s="336"/>
      <c r="G649" s="336"/>
      <c r="H649" s="336"/>
      <c r="I649" s="336"/>
      <c r="J649" s="336"/>
      <c r="K649" s="336"/>
      <c r="L649" s="336"/>
      <c r="M649" s="336"/>
    </row>
    <row r="650" spans="2:13">
      <c r="B650" s="534"/>
      <c r="C650" s="336"/>
      <c r="D650" s="336"/>
      <c r="E650" s="336"/>
      <c r="F650" s="336"/>
      <c r="G650" s="336"/>
      <c r="H650" s="336"/>
      <c r="I650" s="336"/>
      <c r="J650" s="336"/>
      <c r="K650" s="336"/>
      <c r="L650" s="336"/>
      <c r="M650" s="336"/>
    </row>
    <row r="651" spans="2:13">
      <c r="B651" s="534"/>
      <c r="C651" s="336"/>
      <c r="D651" s="336"/>
      <c r="E651" s="336"/>
      <c r="F651" s="336"/>
      <c r="G651" s="336"/>
      <c r="H651" s="336"/>
      <c r="I651" s="336"/>
      <c r="J651" s="336"/>
      <c r="K651" s="336"/>
      <c r="L651" s="336"/>
      <c r="M651" s="336"/>
    </row>
    <row r="652" spans="2:13">
      <c r="B652" s="534"/>
      <c r="C652" s="336"/>
      <c r="D652" s="336"/>
      <c r="E652" s="336"/>
      <c r="F652" s="336"/>
      <c r="G652" s="336"/>
      <c r="H652" s="336"/>
      <c r="I652" s="336"/>
      <c r="J652" s="336"/>
      <c r="K652" s="336"/>
      <c r="L652" s="336"/>
      <c r="M652" s="336"/>
    </row>
    <row r="653" spans="2:13">
      <c r="B653" s="534"/>
      <c r="C653" s="336"/>
      <c r="D653" s="336"/>
      <c r="E653" s="336"/>
      <c r="F653" s="336"/>
      <c r="G653" s="336"/>
      <c r="H653" s="336"/>
      <c r="I653" s="336"/>
      <c r="J653" s="336"/>
      <c r="K653" s="336"/>
      <c r="L653" s="336"/>
      <c r="M653" s="336"/>
    </row>
    <row r="654" spans="2:13">
      <c r="B654" s="534"/>
      <c r="C654" s="336"/>
      <c r="D654" s="336"/>
      <c r="E654" s="336"/>
      <c r="F654" s="336"/>
      <c r="G654" s="336"/>
      <c r="H654" s="336"/>
      <c r="I654" s="336"/>
      <c r="J654" s="336"/>
      <c r="K654" s="336"/>
      <c r="L654" s="336"/>
      <c r="M654" s="336"/>
    </row>
    <row r="655" spans="2:13">
      <c r="B655" s="534"/>
      <c r="C655" s="336"/>
      <c r="D655" s="336"/>
      <c r="E655" s="336"/>
      <c r="F655" s="336"/>
      <c r="G655" s="336"/>
      <c r="H655" s="336"/>
      <c r="I655" s="336"/>
      <c r="J655" s="336"/>
      <c r="K655" s="336"/>
      <c r="L655" s="336"/>
      <c r="M655" s="336"/>
    </row>
    <row r="656" spans="2:13">
      <c r="B656" s="534"/>
      <c r="C656" s="336"/>
      <c r="D656" s="336"/>
      <c r="E656" s="336"/>
      <c r="F656" s="336"/>
      <c r="G656" s="336"/>
      <c r="H656" s="336"/>
      <c r="I656" s="336"/>
      <c r="J656" s="336"/>
      <c r="K656" s="336"/>
      <c r="L656" s="336"/>
      <c r="M656" s="336"/>
    </row>
    <row r="657" spans="2:13">
      <c r="B657" s="534"/>
      <c r="C657" s="336"/>
      <c r="D657" s="336"/>
      <c r="E657" s="336"/>
      <c r="F657" s="336"/>
      <c r="G657" s="336"/>
      <c r="H657" s="336"/>
      <c r="I657" s="336"/>
      <c r="J657" s="336"/>
      <c r="K657" s="336"/>
      <c r="L657" s="336"/>
      <c r="M657" s="336"/>
    </row>
    <row r="658" spans="2:13">
      <c r="B658" s="534"/>
      <c r="C658" s="336"/>
      <c r="D658" s="336"/>
      <c r="E658" s="336"/>
      <c r="F658" s="336"/>
      <c r="G658" s="336"/>
      <c r="H658" s="336"/>
      <c r="I658" s="336"/>
      <c r="J658" s="336"/>
      <c r="K658" s="336"/>
      <c r="L658" s="336"/>
      <c r="M658" s="336"/>
    </row>
    <row r="659" spans="2:13">
      <c r="B659" s="534"/>
      <c r="C659" s="336"/>
      <c r="D659" s="336"/>
      <c r="E659" s="336"/>
      <c r="F659" s="336"/>
      <c r="G659" s="336"/>
      <c r="H659" s="336"/>
      <c r="I659" s="336"/>
      <c r="J659" s="336"/>
      <c r="K659" s="336"/>
      <c r="L659" s="336"/>
      <c r="M659" s="336"/>
    </row>
    <row r="660" spans="2:13">
      <c r="B660" s="534"/>
      <c r="C660" s="336"/>
      <c r="D660" s="336"/>
      <c r="E660" s="336"/>
      <c r="F660" s="336"/>
      <c r="G660" s="336"/>
      <c r="H660" s="336"/>
      <c r="I660" s="336"/>
      <c r="J660" s="336"/>
      <c r="K660" s="336"/>
      <c r="L660" s="336"/>
      <c r="M660" s="336"/>
    </row>
    <row r="661" spans="2:13">
      <c r="B661" s="534"/>
      <c r="C661" s="336"/>
      <c r="D661" s="336"/>
      <c r="E661" s="336"/>
      <c r="F661" s="336"/>
      <c r="G661" s="336"/>
      <c r="H661" s="336"/>
      <c r="I661" s="336"/>
      <c r="J661" s="336"/>
      <c r="K661" s="336"/>
      <c r="L661" s="336"/>
      <c r="M661" s="336"/>
    </row>
    <row r="662" spans="2:13">
      <c r="B662" s="534"/>
      <c r="C662" s="336"/>
      <c r="D662" s="336"/>
      <c r="E662" s="336"/>
      <c r="F662" s="336"/>
      <c r="G662" s="336"/>
      <c r="H662" s="336"/>
      <c r="I662" s="336"/>
      <c r="J662" s="336"/>
      <c r="K662" s="336"/>
      <c r="L662" s="336"/>
      <c r="M662" s="336"/>
    </row>
    <row r="663" spans="2:13">
      <c r="B663" s="534"/>
      <c r="C663" s="336"/>
      <c r="D663" s="336"/>
      <c r="E663" s="336"/>
      <c r="F663" s="336"/>
      <c r="G663" s="336"/>
      <c r="H663" s="336"/>
      <c r="I663" s="336"/>
      <c r="J663" s="336"/>
      <c r="K663" s="336"/>
      <c r="L663" s="336"/>
      <c r="M663" s="336"/>
    </row>
    <row r="664" spans="2:13">
      <c r="B664" s="534"/>
      <c r="C664" s="336"/>
      <c r="D664" s="336"/>
      <c r="E664" s="336"/>
      <c r="F664" s="336"/>
      <c r="G664" s="336"/>
      <c r="H664" s="336"/>
      <c r="I664" s="336"/>
      <c r="J664" s="336"/>
      <c r="K664" s="336"/>
      <c r="L664" s="336"/>
      <c r="M664" s="336"/>
    </row>
    <row r="665" spans="2:13">
      <c r="B665" s="534"/>
      <c r="C665" s="336"/>
      <c r="D665" s="336"/>
      <c r="E665" s="336"/>
      <c r="F665" s="336"/>
      <c r="G665" s="336"/>
      <c r="H665" s="336"/>
      <c r="I665" s="336"/>
      <c r="J665" s="336"/>
      <c r="K665" s="336"/>
      <c r="L665" s="336"/>
      <c r="M665" s="336"/>
    </row>
    <row r="666" spans="2:13">
      <c r="B666" s="534"/>
      <c r="C666" s="336"/>
      <c r="D666" s="336"/>
      <c r="E666" s="336"/>
      <c r="F666" s="336"/>
      <c r="G666" s="336"/>
      <c r="H666" s="336"/>
      <c r="I666" s="336"/>
      <c r="J666" s="336"/>
      <c r="K666" s="336"/>
      <c r="L666" s="336"/>
      <c r="M666" s="336"/>
    </row>
    <row r="667" spans="2:13">
      <c r="B667" s="534"/>
      <c r="C667" s="336"/>
      <c r="D667" s="336"/>
      <c r="E667" s="336"/>
      <c r="F667" s="336"/>
      <c r="G667" s="336"/>
      <c r="H667" s="336"/>
      <c r="I667" s="336"/>
      <c r="J667" s="336"/>
      <c r="K667" s="336"/>
      <c r="L667" s="336"/>
      <c r="M667" s="336"/>
    </row>
    <row r="668" spans="2:13">
      <c r="B668" s="534"/>
      <c r="C668" s="336"/>
      <c r="D668" s="336"/>
      <c r="E668" s="336"/>
      <c r="F668" s="336"/>
      <c r="G668" s="336"/>
      <c r="H668" s="336"/>
      <c r="I668" s="336"/>
      <c r="J668" s="336"/>
      <c r="K668" s="336"/>
      <c r="L668" s="336"/>
      <c r="M668" s="336"/>
    </row>
    <row r="669" spans="2:13">
      <c r="B669" s="534"/>
      <c r="C669" s="336"/>
      <c r="D669" s="336"/>
      <c r="E669" s="336"/>
      <c r="F669" s="336"/>
      <c r="G669" s="336"/>
      <c r="H669" s="336"/>
      <c r="I669" s="336"/>
      <c r="J669" s="336"/>
      <c r="K669" s="336"/>
      <c r="L669" s="336"/>
      <c r="M669" s="336"/>
    </row>
    <row r="670" spans="2:13">
      <c r="B670" s="534"/>
      <c r="C670" s="336"/>
      <c r="D670" s="336"/>
      <c r="E670" s="336"/>
      <c r="F670" s="336"/>
      <c r="G670" s="336"/>
      <c r="H670" s="336"/>
      <c r="I670" s="336"/>
      <c r="J670" s="336"/>
      <c r="K670" s="336"/>
      <c r="L670" s="336"/>
      <c r="M670" s="336"/>
    </row>
    <row r="671" spans="2:13">
      <c r="B671" s="534"/>
      <c r="C671" s="336"/>
      <c r="D671" s="336"/>
      <c r="E671" s="336"/>
      <c r="F671" s="336"/>
      <c r="G671" s="336"/>
      <c r="H671" s="336"/>
      <c r="I671" s="336"/>
      <c r="J671" s="336"/>
      <c r="K671" s="336"/>
      <c r="L671" s="336"/>
      <c r="M671" s="336"/>
    </row>
    <row r="672" spans="2:13">
      <c r="B672" s="534"/>
      <c r="C672" s="336"/>
      <c r="D672" s="336"/>
      <c r="E672" s="336"/>
      <c r="F672" s="336"/>
      <c r="G672" s="336"/>
      <c r="H672" s="336"/>
      <c r="I672" s="336"/>
      <c r="J672" s="336"/>
      <c r="K672" s="336"/>
      <c r="L672" s="336"/>
      <c r="M672" s="336"/>
    </row>
    <row r="673" spans="2:13">
      <c r="B673" s="534"/>
      <c r="C673" s="336"/>
      <c r="D673" s="336"/>
      <c r="E673" s="336"/>
      <c r="F673" s="336"/>
      <c r="G673" s="336"/>
      <c r="H673" s="336"/>
      <c r="I673" s="336"/>
      <c r="J673" s="336"/>
      <c r="K673" s="336"/>
      <c r="L673" s="336"/>
      <c r="M673" s="336"/>
    </row>
    <row r="674" spans="2:13">
      <c r="B674" s="534"/>
      <c r="C674" s="336"/>
      <c r="D674" s="336"/>
      <c r="E674" s="336"/>
      <c r="F674" s="336"/>
      <c r="G674" s="336"/>
      <c r="H674" s="336"/>
      <c r="I674" s="336"/>
      <c r="J674" s="336"/>
      <c r="K674" s="336"/>
      <c r="L674" s="336"/>
      <c r="M674" s="336"/>
    </row>
    <row r="675" spans="2:13">
      <c r="B675" s="534"/>
      <c r="C675" s="336"/>
      <c r="D675" s="336"/>
      <c r="E675" s="336"/>
      <c r="F675" s="336"/>
      <c r="G675" s="336"/>
      <c r="H675" s="336"/>
      <c r="I675" s="336"/>
      <c r="J675" s="336"/>
      <c r="K675" s="336"/>
      <c r="L675" s="336"/>
      <c r="M675" s="336"/>
    </row>
    <row r="676" spans="2:13">
      <c r="B676" s="534"/>
      <c r="C676" s="336"/>
      <c r="D676" s="336"/>
      <c r="E676" s="336"/>
      <c r="F676" s="336"/>
      <c r="G676" s="336"/>
      <c r="H676" s="336"/>
      <c r="I676" s="336"/>
      <c r="J676" s="336"/>
      <c r="K676" s="336"/>
      <c r="L676" s="336"/>
      <c r="M676" s="336"/>
    </row>
    <row r="677" spans="2:13">
      <c r="B677" s="534"/>
      <c r="C677" s="336"/>
      <c r="D677" s="336"/>
      <c r="E677" s="336"/>
      <c r="F677" s="336"/>
      <c r="G677" s="336"/>
      <c r="H677" s="336"/>
      <c r="I677" s="336"/>
      <c r="J677" s="336"/>
      <c r="K677" s="336"/>
      <c r="L677" s="336"/>
      <c r="M677" s="336"/>
    </row>
    <row r="678" spans="2:13">
      <c r="B678" s="534"/>
      <c r="C678" s="336"/>
      <c r="D678" s="336"/>
      <c r="E678" s="336"/>
      <c r="F678" s="336"/>
      <c r="G678" s="336"/>
      <c r="H678" s="336"/>
      <c r="I678" s="336"/>
      <c r="J678" s="336"/>
      <c r="K678" s="336"/>
      <c r="L678" s="336"/>
      <c r="M678" s="336"/>
    </row>
    <row r="679" spans="2:13">
      <c r="B679" s="534"/>
      <c r="C679" s="336"/>
      <c r="D679" s="336"/>
      <c r="E679" s="336"/>
      <c r="F679" s="336"/>
      <c r="G679" s="336"/>
      <c r="H679" s="336"/>
      <c r="I679" s="336"/>
      <c r="J679" s="336"/>
      <c r="K679" s="336"/>
      <c r="L679" s="336"/>
      <c r="M679" s="336"/>
    </row>
    <row r="680" spans="2:13">
      <c r="B680" s="534"/>
      <c r="C680" s="336"/>
      <c r="D680" s="336"/>
      <c r="E680" s="336"/>
      <c r="F680" s="336"/>
      <c r="G680" s="336"/>
      <c r="H680" s="336"/>
      <c r="I680" s="336"/>
      <c r="J680" s="336"/>
      <c r="K680" s="336"/>
      <c r="L680" s="336"/>
      <c r="M680" s="336"/>
    </row>
    <row r="681" spans="2:13">
      <c r="B681" s="534"/>
      <c r="C681" s="336"/>
      <c r="D681" s="336"/>
      <c r="E681" s="336"/>
      <c r="F681" s="336"/>
      <c r="G681" s="336"/>
      <c r="H681" s="336"/>
      <c r="I681" s="336"/>
      <c r="J681" s="336"/>
      <c r="K681" s="336"/>
      <c r="L681" s="336"/>
      <c r="M681" s="336"/>
    </row>
    <row r="682" spans="2:13">
      <c r="B682" s="534"/>
      <c r="C682" s="336"/>
      <c r="D682" s="336"/>
      <c r="E682" s="336"/>
      <c r="F682" s="336"/>
      <c r="G682" s="336"/>
      <c r="H682" s="336"/>
      <c r="I682" s="336"/>
      <c r="J682" s="336"/>
      <c r="K682" s="336"/>
      <c r="L682" s="336"/>
      <c r="M682" s="336"/>
    </row>
    <row r="683" spans="2:13">
      <c r="B683" s="534"/>
      <c r="C683" s="336"/>
      <c r="D683" s="336"/>
      <c r="E683" s="336"/>
      <c r="F683" s="336"/>
      <c r="G683" s="336"/>
      <c r="H683" s="336"/>
      <c r="I683" s="336"/>
      <c r="J683" s="336"/>
      <c r="K683" s="336"/>
      <c r="L683" s="336"/>
      <c r="M683" s="336"/>
    </row>
    <row r="684" spans="2:13">
      <c r="B684" s="534"/>
      <c r="C684" s="336"/>
      <c r="D684" s="336"/>
      <c r="E684" s="336"/>
      <c r="F684" s="336"/>
      <c r="G684" s="336"/>
      <c r="H684" s="336"/>
      <c r="I684" s="336"/>
      <c r="J684" s="336"/>
      <c r="K684" s="336"/>
      <c r="L684" s="336"/>
      <c r="M684" s="336"/>
    </row>
    <row r="685" spans="2:13">
      <c r="B685" s="534"/>
      <c r="C685" s="336"/>
      <c r="D685" s="336"/>
      <c r="E685" s="336"/>
      <c r="F685" s="336"/>
      <c r="G685" s="336"/>
      <c r="H685" s="336"/>
      <c r="I685" s="336"/>
      <c r="J685" s="336"/>
      <c r="K685" s="336"/>
      <c r="L685" s="336"/>
      <c r="M685" s="336"/>
    </row>
    <row r="686" spans="2:13">
      <c r="B686" s="534"/>
      <c r="C686" s="336"/>
      <c r="D686" s="336"/>
      <c r="E686" s="336"/>
      <c r="F686" s="336"/>
      <c r="G686" s="336"/>
      <c r="H686" s="336"/>
      <c r="I686" s="336"/>
      <c r="J686" s="336"/>
      <c r="K686" s="336"/>
      <c r="L686" s="336"/>
      <c r="M686" s="336"/>
    </row>
    <row r="687" spans="2:13">
      <c r="B687" s="534"/>
      <c r="C687" s="336"/>
      <c r="D687" s="336"/>
      <c r="E687" s="336"/>
      <c r="F687" s="336"/>
      <c r="G687" s="336"/>
      <c r="H687" s="336"/>
      <c r="I687" s="336"/>
      <c r="J687" s="336"/>
      <c r="K687" s="336"/>
      <c r="L687" s="336"/>
      <c r="M687" s="336"/>
    </row>
    <row r="688" spans="2:13">
      <c r="B688" s="534"/>
      <c r="C688" s="336"/>
      <c r="D688" s="336"/>
      <c r="E688" s="336"/>
      <c r="F688" s="336"/>
      <c r="G688" s="336"/>
      <c r="H688" s="336"/>
      <c r="I688" s="336"/>
      <c r="J688" s="336"/>
      <c r="K688" s="336"/>
      <c r="L688" s="336"/>
      <c r="M688" s="336"/>
    </row>
    <row r="689" spans="2:13">
      <c r="B689" s="534"/>
      <c r="C689" s="336"/>
      <c r="D689" s="336"/>
      <c r="E689" s="336"/>
      <c r="F689" s="336"/>
      <c r="G689" s="336"/>
      <c r="H689" s="336"/>
      <c r="I689" s="336"/>
      <c r="J689" s="336"/>
      <c r="K689" s="336"/>
      <c r="L689" s="336"/>
      <c r="M689" s="336"/>
    </row>
    <row r="690" spans="2:13">
      <c r="B690" s="534"/>
      <c r="C690" s="336"/>
      <c r="D690" s="336"/>
      <c r="E690" s="336"/>
      <c r="F690" s="336"/>
      <c r="G690" s="336"/>
      <c r="H690" s="336"/>
      <c r="I690" s="336"/>
      <c r="J690" s="336"/>
      <c r="K690" s="336"/>
      <c r="L690" s="336"/>
      <c r="M690" s="336"/>
    </row>
    <row r="691" spans="2:13">
      <c r="B691" s="534"/>
      <c r="C691" s="336"/>
      <c r="D691" s="336"/>
      <c r="E691" s="336"/>
      <c r="F691" s="336"/>
      <c r="G691" s="336"/>
      <c r="H691" s="336"/>
      <c r="I691" s="336"/>
      <c r="J691" s="336"/>
      <c r="K691" s="336"/>
      <c r="L691" s="336"/>
      <c r="M691" s="336"/>
    </row>
    <row r="692" spans="2:13">
      <c r="B692" s="534"/>
      <c r="C692" s="336"/>
      <c r="D692" s="336"/>
      <c r="E692" s="336"/>
      <c r="F692" s="336"/>
      <c r="G692" s="336"/>
      <c r="H692" s="336"/>
      <c r="I692" s="336"/>
      <c r="J692" s="336"/>
      <c r="K692" s="336"/>
      <c r="L692" s="336"/>
      <c r="M692" s="336"/>
    </row>
    <row r="693" spans="2:13">
      <c r="B693" s="534"/>
      <c r="C693" s="336"/>
      <c r="D693" s="336"/>
      <c r="E693" s="336"/>
      <c r="F693" s="336"/>
      <c r="G693" s="336"/>
      <c r="H693" s="336"/>
      <c r="I693" s="336"/>
      <c r="J693" s="336"/>
      <c r="K693" s="336"/>
      <c r="L693" s="336"/>
      <c r="M693" s="336"/>
    </row>
    <row r="694" spans="2:13">
      <c r="B694" s="534"/>
      <c r="C694" s="336"/>
      <c r="D694" s="336"/>
      <c r="E694" s="336"/>
      <c r="F694" s="336"/>
      <c r="G694" s="336"/>
      <c r="H694" s="336"/>
      <c r="I694" s="336"/>
      <c r="J694" s="336"/>
      <c r="K694" s="336"/>
      <c r="L694" s="336"/>
      <c r="M694" s="336"/>
    </row>
    <row r="695" spans="2:13">
      <c r="B695" s="534"/>
      <c r="C695" s="336"/>
      <c r="D695" s="336"/>
      <c r="E695" s="336"/>
      <c r="F695" s="336"/>
      <c r="G695" s="336"/>
      <c r="H695" s="336"/>
      <c r="I695" s="336"/>
      <c r="J695" s="336"/>
      <c r="K695" s="336"/>
      <c r="L695" s="336"/>
      <c r="M695" s="336"/>
    </row>
    <row r="696" spans="2:13">
      <c r="B696" s="534"/>
      <c r="C696" s="336"/>
      <c r="D696" s="336"/>
      <c r="E696" s="336"/>
      <c r="F696" s="336"/>
      <c r="G696" s="336"/>
      <c r="H696" s="336"/>
      <c r="I696" s="336"/>
      <c r="J696" s="336"/>
      <c r="K696" s="336"/>
      <c r="L696" s="336"/>
      <c r="M696" s="336"/>
    </row>
    <row r="697" spans="2:13">
      <c r="B697" s="534"/>
      <c r="C697" s="336"/>
      <c r="D697" s="336"/>
      <c r="E697" s="336"/>
      <c r="F697" s="336"/>
      <c r="G697" s="336"/>
      <c r="H697" s="336"/>
      <c r="I697" s="336"/>
      <c r="J697" s="336"/>
      <c r="K697" s="336"/>
      <c r="L697" s="336"/>
      <c r="M697" s="336"/>
    </row>
    <row r="698" spans="2:13">
      <c r="B698" s="534"/>
      <c r="C698" s="336"/>
      <c r="D698" s="336"/>
      <c r="E698" s="336"/>
      <c r="F698" s="336"/>
      <c r="G698" s="336"/>
      <c r="H698" s="336"/>
      <c r="I698" s="336"/>
      <c r="J698" s="336"/>
      <c r="K698" s="336"/>
      <c r="L698" s="336"/>
      <c r="M698" s="336"/>
    </row>
    <row r="699" spans="2:13">
      <c r="B699" s="534"/>
      <c r="C699" s="336"/>
      <c r="D699" s="336"/>
      <c r="E699" s="336"/>
      <c r="F699" s="336"/>
      <c r="G699" s="336"/>
      <c r="H699" s="336"/>
      <c r="I699" s="336"/>
      <c r="J699" s="336"/>
      <c r="K699" s="336"/>
      <c r="L699" s="336"/>
      <c r="M699" s="336"/>
    </row>
    <row r="700" spans="2:13">
      <c r="B700" s="534"/>
      <c r="C700" s="336"/>
      <c r="D700" s="336"/>
      <c r="E700" s="336"/>
      <c r="F700" s="336"/>
      <c r="G700" s="336"/>
      <c r="H700" s="336"/>
      <c r="I700" s="336"/>
      <c r="J700" s="336"/>
      <c r="K700" s="336"/>
      <c r="L700" s="336"/>
      <c r="M700" s="336"/>
    </row>
    <row r="701" spans="2:13">
      <c r="B701" s="534"/>
      <c r="C701" s="336"/>
      <c r="D701" s="336"/>
      <c r="E701" s="336"/>
      <c r="F701" s="336"/>
      <c r="G701" s="336"/>
      <c r="H701" s="336"/>
      <c r="I701" s="336"/>
      <c r="J701" s="336"/>
      <c r="K701" s="336"/>
      <c r="L701" s="336"/>
      <c r="M701" s="336"/>
    </row>
    <row r="702" spans="2:13">
      <c r="B702" s="534"/>
      <c r="C702" s="336"/>
      <c r="D702" s="336"/>
      <c r="E702" s="336"/>
      <c r="F702" s="336"/>
      <c r="G702" s="336"/>
      <c r="H702" s="336"/>
      <c r="I702" s="336"/>
      <c r="J702" s="336"/>
      <c r="K702" s="336"/>
      <c r="L702" s="336"/>
      <c r="M702" s="336"/>
    </row>
    <row r="703" spans="2:13">
      <c r="B703" s="534"/>
      <c r="C703" s="336"/>
      <c r="D703" s="336"/>
      <c r="E703" s="336"/>
      <c r="F703" s="336"/>
      <c r="G703" s="336"/>
      <c r="H703" s="336"/>
      <c r="I703" s="336"/>
      <c r="J703" s="336"/>
      <c r="K703" s="336"/>
      <c r="L703" s="336"/>
      <c r="M703" s="336"/>
    </row>
    <row r="704" spans="2:13">
      <c r="B704" s="534"/>
      <c r="C704" s="336"/>
      <c r="D704" s="336"/>
      <c r="E704" s="336"/>
      <c r="F704" s="336"/>
      <c r="G704" s="336"/>
      <c r="H704" s="336"/>
      <c r="I704" s="336"/>
      <c r="J704" s="336"/>
      <c r="K704" s="336"/>
      <c r="L704" s="336"/>
      <c r="M704" s="336"/>
    </row>
    <row r="705" spans="2:13">
      <c r="B705" s="534"/>
      <c r="C705" s="336"/>
      <c r="D705" s="336"/>
      <c r="E705" s="336"/>
      <c r="F705" s="336"/>
      <c r="G705" s="336"/>
      <c r="H705" s="336"/>
      <c r="I705" s="336"/>
      <c r="J705" s="336"/>
      <c r="K705" s="336"/>
      <c r="L705" s="336"/>
      <c r="M705" s="336"/>
    </row>
    <row r="706" spans="2:13">
      <c r="B706" s="534"/>
      <c r="C706" s="336"/>
      <c r="D706" s="336"/>
      <c r="E706" s="336"/>
      <c r="F706" s="336"/>
      <c r="G706" s="336"/>
      <c r="H706" s="336"/>
      <c r="I706" s="336"/>
      <c r="J706" s="336"/>
      <c r="K706" s="336"/>
      <c r="L706" s="336"/>
      <c r="M706" s="336"/>
    </row>
    <row r="707" spans="2:13">
      <c r="B707" s="534"/>
      <c r="C707" s="336"/>
      <c r="D707" s="336"/>
      <c r="E707" s="336"/>
      <c r="F707" s="336"/>
      <c r="G707" s="336"/>
      <c r="H707" s="336"/>
      <c r="I707" s="336"/>
      <c r="J707" s="336"/>
      <c r="K707" s="336"/>
      <c r="L707" s="336"/>
      <c r="M707" s="336"/>
    </row>
    <row r="708" spans="2:13">
      <c r="B708" s="534"/>
      <c r="C708" s="336"/>
      <c r="D708" s="336"/>
      <c r="E708" s="336"/>
      <c r="F708" s="336"/>
      <c r="G708" s="336"/>
      <c r="H708" s="336"/>
      <c r="I708" s="336"/>
      <c r="J708" s="336"/>
      <c r="K708" s="336"/>
      <c r="L708" s="336"/>
      <c r="M708" s="336"/>
    </row>
    <row r="709" spans="2:13">
      <c r="B709" s="534"/>
      <c r="C709" s="336"/>
      <c r="D709" s="336"/>
      <c r="E709" s="336"/>
      <c r="F709" s="336"/>
      <c r="G709" s="336"/>
      <c r="H709" s="336"/>
      <c r="I709" s="336"/>
      <c r="J709" s="336"/>
      <c r="K709" s="336"/>
      <c r="L709" s="336"/>
      <c r="M709" s="336"/>
    </row>
    <row r="710" spans="2:13">
      <c r="B710" s="534"/>
      <c r="C710" s="336"/>
      <c r="D710" s="336"/>
      <c r="E710" s="336"/>
      <c r="F710" s="336"/>
      <c r="G710" s="336"/>
      <c r="H710" s="336"/>
      <c r="I710" s="336"/>
      <c r="J710" s="336"/>
      <c r="K710" s="336"/>
      <c r="L710" s="336"/>
      <c r="M710" s="336"/>
    </row>
    <row r="711" spans="2:13">
      <c r="B711" s="534"/>
      <c r="C711" s="336"/>
      <c r="D711" s="336"/>
      <c r="E711" s="336"/>
      <c r="F711" s="336"/>
      <c r="G711" s="336"/>
      <c r="H711" s="336"/>
      <c r="I711" s="336"/>
      <c r="J711" s="336"/>
      <c r="K711" s="336"/>
      <c r="L711" s="336"/>
      <c r="M711" s="336"/>
    </row>
    <row r="712" spans="2:13">
      <c r="B712" s="534"/>
      <c r="C712" s="336"/>
      <c r="D712" s="336"/>
      <c r="E712" s="336"/>
      <c r="F712" s="336"/>
      <c r="G712" s="336"/>
      <c r="H712" s="336"/>
      <c r="I712" s="336"/>
      <c r="J712" s="336"/>
      <c r="K712" s="336"/>
      <c r="L712" s="336"/>
      <c r="M712" s="336"/>
    </row>
    <row r="713" spans="2:13">
      <c r="B713" s="534"/>
      <c r="C713" s="336"/>
      <c r="D713" s="336"/>
      <c r="E713" s="336"/>
      <c r="F713" s="336"/>
      <c r="G713" s="336"/>
      <c r="H713" s="336"/>
      <c r="I713" s="336"/>
      <c r="J713" s="336"/>
      <c r="K713" s="336"/>
      <c r="L713" s="336"/>
      <c r="M713" s="336"/>
    </row>
    <row r="714" spans="2:13">
      <c r="B714" s="534"/>
      <c r="C714" s="336"/>
      <c r="D714" s="336"/>
      <c r="E714" s="336"/>
      <c r="F714" s="336"/>
      <c r="G714" s="336"/>
      <c r="H714" s="336"/>
      <c r="I714" s="336"/>
      <c r="J714" s="336"/>
      <c r="K714" s="336"/>
      <c r="L714" s="336"/>
      <c r="M714" s="336"/>
    </row>
    <row r="715" spans="2:13">
      <c r="B715" s="534"/>
      <c r="C715" s="336"/>
      <c r="D715" s="336"/>
      <c r="E715" s="336"/>
      <c r="F715" s="336"/>
      <c r="G715" s="336"/>
      <c r="H715" s="336"/>
      <c r="I715" s="336"/>
      <c r="J715" s="336"/>
      <c r="K715" s="336"/>
      <c r="L715" s="336"/>
      <c r="M715" s="336"/>
    </row>
    <row r="716" spans="2:13">
      <c r="B716" s="534"/>
      <c r="C716" s="336"/>
      <c r="D716" s="336"/>
      <c r="E716" s="336"/>
      <c r="F716" s="336"/>
      <c r="G716" s="336"/>
      <c r="H716" s="336"/>
      <c r="I716" s="336"/>
      <c r="J716" s="336"/>
      <c r="K716" s="336"/>
      <c r="L716" s="336"/>
      <c r="M716" s="336"/>
    </row>
    <row r="717" spans="2:13">
      <c r="B717" s="534"/>
      <c r="C717" s="336"/>
      <c r="D717" s="336"/>
      <c r="E717" s="336"/>
      <c r="F717" s="336"/>
      <c r="G717" s="336"/>
      <c r="H717" s="336"/>
      <c r="I717" s="336"/>
      <c r="J717" s="336"/>
      <c r="K717" s="336"/>
      <c r="L717" s="336"/>
      <c r="M717" s="336"/>
    </row>
    <row r="718" spans="2:13">
      <c r="B718" s="534"/>
      <c r="C718" s="336"/>
      <c r="D718" s="336"/>
      <c r="E718" s="336"/>
      <c r="F718" s="336"/>
      <c r="G718" s="336"/>
      <c r="H718" s="336"/>
      <c r="I718" s="336"/>
      <c r="J718" s="336"/>
      <c r="K718" s="336"/>
      <c r="L718" s="336"/>
      <c r="M718" s="336"/>
    </row>
    <row r="719" spans="2:13">
      <c r="B719" s="534"/>
      <c r="C719" s="336"/>
      <c r="D719" s="336"/>
      <c r="E719" s="336"/>
      <c r="F719" s="336"/>
      <c r="G719" s="336"/>
      <c r="H719" s="336"/>
      <c r="I719" s="336"/>
      <c r="J719" s="336"/>
      <c r="K719" s="336"/>
      <c r="L719" s="336"/>
      <c r="M719" s="336"/>
    </row>
    <row r="720" spans="2:13">
      <c r="B720" s="534"/>
      <c r="C720" s="336"/>
      <c r="D720" s="336"/>
      <c r="E720" s="336"/>
      <c r="F720" s="336"/>
      <c r="G720" s="336"/>
      <c r="H720" s="336"/>
      <c r="I720" s="336"/>
      <c r="J720" s="336"/>
      <c r="K720" s="336"/>
      <c r="L720" s="336"/>
      <c r="M720" s="336"/>
    </row>
    <row r="721" spans="2:13">
      <c r="B721" s="534"/>
      <c r="C721" s="336"/>
      <c r="D721" s="336"/>
      <c r="E721" s="336"/>
      <c r="F721" s="336"/>
      <c r="G721" s="336"/>
      <c r="H721" s="336"/>
      <c r="I721" s="336"/>
      <c r="J721" s="336"/>
      <c r="K721" s="336"/>
      <c r="L721" s="336"/>
      <c r="M721" s="336"/>
    </row>
    <row r="722" spans="2:13">
      <c r="B722" s="534"/>
      <c r="C722" s="336"/>
      <c r="D722" s="336"/>
      <c r="E722" s="336"/>
      <c r="F722" s="336"/>
      <c r="G722" s="336"/>
      <c r="H722" s="336"/>
      <c r="I722" s="336"/>
      <c r="J722" s="336"/>
      <c r="K722" s="336"/>
      <c r="L722" s="336"/>
      <c r="M722" s="336"/>
    </row>
    <row r="723" spans="2:13">
      <c r="B723" s="534"/>
      <c r="C723" s="336"/>
      <c r="D723" s="336"/>
      <c r="E723" s="336"/>
      <c r="F723" s="336"/>
      <c r="G723" s="336"/>
      <c r="H723" s="336"/>
      <c r="I723" s="336"/>
      <c r="J723" s="336"/>
      <c r="K723" s="336"/>
      <c r="L723" s="336"/>
      <c r="M723" s="336"/>
    </row>
    <row r="724" spans="2:13">
      <c r="B724" s="534"/>
      <c r="C724" s="336"/>
      <c r="D724" s="336"/>
      <c r="E724" s="336"/>
      <c r="F724" s="336"/>
      <c r="G724" s="336"/>
      <c r="H724" s="336"/>
      <c r="I724" s="336"/>
      <c r="J724" s="336"/>
      <c r="K724" s="336"/>
      <c r="L724" s="336"/>
      <c r="M724" s="336"/>
    </row>
    <row r="725" spans="2:13">
      <c r="B725" s="534"/>
      <c r="C725" s="336"/>
      <c r="D725" s="336"/>
      <c r="E725" s="336"/>
      <c r="F725" s="336"/>
      <c r="G725" s="336"/>
      <c r="H725" s="336"/>
      <c r="I725" s="336"/>
      <c r="J725" s="336"/>
      <c r="K725" s="336"/>
      <c r="L725" s="336"/>
      <c r="M725" s="336"/>
    </row>
    <row r="726" spans="2:13">
      <c r="B726" s="534"/>
      <c r="C726" s="336"/>
      <c r="D726" s="336"/>
      <c r="E726" s="336"/>
      <c r="F726" s="336"/>
      <c r="G726" s="336"/>
      <c r="H726" s="336"/>
      <c r="I726" s="336"/>
      <c r="J726" s="336"/>
      <c r="K726" s="336"/>
      <c r="L726" s="336"/>
      <c r="M726" s="336"/>
    </row>
    <row r="727" spans="2:13">
      <c r="B727" s="534"/>
      <c r="C727" s="336"/>
      <c r="D727" s="336"/>
      <c r="E727" s="336"/>
      <c r="F727" s="336"/>
      <c r="G727" s="336"/>
      <c r="H727" s="336"/>
      <c r="I727" s="336"/>
      <c r="J727" s="336"/>
      <c r="K727" s="336"/>
      <c r="L727" s="336"/>
      <c r="M727" s="336"/>
    </row>
    <row r="728" spans="2:13">
      <c r="B728" s="534"/>
      <c r="C728" s="336"/>
      <c r="D728" s="336"/>
      <c r="E728" s="336"/>
      <c r="F728" s="336"/>
      <c r="G728" s="336"/>
      <c r="H728" s="336"/>
      <c r="I728" s="336"/>
      <c r="J728" s="336"/>
      <c r="K728" s="336"/>
      <c r="L728" s="336"/>
      <c r="M728" s="336"/>
    </row>
    <row r="729" spans="2:13">
      <c r="B729" s="534"/>
      <c r="C729" s="336"/>
      <c r="D729" s="336"/>
      <c r="E729" s="336"/>
      <c r="F729" s="336"/>
      <c r="G729" s="336"/>
      <c r="H729" s="336"/>
      <c r="I729" s="336"/>
      <c r="J729" s="336"/>
      <c r="K729" s="336"/>
      <c r="L729" s="336"/>
      <c r="M729" s="336"/>
    </row>
    <row r="730" spans="2:13">
      <c r="B730" s="534"/>
      <c r="C730" s="336"/>
      <c r="D730" s="336"/>
      <c r="E730" s="336"/>
      <c r="F730" s="336"/>
      <c r="G730" s="336"/>
      <c r="H730" s="336"/>
      <c r="I730" s="336"/>
      <c r="J730" s="336"/>
      <c r="K730" s="336"/>
      <c r="L730" s="336"/>
      <c r="M730" s="336"/>
    </row>
    <row r="731" spans="2:13">
      <c r="B731" s="534"/>
      <c r="C731" s="336"/>
      <c r="D731" s="336"/>
      <c r="E731" s="336"/>
      <c r="F731" s="336"/>
      <c r="G731" s="336"/>
      <c r="H731" s="336"/>
      <c r="I731" s="336"/>
      <c r="J731" s="336"/>
      <c r="K731" s="336"/>
      <c r="L731" s="336"/>
      <c r="M731" s="336"/>
    </row>
    <row r="732" spans="2:13">
      <c r="B732" s="534"/>
      <c r="C732" s="336"/>
      <c r="D732" s="336"/>
      <c r="E732" s="336"/>
      <c r="F732" s="336"/>
      <c r="G732" s="336"/>
      <c r="H732" s="336"/>
      <c r="I732" s="336"/>
      <c r="J732" s="336"/>
      <c r="K732" s="336"/>
      <c r="L732" s="336"/>
      <c r="M732" s="336"/>
    </row>
    <row r="733" spans="2:13">
      <c r="B733" s="534"/>
      <c r="C733" s="336"/>
      <c r="D733" s="336"/>
      <c r="E733" s="336"/>
      <c r="F733" s="336"/>
      <c r="G733" s="336"/>
      <c r="H733" s="336"/>
      <c r="I733" s="336"/>
      <c r="J733" s="336"/>
      <c r="K733" s="336"/>
      <c r="L733" s="336"/>
      <c r="M733" s="336"/>
    </row>
    <row r="734" spans="2:13">
      <c r="B734" s="534"/>
      <c r="C734" s="336"/>
      <c r="D734" s="336"/>
      <c r="E734" s="336"/>
      <c r="F734" s="336"/>
      <c r="G734" s="336"/>
      <c r="H734" s="336"/>
      <c r="I734" s="336"/>
      <c r="J734" s="336"/>
      <c r="K734" s="336"/>
      <c r="L734" s="336"/>
      <c r="M734" s="336"/>
    </row>
    <row r="735" spans="2:13">
      <c r="B735" s="534"/>
      <c r="C735" s="336"/>
      <c r="D735" s="336"/>
      <c r="E735" s="336"/>
      <c r="F735" s="336"/>
      <c r="G735" s="336"/>
      <c r="H735" s="336"/>
      <c r="I735" s="336"/>
      <c r="J735" s="336"/>
      <c r="K735" s="336"/>
      <c r="L735" s="336"/>
      <c r="M735" s="336"/>
    </row>
    <row r="736" spans="2:13">
      <c r="B736" s="534"/>
      <c r="C736" s="336"/>
      <c r="D736" s="336"/>
      <c r="E736" s="336"/>
      <c r="F736" s="336"/>
      <c r="G736" s="336"/>
      <c r="H736" s="336"/>
      <c r="I736" s="336"/>
      <c r="J736" s="336"/>
      <c r="K736" s="336"/>
      <c r="L736" s="336"/>
      <c r="M736" s="336"/>
    </row>
    <row r="737" spans="2:13">
      <c r="B737" s="534"/>
      <c r="C737" s="336"/>
      <c r="D737" s="336"/>
      <c r="E737" s="336"/>
      <c r="F737" s="336"/>
      <c r="G737" s="336"/>
      <c r="H737" s="336"/>
      <c r="I737" s="336"/>
      <c r="J737" s="336"/>
      <c r="K737" s="336"/>
      <c r="L737" s="336"/>
      <c r="M737" s="336"/>
    </row>
    <row r="738" spans="2:13">
      <c r="B738" s="534"/>
      <c r="C738" s="336"/>
      <c r="D738" s="336"/>
      <c r="E738" s="336"/>
      <c r="F738" s="336"/>
      <c r="G738" s="336"/>
      <c r="H738" s="336"/>
      <c r="I738" s="336"/>
      <c r="J738" s="336"/>
      <c r="K738" s="336"/>
      <c r="L738" s="336"/>
      <c r="M738" s="336"/>
    </row>
    <row r="739" spans="2:13">
      <c r="B739" s="534"/>
      <c r="C739" s="336"/>
      <c r="D739" s="336"/>
      <c r="E739" s="336"/>
      <c r="F739" s="336"/>
      <c r="G739" s="336"/>
      <c r="H739" s="336"/>
      <c r="I739" s="336"/>
      <c r="J739" s="336"/>
      <c r="K739" s="336"/>
      <c r="L739" s="336"/>
      <c r="M739" s="336"/>
    </row>
    <row r="740" spans="2:13">
      <c r="B740" s="534"/>
      <c r="C740" s="336"/>
      <c r="D740" s="336"/>
      <c r="E740" s="336"/>
      <c r="F740" s="336"/>
      <c r="G740" s="336"/>
      <c r="H740" s="336"/>
      <c r="I740" s="336"/>
      <c r="J740" s="336"/>
      <c r="K740" s="336"/>
      <c r="L740" s="336"/>
      <c r="M740" s="336"/>
    </row>
    <row r="741" spans="2:13">
      <c r="B741" s="534"/>
      <c r="C741" s="336"/>
      <c r="D741" s="336"/>
      <c r="E741" s="336"/>
      <c r="F741" s="336"/>
      <c r="G741" s="336"/>
      <c r="H741" s="336"/>
      <c r="I741" s="336"/>
      <c r="J741" s="336"/>
      <c r="K741" s="336"/>
      <c r="L741" s="336"/>
      <c r="M741" s="336"/>
    </row>
    <row r="742" spans="2:13">
      <c r="B742" s="534"/>
      <c r="C742" s="336"/>
      <c r="D742" s="336"/>
      <c r="E742" s="336"/>
      <c r="F742" s="336"/>
      <c r="G742" s="336"/>
      <c r="H742" s="336"/>
      <c r="I742" s="336"/>
      <c r="J742" s="336"/>
      <c r="K742" s="336"/>
      <c r="L742" s="336"/>
      <c r="M742" s="336"/>
    </row>
    <row r="743" spans="2:13">
      <c r="B743" s="534"/>
      <c r="C743" s="336"/>
      <c r="D743" s="336"/>
      <c r="E743" s="336"/>
      <c r="F743" s="336"/>
      <c r="G743" s="336"/>
      <c r="H743" s="336"/>
      <c r="I743" s="336"/>
      <c r="J743" s="336"/>
      <c r="K743" s="336"/>
      <c r="L743" s="336"/>
      <c r="M743" s="336"/>
    </row>
    <row r="744" spans="2:13">
      <c r="B744" s="534"/>
      <c r="C744" s="336"/>
      <c r="D744" s="336"/>
      <c r="E744" s="336"/>
      <c r="F744" s="336"/>
      <c r="G744" s="336"/>
      <c r="H744" s="336"/>
      <c r="I744" s="336"/>
      <c r="J744" s="336"/>
      <c r="K744" s="336"/>
      <c r="L744" s="336"/>
      <c r="M744" s="336"/>
    </row>
    <row r="745" spans="2:13">
      <c r="B745" s="534"/>
      <c r="C745" s="336"/>
      <c r="D745" s="336"/>
      <c r="E745" s="336"/>
      <c r="F745" s="336"/>
      <c r="G745" s="336"/>
      <c r="H745" s="336"/>
      <c r="I745" s="336"/>
      <c r="J745" s="336"/>
      <c r="K745" s="336"/>
      <c r="L745" s="336"/>
      <c r="M745" s="336"/>
    </row>
    <row r="746" spans="2:13">
      <c r="B746" s="534"/>
      <c r="C746" s="336"/>
      <c r="D746" s="336"/>
      <c r="E746" s="336"/>
      <c r="F746" s="336"/>
      <c r="G746" s="336"/>
      <c r="H746" s="336"/>
      <c r="I746" s="336"/>
      <c r="J746" s="336"/>
      <c r="K746" s="336"/>
      <c r="L746" s="336"/>
      <c r="M746" s="336"/>
    </row>
    <row r="747" spans="2:13">
      <c r="B747" s="534"/>
      <c r="C747" s="336"/>
      <c r="D747" s="336"/>
      <c r="E747" s="336"/>
      <c r="F747" s="336"/>
      <c r="G747" s="336"/>
      <c r="H747" s="336"/>
      <c r="I747" s="336"/>
      <c r="J747" s="336"/>
      <c r="K747" s="336"/>
      <c r="L747" s="336"/>
      <c r="M747" s="336"/>
    </row>
    <row r="748" spans="2:13">
      <c r="B748" s="534"/>
      <c r="C748" s="336"/>
      <c r="D748" s="336"/>
      <c r="E748" s="336"/>
      <c r="F748" s="336"/>
      <c r="G748" s="336"/>
      <c r="H748" s="336"/>
      <c r="I748" s="336"/>
      <c r="J748" s="336"/>
      <c r="K748" s="336"/>
      <c r="L748" s="336"/>
      <c r="M748" s="336"/>
    </row>
    <row r="749" spans="2:13">
      <c r="B749" s="534"/>
      <c r="C749" s="336"/>
      <c r="D749" s="336"/>
      <c r="E749" s="336"/>
      <c r="F749" s="336"/>
      <c r="G749" s="336"/>
      <c r="H749" s="336"/>
      <c r="I749" s="336"/>
      <c r="J749" s="336"/>
      <c r="K749" s="336"/>
      <c r="L749" s="336"/>
      <c r="M749" s="336"/>
    </row>
    <row r="750" spans="2:13">
      <c r="B750" s="534"/>
      <c r="C750" s="336"/>
      <c r="D750" s="336"/>
      <c r="E750" s="336"/>
      <c r="F750" s="336"/>
      <c r="G750" s="336"/>
      <c r="H750" s="336"/>
      <c r="I750" s="336"/>
      <c r="J750" s="336"/>
      <c r="K750" s="336"/>
      <c r="L750" s="336"/>
      <c r="M750" s="336"/>
    </row>
    <row r="751" spans="2:13">
      <c r="B751" s="534"/>
      <c r="C751" s="336"/>
      <c r="D751" s="336"/>
      <c r="E751" s="336"/>
      <c r="F751" s="336"/>
      <c r="G751" s="336"/>
      <c r="H751" s="336"/>
      <c r="I751" s="336"/>
      <c r="J751" s="336"/>
      <c r="K751" s="336"/>
      <c r="L751" s="336"/>
      <c r="M751" s="336"/>
    </row>
    <row r="752" spans="2:13">
      <c r="B752" s="534"/>
      <c r="C752" s="336"/>
      <c r="D752" s="336"/>
      <c r="E752" s="336"/>
      <c r="F752" s="336"/>
      <c r="G752" s="336"/>
      <c r="H752" s="336"/>
      <c r="I752" s="336"/>
      <c r="J752" s="336"/>
      <c r="K752" s="336"/>
      <c r="L752" s="336"/>
      <c r="M752" s="336"/>
    </row>
    <row r="753" spans="2:13">
      <c r="B753" s="534"/>
      <c r="C753" s="336"/>
      <c r="D753" s="336"/>
      <c r="E753" s="336"/>
      <c r="F753" s="336"/>
      <c r="G753" s="336"/>
      <c r="H753" s="336"/>
      <c r="I753" s="336"/>
      <c r="J753" s="336"/>
      <c r="K753" s="336"/>
      <c r="L753" s="336"/>
      <c r="M753" s="336"/>
    </row>
    <row r="754" spans="2:13">
      <c r="B754" s="534"/>
      <c r="C754" s="336"/>
      <c r="D754" s="336"/>
      <c r="E754" s="336"/>
      <c r="F754" s="336"/>
      <c r="G754" s="336"/>
      <c r="H754" s="336"/>
      <c r="I754" s="336"/>
      <c r="J754" s="336"/>
      <c r="K754" s="336"/>
      <c r="L754" s="336"/>
      <c r="M754" s="336"/>
    </row>
    <row r="755" spans="2:13">
      <c r="B755" s="534"/>
      <c r="C755" s="336"/>
      <c r="D755" s="336"/>
      <c r="E755" s="336"/>
      <c r="F755" s="336"/>
      <c r="G755" s="336"/>
      <c r="H755" s="336"/>
      <c r="I755" s="336"/>
      <c r="J755" s="336"/>
      <c r="K755" s="336"/>
      <c r="L755" s="336"/>
      <c r="M755" s="336"/>
    </row>
    <row r="756" spans="2:13">
      <c r="B756" s="534"/>
      <c r="C756" s="336"/>
      <c r="D756" s="336"/>
      <c r="E756" s="336"/>
      <c r="F756" s="336"/>
      <c r="G756" s="336"/>
      <c r="H756" s="336"/>
      <c r="I756" s="336"/>
      <c r="J756" s="336"/>
      <c r="K756" s="336"/>
      <c r="L756" s="336"/>
      <c r="M756" s="336"/>
    </row>
    <row r="757" spans="2:13">
      <c r="B757" s="534"/>
      <c r="C757" s="336"/>
      <c r="D757" s="336"/>
      <c r="E757" s="336"/>
      <c r="F757" s="336"/>
      <c r="G757" s="336"/>
      <c r="H757" s="336"/>
      <c r="I757" s="336"/>
      <c r="J757" s="336"/>
      <c r="K757" s="336"/>
      <c r="L757" s="336"/>
      <c r="M757" s="336"/>
    </row>
    <row r="758" spans="2:13">
      <c r="B758" s="534"/>
      <c r="C758" s="336"/>
      <c r="D758" s="336"/>
      <c r="E758" s="336"/>
      <c r="F758" s="336"/>
      <c r="G758" s="336"/>
      <c r="H758" s="336"/>
      <c r="I758" s="336"/>
      <c r="J758" s="336"/>
      <c r="K758" s="336"/>
      <c r="L758" s="336"/>
      <c r="M758" s="336"/>
    </row>
    <row r="759" spans="2:13">
      <c r="B759" s="534"/>
      <c r="C759" s="336"/>
      <c r="D759" s="336"/>
      <c r="E759" s="336"/>
      <c r="F759" s="336"/>
      <c r="G759" s="336"/>
      <c r="H759" s="336"/>
      <c r="I759" s="336"/>
      <c r="J759" s="336"/>
      <c r="K759" s="336"/>
      <c r="L759" s="336"/>
      <c r="M759" s="336"/>
    </row>
    <row r="760" spans="2:13">
      <c r="B760" s="534"/>
      <c r="C760" s="336"/>
      <c r="D760" s="336"/>
      <c r="E760" s="336"/>
      <c r="F760" s="336"/>
      <c r="G760" s="336"/>
      <c r="H760" s="336"/>
      <c r="I760" s="336"/>
      <c r="J760" s="336"/>
      <c r="K760" s="336"/>
      <c r="L760" s="336"/>
      <c r="M760" s="336"/>
    </row>
    <row r="761" spans="2:13">
      <c r="B761" s="534"/>
      <c r="C761" s="336"/>
      <c r="D761" s="336"/>
      <c r="E761" s="336"/>
      <c r="F761" s="336"/>
      <c r="G761" s="336"/>
      <c r="H761" s="336"/>
      <c r="I761" s="336"/>
      <c r="J761" s="336"/>
      <c r="K761" s="336"/>
      <c r="L761" s="336"/>
      <c r="M761" s="336"/>
    </row>
    <row r="762" spans="2:13">
      <c r="B762" s="534"/>
      <c r="C762" s="336"/>
      <c r="D762" s="336"/>
      <c r="E762" s="336"/>
      <c r="F762" s="336"/>
      <c r="G762" s="336"/>
      <c r="H762" s="336"/>
      <c r="I762" s="336"/>
      <c r="J762" s="336"/>
      <c r="K762" s="336"/>
      <c r="L762" s="336"/>
      <c r="M762" s="336"/>
    </row>
    <row r="763" spans="2:13">
      <c r="B763" s="534"/>
      <c r="C763" s="336"/>
      <c r="D763" s="336"/>
      <c r="E763" s="336"/>
      <c r="F763" s="336"/>
      <c r="G763" s="336"/>
      <c r="H763" s="336"/>
      <c r="I763" s="336"/>
      <c r="J763" s="336"/>
      <c r="K763" s="336"/>
      <c r="L763" s="336"/>
      <c r="M763" s="336"/>
    </row>
    <row r="764" spans="2:13">
      <c r="B764" s="534"/>
      <c r="C764" s="336"/>
      <c r="D764" s="336"/>
      <c r="E764" s="336"/>
      <c r="F764" s="336"/>
      <c r="G764" s="336"/>
      <c r="H764" s="336"/>
      <c r="I764" s="336"/>
      <c r="J764" s="336"/>
      <c r="K764" s="336"/>
      <c r="L764" s="336"/>
      <c r="M764" s="336"/>
    </row>
    <row r="765" spans="2:13">
      <c r="B765" s="534"/>
      <c r="C765" s="336"/>
      <c r="D765" s="336"/>
      <c r="E765" s="336"/>
      <c r="F765" s="336"/>
      <c r="G765" s="336"/>
      <c r="H765" s="336"/>
      <c r="I765" s="336"/>
      <c r="J765" s="336"/>
      <c r="K765" s="336"/>
      <c r="L765" s="336"/>
      <c r="M765" s="336"/>
    </row>
    <row r="766" spans="2:13">
      <c r="B766" s="534"/>
      <c r="C766" s="336"/>
      <c r="D766" s="336"/>
      <c r="E766" s="336"/>
      <c r="F766" s="336"/>
      <c r="G766" s="336"/>
      <c r="H766" s="336"/>
      <c r="I766" s="336"/>
      <c r="J766" s="336"/>
      <c r="K766" s="336"/>
      <c r="L766" s="336"/>
      <c r="M766" s="336"/>
    </row>
    <row r="767" spans="2:13">
      <c r="B767" s="534"/>
      <c r="C767" s="336"/>
      <c r="D767" s="336"/>
      <c r="E767" s="336"/>
      <c r="F767" s="336"/>
      <c r="G767" s="336"/>
      <c r="H767" s="336"/>
      <c r="I767" s="336"/>
      <c r="J767" s="336"/>
      <c r="K767" s="336"/>
      <c r="L767" s="336"/>
      <c r="M767" s="336"/>
    </row>
    <row r="768" spans="2:13">
      <c r="B768" s="534"/>
      <c r="C768" s="336"/>
      <c r="D768" s="336"/>
      <c r="E768" s="336"/>
      <c r="F768" s="336"/>
      <c r="G768" s="336"/>
      <c r="H768" s="336"/>
      <c r="I768" s="336"/>
      <c r="J768" s="336"/>
      <c r="K768" s="336"/>
      <c r="L768" s="336"/>
      <c r="M768" s="336"/>
    </row>
    <row r="769" spans="2:13">
      <c r="B769" s="534"/>
      <c r="C769" s="336"/>
      <c r="D769" s="336"/>
      <c r="E769" s="336"/>
      <c r="F769" s="336"/>
      <c r="G769" s="336"/>
      <c r="H769" s="336"/>
      <c r="I769" s="336"/>
      <c r="J769" s="336"/>
      <c r="K769" s="336"/>
      <c r="L769" s="336"/>
      <c r="M769" s="336"/>
    </row>
    <row r="770" spans="2:13">
      <c r="B770" s="534"/>
      <c r="C770" s="336"/>
      <c r="D770" s="336"/>
      <c r="E770" s="336"/>
      <c r="F770" s="336"/>
      <c r="G770" s="336"/>
      <c r="H770" s="336"/>
      <c r="I770" s="336"/>
      <c r="J770" s="336"/>
      <c r="K770" s="336"/>
      <c r="L770" s="336"/>
      <c r="M770" s="336"/>
    </row>
    <row r="771" spans="2:13">
      <c r="B771" s="534"/>
      <c r="C771" s="336"/>
      <c r="D771" s="336"/>
      <c r="E771" s="336"/>
      <c r="F771" s="336"/>
      <c r="G771" s="336"/>
      <c r="H771" s="336"/>
      <c r="I771" s="336"/>
      <c r="J771" s="336"/>
      <c r="K771" s="336"/>
      <c r="L771" s="336"/>
      <c r="M771" s="336"/>
    </row>
    <row r="772" spans="2:13">
      <c r="B772" s="534"/>
      <c r="C772" s="336"/>
      <c r="D772" s="336"/>
      <c r="E772" s="336"/>
      <c r="F772" s="336"/>
      <c r="G772" s="336"/>
      <c r="H772" s="336"/>
      <c r="I772" s="336"/>
      <c r="J772" s="336"/>
      <c r="K772" s="336"/>
      <c r="L772" s="336"/>
      <c r="M772" s="336"/>
    </row>
    <row r="773" spans="2:13">
      <c r="B773" s="534"/>
      <c r="C773" s="336"/>
      <c r="D773" s="336"/>
      <c r="E773" s="336"/>
      <c r="F773" s="336"/>
      <c r="G773" s="336"/>
      <c r="H773" s="336"/>
      <c r="I773" s="336"/>
      <c r="J773" s="336"/>
      <c r="K773" s="336"/>
      <c r="L773" s="336"/>
      <c r="M773" s="336"/>
    </row>
    <row r="774" spans="2:13">
      <c r="B774" s="534"/>
      <c r="C774" s="336"/>
      <c r="D774" s="336"/>
      <c r="E774" s="336"/>
      <c r="F774" s="336"/>
      <c r="G774" s="336"/>
      <c r="H774" s="336"/>
      <c r="I774" s="336"/>
      <c r="J774" s="336"/>
      <c r="K774" s="336"/>
      <c r="L774" s="336"/>
      <c r="M774" s="336"/>
    </row>
    <row r="775" spans="2:13">
      <c r="B775" s="534"/>
      <c r="C775" s="336"/>
      <c r="D775" s="336"/>
      <c r="E775" s="336"/>
      <c r="F775" s="336"/>
      <c r="G775" s="336"/>
      <c r="H775" s="336"/>
      <c r="I775" s="336"/>
      <c r="J775" s="336"/>
      <c r="K775" s="336"/>
      <c r="L775" s="336"/>
      <c r="M775" s="336"/>
    </row>
    <row r="776" spans="2:13">
      <c r="B776" s="534"/>
      <c r="C776" s="336"/>
      <c r="D776" s="336"/>
      <c r="E776" s="336"/>
      <c r="F776" s="336"/>
      <c r="G776" s="336"/>
      <c r="H776" s="336"/>
      <c r="I776" s="336"/>
      <c r="J776" s="336"/>
      <c r="K776" s="336"/>
      <c r="L776" s="336"/>
      <c r="M776" s="336"/>
    </row>
    <row r="777" spans="2:13">
      <c r="B777" s="534"/>
      <c r="C777" s="336"/>
      <c r="D777" s="336"/>
      <c r="E777" s="336"/>
      <c r="F777" s="336"/>
      <c r="G777" s="336"/>
      <c r="H777" s="336"/>
      <c r="I777" s="336"/>
      <c r="J777" s="336"/>
      <c r="K777" s="336"/>
      <c r="L777" s="336"/>
      <c r="M777" s="336"/>
    </row>
    <row r="778" spans="2:13">
      <c r="B778" s="534"/>
      <c r="C778" s="336"/>
      <c r="D778" s="336"/>
      <c r="E778" s="336"/>
      <c r="F778" s="336"/>
      <c r="G778" s="336"/>
      <c r="H778" s="336"/>
      <c r="I778" s="336"/>
      <c r="J778" s="336"/>
      <c r="K778" s="336"/>
      <c r="L778" s="336"/>
      <c r="M778" s="336"/>
    </row>
    <row r="779" spans="2:13">
      <c r="B779" s="534"/>
      <c r="C779" s="336"/>
      <c r="D779" s="336"/>
      <c r="E779" s="336"/>
      <c r="F779" s="336"/>
      <c r="G779" s="336"/>
      <c r="H779" s="336"/>
      <c r="I779" s="336"/>
      <c r="J779" s="336"/>
      <c r="K779" s="336"/>
      <c r="L779" s="336"/>
      <c r="M779" s="336"/>
    </row>
    <row r="780" spans="2:13">
      <c r="B780" s="534"/>
      <c r="C780" s="336"/>
      <c r="D780" s="336"/>
      <c r="E780" s="336"/>
      <c r="F780" s="336"/>
      <c r="G780" s="336"/>
      <c r="H780" s="336"/>
      <c r="I780" s="336"/>
      <c r="J780" s="336"/>
      <c r="K780" s="336"/>
      <c r="L780" s="336"/>
      <c r="M780" s="336"/>
    </row>
    <row r="781" spans="2:13">
      <c r="B781" s="534"/>
      <c r="C781" s="336"/>
      <c r="D781" s="336"/>
      <c r="E781" s="336"/>
      <c r="F781" s="336"/>
      <c r="G781" s="336"/>
      <c r="H781" s="336"/>
      <c r="I781" s="336"/>
      <c r="J781" s="336"/>
      <c r="K781" s="336"/>
      <c r="L781" s="336"/>
      <c r="M781" s="336"/>
    </row>
    <row r="782" spans="2:13">
      <c r="B782" s="534"/>
      <c r="C782" s="336"/>
      <c r="D782" s="336"/>
      <c r="E782" s="336"/>
      <c r="F782" s="336"/>
      <c r="G782" s="336"/>
      <c r="H782" s="336"/>
      <c r="I782" s="336"/>
      <c r="J782" s="336"/>
      <c r="K782" s="336"/>
      <c r="L782" s="336"/>
      <c r="M782" s="336"/>
    </row>
    <row r="783" spans="2:13">
      <c r="B783" s="534"/>
      <c r="C783" s="336"/>
      <c r="D783" s="336"/>
      <c r="E783" s="336"/>
      <c r="F783" s="336"/>
      <c r="G783" s="336"/>
      <c r="H783" s="336"/>
      <c r="I783" s="336"/>
      <c r="J783" s="336"/>
      <c r="K783" s="336"/>
      <c r="L783" s="336"/>
      <c r="M783" s="336"/>
    </row>
    <row r="784" spans="2:13">
      <c r="B784" s="534"/>
      <c r="C784" s="336"/>
      <c r="D784" s="336"/>
      <c r="E784" s="336"/>
      <c r="F784" s="336"/>
      <c r="G784" s="336"/>
      <c r="H784" s="336"/>
      <c r="I784" s="336"/>
      <c r="J784" s="336"/>
      <c r="K784" s="336"/>
      <c r="L784" s="336"/>
      <c r="M784" s="336"/>
    </row>
    <row r="785" spans="2:13">
      <c r="B785" s="534"/>
      <c r="C785" s="336"/>
      <c r="D785" s="336"/>
      <c r="E785" s="336"/>
      <c r="F785" s="336"/>
      <c r="G785" s="336"/>
      <c r="H785" s="336"/>
      <c r="I785" s="336"/>
      <c r="J785" s="336"/>
      <c r="K785" s="336"/>
      <c r="L785" s="336"/>
      <c r="M785" s="336"/>
    </row>
    <row r="786" spans="2:13">
      <c r="B786" s="534"/>
      <c r="C786" s="336"/>
      <c r="D786" s="336"/>
      <c r="E786" s="336"/>
      <c r="F786" s="336"/>
      <c r="G786" s="336"/>
      <c r="H786" s="336"/>
      <c r="I786" s="336"/>
      <c r="J786" s="336"/>
      <c r="K786" s="336"/>
      <c r="L786" s="336"/>
      <c r="M786" s="336"/>
    </row>
    <row r="787" spans="2:13">
      <c r="B787" s="534"/>
      <c r="C787" s="336"/>
      <c r="D787" s="336"/>
      <c r="E787" s="336"/>
      <c r="F787" s="336"/>
      <c r="G787" s="336"/>
      <c r="H787" s="336"/>
      <c r="I787" s="336"/>
      <c r="J787" s="336"/>
      <c r="K787" s="336"/>
      <c r="L787" s="336"/>
      <c r="M787" s="336"/>
    </row>
    <row r="788" spans="2:13">
      <c r="B788" s="534"/>
      <c r="C788" s="336"/>
      <c r="D788" s="336"/>
      <c r="E788" s="336"/>
      <c r="F788" s="336"/>
      <c r="G788" s="336"/>
      <c r="H788" s="336"/>
      <c r="I788" s="336"/>
      <c r="J788" s="336"/>
      <c r="K788" s="336"/>
      <c r="L788" s="336"/>
      <c r="M788" s="336"/>
    </row>
    <row r="789" spans="2:13">
      <c r="B789" s="534"/>
      <c r="C789" s="336"/>
      <c r="D789" s="336"/>
      <c r="E789" s="336"/>
      <c r="F789" s="336"/>
      <c r="G789" s="336"/>
      <c r="H789" s="336"/>
      <c r="I789" s="336"/>
      <c r="J789" s="336"/>
      <c r="K789" s="336"/>
      <c r="L789" s="336"/>
      <c r="M789" s="336"/>
    </row>
    <row r="790" spans="2:13">
      <c r="B790" s="534"/>
      <c r="C790" s="336"/>
      <c r="D790" s="336"/>
      <c r="E790" s="336"/>
      <c r="F790" s="336"/>
      <c r="G790" s="336"/>
      <c r="H790" s="336"/>
      <c r="I790" s="336"/>
      <c r="J790" s="336"/>
      <c r="K790" s="336"/>
      <c r="L790" s="336"/>
      <c r="M790" s="336"/>
    </row>
    <row r="791" spans="2:13">
      <c r="B791" s="534"/>
      <c r="C791" s="336"/>
      <c r="D791" s="336"/>
      <c r="E791" s="336"/>
      <c r="F791" s="336"/>
      <c r="G791" s="336"/>
      <c r="H791" s="336"/>
      <c r="I791" s="336"/>
      <c r="J791" s="336"/>
      <c r="K791" s="336"/>
      <c r="L791" s="336"/>
      <c r="M791" s="336"/>
    </row>
    <row r="792" spans="2:13">
      <c r="B792" s="534"/>
      <c r="C792" s="336"/>
      <c r="D792" s="336"/>
      <c r="E792" s="336"/>
      <c r="F792" s="336"/>
      <c r="G792" s="336"/>
      <c r="H792" s="336"/>
      <c r="I792" s="336"/>
      <c r="J792" s="336"/>
      <c r="K792" s="336"/>
      <c r="L792" s="336"/>
      <c r="M792" s="336"/>
    </row>
    <row r="793" spans="2:13">
      <c r="B793" s="534"/>
      <c r="C793" s="336"/>
      <c r="D793" s="336"/>
      <c r="E793" s="336"/>
      <c r="F793" s="336"/>
      <c r="G793" s="336"/>
      <c r="H793" s="336"/>
      <c r="I793" s="336"/>
      <c r="J793" s="336"/>
      <c r="K793" s="336"/>
      <c r="L793" s="336"/>
      <c r="M793" s="336"/>
    </row>
    <row r="794" spans="2:13">
      <c r="B794" s="534"/>
      <c r="C794" s="336"/>
      <c r="D794" s="336"/>
      <c r="E794" s="336"/>
      <c r="F794" s="336"/>
      <c r="G794" s="336"/>
      <c r="H794" s="336"/>
      <c r="I794" s="336"/>
      <c r="J794" s="336"/>
      <c r="K794" s="336"/>
      <c r="L794" s="336"/>
      <c r="M794" s="336"/>
    </row>
    <row r="795" spans="2:13">
      <c r="B795" s="534"/>
      <c r="C795" s="336"/>
      <c r="D795" s="336"/>
      <c r="E795" s="336"/>
      <c r="F795" s="336"/>
      <c r="G795" s="336"/>
      <c r="H795" s="336"/>
      <c r="I795" s="336"/>
      <c r="J795" s="336"/>
      <c r="K795" s="336"/>
      <c r="L795" s="336"/>
      <c r="M795" s="336"/>
    </row>
    <row r="796" spans="2:13">
      <c r="B796" s="534"/>
      <c r="C796" s="336"/>
      <c r="D796" s="336"/>
      <c r="E796" s="336"/>
      <c r="F796" s="336"/>
      <c r="G796" s="336"/>
      <c r="H796" s="336"/>
      <c r="I796" s="336"/>
      <c r="J796" s="336"/>
      <c r="K796" s="336"/>
      <c r="L796" s="336"/>
      <c r="M796" s="336"/>
    </row>
    <row r="797" spans="2:13">
      <c r="B797" s="534"/>
      <c r="C797" s="336"/>
      <c r="D797" s="336"/>
      <c r="E797" s="336"/>
      <c r="F797" s="336"/>
      <c r="G797" s="336"/>
      <c r="H797" s="336"/>
      <c r="I797" s="336"/>
      <c r="J797" s="336"/>
      <c r="K797" s="336"/>
      <c r="L797" s="336"/>
      <c r="M797" s="336"/>
    </row>
    <row r="798" spans="2:13">
      <c r="B798" s="534"/>
      <c r="C798" s="336"/>
      <c r="D798" s="336"/>
      <c r="E798" s="336"/>
      <c r="F798" s="336"/>
      <c r="G798" s="336"/>
      <c r="H798" s="336"/>
      <c r="I798" s="336"/>
      <c r="J798" s="336"/>
      <c r="K798" s="336"/>
      <c r="L798" s="336"/>
      <c r="M798" s="336"/>
    </row>
    <row r="799" spans="2:13">
      <c r="B799" s="534"/>
      <c r="C799" s="336"/>
      <c r="D799" s="336"/>
      <c r="E799" s="336"/>
      <c r="F799" s="336"/>
      <c r="G799" s="336"/>
      <c r="H799" s="336"/>
      <c r="I799" s="336"/>
      <c r="J799" s="336"/>
      <c r="K799" s="336"/>
      <c r="L799" s="336"/>
      <c r="M799" s="336"/>
    </row>
    <row r="800" spans="2:13">
      <c r="B800" s="534"/>
      <c r="C800" s="336"/>
      <c r="D800" s="336"/>
      <c r="E800" s="336"/>
      <c r="F800" s="336"/>
      <c r="G800" s="336"/>
      <c r="H800" s="336"/>
      <c r="I800" s="336"/>
      <c r="J800" s="336"/>
      <c r="K800" s="336"/>
      <c r="L800" s="336"/>
      <c r="M800" s="336"/>
    </row>
    <row r="801" spans="2:13">
      <c r="B801" s="534"/>
      <c r="C801" s="336"/>
      <c r="D801" s="336"/>
      <c r="E801" s="336"/>
      <c r="F801" s="336"/>
      <c r="G801" s="336"/>
      <c r="H801" s="336"/>
      <c r="I801" s="336"/>
      <c r="J801" s="336"/>
      <c r="K801" s="336"/>
      <c r="L801" s="336"/>
      <c r="M801" s="336"/>
    </row>
    <row r="802" spans="2:13">
      <c r="B802" s="534"/>
      <c r="C802" s="336"/>
      <c r="D802" s="336"/>
      <c r="E802" s="336"/>
      <c r="F802" s="336"/>
      <c r="G802" s="336"/>
      <c r="H802" s="336"/>
      <c r="I802" s="336"/>
      <c r="J802" s="336"/>
      <c r="K802" s="336"/>
      <c r="L802" s="336"/>
      <c r="M802" s="336"/>
    </row>
    <row r="803" spans="2:13">
      <c r="B803" s="534"/>
      <c r="C803" s="336"/>
      <c r="D803" s="336"/>
      <c r="E803" s="336"/>
      <c r="F803" s="336"/>
      <c r="G803" s="336"/>
      <c r="H803" s="336"/>
      <c r="I803" s="336"/>
      <c r="J803" s="336"/>
      <c r="K803" s="336"/>
      <c r="L803" s="336"/>
      <c r="M803" s="336"/>
    </row>
    <row r="804" spans="2:13">
      <c r="B804" s="534"/>
      <c r="C804" s="336"/>
      <c r="D804" s="336"/>
      <c r="E804" s="336"/>
      <c r="F804" s="336"/>
      <c r="G804" s="336"/>
      <c r="H804" s="336"/>
      <c r="I804" s="336"/>
      <c r="J804" s="336"/>
      <c r="K804" s="336"/>
      <c r="L804" s="336"/>
      <c r="M804" s="336"/>
    </row>
    <row r="805" spans="2:13">
      <c r="B805" s="534"/>
      <c r="C805" s="336"/>
      <c r="D805" s="336"/>
      <c r="E805" s="336"/>
      <c r="F805" s="336"/>
      <c r="G805" s="336"/>
      <c r="H805" s="336"/>
      <c r="I805" s="336"/>
      <c r="J805" s="336"/>
      <c r="K805" s="336"/>
      <c r="L805" s="336"/>
      <c r="M805" s="336"/>
    </row>
    <row r="806" spans="2:13">
      <c r="B806" s="534"/>
      <c r="C806" s="336"/>
      <c r="D806" s="336"/>
      <c r="E806" s="336"/>
      <c r="F806" s="336"/>
      <c r="G806" s="336"/>
      <c r="H806" s="336"/>
      <c r="I806" s="336"/>
      <c r="J806" s="336"/>
      <c r="K806" s="336"/>
      <c r="L806" s="336"/>
      <c r="M806" s="336"/>
    </row>
    <row r="807" spans="2:13">
      <c r="B807" s="534"/>
      <c r="C807" s="336"/>
      <c r="D807" s="336"/>
      <c r="E807" s="336"/>
      <c r="F807" s="336"/>
      <c r="G807" s="336"/>
      <c r="H807" s="336"/>
      <c r="I807" s="336"/>
      <c r="J807" s="336"/>
      <c r="K807" s="336"/>
      <c r="L807" s="336"/>
      <c r="M807" s="336"/>
    </row>
    <row r="808" spans="2:13">
      <c r="B808" s="534"/>
      <c r="C808" s="336"/>
      <c r="D808" s="336"/>
      <c r="E808" s="336"/>
      <c r="F808" s="336"/>
      <c r="G808" s="336"/>
      <c r="H808" s="336"/>
      <c r="I808" s="336"/>
      <c r="J808" s="336"/>
      <c r="K808" s="336"/>
      <c r="L808" s="336"/>
      <c r="M808" s="336"/>
    </row>
    <row r="809" spans="2:13">
      <c r="B809" s="534"/>
      <c r="C809" s="336"/>
      <c r="D809" s="336"/>
      <c r="E809" s="336"/>
      <c r="F809" s="336"/>
      <c r="G809" s="336"/>
      <c r="H809" s="336"/>
      <c r="I809" s="336"/>
      <c r="J809" s="336"/>
      <c r="K809" s="336"/>
      <c r="L809" s="336"/>
      <c r="M809" s="336"/>
    </row>
    <row r="810" spans="2:13">
      <c r="B810" s="534"/>
      <c r="C810" s="336"/>
      <c r="D810" s="336"/>
      <c r="E810" s="336"/>
      <c r="F810" s="336"/>
      <c r="G810" s="336"/>
      <c r="H810" s="336"/>
      <c r="I810" s="336"/>
      <c r="J810" s="336"/>
      <c r="K810" s="336"/>
      <c r="L810" s="336"/>
      <c r="M810" s="336"/>
    </row>
    <row r="811" spans="2:13">
      <c r="B811" s="534"/>
      <c r="C811" s="336"/>
      <c r="D811" s="336"/>
      <c r="E811" s="336"/>
      <c r="F811" s="336"/>
      <c r="G811" s="336"/>
      <c r="H811" s="336"/>
      <c r="I811" s="336"/>
      <c r="J811" s="336"/>
      <c r="K811" s="336"/>
      <c r="L811" s="336"/>
      <c r="M811" s="336"/>
    </row>
    <row r="812" spans="2:13">
      <c r="B812" s="534"/>
      <c r="C812" s="336"/>
      <c r="D812" s="336"/>
      <c r="E812" s="336"/>
      <c r="F812" s="336"/>
      <c r="G812" s="336"/>
      <c r="H812" s="336"/>
      <c r="I812" s="336"/>
      <c r="J812" s="336"/>
      <c r="K812" s="336"/>
      <c r="L812" s="336"/>
      <c r="M812" s="336"/>
    </row>
    <row r="813" spans="2:13">
      <c r="B813" s="534"/>
      <c r="C813" s="336"/>
      <c r="D813" s="336"/>
      <c r="E813" s="336"/>
      <c r="F813" s="336"/>
      <c r="G813" s="336"/>
      <c r="H813" s="336"/>
      <c r="I813" s="336"/>
      <c r="J813" s="336"/>
      <c r="K813" s="336"/>
      <c r="L813" s="336"/>
      <c r="M813" s="336"/>
    </row>
    <row r="814" spans="2:13">
      <c r="B814" s="534"/>
      <c r="C814" s="336"/>
      <c r="D814" s="336"/>
      <c r="E814" s="336"/>
      <c r="F814" s="336"/>
      <c r="G814" s="336"/>
      <c r="H814" s="336"/>
      <c r="I814" s="336"/>
      <c r="J814" s="336"/>
      <c r="K814" s="336"/>
      <c r="L814" s="336"/>
      <c r="M814" s="336"/>
    </row>
    <row r="815" spans="2:13">
      <c r="B815" s="534"/>
      <c r="C815" s="336"/>
      <c r="D815" s="336"/>
      <c r="E815" s="336"/>
      <c r="F815" s="336"/>
      <c r="G815" s="336"/>
      <c r="H815" s="336"/>
      <c r="I815" s="336"/>
      <c r="J815" s="336"/>
      <c r="K815" s="336"/>
      <c r="L815" s="336"/>
      <c r="M815" s="336"/>
    </row>
    <row r="816" spans="2:13">
      <c r="B816" s="534"/>
      <c r="C816" s="336"/>
      <c r="D816" s="336"/>
      <c r="E816" s="336"/>
      <c r="F816" s="336"/>
      <c r="G816" s="336"/>
      <c r="H816" s="336"/>
      <c r="I816" s="336"/>
      <c r="J816" s="336"/>
      <c r="K816" s="336"/>
      <c r="L816" s="336"/>
      <c r="M816" s="336"/>
    </row>
    <row r="817" spans="2:13">
      <c r="B817" s="534"/>
      <c r="C817" s="336"/>
      <c r="D817" s="336"/>
      <c r="E817" s="336"/>
      <c r="F817" s="336"/>
      <c r="G817" s="336"/>
      <c r="H817" s="336"/>
      <c r="I817" s="336"/>
      <c r="J817" s="336"/>
      <c r="K817" s="336"/>
      <c r="L817" s="336"/>
      <c r="M817" s="336"/>
    </row>
    <row r="818" spans="2:13">
      <c r="B818" s="534"/>
      <c r="C818" s="336"/>
      <c r="D818" s="336"/>
      <c r="E818" s="336"/>
      <c r="F818" s="336"/>
      <c r="G818" s="336"/>
      <c r="H818" s="336"/>
      <c r="I818" s="336"/>
      <c r="J818" s="336"/>
      <c r="K818" s="336"/>
      <c r="L818" s="336"/>
      <c r="M818" s="336"/>
    </row>
    <row r="819" spans="2:13">
      <c r="B819" s="534"/>
      <c r="C819" s="336"/>
      <c r="D819" s="336"/>
      <c r="E819" s="336"/>
      <c r="F819" s="336"/>
      <c r="G819" s="336"/>
      <c r="H819" s="336"/>
      <c r="I819" s="336"/>
      <c r="J819" s="336"/>
      <c r="K819" s="336"/>
      <c r="L819" s="336"/>
      <c r="M819" s="336"/>
    </row>
    <row r="820" spans="2:13">
      <c r="B820" s="534"/>
      <c r="C820" s="336"/>
      <c r="D820" s="336"/>
      <c r="E820" s="336"/>
      <c r="F820" s="336"/>
      <c r="G820" s="336"/>
      <c r="H820" s="336"/>
      <c r="I820" s="336"/>
      <c r="J820" s="336"/>
      <c r="K820" s="336"/>
      <c r="L820" s="336"/>
      <c r="M820" s="336"/>
    </row>
    <row r="821" spans="2:13">
      <c r="B821" s="534"/>
      <c r="C821" s="336"/>
      <c r="D821" s="336"/>
      <c r="E821" s="336"/>
      <c r="F821" s="336"/>
      <c r="G821" s="336"/>
      <c r="H821" s="336"/>
      <c r="I821" s="336"/>
      <c r="J821" s="336"/>
      <c r="K821" s="336"/>
      <c r="L821" s="336"/>
      <c r="M821" s="336"/>
    </row>
    <row r="822" spans="2:13">
      <c r="B822" s="534"/>
      <c r="C822" s="336"/>
      <c r="D822" s="336"/>
      <c r="E822" s="336"/>
      <c r="F822" s="336"/>
      <c r="G822" s="336"/>
      <c r="H822" s="336"/>
      <c r="I822" s="336"/>
      <c r="J822" s="336"/>
      <c r="K822" s="336"/>
      <c r="L822" s="336"/>
      <c r="M822" s="336"/>
    </row>
    <row r="823" spans="2:13">
      <c r="B823" s="534"/>
      <c r="C823" s="336"/>
      <c r="D823" s="336"/>
      <c r="E823" s="336"/>
      <c r="F823" s="336"/>
      <c r="G823" s="336"/>
      <c r="H823" s="336"/>
      <c r="I823" s="336"/>
      <c r="J823" s="336"/>
      <c r="K823" s="336"/>
      <c r="L823" s="336"/>
      <c r="M823" s="336"/>
    </row>
    <row r="824" spans="2:13">
      <c r="B824" s="534"/>
      <c r="C824" s="336"/>
      <c r="D824" s="336"/>
      <c r="E824" s="336"/>
      <c r="F824" s="336"/>
      <c r="G824" s="336"/>
      <c r="H824" s="336"/>
      <c r="I824" s="336"/>
      <c r="J824" s="336"/>
      <c r="K824" s="336"/>
      <c r="L824" s="336"/>
      <c r="M824" s="336"/>
    </row>
    <row r="825" spans="2:13">
      <c r="B825" s="534"/>
      <c r="C825" s="336"/>
      <c r="D825" s="336"/>
      <c r="E825" s="336"/>
      <c r="F825" s="336"/>
      <c r="G825" s="336"/>
      <c r="H825" s="336"/>
      <c r="I825" s="336"/>
      <c r="J825" s="336"/>
      <c r="K825" s="336"/>
      <c r="L825" s="336"/>
      <c r="M825" s="336"/>
    </row>
    <row r="826" spans="2:13">
      <c r="B826" s="534"/>
      <c r="C826" s="336"/>
      <c r="D826" s="336"/>
      <c r="E826" s="336"/>
      <c r="F826" s="336"/>
      <c r="G826" s="336"/>
      <c r="H826" s="336"/>
      <c r="I826" s="336"/>
      <c r="J826" s="336"/>
      <c r="K826" s="336"/>
      <c r="L826" s="336"/>
      <c r="M826" s="336"/>
    </row>
    <row r="827" spans="2:13">
      <c r="B827" s="534"/>
      <c r="C827" s="336"/>
      <c r="D827" s="336"/>
      <c r="E827" s="336"/>
      <c r="F827" s="336"/>
      <c r="G827" s="336"/>
      <c r="H827" s="336"/>
      <c r="I827" s="336"/>
      <c r="J827" s="336"/>
      <c r="K827" s="336"/>
      <c r="L827" s="336"/>
      <c r="M827" s="336"/>
    </row>
    <row r="828" spans="2:13">
      <c r="B828" s="534"/>
      <c r="C828" s="336"/>
      <c r="D828" s="336"/>
      <c r="E828" s="336"/>
      <c r="F828" s="336"/>
      <c r="G828" s="336"/>
      <c r="H828" s="336"/>
      <c r="I828" s="336"/>
      <c r="J828" s="336"/>
      <c r="K828" s="336"/>
      <c r="L828" s="336"/>
      <c r="M828" s="336"/>
    </row>
    <row r="829" spans="2:13">
      <c r="B829" s="534"/>
      <c r="C829" s="336"/>
      <c r="D829" s="336"/>
      <c r="E829" s="336"/>
      <c r="F829" s="336"/>
      <c r="G829" s="336"/>
      <c r="H829" s="336"/>
      <c r="I829" s="336"/>
      <c r="J829" s="336"/>
      <c r="K829" s="336"/>
      <c r="L829" s="336"/>
      <c r="M829" s="336"/>
    </row>
    <row r="830" spans="2:13">
      <c r="B830" s="534"/>
      <c r="C830" s="336"/>
      <c r="D830" s="336"/>
      <c r="E830" s="336"/>
      <c r="F830" s="336"/>
      <c r="G830" s="336"/>
      <c r="H830" s="336"/>
      <c r="I830" s="336"/>
      <c r="J830" s="336"/>
      <c r="K830" s="336"/>
      <c r="L830" s="336"/>
      <c r="M830" s="336"/>
    </row>
    <row r="831" spans="2:13">
      <c r="B831" s="534"/>
      <c r="C831" s="336"/>
      <c r="D831" s="336"/>
      <c r="E831" s="336"/>
      <c r="F831" s="336"/>
      <c r="G831" s="336"/>
      <c r="H831" s="336"/>
      <c r="I831" s="336"/>
      <c r="J831" s="336"/>
      <c r="K831" s="336"/>
      <c r="L831" s="336"/>
      <c r="M831" s="336"/>
    </row>
    <row r="832" spans="2:13">
      <c r="B832" s="534"/>
      <c r="C832" s="336"/>
      <c r="D832" s="336"/>
      <c r="E832" s="336"/>
      <c r="F832" s="336"/>
      <c r="G832" s="336"/>
      <c r="H832" s="336"/>
      <c r="I832" s="336"/>
      <c r="J832" s="336"/>
      <c r="K832" s="336"/>
      <c r="L832" s="336"/>
      <c r="M832" s="336"/>
    </row>
    <row r="833" spans="2:13">
      <c r="B833" s="534"/>
      <c r="C833" s="336"/>
      <c r="D833" s="336"/>
      <c r="E833" s="336"/>
      <c r="F833" s="336"/>
      <c r="G833" s="336"/>
      <c r="H833" s="336"/>
      <c r="I833" s="336"/>
      <c r="J833" s="336"/>
      <c r="K833" s="336"/>
      <c r="L833" s="336"/>
      <c r="M833" s="336"/>
    </row>
    <row r="834" spans="2:13">
      <c r="B834" s="534"/>
      <c r="C834" s="336"/>
      <c r="D834" s="336"/>
      <c r="E834" s="336"/>
      <c r="F834" s="336"/>
      <c r="G834" s="336"/>
      <c r="H834" s="336"/>
      <c r="I834" s="336"/>
      <c r="J834" s="336"/>
      <c r="K834" s="336"/>
      <c r="L834" s="336"/>
      <c r="M834" s="336"/>
    </row>
    <row r="835" spans="2:13">
      <c r="B835" s="534"/>
      <c r="C835" s="336"/>
      <c r="D835" s="336"/>
      <c r="E835" s="336"/>
      <c r="F835" s="336"/>
      <c r="G835" s="336"/>
      <c r="H835" s="336"/>
      <c r="I835" s="336"/>
      <c r="J835" s="336"/>
      <c r="K835" s="336"/>
      <c r="L835" s="336"/>
      <c r="M835" s="336"/>
    </row>
    <row r="836" spans="2:13">
      <c r="B836" s="534"/>
      <c r="C836" s="336"/>
      <c r="D836" s="336"/>
      <c r="E836" s="336"/>
      <c r="F836" s="336"/>
      <c r="G836" s="336"/>
      <c r="H836" s="336"/>
      <c r="I836" s="336"/>
      <c r="J836" s="336"/>
      <c r="K836" s="336"/>
      <c r="L836" s="336"/>
      <c r="M836" s="336"/>
    </row>
    <row r="837" spans="2:13">
      <c r="B837" s="534"/>
      <c r="C837" s="336"/>
      <c r="D837" s="336"/>
      <c r="E837" s="336"/>
      <c r="F837" s="336"/>
      <c r="G837" s="336"/>
      <c r="H837" s="336"/>
      <c r="I837" s="336"/>
      <c r="J837" s="336"/>
      <c r="K837" s="336"/>
      <c r="L837" s="336"/>
      <c r="M837" s="336"/>
    </row>
    <row r="838" spans="2:13">
      <c r="B838" s="534"/>
      <c r="C838" s="336"/>
      <c r="D838" s="336"/>
      <c r="E838" s="336"/>
      <c r="F838" s="336"/>
      <c r="G838" s="336"/>
      <c r="H838" s="336"/>
      <c r="I838" s="336"/>
      <c r="J838" s="336"/>
      <c r="K838" s="336"/>
      <c r="L838" s="336"/>
      <c r="M838" s="336"/>
    </row>
    <row r="839" spans="2:13">
      <c r="B839" s="534"/>
      <c r="C839" s="336"/>
      <c r="D839" s="336"/>
      <c r="E839" s="336"/>
      <c r="F839" s="336"/>
      <c r="G839" s="336"/>
      <c r="H839" s="336"/>
      <c r="I839" s="336"/>
      <c r="J839" s="336"/>
      <c r="K839" s="336"/>
      <c r="L839" s="336"/>
      <c r="M839" s="336"/>
    </row>
    <row r="840" spans="2:13">
      <c r="B840" s="534"/>
      <c r="C840" s="336"/>
      <c r="D840" s="336"/>
      <c r="E840" s="336"/>
      <c r="F840" s="336"/>
      <c r="G840" s="336"/>
      <c r="H840" s="336"/>
      <c r="I840" s="336"/>
      <c r="J840" s="336"/>
      <c r="K840" s="336"/>
      <c r="L840" s="336"/>
      <c r="M840" s="336"/>
    </row>
    <row r="841" spans="2:13">
      <c r="B841" s="534"/>
      <c r="C841" s="336"/>
      <c r="D841" s="336"/>
      <c r="E841" s="336"/>
      <c r="F841" s="336"/>
      <c r="G841" s="336"/>
      <c r="H841" s="336"/>
      <c r="I841" s="336"/>
      <c r="J841" s="336"/>
      <c r="K841" s="336"/>
      <c r="L841" s="336"/>
      <c r="M841" s="336"/>
    </row>
    <row r="842" spans="2:13">
      <c r="B842" s="534"/>
      <c r="C842" s="336"/>
      <c r="D842" s="336"/>
      <c r="E842" s="336"/>
      <c r="F842" s="336"/>
      <c r="G842" s="336"/>
      <c r="H842" s="336"/>
      <c r="I842" s="336"/>
      <c r="J842" s="336"/>
      <c r="K842" s="336"/>
      <c r="L842" s="336"/>
      <c r="M842" s="336"/>
    </row>
    <row r="843" spans="2:13">
      <c r="B843" s="534"/>
      <c r="C843" s="336"/>
      <c r="D843" s="336"/>
      <c r="E843" s="336"/>
      <c r="F843" s="336"/>
      <c r="G843" s="336"/>
      <c r="H843" s="336"/>
      <c r="I843" s="336"/>
      <c r="J843" s="336"/>
      <c r="K843" s="336"/>
      <c r="L843" s="336"/>
      <c r="M843" s="336"/>
    </row>
    <row r="844" spans="2:13">
      <c r="B844" s="534"/>
      <c r="C844" s="336"/>
      <c r="D844" s="336"/>
      <c r="E844" s="336"/>
      <c r="F844" s="336"/>
      <c r="G844" s="336"/>
      <c r="H844" s="336"/>
      <c r="I844" s="336"/>
      <c r="J844" s="336"/>
      <c r="K844" s="336"/>
      <c r="L844" s="336"/>
      <c r="M844" s="336"/>
    </row>
    <row r="845" spans="2:13">
      <c r="B845" s="534"/>
      <c r="C845" s="336"/>
      <c r="D845" s="336"/>
      <c r="E845" s="336"/>
      <c r="F845" s="336"/>
      <c r="G845" s="336"/>
      <c r="H845" s="336"/>
      <c r="I845" s="336"/>
      <c r="J845" s="336"/>
      <c r="K845" s="336"/>
      <c r="L845" s="336"/>
      <c r="M845" s="336"/>
    </row>
    <row r="846" spans="2:13">
      <c r="B846" s="534"/>
      <c r="C846" s="336"/>
      <c r="D846" s="336"/>
      <c r="E846" s="336"/>
      <c r="F846" s="336"/>
      <c r="G846" s="336"/>
      <c r="H846" s="336"/>
      <c r="I846" s="336"/>
      <c r="J846" s="336"/>
      <c r="K846" s="336"/>
      <c r="L846" s="336"/>
      <c r="M846" s="336"/>
    </row>
    <row r="847" spans="2:13">
      <c r="B847" s="534"/>
      <c r="C847" s="336"/>
      <c r="D847" s="336"/>
      <c r="E847" s="336"/>
      <c r="F847" s="336"/>
      <c r="G847" s="336"/>
      <c r="H847" s="336"/>
      <c r="I847" s="336"/>
      <c r="J847" s="336"/>
      <c r="K847" s="336"/>
      <c r="L847" s="336"/>
      <c r="M847" s="336"/>
    </row>
    <row r="848" spans="2:13">
      <c r="B848" s="534"/>
      <c r="C848" s="336"/>
      <c r="D848" s="336"/>
      <c r="E848" s="336"/>
      <c r="F848" s="336"/>
      <c r="G848" s="336"/>
      <c r="H848" s="336"/>
      <c r="I848" s="336"/>
      <c r="J848" s="336"/>
      <c r="K848" s="336"/>
      <c r="L848" s="336"/>
      <c r="M848" s="336"/>
    </row>
    <row r="849" spans="2:13">
      <c r="B849" s="534"/>
      <c r="C849" s="336"/>
      <c r="D849" s="336"/>
      <c r="E849" s="336"/>
      <c r="F849" s="336"/>
      <c r="G849" s="336"/>
      <c r="H849" s="336"/>
      <c r="I849" s="336"/>
      <c r="J849" s="336"/>
      <c r="K849" s="336"/>
      <c r="L849" s="336"/>
      <c r="M849" s="336"/>
    </row>
    <row r="850" spans="2:13">
      <c r="B850" s="534"/>
      <c r="C850" s="336"/>
      <c r="D850" s="336"/>
      <c r="E850" s="336"/>
      <c r="F850" s="336"/>
      <c r="G850" s="336"/>
      <c r="H850" s="336"/>
      <c r="I850" s="336"/>
      <c r="J850" s="336"/>
      <c r="K850" s="336"/>
      <c r="L850" s="336"/>
      <c r="M850" s="336"/>
    </row>
    <row r="851" spans="2:13">
      <c r="B851" s="534"/>
      <c r="C851" s="336"/>
      <c r="D851" s="336"/>
      <c r="E851" s="336"/>
      <c r="F851" s="336"/>
      <c r="G851" s="336"/>
      <c r="H851" s="336"/>
      <c r="I851" s="336"/>
      <c r="J851" s="336"/>
      <c r="K851" s="336"/>
      <c r="L851" s="336"/>
      <c r="M851" s="336"/>
    </row>
    <row r="852" spans="2:13">
      <c r="B852" s="534"/>
      <c r="C852" s="336"/>
      <c r="D852" s="336"/>
      <c r="E852" s="336"/>
      <c r="F852" s="336"/>
      <c r="G852" s="336"/>
      <c r="H852" s="336"/>
      <c r="I852" s="336"/>
      <c r="J852" s="336"/>
      <c r="K852" s="336"/>
      <c r="L852" s="336"/>
      <c r="M852" s="336"/>
    </row>
    <row r="853" spans="2:13">
      <c r="B853" s="534"/>
      <c r="C853" s="336"/>
      <c r="D853" s="336"/>
      <c r="E853" s="336"/>
      <c r="F853" s="336"/>
      <c r="G853" s="336"/>
      <c r="H853" s="336"/>
      <c r="I853" s="336"/>
      <c r="J853" s="336"/>
      <c r="K853" s="336"/>
      <c r="L853" s="336"/>
      <c r="M853" s="336"/>
    </row>
    <row r="854" spans="2:13">
      <c r="B854" s="534"/>
      <c r="C854" s="336"/>
      <c r="D854" s="336"/>
      <c r="E854" s="336"/>
      <c r="F854" s="336"/>
      <c r="G854" s="336"/>
      <c r="H854" s="336"/>
      <c r="I854" s="336"/>
      <c r="J854" s="336"/>
      <c r="K854" s="336"/>
      <c r="L854" s="336"/>
      <c r="M854" s="336"/>
    </row>
    <row r="855" spans="2:13">
      <c r="B855" s="534"/>
      <c r="C855" s="336"/>
      <c r="D855" s="336"/>
      <c r="E855" s="336"/>
      <c r="F855" s="336"/>
      <c r="G855" s="336"/>
      <c r="H855" s="336"/>
      <c r="I855" s="336"/>
      <c r="J855" s="336"/>
      <c r="K855" s="336"/>
      <c r="L855" s="336"/>
      <c r="M855" s="336"/>
    </row>
    <row r="856" spans="2:13">
      <c r="B856" s="534"/>
      <c r="C856" s="336"/>
      <c r="D856" s="336"/>
      <c r="E856" s="336"/>
      <c r="F856" s="336"/>
      <c r="G856" s="336"/>
      <c r="H856" s="336"/>
      <c r="I856" s="336"/>
      <c r="J856" s="336"/>
      <c r="K856" s="336"/>
      <c r="L856" s="336"/>
      <c r="M856" s="336"/>
    </row>
    <row r="857" spans="2:13">
      <c r="B857" s="534"/>
      <c r="C857" s="336"/>
      <c r="D857" s="336"/>
      <c r="E857" s="336"/>
      <c r="F857" s="336"/>
      <c r="G857" s="336"/>
      <c r="H857" s="336"/>
      <c r="I857" s="336"/>
      <c r="J857" s="336"/>
      <c r="K857" s="336"/>
      <c r="L857" s="336"/>
      <c r="M857" s="336"/>
    </row>
    <row r="858" spans="2:13">
      <c r="B858" s="534"/>
      <c r="C858" s="336"/>
      <c r="D858" s="336"/>
      <c r="E858" s="336"/>
      <c r="F858" s="336"/>
      <c r="G858" s="336"/>
      <c r="H858" s="336"/>
      <c r="I858" s="336"/>
      <c r="J858" s="336"/>
      <c r="K858" s="336"/>
      <c r="L858" s="336"/>
      <c r="M858" s="336"/>
    </row>
    <row r="859" spans="2:13">
      <c r="B859" s="534"/>
      <c r="C859" s="336"/>
      <c r="D859" s="336"/>
      <c r="E859" s="336"/>
      <c r="F859" s="336"/>
      <c r="G859" s="336"/>
      <c r="H859" s="336"/>
      <c r="I859" s="336"/>
      <c r="J859" s="336"/>
      <c r="K859" s="336"/>
      <c r="L859" s="336"/>
      <c r="M859" s="336"/>
    </row>
    <row r="860" spans="2:13">
      <c r="B860" s="534"/>
      <c r="C860" s="336"/>
      <c r="D860" s="336"/>
      <c r="E860" s="336"/>
      <c r="F860" s="336"/>
      <c r="G860" s="336"/>
      <c r="H860" s="336"/>
      <c r="I860" s="336"/>
      <c r="J860" s="336"/>
      <c r="K860" s="336"/>
      <c r="L860" s="336"/>
      <c r="M860" s="336"/>
    </row>
    <row r="861" spans="2:13">
      <c r="B861" s="534"/>
      <c r="C861" s="336"/>
      <c r="D861" s="336"/>
      <c r="E861" s="336"/>
      <c r="F861" s="336"/>
      <c r="G861" s="336"/>
      <c r="H861" s="336"/>
      <c r="I861" s="336"/>
      <c r="J861" s="336"/>
      <c r="K861" s="336"/>
      <c r="L861" s="336"/>
      <c r="M861" s="336"/>
    </row>
    <row r="862" spans="2:13">
      <c r="B862" s="534"/>
      <c r="C862" s="336"/>
      <c r="D862" s="336"/>
      <c r="E862" s="336"/>
      <c r="F862" s="336"/>
      <c r="G862" s="336"/>
      <c r="H862" s="336"/>
      <c r="I862" s="336"/>
      <c r="J862" s="336"/>
      <c r="K862" s="336"/>
      <c r="L862" s="336"/>
      <c r="M862" s="336"/>
    </row>
    <row r="863" spans="2:13">
      <c r="B863" s="534"/>
      <c r="C863" s="336"/>
      <c r="D863" s="336"/>
      <c r="E863" s="336"/>
      <c r="F863" s="336"/>
      <c r="G863" s="336"/>
      <c r="H863" s="336"/>
      <c r="I863" s="336"/>
      <c r="J863" s="336"/>
      <c r="K863" s="336"/>
      <c r="L863" s="336"/>
      <c r="M863" s="336"/>
    </row>
    <row r="864" spans="2:13">
      <c r="B864" s="534"/>
      <c r="C864" s="336"/>
      <c r="D864" s="336"/>
      <c r="E864" s="336"/>
      <c r="F864" s="336"/>
      <c r="G864" s="336"/>
      <c r="H864" s="336"/>
      <c r="I864" s="336"/>
      <c r="J864" s="336"/>
      <c r="K864" s="336"/>
      <c r="L864" s="336"/>
      <c r="M864" s="336"/>
    </row>
    <row r="865" spans="2:13">
      <c r="B865" s="534"/>
      <c r="C865" s="336"/>
      <c r="D865" s="336"/>
      <c r="E865" s="336"/>
      <c r="F865" s="336"/>
      <c r="G865" s="336"/>
      <c r="H865" s="336"/>
      <c r="I865" s="336"/>
      <c r="J865" s="336"/>
      <c r="K865" s="336"/>
      <c r="L865" s="336"/>
      <c r="M865" s="336"/>
    </row>
    <row r="866" spans="2:13">
      <c r="B866" s="534"/>
      <c r="C866" s="336"/>
      <c r="D866" s="336"/>
      <c r="E866" s="336"/>
      <c r="F866" s="336"/>
      <c r="G866" s="336"/>
      <c r="H866" s="336"/>
      <c r="I866" s="336"/>
      <c r="J866" s="336"/>
      <c r="K866" s="336"/>
      <c r="L866" s="336"/>
      <c r="M866" s="336"/>
    </row>
    <row r="867" spans="2:13">
      <c r="B867" s="534"/>
      <c r="C867" s="336"/>
      <c r="D867" s="336"/>
      <c r="E867" s="336"/>
      <c r="F867" s="336"/>
      <c r="G867" s="336"/>
      <c r="H867" s="336"/>
      <c r="I867" s="336"/>
      <c r="J867" s="336"/>
      <c r="K867" s="336"/>
      <c r="L867" s="336"/>
      <c r="M867" s="336"/>
    </row>
    <row r="868" spans="2:13">
      <c r="B868" s="534"/>
      <c r="C868" s="336"/>
      <c r="D868" s="336"/>
      <c r="E868" s="336"/>
      <c r="F868" s="336"/>
      <c r="G868" s="336"/>
      <c r="H868" s="336"/>
      <c r="I868" s="336"/>
      <c r="J868" s="336"/>
      <c r="K868" s="336"/>
      <c r="L868" s="336"/>
      <c r="M868" s="336"/>
    </row>
    <row r="869" spans="2:13">
      <c r="B869" s="534"/>
      <c r="C869" s="336"/>
      <c r="D869" s="336"/>
      <c r="E869" s="336"/>
      <c r="F869" s="336"/>
      <c r="G869" s="336"/>
      <c r="H869" s="336"/>
      <c r="I869" s="336"/>
      <c r="J869" s="336"/>
      <c r="K869" s="336"/>
      <c r="L869" s="336"/>
      <c r="M869" s="336"/>
    </row>
    <row r="870" spans="2:13">
      <c r="B870" s="534"/>
      <c r="C870" s="336"/>
      <c r="D870" s="336"/>
      <c r="E870" s="336"/>
      <c r="F870" s="336"/>
      <c r="G870" s="336"/>
      <c r="H870" s="336"/>
      <c r="I870" s="336"/>
      <c r="J870" s="336"/>
      <c r="K870" s="336"/>
      <c r="L870" s="336"/>
      <c r="M870" s="336"/>
    </row>
    <row r="871" spans="2:13">
      <c r="B871" s="534"/>
      <c r="C871" s="336"/>
      <c r="D871" s="336"/>
      <c r="E871" s="336"/>
      <c r="F871" s="336"/>
      <c r="G871" s="336"/>
      <c r="H871" s="336"/>
      <c r="I871" s="336"/>
      <c r="J871" s="336"/>
      <c r="K871" s="336"/>
      <c r="L871" s="336"/>
      <c r="M871" s="336"/>
    </row>
    <row r="872" spans="2:13">
      <c r="B872" s="534"/>
      <c r="C872" s="336"/>
      <c r="D872" s="336"/>
      <c r="E872" s="336"/>
      <c r="F872" s="336"/>
      <c r="G872" s="336"/>
      <c r="H872" s="336"/>
      <c r="I872" s="336"/>
      <c r="J872" s="336"/>
      <c r="K872" s="336"/>
      <c r="L872" s="336"/>
      <c r="M872" s="336"/>
    </row>
    <row r="873" spans="2:13">
      <c r="B873" s="534"/>
      <c r="C873" s="336"/>
      <c r="D873" s="336"/>
      <c r="E873" s="336"/>
      <c r="F873" s="336"/>
      <c r="G873" s="336"/>
      <c r="H873" s="336"/>
      <c r="I873" s="336"/>
      <c r="J873" s="336"/>
      <c r="K873" s="336"/>
      <c r="L873" s="336"/>
      <c r="M873" s="336"/>
    </row>
    <row r="874" spans="2:13">
      <c r="B874" s="534"/>
      <c r="C874" s="336"/>
      <c r="D874" s="336"/>
      <c r="E874" s="336"/>
      <c r="F874" s="336"/>
      <c r="G874" s="336"/>
      <c r="H874" s="336"/>
      <c r="I874" s="336"/>
      <c r="J874" s="336"/>
      <c r="K874" s="336"/>
      <c r="L874" s="336"/>
      <c r="M874" s="336"/>
    </row>
    <row r="875" spans="2:13">
      <c r="B875" s="534"/>
      <c r="C875" s="336"/>
      <c r="D875" s="336"/>
      <c r="E875" s="336"/>
      <c r="F875" s="336"/>
      <c r="G875" s="336"/>
      <c r="H875" s="336"/>
      <c r="I875" s="336"/>
      <c r="J875" s="336"/>
      <c r="K875" s="336"/>
      <c r="L875" s="336"/>
      <c r="M875" s="336"/>
    </row>
    <row r="876" spans="2:13">
      <c r="B876" s="534"/>
      <c r="C876" s="336"/>
      <c r="D876" s="336"/>
      <c r="E876" s="336"/>
      <c r="F876" s="336"/>
      <c r="G876" s="336"/>
      <c r="H876" s="336"/>
      <c r="I876" s="336"/>
      <c r="J876" s="336"/>
      <c r="K876" s="336"/>
      <c r="L876" s="336"/>
      <c r="M876" s="336"/>
    </row>
    <row r="877" spans="2:13">
      <c r="B877" s="534"/>
      <c r="C877" s="336"/>
      <c r="D877" s="336"/>
      <c r="E877" s="336"/>
      <c r="F877" s="336"/>
      <c r="G877" s="336"/>
      <c r="H877" s="336"/>
      <c r="I877" s="336"/>
      <c r="J877" s="336"/>
      <c r="K877" s="336"/>
      <c r="L877" s="336"/>
      <c r="M877" s="336"/>
    </row>
    <row r="878" spans="2:13">
      <c r="B878" s="534"/>
      <c r="C878" s="336"/>
      <c r="D878" s="336"/>
      <c r="E878" s="336"/>
      <c r="F878" s="336"/>
      <c r="G878" s="336"/>
      <c r="H878" s="336"/>
      <c r="I878" s="336"/>
      <c r="J878" s="336"/>
      <c r="K878" s="336"/>
      <c r="L878" s="336"/>
      <c r="M878" s="336"/>
    </row>
    <row r="879" spans="2:13">
      <c r="B879" s="534"/>
      <c r="C879" s="336"/>
      <c r="D879" s="336"/>
      <c r="E879" s="336"/>
      <c r="F879" s="336"/>
      <c r="G879" s="336"/>
      <c r="H879" s="336"/>
      <c r="I879" s="336"/>
      <c r="J879" s="336"/>
      <c r="K879" s="336"/>
      <c r="L879" s="336"/>
      <c r="M879" s="336"/>
    </row>
    <row r="880" spans="2:13">
      <c r="B880" s="534"/>
      <c r="C880" s="336"/>
      <c r="D880" s="336"/>
      <c r="E880" s="336"/>
      <c r="F880" s="336"/>
      <c r="G880" s="336"/>
      <c r="H880" s="336"/>
      <c r="I880" s="336"/>
      <c r="J880" s="336"/>
      <c r="K880" s="336"/>
      <c r="L880" s="336"/>
      <c r="M880" s="336"/>
    </row>
    <row r="881" spans="2:13">
      <c r="B881" s="534"/>
      <c r="C881" s="336"/>
      <c r="D881" s="336"/>
      <c r="E881" s="336"/>
      <c r="F881" s="336"/>
      <c r="G881" s="336"/>
      <c r="H881" s="336"/>
      <c r="I881" s="336"/>
      <c r="J881" s="336"/>
      <c r="K881" s="336"/>
      <c r="L881" s="336"/>
      <c r="M881" s="336"/>
    </row>
    <row r="882" spans="2:13">
      <c r="B882" s="534"/>
      <c r="C882" s="336"/>
      <c r="D882" s="336"/>
      <c r="E882" s="336"/>
      <c r="F882" s="336"/>
      <c r="G882" s="336"/>
      <c r="H882" s="336"/>
      <c r="I882" s="336"/>
      <c r="J882" s="336"/>
      <c r="K882" s="336"/>
      <c r="L882" s="336"/>
      <c r="M882" s="336"/>
    </row>
    <row r="883" spans="2:13">
      <c r="B883" s="534"/>
      <c r="C883" s="336"/>
      <c r="D883" s="336"/>
      <c r="E883" s="336"/>
      <c r="F883" s="336"/>
      <c r="G883" s="336"/>
      <c r="H883" s="336"/>
      <c r="I883" s="336"/>
      <c r="J883" s="336"/>
      <c r="K883" s="336"/>
      <c r="L883" s="336"/>
      <c r="M883" s="336"/>
    </row>
    <row r="884" spans="2:13">
      <c r="B884" s="534"/>
      <c r="C884" s="336"/>
      <c r="D884" s="336"/>
      <c r="E884" s="336"/>
      <c r="F884" s="336"/>
      <c r="G884" s="336"/>
      <c r="H884" s="336"/>
      <c r="I884" s="336"/>
      <c r="J884" s="336"/>
      <c r="K884" s="336"/>
      <c r="L884" s="336"/>
      <c r="M884" s="336"/>
    </row>
    <row r="885" spans="2:13">
      <c r="B885" s="534"/>
      <c r="C885" s="336"/>
      <c r="D885" s="336"/>
      <c r="E885" s="336"/>
      <c r="F885" s="336"/>
      <c r="G885" s="336"/>
      <c r="H885" s="336"/>
      <c r="I885" s="336"/>
      <c r="J885" s="336"/>
      <c r="K885" s="336"/>
      <c r="L885" s="336"/>
      <c r="M885" s="336"/>
    </row>
    <row r="886" spans="2:13">
      <c r="B886" s="534"/>
      <c r="C886" s="336"/>
      <c r="D886" s="336"/>
      <c r="E886" s="336"/>
      <c r="F886" s="336"/>
      <c r="G886" s="336"/>
      <c r="H886" s="336"/>
      <c r="I886" s="336"/>
      <c r="J886" s="336"/>
      <c r="K886" s="336"/>
      <c r="L886" s="336"/>
      <c r="M886" s="336"/>
    </row>
    <row r="887" spans="2:13">
      <c r="B887" s="534"/>
      <c r="C887" s="336"/>
      <c r="D887" s="336"/>
      <c r="E887" s="336"/>
      <c r="F887" s="336"/>
      <c r="G887" s="336"/>
      <c r="H887" s="336"/>
      <c r="I887" s="336"/>
      <c r="J887" s="336"/>
      <c r="K887" s="336"/>
      <c r="L887" s="336"/>
      <c r="M887" s="336"/>
    </row>
    <row r="888" spans="2:13">
      <c r="B888" s="534"/>
      <c r="C888" s="336"/>
      <c r="D888" s="336"/>
      <c r="E888" s="336"/>
      <c r="F888" s="336"/>
      <c r="G888" s="336"/>
      <c r="H888" s="336"/>
      <c r="I888" s="336"/>
      <c r="J888" s="336"/>
      <c r="K888" s="336"/>
      <c r="L888" s="336"/>
      <c r="M888" s="336"/>
    </row>
    <row r="889" spans="2:13">
      <c r="B889" s="534"/>
      <c r="C889" s="336"/>
      <c r="D889" s="336"/>
      <c r="E889" s="336"/>
      <c r="F889" s="336"/>
      <c r="G889" s="336"/>
      <c r="H889" s="336"/>
      <c r="I889" s="336"/>
      <c r="J889" s="336"/>
      <c r="K889" s="336"/>
      <c r="L889" s="336"/>
      <c r="M889" s="336"/>
    </row>
    <row r="890" spans="2:13">
      <c r="B890" s="534"/>
      <c r="C890" s="336"/>
      <c r="D890" s="336"/>
      <c r="E890" s="336"/>
      <c r="F890" s="336"/>
      <c r="G890" s="336"/>
      <c r="H890" s="336"/>
      <c r="I890" s="336"/>
      <c r="J890" s="336"/>
      <c r="K890" s="336"/>
      <c r="L890" s="336"/>
      <c r="M890" s="336"/>
    </row>
    <row r="891" spans="2:13">
      <c r="B891" s="534"/>
      <c r="C891" s="336"/>
      <c r="D891" s="336"/>
      <c r="E891" s="336"/>
      <c r="F891" s="336"/>
      <c r="G891" s="336"/>
      <c r="H891" s="336"/>
      <c r="I891" s="336"/>
      <c r="J891" s="336"/>
      <c r="K891" s="336"/>
      <c r="L891" s="336"/>
      <c r="M891" s="336"/>
    </row>
    <row r="892" spans="2:13">
      <c r="B892" s="534"/>
      <c r="C892" s="336"/>
      <c r="D892" s="336"/>
      <c r="E892" s="336"/>
      <c r="F892" s="336"/>
      <c r="G892" s="336"/>
      <c r="H892" s="336"/>
      <c r="I892" s="336"/>
      <c r="J892" s="336"/>
      <c r="K892" s="336"/>
      <c r="L892" s="336"/>
      <c r="M892" s="336"/>
    </row>
    <row r="893" spans="2:13">
      <c r="B893" s="534"/>
      <c r="C893" s="336"/>
      <c r="D893" s="336"/>
      <c r="E893" s="336"/>
      <c r="F893" s="336"/>
      <c r="G893" s="336"/>
      <c r="H893" s="336"/>
      <c r="I893" s="336"/>
      <c r="J893" s="336"/>
      <c r="K893" s="336"/>
      <c r="L893" s="336"/>
      <c r="M893" s="336"/>
    </row>
    <row r="894" spans="2:13">
      <c r="B894" s="534"/>
      <c r="C894" s="336"/>
      <c r="D894" s="336"/>
      <c r="E894" s="336"/>
      <c r="F894" s="336"/>
      <c r="G894" s="336"/>
      <c r="H894" s="336"/>
      <c r="I894" s="336"/>
      <c r="J894" s="336"/>
      <c r="K894" s="336"/>
      <c r="L894" s="336"/>
      <c r="M894" s="336"/>
    </row>
    <row r="895" spans="2:13">
      <c r="B895" s="534"/>
      <c r="C895" s="336"/>
      <c r="D895" s="336"/>
      <c r="E895" s="336"/>
      <c r="F895" s="336"/>
      <c r="G895" s="336"/>
      <c r="H895" s="336"/>
      <c r="I895" s="336"/>
      <c r="J895" s="336"/>
      <c r="K895" s="336"/>
      <c r="L895" s="336"/>
      <c r="M895" s="336"/>
    </row>
    <row r="896" spans="2:13">
      <c r="B896" s="534"/>
      <c r="C896" s="336"/>
      <c r="D896" s="336"/>
      <c r="E896" s="336"/>
      <c r="F896" s="336"/>
      <c r="G896" s="336"/>
      <c r="H896" s="336"/>
      <c r="I896" s="336"/>
      <c r="J896" s="336"/>
      <c r="K896" s="336"/>
      <c r="L896" s="336"/>
      <c r="M896" s="336"/>
    </row>
    <row r="897" spans="2:13">
      <c r="B897" s="534"/>
      <c r="C897" s="336"/>
      <c r="D897" s="336"/>
      <c r="E897" s="336"/>
      <c r="F897" s="336"/>
      <c r="G897" s="336"/>
      <c r="H897" s="336"/>
      <c r="I897" s="336"/>
      <c r="J897" s="336"/>
      <c r="K897" s="336"/>
      <c r="L897" s="336"/>
      <c r="M897" s="336"/>
    </row>
    <row r="898" spans="2:13">
      <c r="B898" s="534"/>
      <c r="C898" s="336"/>
      <c r="D898" s="336"/>
      <c r="E898" s="336"/>
      <c r="F898" s="336"/>
      <c r="G898" s="336"/>
      <c r="H898" s="336"/>
      <c r="I898" s="336"/>
      <c r="J898" s="336"/>
      <c r="K898" s="336"/>
      <c r="L898" s="336"/>
      <c r="M898" s="336"/>
    </row>
    <row r="899" spans="2:13">
      <c r="B899" s="534"/>
      <c r="C899" s="336"/>
      <c r="D899" s="336"/>
      <c r="E899" s="336"/>
      <c r="F899" s="336"/>
      <c r="G899" s="336"/>
      <c r="H899" s="336"/>
      <c r="I899" s="336"/>
      <c r="J899" s="336"/>
      <c r="K899" s="336"/>
      <c r="L899" s="336"/>
      <c r="M899" s="336"/>
    </row>
    <row r="900" spans="2:13">
      <c r="B900" s="534"/>
      <c r="C900" s="336"/>
      <c r="D900" s="336"/>
      <c r="E900" s="336"/>
      <c r="F900" s="336"/>
      <c r="G900" s="336"/>
      <c r="H900" s="336"/>
      <c r="I900" s="336"/>
      <c r="J900" s="336"/>
      <c r="K900" s="336"/>
      <c r="L900" s="336"/>
      <c r="M900" s="336"/>
    </row>
    <row r="901" spans="2:13">
      <c r="B901" s="534"/>
      <c r="C901" s="336"/>
      <c r="D901" s="336"/>
      <c r="E901" s="336"/>
      <c r="F901" s="336"/>
      <c r="G901" s="336"/>
      <c r="H901" s="336"/>
      <c r="I901" s="336"/>
      <c r="J901" s="336"/>
      <c r="K901" s="336"/>
      <c r="L901" s="336"/>
      <c r="M901" s="336"/>
    </row>
    <row r="902" spans="2:13">
      <c r="B902" s="534"/>
      <c r="C902" s="336"/>
      <c r="D902" s="336"/>
      <c r="E902" s="336"/>
      <c r="F902" s="336"/>
      <c r="G902" s="336"/>
      <c r="H902" s="336"/>
      <c r="I902" s="336"/>
      <c r="J902" s="336"/>
      <c r="K902" s="336"/>
      <c r="L902" s="336"/>
      <c r="M902" s="336"/>
    </row>
    <row r="903" spans="2:13">
      <c r="B903" s="534"/>
      <c r="C903" s="336"/>
      <c r="D903" s="336"/>
      <c r="E903" s="336"/>
      <c r="F903" s="336"/>
      <c r="G903" s="336"/>
      <c r="H903" s="336"/>
      <c r="I903" s="336"/>
      <c r="J903" s="336"/>
      <c r="K903" s="336"/>
      <c r="L903" s="336"/>
      <c r="M903" s="336"/>
    </row>
    <row r="904" spans="2:13">
      <c r="B904" s="534"/>
      <c r="C904" s="336"/>
      <c r="D904" s="336"/>
      <c r="E904" s="336"/>
      <c r="F904" s="336"/>
      <c r="G904" s="336"/>
      <c r="H904" s="336"/>
      <c r="I904" s="336"/>
      <c r="J904" s="336"/>
      <c r="K904" s="336"/>
      <c r="L904" s="336"/>
      <c r="M904" s="336"/>
    </row>
    <row r="905" spans="2:13">
      <c r="B905" s="534"/>
      <c r="C905" s="336"/>
      <c r="D905" s="336"/>
      <c r="E905" s="336"/>
      <c r="F905" s="336"/>
      <c r="G905" s="336"/>
      <c r="H905" s="336"/>
      <c r="I905" s="336"/>
      <c r="J905" s="336"/>
      <c r="K905" s="336"/>
      <c r="L905" s="336"/>
      <c r="M905" s="336"/>
    </row>
    <row r="906" spans="2:13">
      <c r="B906" s="534"/>
      <c r="C906" s="336"/>
      <c r="D906" s="336"/>
      <c r="E906" s="336"/>
      <c r="F906" s="336"/>
      <c r="G906" s="336"/>
      <c r="H906" s="336"/>
      <c r="I906" s="336"/>
      <c r="J906" s="336"/>
      <c r="K906" s="336"/>
      <c r="L906" s="336"/>
      <c r="M906" s="336"/>
    </row>
    <row r="907" spans="2:13">
      <c r="B907" s="534"/>
      <c r="C907" s="336"/>
      <c r="D907" s="336"/>
      <c r="E907" s="336"/>
      <c r="F907" s="336"/>
      <c r="G907" s="336"/>
      <c r="H907" s="336"/>
      <c r="I907" s="336"/>
      <c r="J907" s="336"/>
      <c r="K907" s="336"/>
      <c r="L907" s="336"/>
      <c r="M907" s="336"/>
    </row>
    <row r="908" spans="2:13">
      <c r="B908" s="534"/>
      <c r="C908" s="336"/>
      <c r="D908" s="336"/>
      <c r="E908" s="336"/>
      <c r="F908" s="336"/>
      <c r="G908" s="336"/>
      <c r="H908" s="336"/>
      <c r="I908" s="336"/>
      <c r="J908" s="336"/>
      <c r="K908" s="336"/>
      <c r="L908" s="336"/>
      <c r="M908" s="336"/>
    </row>
    <row r="909" spans="2:13">
      <c r="B909" s="534"/>
      <c r="C909" s="336"/>
      <c r="D909" s="336"/>
      <c r="E909" s="336"/>
      <c r="F909" s="336"/>
      <c r="G909" s="336"/>
      <c r="H909" s="336"/>
      <c r="I909" s="336"/>
      <c r="J909" s="336"/>
      <c r="K909" s="336"/>
      <c r="L909" s="336"/>
      <c r="M909" s="336"/>
    </row>
    <row r="910" spans="2:13">
      <c r="B910" s="534"/>
      <c r="C910" s="336"/>
      <c r="D910" s="336"/>
      <c r="E910" s="336"/>
      <c r="F910" s="336"/>
      <c r="G910" s="336"/>
      <c r="H910" s="336"/>
      <c r="I910" s="336"/>
      <c r="J910" s="336"/>
      <c r="K910" s="336"/>
      <c r="L910" s="336"/>
      <c r="M910" s="336"/>
    </row>
    <row r="911" spans="2:13">
      <c r="B911" s="534"/>
      <c r="C911" s="336"/>
      <c r="D911" s="336"/>
      <c r="E911" s="336"/>
      <c r="F911" s="336"/>
      <c r="G911" s="336"/>
      <c r="H911" s="336"/>
      <c r="I911" s="336"/>
      <c r="J911" s="336"/>
      <c r="K911" s="336"/>
      <c r="L911" s="336"/>
      <c r="M911" s="336"/>
    </row>
    <row r="912" spans="2:13">
      <c r="B912" s="534"/>
      <c r="C912" s="336"/>
      <c r="D912" s="336"/>
      <c r="E912" s="336"/>
      <c r="F912" s="336"/>
      <c r="G912" s="336"/>
      <c r="H912" s="336"/>
      <c r="I912" s="336"/>
      <c r="J912" s="336"/>
      <c r="K912" s="336"/>
      <c r="L912" s="336"/>
      <c r="M912" s="336"/>
    </row>
    <row r="913" spans="2:13">
      <c r="B913" s="534"/>
      <c r="C913" s="336"/>
      <c r="D913" s="336"/>
      <c r="E913" s="336"/>
      <c r="F913" s="336"/>
      <c r="G913" s="336"/>
      <c r="H913" s="336"/>
      <c r="I913" s="336"/>
      <c r="J913" s="336"/>
      <c r="K913" s="336"/>
      <c r="L913" s="336"/>
      <c r="M913" s="336"/>
    </row>
    <row r="914" spans="2:13">
      <c r="B914" s="534"/>
      <c r="C914" s="336"/>
      <c r="D914" s="336"/>
      <c r="E914" s="336"/>
      <c r="F914" s="336"/>
      <c r="G914" s="336"/>
      <c r="H914" s="336"/>
      <c r="I914" s="336"/>
      <c r="J914" s="336"/>
      <c r="K914" s="336"/>
      <c r="L914" s="336"/>
      <c r="M914" s="336"/>
    </row>
    <row r="915" spans="2:13">
      <c r="B915" s="534"/>
      <c r="C915" s="336"/>
      <c r="D915" s="336"/>
      <c r="E915" s="336"/>
      <c r="F915" s="336"/>
      <c r="G915" s="336"/>
      <c r="H915" s="336"/>
      <c r="I915" s="336"/>
      <c r="J915" s="336"/>
      <c r="K915" s="336"/>
      <c r="L915" s="336"/>
      <c r="M915" s="336"/>
    </row>
    <row r="916" spans="2:13">
      <c r="B916" s="534"/>
      <c r="C916" s="336"/>
      <c r="D916" s="336"/>
      <c r="E916" s="336"/>
      <c r="F916" s="336"/>
      <c r="G916" s="336"/>
      <c r="H916" s="336"/>
      <c r="I916" s="336"/>
      <c r="J916" s="336"/>
      <c r="K916" s="336"/>
      <c r="L916" s="336"/>
      <c r="M916" s="336"/>
    </row>
    <row r="917" spans="2:13">
      <c r="B917" s="534"/>
      <c r="C917" s="336"/>
      <c r="D917" s="336"/>
      <c r="E917" s="336"/>
      <c r="F917" s="336"/>
      <c r="G917" s="336"/>
      <c r="H917" s="336"/>
      <c r="I917" s="336"/>
      <c r="J917" s="336"/>
      <c r="K917" s="336"/>
      <c r="L917" s="336"/>
      <c r="M917" s="336"/>
    </row>
    <row r="918" spans="2:13">
      <c r="B918" s="534"/>
      <c r="C918" s="336"/>
      <c r="D918" s="336"/>
      <c r="E918" s="336"/>
      <c r="F918" s="336"/>
      <c r="G918" s="336"/>
      <c r="H918" s="336"/>
      <c r="I918" s="336"/>
      <c r="J918" s="336"/>
      <c r="K918" s="336"/>
      <c r="L918" s="336"/>
      <c r="M918" s="336"/>
    </row>
    <row r="919" spans="2:13">
      <c r="B919" s="534"/>
      <c r="C919" s="336"/>
      <c r="D919" s="336"/>
      <c r="E919" s="336"/>
      <c r="F919" s="336"/>
      <c r="G919" s="336"/>
      <c r="H919" s="336"/>
      <c r="I919" s="336"/>
      <c r="J919" s="336"/>
      <c r="K919" s="336"/>
      <c r="L919" s="336"/>
      <c r="M919" s="336"/>
    </row>
    <row r="920" spans="2:13">
      <c r="B920" s="534"/>
      <c r="C920" s="336"/>
      <c r="D920" s="336"/>
      <c r="E920" s="336"/>
      <c r="F920" s="336"/>
      <c r="G920" s="336"/>
      <c r="H920" s="336"/>
      <c r="I920" s="336"/>
      <c r="J920" s="336"/>
      <c r="K920" s="336"/>
      <c r="L920" s="336"/>
      <c r="M920" s="336"/>
    </row>
    <row r="921" spans="2:13">
      <c r="B921" s="534"/>
      <c r="C921" s="336"/>
      <c r="D921" s="336"/>
      <c r="E921" s="336"/>
      <c r="F921" s="336"/>
      <c r="G921" s="336"/>
      <c r="H921" s="336"/>
      <c r="I921" s="336"/>
      <c r="J921" s="336"/>
      <c r="K921" s="336"/>
      <c r="L921" s="336"/>
      <c r="M921" s="336"/>
    </row>
    <row r="922" spans="2:13">
      <c r="B922" s="534"/>
      <c r="C922" s="336"/>
      <c r="D922" s="336"/>
      <c r="E922" s="336"/>
      <c r="F922" s="336"/>
      <c r="G922" s="336"/>
      <c r="H922" s="336"/>
      <c r="I922" s="336"/>
      <c r="J922" s="336"/>
      <c r="K922" s="336"/>
      <c r="L922" s="336"/>
      <c r="M922" s="336"/>
    </row>
    <row r="923" spans="2:13">
      <c r="B923" s="534"/>
      <c r="C923" s="336"/>
      <c r="D923" s="336"/>
      <c r="E923" s="336"/>
      <c r="F923" s="336"/>
      <c r="G923" s="336"/>
      <c r="H923" s="336"/>
      <c r="I923" s="336"/>
      <c r="J923" s="336"/>
      <c r="K923" s="336"/>
      <c r="L923" s="336"/>
      <c r="M923" s="336"/>
    </row>
    <row r="924" spans="2:13">
      <c r="B924" s="534"/>
      <c r="C924" s="336"/>
      <c r="D924" s="336"/>
      <c r="E924" s="336"/>
      <c r="F924" s="336"/>
      <c r="G924" s="336"/>
      <c r="H924" s="336"/>
      <c r="I924" s="336"/>
      <c r="J924" s="336"/>
      <c r="K924" s="336"/>
      <c r="L924" s="336"/>
      <c r="M924" s="336"/>
    </row>
    <row r="925" spans="2:13">
      <c r="B925" s="534"/>
      <c r="C925" s="336"/>
      <c r="D925" s="336"/>
      <c r="E925" s="336"/>
      <c r="F925" s="336"/>
      <c r="G925" s="336"/>
      <c r="H925" s="336"/>
      <c r="I925" s="336"/>
      <c r="J925" s="336"/>
      <c r="K925" s="336"/>
      <c r="L925" s="336"/>
      <c r="M925" s="336"/>
    </row>
    <row r="926" spans="2:13">
      <c r="B926" s="534"/>
      <c r="C926" s="336"/>
      <c r="D926" s="336"/>
      <c r="E926" s="336"/>
      <c r="F926" s="336"/>
      <c r="G926" s="336"/>
      <c r="H926" s="336"/>
      <c r="I926" s="336"/>
      <c r="J926" s="336"/>
      <c r="K926" s="336"/>
      <c r="L926" s="336"/>
      <c r="M926" s="336"/>
    </row>
    <row r="927" spans="2:13">
      <c r="B927" s="534"/>
      <c r="C927" s="336"/>
      <c r="D927" s="336"/>
      <c r="E927" s="336"/>
      <c r="F927" s="336"/>
      <c r="G927" s="336"/>
      <c r="H927" s="336"/>
      <c r="I927" s="336"/>
      <c r="J927" s="336"/>
      <c r="K927" s="336"/>
      <c r="L927" s="336"/>
      <c r="M927" s="336"/>
    </row>
    <row r="928" spans="2:13">
      <c r="B928" s="534"/>
      <c r="C928" s="336"/>
      <c r="D928" s="336"/>
      <c r="E928" s="336"/>
      <c r="F928" s="336"/>
      <c r="G928" s="336"/>
      <c r="H928" s="336"/>
      <c r="I928" s="336"/>
      <c r="J928" s="336"/>
      <c r="K928" s="336"/>
      <c r="L928" s="336"/>
      <c r="M928" s="336"/>
    </row>
    <row r="929" spans="2:13">
      <c r="B929" s="534"/>
      <c r="C929" s="336"/>
      <c r="D929" s="336"/>
      <c r="E929" s="336"/>
      <c r="F929" s="336"/>
      <c r="G929" s="336"/>
      <c r="H929" s="336"/>
      <c r="I929" s="336"/>
      <c r="J929" s="336"/>
      <c r="K929" s="336"/>
      <c r="L929" s="336"/>
      <c r="M929" s="336"/>
    </row>
    <row r="930" spans="2:13">
      <c r="B930" s="534"/>
      <c r="C930" s="336"/>
      <c r="D930" s="336"/>
      <c r="E930" s="336"/>
      <c r="F930" s="336"/>
      <c r="G930" s="336"/>
      <c r="H930" s="336"/>
      <c r="I930" s="336"/>
      <c r="J930" s="336"/>
      <c r="K930" s="336"/>
      <c r="L930" s="336"/>
      <c r="M930" s="336"/>
    </row>
    <row r="931" spans="2:13">
      <c r="B931" s="534"/>
      <c r="C931" s="336"/>
      <c r="D931" s="336"/>
      <c r="E931" s="336"/>
      <c r="F931" s="336"/>
      <c r="G931" s="336"/>
      <c r="H931" s="336"/>
      <c r="I931" s="336"/>
      <c r="J931" s="336"/>
      <c r="K931" s="336"/>
      <c r="L931" s="336"/>
      <c r="M931" s="336"/>
    </row>
    <row r="932" spans="2:13">
      <c r="B932" s="534"/>
      <c r="C932" s="336"/>
      <c r="D932" s="336"/>
      <c r="E932" s="336"/>
      <c r="F932" s="336"/>
      <c r="G932" s="336"/>
      <c r="H932" s="336"/>
      <c r="I932" s="336"/>
      <c r="J932" s="336"/>
      <c r="K932" s="336"/>
      <c r="L932" s="336"/>
      <c r="M932" s="336"/>
    </row>
    <row r="933" spans="2:13">
      <c r="B933" s="534"/>
      <c r="C933" s="336"/>
      <c r="D933" s="336"/>
      <c r="E933" s="336"/>
      <c r="F933" s="336"/>
      <c r="G933" s="336"/>
      <c r="H933" s="336"/>
      <c r="I933" s="336"/>
      <c r="J933" s="336"/>
      <c r="K933" s="336"/>
      <c r="L933" s="336"/>
      <c r="M933" s="336"/>
    </row>
    <row r="934" spans="2:13">
      <c r="B934" s="534"/>
      <c r="C934" s="336"/>
      <c r="D934" s="336"/>
      <c r="E934" s="336"/>
      <c r="F934" s="336"/>
      <c r="G934" s="336"/>
      <c r="H934" s="336"/>
      <c r="I934" s="336"/>
      <c r="J934" s="336"/>
      <c r="K934" s="336"/>
      <c r="L934" s="336"/>
      <c r="M934" s="336"/>
    </row>
    <row r="935" spans="2:13">
      <c r="B935" s="534"/>
      <c r="C935" s="336"/>
      <c r="D935" s="336"/>
      <c r="E935" s="336"/>
      <c r="F935" s="336"/>
      <c r="G935" s="336"/>
      <c r="H935" s="336"/>
      <c r="I935" s="336"/>
      <c r="J935" s="336"/>
      <c r="K935" s="336"/>
      <c r="L935" s="336"/>
      <c r="M935" s="336"/>
    </row>
    <row r="936" spans="2:13">
      <c r="B936" s="534"/>
      <c r="C936" s="336"/>
      <c r="D936" s="336"/>
      <c r="E936" s="336"/>
      <c r="F936" s="336"/>
      <c r="G936" s="336"/>
      <c r="H936" s="336"/>
      <c r="I936" s="336"/>
      <c r="J936" s="336"/>
      <c r="K936" s="336"/>
      <c r="L936" s="336"/>
      <c r="M936" s="336"/>
    </row>
    <row r="937" spans="2:13">
      <c r="B937" s="534"/>
      <c r="C937" s="336"/>
      <c r="D937" s="336"/>
      <c r="E937" s="336"/>
      <c r="F937" s="336"/>
      <c r="G937" s="336"/>
      <c r="H937" s="336"/>
      <c r="I937" s="336"/>
      <c r="J937" s="336"/>
      <c r="K937" s="336"/>
      <c r="L937" s="336"/>
      <c r="M937" s="336"/>
    </row>
    <row r="938" spans="2:13">
      <c r="B938" s="534"/>
      <c r="C938" s="336"/>
      <c r="D938" s="336"/>
      <c r="E938" s="336"/>
      <c r="F938" s="336"/>
      <c r="G938" s="336"/>
      <c r="H938" s="336"/>
      <c r="I938" s="336"/>
      <c r="J938" s="336"/>
      <c r="K938" s="336"/>
      <c r="L938" s="336"/>
      <c r="M938" s="336"/>
    </row>
    <row r="939" spans="2:13">
      <c r="B939" s="534"/>
      <c r="C939" s="336"/>
      <c r="D939" s="336"/>
      <c r="E939" s="336"/>
      <c r="F939" s="336"/>
      <c r="G939" s="336"/>
      <c r="H939" s="336"/>
      <c r="I939" s="336"/>
      <c r="J939" s="336"/>
      <c r="K939" s="336"/>
      <c r="L939" s="336"/>
      <c r="M939" s="336"/>
    </row>
    <row r="940" spans="2:13">
      <c r="B940" s="534"/>
      <c r="C940" s="336"/>
      <c r="D940" s="336"/>
      <c r="E940" s="336"/>
      <c r="F940" s="336"/>
      <c r="G940" s="336"/>
      <c r="H940" s="336"/>
      <c r="I940" s="336"/>
      <c r="J940" s="336"/>
      <c r="K940" s="336"/>
      <c r="L940" s="336"/>
      <c r="M940" s="336"/>
    </row>
    <row r="941" spans="2:13">
      <c r="B941" s="534"/>
      <c r="C941" s="336"/>
      <c r="D941" s="336"/>
      <c r="E941" s="336"/>
      <c r="F941" s="336"/>
      <c r="G941" s="336"/>
      <c r="H941" s="336"/>
      <c r="I941" s="336"/>
      <c r="J941" s="336"/>
      <c r="K941" s="336"/>
      <c r="L941" s="336"/>
      <c r="M941" s="336"/>
    </row>
    <row r="942" spans="2:13">
      <c r="B942" s="534"/>
      <c r="C942" s="336"/>
      <c r="D942" s="336"/>
      <c r="E942" s="336"/>
      <c r="F942" s="336"/>
      <c r="G942" s="336"/>
      <c r="H942" s="336"/>
      <c r="I942" s="336"/>
      <c r="J942" s="336"/>
      <c r="K942" s="336"/>
      <c r="L942" s="336"/>
      <c r="M942" s="336"/>
    </row>
    <row r="943" spans="2:13">
      <c r="B943" s="534"/>
      <c r="C943" s="336"/>
      <c r="D943" s="336"/>
      <c r="E943" s="336"/>
      <c r="F943" s="336"/>
      <c r="G943" s="336"/>
      <c r="H943" s="336"/>
      <c r="I943" s="336"/>
      <c r="J943" s="336"/>
      <c r="K943" s="336"/>
      <c r="L943" s="336"/>
      <c r="M943" s="336"/>
    </row>
    <row r="944" spans="2:13">
      <c r="B944" s="534"/>
      <c r="C944" s="336"/>
      <c r="D944" s="336"/>
      <c r="E944" s="336"/>
      <c r="F944" s="336"/>
      <c r="G944" s="336"/>
      <c r="H944" s="336"/>
      <c r="I944" s="336"/>
      <c r="J944" s="336"/>
      <c r="K944" s="336"/>
      <c r="L944" s="336"/>
      <c r="M944" s="336"/>
    </row>
    <row r="945" spans="2:13">
      <c r="B945" s="534"/>
      <c r="C945" s="336"/>
      <c r="D945" s="336"/>
      <c r="E945" s="336"/>
      <c r="F945" s="336"/>
      <c r="G945" s="336"/>
      <c r="H945" s="336"/>
      <c r="I945" s="336"/>
      <c r="J945" s="336"/>
      <c r="K945" s="336"/>
      <c r="L945" s="336"/>
      <c r="M945" s="336"/>
    </row>
    <row r="946" spans="2:13">
      <c r="B946" s="534"/>
      <c r="C946" s="336"/>
      <c r="D946" s="336"/>
      <c r="E946" s="336"/>
      <c r="F946" s="336"/>
      <c r="G946" s="336"/>
      <c r="H946" s="336"/>
      <c r="I946" s="336"/>
      <c r="J946" s="336"/>
      <c r="K946" s="336"/>
      <c r="L946" s="336"/>
      <c r="M946" s="336"/>
    </row>
    <row r="947" spans="2:13">
      <c r="B947" s="534"/>
      <c r="C947" s="336"/>
      <c r="D947" s="336"/>
      <c r="E947" s="336"/>
      <c r="F947" s="336"/>
      <c r="G947" s="336"/>
      <c r="H947" s="336"/>
      <c r="I947" s="336"/>
      <c r="J947" s="336"/>
      <c r="K947" s="336"/>
      <c r="L947" s="336"/>
      <c r="M947" s="336"/>
    </row>
    <row r="948" spans="2:13">
      <c r="B948" s="534"/>
      <c r="C948" s="336"/>
      <c r="D948" s="336"/>
      <c r="E948" s="336"/>
      <c r="F948" s="336"/>
      <c r="G948" s="336"/>
      <c r="H948" s="336"/>
      <c r="I948" s="336"/>
      <c r="J948" s="336"/>
      <c r="K948" s="336"/>
      <c r="L948" s="336"/>
      <c r="M948" s="336"/>
    </row>
    <row r="949" spans="2:13">
      <c r="B949" s="534"/>
      <c r="C949" s="336"/>
      <c r="D949" s="336"/>
      <c r="E949" s="336"/>
      <c r="F949" s="336"/>
      <c r="G949" s="336"/>
      <c r="H949" s="336"/>
      <c r="I949" s="336"/>
      <c r="J949" s="336"/>
      <c r="K949" s="336"/>
      <c r="L949" s="336"/>
      <c r="M949" s="336"/>
    </row>
    <row r="950" spans="2:13">
      <c r="B950" s="534"/>
      <c r="C950" s="336"/>
      <c r="D950" s="336"/>
      <c r="E950" s="336"/>
      <c r="F950" s="336"/>
      <c r="G950" s="336"/>
      <c r="H950" s="336"/>
      <c r="I950" s="336"/>
      <c r="J950" s="336"/>
      <c r="K950" s="336"/>
      <c r="L950" s="336"/>
      <c r="M950" s="336"/>
    </row>
    <row r="951" spans="2:13">
      <c r="B951" s="534"/>
      <c r="C951" s="336"/>
      <c r="D951" s="336"/>
      <c r="E951" s="336"/>
      <c r="F951" s="336"/>
      <c r="G951" s="336"/>
      <c r="H951" s="336"/>
      <c r="I951" s="336"/>
      <c r="J951" s="336"/>
      <c r="K951" s="336"/>
      <c r="L951" s="336"/>
      <c r="M951" s="336"/>
    </row>
    <row r="952" spans="2:13">
      <c r="B952" s="534"/>
      <c r="C952" s="336"/>
      <c r="D952" s="336"/>
      <c r="E952" s="336"/>
      <c r="F952" s="336"/>
      <c r="G952" s="336"/>
      <c r="H952" s="336"/>
      <c r="I952" s="336"/>
      <c r="J952" s="336"/>
      <c r="K952" s="336"/>
      <c r="L952" s="336"/>
      <c r="M952" s="336"/>
    </row>
    <row r="953" spans="2:13">
      <c r="B953" s="534"/>
      <c r="C953" s="336"/>
      <c r="D953" s="336"/>
      <c r="E953" s="336"/>
      <c r="F953" s="336"/>
      <c r="G953" s="336"/>
      <c r="H953" s="336"/>
      <c r="I953" s="336"/>
      <c r="J953" s="336"/>
      <c r="K953" s="336"/>
      <c r="L953" s="336"/>
      <c r="M953" s="336"/>
    </row>
    <row r="954" spans="2:13">
      <c r="B954" s="534"/>
      <c r="C954" s="336"/>
      <c r="D954" s="336"/>
      <c r="E954" s="336"/>
      <c r="F954" s="336"/>
      <c r="G954" s="336"/>
      <c r="H954" s="336"/>
      <c r="I954" s="336"/>
      <c r="J954" s="336"/>
      <c r="K954" s="336"/>
      <c r="L954" s="336"/>
      <c r="M954" s="336"/>
    </row>
    <row r="955" spans="2:13">
      <c r="B955" s="534"/>
      <c r="C955" s="336"/>
      <c r="D955" s="336"/>
      <c r="E955" s="336"/>
      <c r="F955" s="336"/>
      <c r="G955" s="336"/>
      <c r="H955" s="336"/>
      <c r="I955" s="336"/>
      <c r="J955" s="336"/>
      <c r="K955" s="336"/>
      <c r="L955" s="336"/>
      <c r="M955" s="336"/>
    </row>
    <row r="956" spans="2:13">
      <c r="B956" s="534"/>
      <c r="C956" s="336"/>
      <c r="D956" s="336"/>
      <c r="E956" s="336"/>
      <c r="F956" s="336"/>
      <c r="G956" s="336"/>
      <c r="H956" s="336"/>
      <c r="I956" s="336"/>
      <c r="J956" s="336"/>
      <c r="K956" s="336"/>
      <c r="L956" s="336"/>
      <c r="M956" s="336"/>
    </row>
    <row r="957" spans="2:13">
      <c r="B957" s="534"/>
      <c r="C957" s="336"/>
      <c r="D957" s="336"/>
      <c r="E957" s="336"/>
      <c r="F957" s="336"/>
      <c r="G957" s="336"/>
      <c r="H957" s="336"/>
      <c r="I957" s="336"/>
      <c r="J957" s="336"/>
      <c r="K957" s="336"/>
      <c r="L957" s="336"/>
      <c r="M957" s="336"/>
    </row>
    <row r="958" spans="2:13">
      <c r="B958" s="534"/>
      <c r="C958" s="336"/>
      <c r="D958" s="336"/>
      <c r="E958" s="336"/>
      <c r="F958" s="336"/>
      <c r="G958" s="336"/>
      <c r="H958" s="336"/>
      <c r="I958" s="336"/>
      <c r="J958" s="336"/>
      <c r="K958" s="336"/>
      <c r="L958" s="336"/>
      <c r="M958" s="336"/>
    </row>
    <row r="959" spans="2:13">
      <c r="B959" s="534"/>
      <c r="C959" s="336"/>
      <c r="D959" s="336"/>
      <c r="E959" s="336"/>
      <c r="F959" s="336"/>
      <c r="G959" s="336"/>
      <c r="H959" s="336"/>
      <c r="I959" s="336"/>
      <c r="J959" s="336"/>
      <c r="K959" s="336"/>
      <c r="L959" s="336"/>
      <c r="M959" s="336"/>
    </row>
    <row r="960" spans="2:13">
      <c r="B960" s="534"/>
      <c r="C960" s="336"/>
      <c r="D960" s="336"/>
      <c r="E960" s="336"/>
      <c r="F960" s="336"/>
      <c r="G960" s="336"/>
      <c r="H960" s="336"/>
      <c r="I960" s="336"/>
      <c r="J960" s="336"/>
      <c r="K960" s="336"/>
      <c r="L960" s="336"/>
      <c r="M960" s="336"/>
    </row>
    <row r="961" spans="2:13">
      <c r="B961" s="534"/>
      <c r="C961" s="336"/>
      <c r="D961" s="336"/>
      <c r="E961" s="336"/>
      <c r="F961" s="336"/>
      <c r="G961" s="336"/>
      <c r="H961" s="336"/>
      <c r="I961" s="336"/>
      <c r="J961" s="336"/>
      <c r="K961" s="336"/>
      <c r="L961" s="336"/>
      <c r="M961" s="336"/>
    </row>
    <row r="962" spans="2:13">
      <c r="B962" s="534"/>
      <c r="C962" s="336"/>
      <c r="D962" s="336"/>
      <c r="E962" s="336"/>
      <c r="F962" s="336"/>
      <c r="G962" s="336"/>
      <c r="H962" s="336"/>
      <c r="I962" s="336"/>
      <c r="J962" s="336"/>
      <c r="K962" s="336"/>
      <c r="L962" s="336"/>
      <c r="M962" s="336"/>
    </row>
    <row r="963" spans="2:13">
      <c r="B963" s="534"/>
      <c r="C963" s="336"/>
      <c r="D963" s="336"/>
      <c r="E963" s="336"/>
      <c r="F963" s="336"/>
      <c r="G963" s="336"/>
      <c r="H963" s="336"/>
      <c r="I963" s="336"/>
      <c r="J963" s="336"/>
      <c r="K963" s="336"/>
      <c r="L963" s="336"/>
      <c r="M963" s="336"/>
    </row>
    <row r="964" spans="2:13">
      <c r="B964" s="534"/>
      <c r="C964" s="336"/>
      <c r="D964" s="336"/>
      <c r="E964" s="336"/>
      <c r="F964" s="336"/>
      <c r="G964" s="336"/>
      <c r="H964" s="336"/>
      <c r="I964" s="336"/>
      <c r="J964" s="336"/>
      <c r="K964" s="336"/>
      <c r="L964" s="336"/>
      <c r="M964" s="336"/>
    </row>
    <row r="965" spans="2:13">
      <c r="B965" s="534"/>
      <c r="C965" s="336"/>
      <c r="D965" s="336"/>
      <c r="E965" s="336"/>
      <c r="F965" s="336"/>
      <c r="G965" s="336"/>
      <c r="H965" s="336"/>
      <c r="I965" s="336"/>
      <c r="J965" s="336"/>
      <c r="K965" s="336"/>
      <c r="L965" s="336"/>
      <c r="M965" s="336"/>
    </row>
    <row r="966" spans="2:13">
      <c r="B966" s="534"/>
      <c r="C966" s="336"/>
      <c r="D966" s="336"/>
      <c r="E966" s="336"/>
      <c r="F966" s="336"/>
      <c r="G966" s="336"/>
      <c r="H966" s="336"/>
      <c r="I966" s="336"/>
      <c r="J966" s="336"/>
      <c r="K966" s="336"/>
      <c r="L966" s="336"/>
      <c r="M966" s="336"/>
    </row>
    <row r="967" spans="2:13">
      <c r="B967" s="534"/>
      <c r="C967" s="336"/>
      <c r="D967" s="336"/>
      <c r="E967" s="336"/>
      <c r="F967" s="336"/>
      <c r="G967" s="336"/>
      <c r="H967" s="336"/>
      <c r="I967" s="336"/>
      <c r="J967" s="336"/>
      <c r="K967" s="336"/>
      <c r="L967" s="336"/>
      <c r="M967" s="336"/>
    </row>
    <row r="968" spans="2:13">
      <c r="B968" s="534"/>
      <c r="C968" s="336"/>
      <c r="D968" s="336"/>
      <c r="E968" s="336"/>
      <c r="F968" s="336"/>
      <c r="G968" s="336"/>
      <c r="H968" s="336"/>
      <c r="I968" s="336"/>
      <c r="J968" s="336"/>
      <c r="K968" s="336"/>
      <c r="L968" s="336"/>
      <c r="M968" s="336"/>
    </row>
    <row r="969" spans="2:13">
      <c r="B969" s="534"/>
      <c r="C969" s="336"/>
      <c r="D969" s="336"/>
      <c r="E969" s="336"/>
      <c r="F969" s="336"/>
      <c r="G969" s="336"/>
      <c r="H969" s="336"/>
      <c r="I969" s="336"/>
      <c r="J969" s="336"/>
      <c r="K969" s="336"/>
      <c r="L969" s="336"/>
      <c r="M969" s="336"/>
    </row>
    <row r="970" spans="2:13">
      <c r="B970" s="534"/>
      <c r="C970" s="336"/>
      <c r="D970" s="336"/>
      <c r="E970" s="336"/>
      <c r="F970" s="336"/>
      <c r="G970" s="336"/>
      <c r="H970" s="336"/>
      <c r="I970" s="336"/>
      <c r="J970" s="336"/>
      <c r="K970" s="336"/>
      <c r="L970" s="336"/>
      <c r="M970" s="336"/>
    </row>
    <row r="971" spans="2:13">
      <c r="B971" s="534"/>
      <c r="C971" s="336"/>
      <c r="D971" s="336"/>
      <c r="E971" s="336"/>
      <c r="F971" s="336"/>
      <c r="G971" s="336"/>
      <c r="H971" s="336"/>
      <c r="I971" s="336"/>
      <c r="J971" s="336"/>
      <c r="K971" s="336"/>
      <c r="L971" s="336"/>
      <c r="M971" s="336"/>
    </row>
    <row r="972" spans="2:13">
      <c r="B972" s="534"/>
      <c r="C972" s="336"/>
      <c r="D972" s="336"/>
      <c r="E972" s="336"/>
      <c r="F972" s="336"/>
      <c r="G972" s="336"/>
      <c r="H972" s="336"/>
      <c r="I972" s="336"/>
      <c r="J972" s="336"/>
      <c r="K972" s="336"/>
      <c r="L972" s="336"/>
      <c r="M972" s="336"/>
    </row>
    <row r="973" spans="2:13">
      <c r="B973" s="534"/>
      <c r="C973" s="336"/>
      <c r="D973" s="336"/>
      <c r="E973" s="336"/>
      <c r="F973" s="336"/>
      <c r="G973" s="336"/>
      <c r="H973" s="336"/>
      <c r="I973" s="336"/>
      <c r="J973" s="336"/>
      <c r="K973" s="336"/>
      <c r="L973" s="336"/>
      <c r="M973" s="336"/>
    </row>
    <row r="974" spans="2:13">
      <c r="B974" s="534"/>
      <c r="C974" s="336"/>
      <c r="D974" s="336"/>
      <c r="E974" s="336"/>
      <c r="F974" s="336"/>
      <c r="G974" s="336"/>
      <c r="H974" s="336"/>
      <c r="I974" s="336"/>
      <c r="J974" s="336"/>
      <c r="K974" s="336"/>
      <c r="L974" s="336"/>
      <c r="M974" s="336"/>
    </row>
    <row r="975" spans="2:13">
      <c r="B975" s="534"/>
      <c r="C975" s="336"/>
      <c r="D975" s="336"/>
      <c r="E975" s="336"/>
      <c r="F975" s="336"/>
      <c r="G975" s="336"/>
      <c r="H975" s="336"/>
      <c r="I975" s="336"/>
      <c r="J975" s="336"/>
      <c r="K975" s="336"/>
      <c r="L975" s="336"/>
      <c r="M975" s="336"/>
    </row>
    <row r="976" spans="2:13">
      <c r="B976" s="534"/>
      <c r="C976" s="336"/>
      <c r="D976" s="336"/>
      <c r="E976" s="336"/>
      <c r="F976" s="336"/>
      <c r="G976" s="336"/>
      <c r="H976" s="336"/>
      <c r="I976" s="336"/>
      <c r="J976" s="336"/>
      <c r="K976" s="336"/>
      <c r="L976" s="336"/>
      <c r="M976" s="336"/>
    </row>
    <row r="977" spans="2:13">
      <c r="B977" s="534"/>
      <c r="C977" s="336"/>
      <c r="D977" s="336"/>
      <c r="E977" s="336"/>
      <c r="F977" s="336"/>
      <c r="G977" s="336"/>
      <c r="H977" s="336"/>
      <c r="I977" s="336"/>
      <c r="J977" s="336"/>
      <c r="K977" s="336"/>
      <c r="L977" s="336"/>
      <c r="M977" s="336"/>
    </row>
    <row r="978" spans="2:13">
      <c r="B978" s="534"/>
      <c r="C978" s="336"/>
      <c r="D978" s="336"/>
      <c r="E978" s="336"/>
      <c r="F978" s="336"/>
      <c r="G978" s="336"/>
      <c r="H978" s="336"/>
      <c r="I978" s="336"/>
      <c r="J978" s="336"/>
      <c r="K978" s="336"/>
      <c r="L978" s="336"/>
      <c r="M978" s="336"/>
    </row>
    <row r="979" spans="2:13">
      <c r="B979" s="534"/>
      <c r="C979" s="336"/>
      <c r="D979" s="336"/>
      <c r="E979" s="336"/>
      <c r="F979" s="336"/>
      <c r="G979" s="336"/>
      <c r="H979" s="336"/>
      <c r="I979" s="336"/>
      <c r="J979" s="336"/>
      <c r="K979" s="336"/>
      <c r="L979" s="336"/>
      <c r="M979" s="336"/>
    </row>
    <row r="980" spans="2:13">
      <c r="B980" s="534"/>
      <c r="C980" s="336"/>
      <c r="D980" s="336"/>
      <c r="E980" s="336"/>
      <c r="F980" s="336"/>
      <c r="G980" s="336"/>
      <c r="H980" s="336"/>
      <c r="I980" s="336"/>
      <c r="J980" s="336"/>
      <c r="K980" s="336"/>
      <c r="L980" s="336"/>
      <c r="M980" s="336"/>
    </row>
    <row r="981" spans="2:13">
      <c r="B981" s="534"/>
      <c r="C981" s="336"/>
      <c r="D981" s="336"/>
      <c r="E981" s="336"/>
      <c r="F981" s="336"/>
      <c r="G981" s="336"/>
      <c r="H981" s="336"/>
      <c r="I981" s="336"/>
      <c r="J981" s="336"/>
      <c r="K981" s="336"/>
      <c r="L981" s="336"/>
      <c r="M981" s="336"/>
    </row>
    <row r="982" spans="2:13">
      <c r="B982" s="534"/>
      <c r="C982" s="336"/>
      <c r="D982" s="336"/>
      <c r="E982" s="336"/>
      <c r="F982" s="336"/>
      <c r="G982" s="336"/>
      <c r="H982" s="336"/>
      <c r="I982" s="336"/>
      <c r="J982" s="336"/>
      <c r="K982" s="336"/>
      <c r="L982" s="336"/>
      <c r="M982" s="336"/>
    </row>
    <row r="983" spans="2:13">
      <c r="B983" s="534"/>
      <c r="C983" s="336"/>
      <c r="D983" s="336"/>
      <c r="E983" s="336"/>
      <c r="F983" s="336"/>
      <c r="G983" s="336"/>
      <c r="H983" s="336"/>
      <c r="I983" s="336"/>
      <c r="J983" s="336"/>
      <c r="K983" s="336"/>
      <c r="L983" s="336"/>
      <c r="M983" s="336"/>
    </row>
    <row r="984" spans="2:13">
      <c r="B984" s="534"/>
      <c r="C984" s="336"/>
      <c r="D984" s="336"/>
      <c r="E984" s="336"/>
      <c r="F984" s="336"/>
      <c r="G984" s="336"/>
      <c r="H984" s="336"/>
      <c r="I984" s="336"/>
      <c r="J984" s="336"/>
      <c r="K984" s="336"/>
      <c r="L984" s="336"/>
      <c r="M984" s="336"/>
    </row>
    <row r="985" spans="2:13">
      <c r="B985" s="534"/>
      <c r="C985" s="336"/>
      <c r="D985" s="336"/>
      <c r="E985" s="336"/>
      <c r="F985" s="336"/>
      <c r="G985" s="336"/>
      <c r="H985" s="336"/>
      <c r="I985" s="336"/>
      <c r="J985" s="336"/>
      <c r="K985" s="336"/>
      <c r="L985" s="336"/>
      <c r="M985" s="336"/>
    </row>
    <row r="986" spans="2:13">
      <c r="B986" s="534"/>
      <c r="C986" s="336"/>
      <c r="D986" s="336"/>
      <c r="E986" s="336"/>
      <c r="F986" s="336"/>
      <c r="G986" s="336"/>
      <c r="H986" s="336"/>
      <c r="I986" s="336"/>
      <c r="J986" s="336"/>
      <c r="K986" s="336"/>
      <c r="L986" s="336"/>
      <c r="M986" s="336"/>
    </row>
    <row r="987" spans="2:13">
      <c r="B987" s="534"/>
      <c r="C987" s="336"/>
      <c r="D987" s="336"/>
      <c r="E987" s="336"/>
      <c r="F987" s="336"/>
      <c r="G987" s="336"/>
      <c r="H987" s="336"/>
      <c r="I987" s="336"/>
      <c r="J987" s="336"/>
      <c r="K987" s="336"/>
      <c r="L987" s="336"/>
      <c r="M987" s="336"/>
    </row>
    <row r="988" spans="2:13">
      <c r="B988" s="534"/>
      <c r="C988" s="336"/>
      <c r="D988" s="336"/>
      <c r="E988" s="336"/>
      <c r="F988" s="336"/>
      <c r="G988" s="336"/>
      <c r="H988" s="336"/>
      <c r="I988" s="336"/>
      <c r="J988" s="336"/>
      <c r="K988" s="336"/>
      <c r="L988" s="336"/>
      <c r="M988" s="336"/>
    </row>
    <row r="989" spans="2:13">
      <c r="B989" s="534"/>
      <c r="C989" s="336"/>
      <c r="D989" s="336"/>
      <c r="E989" s="336"/>
      <c r="F989" s="336"/>
      <c r="G989" s="336"/>
      <c r="H989" s="336"/>
      <c r="I989" s="336"/>
      <c r="J989" s="336"/>
      <c r="K989" s="336"/>
      <c r="L989" s="336"/>
      <c r="M989" s="336"/>
    </row>
    <row r="990" spans="2:13">
      <c r="B990" s="534"/>
      <c r="C990" s="336"/>
      <c r="D990" s="336"/>
      <c r="E990" s="336"/>
      <c r="F990" s="336"/>
      <c r="G990" s="336"/>
      <c r="H990" s="336"/>
      <c r="I990" s="336"/>
      <c r="J990" s="336"/>
      <c r="K990" s="336"/>
      <c r="L990" s="336"/>
      <c r="M990" s="336"/>
    </row>
    <row r="991" spans="2:13">
      <c r="B991" s="534"/>
      <c r="C991" s="336"/>
      <c r="D991" s="336"/>
      <c r="E991" s="336"/>
      <c r="F991" s="336"/>
      <c r="G991" s="336"/>
      <c r="H991" s="336"/>
      <c r="I991" s="336"/>
      <c r="J991" s="336"/>
      <c r="K991" s="336"/>
      <c r="L991" s="336"/>
      <c r="M991" s="336"/>
    </row>
    <row r="992" spans="2:13">
      <c r="B992" s="534"/>
      <c r="C992" s="336"/>
      <c r="D992" s="336"/>
      <c r="E992" s="336"/>
      <c r="F992" s="336"/>
      <c r="G992" s="336"/>
      <c r="H992" s="336"/>
      <c r="I992" s="336"/>
      <c r="J992" s="336"/>
      <c r="K992" s="336"/>
      <c r="L992" s="336"/>
      <c r="M992" s="336"/>
    </row>
    <row r="993" spans="2:13">
      <c r="B993" s="534"/>
      <c r="C993" s="336"/>
      <c r="D993" s="336"/>
      <c r="E993" s="336"/>
      <c r="F993" s="336"/>
      <c r="G993" s="336"/>
      <c r="H993" s="336"/>
      <c r="I993" s="336"/>
      <c r="J993" s="336"/>
      <c r="K993" s="336"/>
      <c r="L993" s="336"/>
      <c r="M993" s="336"/>
    </row>
    <row r="994" spans="2:13">
      <c r="B994" s="534"/>
      <c r="C994" s="336"/>
      <c r="D994" s="336"/>
      <c r="E994" s="336"/>
      <c r="F994" s="336"/>
      <c r="G994" s="336"/>
      <c r="H994" s="336"/>
      <c r="I994" s="336"/>
      <c r="J994" s="336"/>
      <c r="K994" s="336"/>
      <c r="L994" s="336"/>
      <c r="M994" s="336"/>
    </row>
    <row r="995" spans="2:13">
      <c r="B995" s="534"/>
      <c r="C995" s="336"/>
      <c r="D995" s="336"/>
      <c r="E995" s="336"/>
      <c r="F995" s="336"/>
      <c r="G995" s="336"/>
      <c r="H995" s="336"/>
      <c r="I995" s="336"/>
      <c r="J995" s="336"/>
      <c r="K995" s="336"/>
      <c r="L995" s="336"/>
      <c r="M995" s="336"/>
    </row>
    <row r="996" spans="2:13">
      <c r="B996" s="534"/>
      <c r="C996" s="336"/>
      <c r="D996" s="336"/>
      <c r="E996" s="336"/>
      <c r="F996" s="336"/>
      <c r="G996" s="336"/>
      <c r="H996" s="336"/>
      <c r="I996" s="336"/>
      <c r="J996" s="336"/>
      <c r="K996" s="336"/>
      <c r="L996" s="336"/>
      <c r="M996" s="336"/>
    </row>
    <row r="997" spans="2:13">
      <c r="B997" s="534"/>
      <c r="C997" s="336"/>
      <c r="D997" s="336"/>
      <c r="E997" s="336"/>
      <c r="F997" s="336"/>
      <c r="G997" s="336"/>
      <c r="H997" s="336"/>
      <c r="I997" s="336"/>
      <c r="J997" s="336"/>
      <c r="K997" s="336"/>
      <c r="L997" s="336"/>
      <c r="M997" s="336"/>
    </row>
    <row r="998" spans="2:13">
      <c r="B998" s="534"/>
      <c r="C998" s="336"/>
      <c r="D998" s="336"/>
      <c r="E998" s="336"/>
      <c r="F998" s="336"/>
      <c r="G998" s="336"/>
      <c r="H998" s="336"/>
      <c r="I998" s="336"/>
      <c r="J998" s="336"/>
      <c r="K998" s="336"/>
      <c r="L998" s="336"/>
      <c r="M998" s="336"/>
    </row>
    <row r="999" spans="2:13">
      <c r="B999" s="534"/>
      <c r="C999" s="336"/>
      <c r="D999" s="336"/>
      <c r="E999" s="336"/>
      <c r="F999" s="336"/>
      <c r="G999" s="336"/>
      <c r="H999" s="336"/>
      <c r="I999" s="336"/>
      <c r="J999" s="336"/>
      <c r="K999" s="336"/>
      <c r="L999" s="336"/>
      <c r="M999" s="336"/>
    </row>
    <row r="1000" spans="2:13">
      <c r="B1000" s="534"/>
      <c r="C1000" s="336"/>
      <c r="D1000" s="336"/>
      <c r="E1000" s="336"/>
      <c r="F1000" s="336"/>
      <c r="G1000" s="336"/>
      <c r="H1000" s="336"/>
      <c r="I1000" s="336"/>
      <c r="J1000" s="336"/>
      <c r="K1000" s="336"/>
      <c r="L1000" s="336"/>
      <c r="M1000" s="336"/>
    </row>
    <row r="1001" spans="2:13">
      <c r="B1001" s="534"/>
      <c r="C1001" s="336"/>
      <c r="D1001" s="336"/>
      <c r="E1001" s="336"/>
      <c r="F1001" s="336"/>
      <c r="G1001" s="336"/>
      <c r="H1001" s="336"/>
      <c r="I1001" s="336"/>
      <c r="J1001" s="336"/>
      <c r="K1001" s="336"/>
      <c r="L1001" s="336"/>
      <c r="M1001" s="336"/>
    </row>
    <row r="1002" spans="2:13">
      <c r="B1002" s="534"/>
      <c r="C1002" s="336"/>
      <c r="D1002" s="336"/>
      <c r="E1002" s="336"/>
      <c r="F1002" s="336"/>
      <c r="G1002" s="336"/>
      <c r="H1002" s="336"/>
      <c r="I1002" s="336"/>
      <c r="J1002" s="336"/>
      <c r="K1002" s="336"/>
      <c r="L1002" s="336"/>
      <c r="M1002" s="336"/>
    </row>
    <row r="1003" spans="2:13">
      <c r="B1003" s="534"/>
      <c r="C1003" s="336"/>
      <c r="D1003" s="336"/>
      <c r="E1003" s="336"/>
      <c r="F1003" s="336"/>
      <c r="G1003" s="336"/>
      <c r="H1003" s="336"/>
      <c r="I1003" s="336"/>
      <c r="J1003" s="336"/>
      <c r="K1003" s="336"/>
      <c r="L1003" s="336"/>
      <c r="M1003" s="336"/>
    </row>
    <row r="1004" spans="2:13">
      <c r="B1004" s="534"/>
      <c r="C1004" s="336"/>
      <c r="D1004" s="336"/>
      <c r="E1004" s="336"/>
      <c r="F1004" s="336"/>
      <c r="G1004" s="336"/>
      <c r="H1004" s="336"/>
      <c r="I1004" s="336"/>
      <c r="J1004" s="336"/>
      <c r="K1004" s="336"/>
      <c r="L1004" s="336"/>
      <c r="M1004" s="336"/>
    </row>
    <row r="1005" spans="2:13">
      <c r="B1005" s="534"/>
      <c r="C1005" s="336"/>
      <c r="D1005" s="336"/>
      <c r="E1005" s="336"/>
      <c r="F1005" s="336"/>
      <c r="G1005" s="336"/>
      <c r="H1005" s="336"/>
      <c r="I1005" s="336"/>
      <c r="J1005" s="336"/>
      <c r="K1005" s="336"/>
      <c r="L1005" s="336"/>
      <c r="M1005" s="336"/>
    </row>
    <row r="1006" spans="2:13">
      <c r="B1006" s="534"/>
      <c r="C1006" s="336"/>
      <c r="D1006" s="336"/>
      <c r="E1006" s="336"/>
      <c r="F1006" s="336"/>
      <c r="G1006" s="336"/>
      <c r="H1006" s="336"/>
      <c r="I1006" s="336"/>
      <c r="J1006" s="336"/>
      <c r="K1006" s="336"/>
      <c r="L1006" s="336"/>
      <c r="M1006" s="336"/>
    </row>
    <row r="1007" spans="2:13">
      <c r="B1007" s="534"/>
      <c r="C1007" s="336"/>
      <c r="D1007" s="336"/>
      <c r="E1007" s="336"/>
      <c r="F1007" s="336"/>
      <c r="G1007" s="336"/>
      <c r="H1007" s="336"/>
      <c r="I1007" s="336"/>
      <c r="J1007" s="336"/>
      <c r="K1007" s="336"/>
      <c r="L1007" s="336"/>
      <c r="M1007" s="336"/>
    </row>
    <row r="1008" spans="2:13">
      <c r="B1008" s="534"/>
      <c r="C1008" s="336"/>
      <c r="D1008" s="336"/>
      <c r="E1008" s="336"/>
      <c r="F1008" s="336"/>
      <c r="G1008" s="336"/>
      <c r="H1008" s="336"/>
      <c r="I1008" s="336"/>
      <c r="J1008" s="336"/>
      <c r="K1008" s="336"/>
      <c r="L1008" s="336"/>
      <c r="M1008" s="336"/>
    </row>
    <row r="1009" spans="2:13">
      <c r="B1009" s="534"/>
      <c r="C1009" s="336"/>
      <c r="D1009" s="336"/>
      <c r="E1009" s="336"/>
      <c r="F1009" s="336"/>
      <c r="G1009" s="336"/>
      <c r="H1009" s="336"/>
      <c r="I1009" s="336"/>
      <c r="J1009" s="336"/>
      <c r="K1009" s="336"/>
      <c r="L1009" s="336"/>
      <c r="M1009" s="336"/>
    </row>
    <row r="1010" spans="2:13">
      <c r="B1010" s="534"/>
      <c r="C1010" s="336"/>
      <c r="D1010" s="336"/>
      <c r="E1010" s="336"/>
      <c r="F1010" s="336"/>
      <c r="G1010" s="336"/>
      <c r="H1010" s="336"/>
      <c r="I1010" s="336"/>
      <c r="J1010" s="336"/>
      <c r="K1010" s="336"/>
      <c r="L1010" s="336"/>
      <c r="M1010" s="336"/>
    </row>
    <row r="1011" spans="2:13">
      <c r="B1011" s="534"/>
      <c r="C1011" s="336"/>
      <c r="D1011" s="336"/>
      <c r="E1011" s="336"/>
      <c r="F1011" s="336"/>
      <c r="G1011" s="336"/>
      <c r="H1011" s="336"/>
      <c r="I1011" s="336"/>
      <c r="J1011" s="336"/>
      <c r="K1011" s="336"/>
      <c r="L1011" s="336"/>
      <c r="M1011" s="336"/>
    </row>
    <row r="1012" spans="2:13">
      <c r="B1012" s="534"/>
      <c r="C1012" s="336"/>
      <c r="D1012" s="336"/>
      <c r="E1012" s="336"/>
      <c r="F1012" s="336"/>
      <c r="G1012" s="336"/>
      <c r="H1012" s="336"/>
      <c r="I1012" s="336"/>
      <c r="J1012" s="336"/>
      <c r="K1012" s="336"/>
      <c r="L1012" s="336"/>
      <c r="M1012" s="336"/>
    </row>
    <row r="1013" spans="2:13">
      <c r="B1013" s="534"/>
      <c r="C1013" s="336"/>
      <c r="D1013" s="336"/>
      <c r="E1013" s="336"/>
      <c r="F1013" s="336"/>
      <c r="G1013" s="336"/>
      <c r="H1013" s="336"/>
      <c r="I1013" s="336"/>
      <c r="J1013" s="336"/>
      <c r="K1013" s="336"/>
      <c r="L1013" s="336"/>
      <c r="M1013" s="336"/>
    </row>
    <row r="1014" spans="2:13">
      <c r="B1014" s="534"/>
      <c r="C1014" s="336"/>
      <c r="D1014" s="336"/>
      <c r="E1014" s="336"/>
      <c r="F1014" s="336"/>
      <c r="G1014" s="336"/>
      <c r="H1014" s="336"/>
      <c r="I1014" s="336"/>
      <c r="J1014" s="336"/>
      <c r="K1014" s="336"/>
      <c r="L1014" s="336"/>
      <c r="M1014" s="336"/>
    </row>
    <row r="1015" spans="2:13">
      <c r="B1015" s="534"/>
      <c r="C1015" s="336"/>
      <c r="D1015" s="336"/>
      <c r="E1015" s="336"/>
      <c r="F1015" s="336"/>
      <c r="G1015" s="336"/>
      <c r="H1015" s="336"/>
      <c r="I1015" s="336"/>
      <c r="J1015" s="336"/>
      <c r="K1015" s="336"/>
      <c r="L1015" s="336"/>
      <c r="M1015" s="336"/>
    </row>
    <row r="1016" spans="2:13">
      <c r="B1016" s="534"/>
      <c r="C1016" s="336"/>
      <c r="D1016" s="336"/>
      <c r="E1016" s="336"/>
      <c r="F1016" s="336"/>
      <c r="G1016" s="336"/>
      <c r="H1016" s="336"/>
      <c r="I1016" s="336"/>
      <c r="J1016" s="336"/>
      <c r="K1016" s="336"/>
      <c r="L1016" s="336"/>
      <c r="M1016" s="336"/>
    </row>
    <row r="1017" spans="2:13">
      <c r="B1017" s="534"/>
      <c r="C1017" s="336"/>
      <c r="D1017" s="336"/>
      <c r="E1017" s="336"/>
      <c r="F1017" s="336"/>
      <c r="G1017" s="336"/>
      <c r="H1017" s="336"/>
      <c r="I1017" s="336"/>
      <c r="J1017" s="336"/>
      <c r="K1017" s="336"/>
      <c r="L1017" s="336"/>
      <c r="M1017" s="336"/>
    </row>
    <row r="1018" spans="2:13">
      <c r="B1018" s="534"/>
      <c r="C1018" s="336"/>
      <c r="D1018" s="336"/>
      <c r="E1018" s="336"/>
      <c r="F1018" s="336"/>
      <c r="G1018" s="336"/>
      <c r="H1018" s="336"/>
      <c r="I1018" s="336"/>
      <c r="J1018" s="336"/>
      <c r="K1018" s="336"/>
      <c r="L1018" s="336"/>
      <c r="M1018" s="336"/>
    </row>
    <row r="1019" spans="2:13">
      <c r="B1019" s="534"/>
      <c r="C1019" s="336"/>
      <c r="D1019" s="336"/>
      <c r="E1019" s="336"/>
      <c r="F1019" s="336"/>
      <c r="G1019" s="336"/>
      <c r="H1019" s="336"/>
      <c r="I1019" s="336"/>
      <c r="J1019" s="336"/>
      <c r="K1019" s="336"/>
      <c r="L1019" s="336"/>
      <c r="M1019" s="336"/>
    </row>
    <row r="1020" spans="2:13">
      <c r="B1020" s="534"/>
      <c r="C1020" s="336"/>
      <c r="D1020" s="336"/>
      <c r="E1020" s="336"/>
      <c r="F1020" s="336"/>
      <c r="G1020" s="336"/>
      <c r="H1020" s="336"/>
      <c r="I1020" s="336"/>
      <c r="J1020" s="336"/>
      <c r="K1020" s="336"/>
      <c r="L1020" s="336"/>
      <c r="M1020" s="336"/>
    </row>
    <row r="1021" spans="2:13">
      <c r="B1021" s="534"/>
      <c r="C1021" s="336"/>
      <c r="D1021" s="336"/>
      <c r="E1021" s="336"/>
      <c r="F1021" s="336"/>
      <c r="G1021" s="336"/>
      <c r="H1021" s="336"/>
      <c r="I1021" s="336"/>
      <c r="J1021" s="336"/>
      <c r="K1021" s="336"/>
      <c r="L1021" s="336"/>
      <c r="M1021" s="336"/>
    </row>
    <row r="1022" spans="2:13">
      <c r="B1022" s="534"/>
      <c r="C1022" s="336"/>
      <c r="D1022" s="336"/>
      <c r="E1022" s="336"/>
      <c r="F1022" s="336"/>
      <c r="G1022" s="336"/>
      <c r="H1022" s="336"/>
      <c r="I1022" s="336"/>
      <c r="J1022" s="336"/>
      <c r="K1022" s="336"/>
      <c r="L1022" s="336"/>
      <c r="M1022" s="336"/>
    </row>
    <row r="1023" spans="2:13">
      <c r="B1023" s="534"/>
      <c r="C1023" s="336"/>
      <c r="D1023" s="336"/>
      <c r="E1023" s="336"/>
      <c r="F1023" s="336"/>
      <c r="G1023" s="336"/>
      <c r="H1023" s="336"/>
      <c r="I1023" s="336"/>
      <c r="J1023" s="336"/>
      <c r="K1023" s="336"/>
      <c r="L1023" s="336"/>
      <c r="M1023" s="336"/>
    </row>
    <row r="1024" spans="2:13">
      <c r="B1024" s="534"/>
      <c r="C1024" s="336"/>
      <c r="D1024" s="336"/>
      <c r="E1024" s="336"/>
      <c r="F1024" s="336"/>
      <c r="G1024" s="336"/>
      <c r="H1024" s="336"/>
      <c r="I1024" s="336"/>
      <c r="J1024" s="336"/>
      <c r="K1024" s="336"/>
      <c r="L1024" s="336"/>
      <c r="M1024" s="336"/>
    </row>
    <row r="1025" spans="2:13">
      <c r="B1025" s="534"/>
      <c r="C1025" s="336"/>
      <c r="D1025" s="336"/>
      <c r="E1025" s="336"/>
      <c r="F1025" s="336"/>
      <c r="G1025" s="336"/>
      <c r="H1025" s="336"/>
      <c r="I1025" s="336"/>
      <c r="J1025" s="336"/>
      <c r="K1025" s="336"/>
      <c r="L1025" s="336"/>
      <c r="M1025" s="336"/>
    </row>
    <row r="1026" spans="2:13">
      <c r="B1026" s="534"/>
      <c r="C1026" s="336"/>
      <c r="D1026" s="336"/>
      <c r="E1026" s="336"/>
      <c r="F1026" s="336"/>
      <c r="G1026" s="336"/>
      <c r="H1026" s="336"/>
      <c r="I1026" s="336"/>
      <c r="J1026" s="336"/>
      <c r="K1026" s="336"/>
      <c r="L1026" s="336"/>
      <c r="M1026" s="336"/>
    </row>
    <row r="1027" spans="2:13">
      <c r="B1027" s="534"/>
      <c r="C1027" s="336"/>
      <c r="D1027" s="336"/>
      <c r="E1027" s="336"/>
      <c r="F1027" s="336"/>
      <c r="G1027" s="336"/>
      <c r="H1027" s="336"/>
      <c r="I1027" s="336"/>
      <c r="J1027" s="336"/>
      <c r="K1027" s="336"/>
      <c r="L1027" s="336"/>
      <c r="M1027" s="336"/>
    </row>
    <row r="1028" spans="2:13">
      <c r="B1028" s="534"/>
      <c r="C1028" s="336"/>
      <c r="D1028" s="336"/>
      <c r="E1028" s="336"/>
      <c r="F1028" s="336"/>
      <c r="G1028" s="336"/>
      <c r="H1028" s="336"/>
      <c r="I1028" s="336"/>
      <c r="J1028" s="336"/>
      <c r="K1028" s="336"/>
      <c r="L1028" s="336"/>
      <c r="M1028" s="336"/>
    </row>
    <row r="1029" spans="2:13">
      <c r="B1029" s="534"/>
      <c r="C1029" s="336"/>
      <c r="D1029" s="336"/>
      <c r="E1029" s="336"/>
      <c r="F1029" s="336"/>
      <c r="G1029" s="336"/>
      <c r="H1029" s="336"/>
      <c r="I1029" s="336"/>
      <c r="J1029" s="336"/>
      <c r="K1029" s="336"/>
      <c r="L1029" s="336"/>
      <c r="M1029" s="336"/>
    </row>
    <row r="1030" spans="2:13">
      <c r="B1030" s="534"/>
      <c r="C1030" s="336"/>
      <c r="D1030" s="336"/>
      <c r="E1030" s="336"/>
      <c r="F1030" s="336"/>
      <c r="G1030" s="336"/>
      <c r="H1030" s="336"/>
      <c r="I1030" s="336"/>
      <c r="J1030" s="336"/>
      <c r="K1030" s="336"/>
      <c r="L1030" s="336"/>
      <c r="M1030" s="336"/>
    </row>
    <row r="1031" spans="2:13">
      <c r="B1031" s="534"/>
      <c r="C1031" s="336"/>
      <c r="D1031" s="336"/>
      <c r="E1031" s="336"/>
      <c r="F1031" s="336"/>
      <c r="G1031" s="336"/>
      <c r="H1031" s="336"/>
      <c r="I1031" s="336"/>
      <c r="J1031" s="336"/>
      <c r="K1031" s="336"/>
      <c r="L1031" s="336"/>
      <c r="M1031" s="336"/>
    </row>
    <row r="1032" spans="2:13">
      <c r="B1032" s="534"/>
      <c r="C1032" s="336"/>
      <c r="D1032" s="336"/>
      <c r="E1032" s="336"/>
      <c r="F1032" s="336"/>
      <c r="G1032" s="336"/>
      <c r="H1032" s="336"/>
      <c r="I1032" s="336"/>
      <c r="J1032" s="336"/>
      <c r="K1032" s="336"/>
      <c r="L1032" s="336"/>
      <c r="M1032" s="336"/>
    </row>
    <row r="1033" spans="2:13">
      <c r="B1033" s="534"/>
      <c r="C1033" s="336"/>
      <c r="D1033" s="336"/>
      <c r="E1033" s="336"/>
      <c r="F1033" s="336"/>
      <c r="G1033" s="336"/>
      <c r="H1033" s="336"/>
      <c r="I1033" s="336"/>
      <c r="J1033" s="336"/>
      <c r="K1033" s="336"/>
      <c r="L1033" s="336"/>
      <c r="M1033" s="336"/>
    </row>
    <row r="1034" spans="2:13">
      <c r="B1034" s="534"/>
      <c r="C1034" s="336"/>
      <c r="D1034" s="336"/>
      <c r="E1034" s="336"/>
      <c r="F1034" s="336"/>
      <c r="G1034" s="336"/>
      <c r="H1034" s="336"/>
      <c r="I1034" s="336"/>
      <c r="J1034" s="336"/>
      <c r="K1034" s="336"/>
      <c r="L1034" s="336"/>
      <c r="M1034" s="336"/>
    </row>
    <row r="1035" spans="2:13">
      <c r="B1035" s="534"/>
      <c r="C1035" s="336"/>
      <c r="D1035" s="336"/>
      <c r="E1035" s="336"/>
      <c r="F1035" s="336"/>
      <c r="G1035" s="336"/>
      <c r="H1035" s="336"/>
      <c r="I1035" s="336"/>
      <c r="J1035" s="336"/>
      <c r="K1035" s="336"/>
      <c r="L1035" s="336"/>
      <c r="M1035" s="336"/>
    </row>
    <row r="1036" spans="2:13">
      <c r="B1036" s="534"/>
      <c r="C1036" s="336"/>
      <c r="D1036" s="336"/>
      <c r="E1036" s="336"/>
      <c r="F1036" s="336"/>
      <c r="G1036" s="336"/>
      <c r="H1036" s="336"/>
      <c r="I1036" s="336"/>
      <c r="J1036" s="336"/>
      <c r="K1036" s="336"/>
      <c r="L1036" s="336"/>
      <c r="M1036" s="336"/>
    </row>
    <row r="1037" spans="2:13">
      <c r="B1037" s="534"/>
      <c r="C1037" s="336"/>
      <c r="D1037" s="336"/>
      <c r="E1037" s="336"/>
      <c r="F1037" s="336"/>
      <c r="G1037" s="336"/>
      <c r="H1037" s="336"/>
      <c r="I1037" s="336"/>
      <c r="J1037" s="336"/>
      <c r="K1037" s="336"/>
      <c r="L1037" s="336"/>
      <c r="M1037" s="336"/>
    </row>
    <row r="1038" spans="2:13">
      <c r="B1038" s="534"/>
      <c r="C1038" s="336"/>
      <c r="D1038" s="336"/>
      <c r="E1038" s="336"/>
      <c r="F1038" s="336"/>
      <c r="G1038" s="336"/>
      <c r="H1038" s="336"/>
      <c r="I1038" s="336"/>
      <c r="J1038" s="336"/>
      <c r="K1038" s="336"/>
      <c r="L1038" s="336"/>
      <c r="M1038" s="336"/>
    </row>
    <row r="1039" spans="2:13">
      <c r="B1039" s="534"/>
      <c r="C1039" s="336"/>
      <c r="D1039" s="336"/>
      <c r="E1039" s="336"/>
      <c r="F1039" s="336"/>
      <c r="G1039" s="336"/>
      <c r="H1039" s="336"/>
      <c r="I1039" s="336"/>
      <c r="J1039" s="336"/>
      <c r="K1039" s="336"/>
      <c r="L1039" s="336"/>
      <c r="M1039" s="336"/>
    </row>
    <row r="1040" spans="2:13">
      <c r="B1040" s="534"/>
      <c r="C1040" s="336"/>
      <c r="D1040" s="336"/>
      <c r="E1040" s="336"/>
      <c r="F1040" s="336"/>
      <c r="G1040" s="336"/>
      <c r="H1040" s="336"/>
      <c r="I1040" s="336"/>
      <c r="J1040" s="336"/>
      <c r="K1040" s="336"/>
      <c r="L1040" s="336"/>
      <c r="M1040" s="336"/>
    </row>
    <row r="1041" spans="2:13">
      <c r="B1041" s="534"/>
      <c r="C1041" s="336"/>
      <c r="D1041" s="336"/>
      <c r="E1041" s="336"/>
      <c r="F1041" s="336"/>
      <c r="G1041" s="336"/>
      <c r="H1041" s="336"/>
      <c r="I1041" s="336"/>
      <c r="J1041" s="336"/>
      <c r="K1041" s="336"/>
      <c r="L1041" s="336"/>
      <c r="M1041" s="336"/>
    </row>
    <row r="1042" spans="2:13">
      <c r="B1042" s="534"/>
      <c r="C1042" s="336"/>
      <c r="D1042" s="336"/>
      <c r="E1042" s="336"/>
      <c r="F1042" s="336"/>
      <c r="G1042" s="336"/>
      <c r="H1042" s="336"/>
      <c r="I1042" s="336"/>
      <c r="J1042" s="336"/>
      <c r="K1042" s="336"/>
      <c r="L1042" s="336"/>
      <c r="M1042" s="336"/>
    </row>
    <row r="1043" spans="2:13">
      <c r="B1043" s="534"/>
      <c r="C1043" s="336"/>
      <c r="D1043" s="336"/>
      <c r="E1043" s="336"/>
      <c r="F1043" s="336"/>
      <c r="G1043" s="336"/>
      <c r="H1043" s="336"/>
      <c r="I1043" s="336"/>
      <c r="J1043" s="336"/>
      <c r="K1043" s="336"/>
      <c r="L1043" s="336"/>
      <c r="M1043" s="336"/>
    </row>
    <row r="1044" spans="2:13">
      <c r="B1044" s="534"/>
      <c r="C1044" s="336"/>
      <c r="D1044" s="336"/>
      <c r="E1044" s="336"/>
      <c r="F1044" s="336"/>
      <c r="G1044" s="336"/>
      <c r="H1044" s="336"/>
      <c r="I1044" s="336"/>
      <c r="J1044" s="336"/>
      <c r="K1044" s="336"/>
      <c r="L1044" s="336"/>
      <c r="M1044" s="336"/>
    </row>
    <row r="1045" spans="2:13">
      <c r="B1045" s="534"/>
      <c r="C1045" s="336"/>
      <c r="D1045" s="336"/>
      <c r="E1045" s="336"/>
      <c r="F1045" s="336"/>
      <c r="G1045" s="336"/>
      <c r="H1045" s="336"/>
      <c r="I1045" s="336"/>
      <c r="J1045" s="336"/>
      <c r="K1045" s="336"/>
      <c r="L1045" s="336"/>
      <c r="M1045" s="336"/>
    </row>
    <row r="1046" spans="2:13">
      <c r="B1046" s="534"/>
      <c r="C1046" s="336"/>
      <c r="D1046" s="336"/>
      <c r="E1046" s="336"/>
      <c r="F1046" s="336"/>
      <c r="G1046" s="336"/>
      <c r="H1046" s="336"/>
      <c r="I1046" s="336"/>
      <c r="J1046" s="336"/>
      <c r="K1046" s="336"/>
      <c r="L1046" s="336"/>
      <c r="M1046" s="336"/>
    </row>
    <row r="1047" spans="2:13">
      <c r="B1047" s="534"/>
      <c r="C1047" s="336"/>
      <c r="D1047" s="336"/>
      <c r="E1047" s="336"/>
      <c r="F1047" s="336"/>
      <c r="G1047" s="336"/>
      <c r="H1047" s="336"/>
      <c r="I1047" s="336"/>
      <c r="J1047" s="336"/>
      <c r="K1047" s="336"/>
      <c r="L1047" s="336"/>
      <c r="M1047" s="336"/>
    </row>
    <row r="1048" spans="2:13">
      <c r="B1048" s="534"/>
      <c r="C1048" s="336"/>
      <c r="D1048" s="336"/>
      <c r="E1048" s="336"/>
      <c r="F1048" s="336"/>
      <c r="G1048" s="336"/>
      <c r="H1048" s="336"/>
      <c r="I1048" s="336"/>
      <c r="J1048" s="336"/>
      <c r="K1048" s="336"/>
      <c r="L1048" s="336"/>
      <c r="M1048" s="336"/>
    </row>
    <row r="1049" spans="2:13">
      <c r="B1049" s="534"/>
      <c r="C1049" s="336"/>
      <c r="D1049" s="336"/>
      <c r="E1049" s="336"/>
      <c r="F1049" s="336"/>
      <c r="G1049" s="336"/>
      <c r="H1049" s="336"/>
      <c r="I1049" s="336"/>
      <c r="J1049" s="336"/>
      <c r="K1049" s="336"/>
      <c r="L1049" s="336"/>
      <c r="M1049" s="336"/>
    </row>
    <row r="1050" spans="2:13">
      <c r="B1050" s="534"/>
      <c r="C1050" s="336"/>
      <c r="D1050" s="336"/>
      <c r="E1050" s="336"/>
      <c r="F1050" s="336"/>
      <c r="G1050" s="336"/>
      <c r="H1050" s="336"/>
      <c r="I1050" s="336"/>
      <c r="J1050" s="336"/>
      <c r="K1050" s="336"/>
      <c r="L1050" s="336"/>
      <c r="M1050" s="336"/>
    </row>
    <row r="1051" spans="2:13">
      <c r="B1051" s="534"/>
      <c r="C1051" s="336"/>
      <c r="D1051" s="336"/>
      <c r="E1051" s="336"/>
      <c r="F1051" s="336"/>
      <c r="G1051" s="336"/>
      <c r="H1051" s="336"/>
      <c r="I1051" s="336"/>
      <c r="J1051" s="336"/>
      <c r="K1051" s="336"/>
      <c r="L1051" s="336"/>
      <c r="M1051" s="336"/>
    </row>
    <row r="1052" spans="2:13">
      <c r="B1052" s="534"/>
      <c r="C1052" s="336"/>
      <c r="D1052" s="336"/>
      <c r="E1052" s="336"/>
      <c r="F1052" s="336"/>
      <c r="G1052" s="336"/>
      <c r="H1052" s="336"/>
      <c r="I1052" s="336"/>
      <c r="J1052" s="336"/>
      <c r="K1052" s="336"/>
      <c r="L1052" s="336"/>
      <c r="M1052" s="336"/>
    </row>
    <row r="1053" spans="2:13">
      <c r="B1053" s="534"/>
      <c r="C1053" s="336"/>
      <c r="D1053" s="336"/>
      <c r="E1053" s="336"/>
      <c r="F1053" s="336"/>
      <c r="G1053" s="336"/>
      <c r="H1053" s="336"/>
      <c r="I1053" s="336"/>
      <c r="J1053" s="336"/>
      <c r="K1053" s="336"/>
      <c r="L1053" s="336"/>
      <c r="M1053" s="336"/>
    </row>
    <row r="1054" spans="2:13">
      <c r="B1054" s="534"/>
      <c r="C1054" s="336"/>
      <c r="D1054" s="336"/>
      <c r="E1054" s="336"/>
      <c r="F1054" s="336"/>
      <c r="G1054" s="336"/>
      <c r="H1054" s="336"/>
      <c r="I1054" s="336"/>
      <c r="J1054" s="336"/>
      <c r="K1054" s="336"/>
      <c r="L1054" s="336"/>
      <c r="M1054" s="336"/>
    </row>
    <row r="1055" spans="2:13">
      <c r="B1055" s="534"/>
      <c r="C1055" s="336"/>
      <c r="D1055" s="336"/>
      <c r="E1055" s="336"/>
      <c r="F1055" s="336"/>
      <c r="G1055" s="336"/>
      <c r="H1055" s="336"/>
      <c r="I1055" s="336"/>
      <c r="J1055" s="336"/>
      <c r="K1055" s="336"/>
      <c r="L1055" s="336"/>
      <c r="M1055" s="336"/>
    </row>
    <row r="1056" spans="2:13">
      <c r="B1056" s="534"/>
      <c r="C1056" s="336"/>
      <c r="D1056" s="336"/>
      <c r="E1056" s="336"/>
      <c r="F1056" s="336"/>
      <c r="G1056" s="336"/>
      <c r="H1056" s="336"/>
      <c r="I1056" s="336"/>
      <c r="J1056" s="336"/>
      <c r="K1056" s="336"/>
      <c r="L1056" s="336"/>
      <c r="M1056" s="336"/>
    </row>
    <row r="1057" spans="2:13">
      <c r="B1057" s="534"/>
      <c r="C1057" s="336"/>
      <c r="D1057" s="336"/>
      <c r="E1057" s="336"/>
      <c r="F1057" s="336"/>
      <c r="G1057" s="336"/>
      <c r="H1057" s="336"/>
      <c r="I1057" s="336"/>
      <c r="J1057" s="336"/>
      <c r="K1057" s="336"/>
      <c r="L1057" s="336"/>
      <c r="M1057" s="336"/>
    </row>
    <row r="1058" spans="2:13">
      <c r="B1058" s="534"/>
      <c r="C1058" s="336"/>
      <c r="D1058" s="336"/>
      <c r="E1058" s="336"/>
      <c r="F1058" s="336"/>
      <c r="G1058" s="336"/>
      <c r="H1058" s="336"/>
      <c r="I1058" s="336"/>
      <c r="J1058" s="336"/>
      <c r="K1058" s="336"/>
      <c r="L1058" s="336"/>
      <c r="M1058" s="336"/>
    </row>
    <row r="1059" spans="2:13">
      <c r="B1059" s="534"/>
      <c r="C1059" s="336"/>
      <c r="D1059" s="336"/>
      <c r="E1059" s="336"/>
      <c r="F1059" s="336"/>
      <c r="G1059" s="336"/>
      <c r="H1059" s="336"/>
      <c r="I1059" s="336"/>
      <c r="J1059" s="336"/>
      <c r="K1059" s="336"/>
      <c r="L1059" s="336"/>
      <c r="M1059" s="336"/>
    </row>
    <row r="1060" spans="2:13">
      <c r="B1060" s="534"/>
      <c r="C1060" s="336"/>
      <c r="D1060" s="336"/>
      <c r="E1060" s="336"/>
      <c r="F1060" s="336"/>
      <c r="G1060" s="336"/>
      <c r="H1060" s="336"/>
      <c r="I1060" s="336"/>
      <c r="J1060" s="336"/>
      <c r="K1060" s="336"/>
      <c r="L1060" s="336"/>
      <c r="M1060" s="336"/>
    </row>
    <row r="1061" spans="2:13">
      <c r="B1061" s="534"/>
      <c r="C1061" s="336"/>
      <c r="D1061" s="336"/>
      <c r="E1061" s="336"/>
      <c r="F1061" s="336"/>
      <c r="G1061" s="336"/>
      <c r="H1061" s="336"/>
      <c r="I1061" s="336"/>
      <c r="J1061" s="336"/>
      <c r="K1061" s="336"/>
      <c r="L1061" s="336"/>
      <c r="M1061" s="336"/>
    </row>
    <row r="1062" spans="2:13">
      <c r="B1062" s="534"/>
      <c r="C1062" s="336"/>
      <c r="D1062" s="336"/>
      <c r="E1062" s="336"/>
      <c r="F1062" s="336"/>
      <c r="G1062" s="336"/>
      <c r="H1062" s="336"/>
      <c r="I1062" s="336"/>
      <c r="J1062" s="336"/>
      <c r="K1062" s="336"/>
      <c r="L1062" s="336"/>
      <c r="M1062" s="336"/>
    </row>
    <row r="1063" spans="2:13">
      <c r="B1063" s="534"/>
      <c r="C1063" s="336"/>
      <c r="D1063" s="336"/>
      <c r="E1063" s="336"/>
      <c r="F1063" s="336"/>
      <c r="G1063" s="336"/>
      <c r="H1063" s="336"/>
      <c r="I1063" s="336"/>
      <c r="J1063" s="336"/>
      <c r="K1063" s="336"/>
      <c r="L1063" s="336"/>
      <c r="M1063" s="336"/>
    </row>
    <row r="1064" spans="2:13">
      <c r="B1064" s="534"/>
      <c r="C1064" s="336"/>
      <c r="D1064" s="336"/>
      <c r="E1064" s="336"/>
      <c r="F1064" s="336"/>
      <c r="G1064" s="336"/>
      <c r="H1064" s="336"/>
      <c r="I1064" s="336"/>
      <c r="J1064" s="336"/>
      <c r="K1064" s="336"/>
      <c r="L1064" s="336"/>
      <c r="M1064" s="336"/>
    </row>
    <row r="1065" spans="2:13">
      <c r="B1065" s="534"/>
      <c r="C1065" s="336"/>
      <c r="D1065" s="336"/>
      <c r="E1065" s="336"/>
      <c r="F1065" s="336"/>
      <c r="G1065" s="336"/>
      <c r="H1065" s="336"/>
      <c r="I1065" s="336"/>
      <c r="J1065" s="336"/>
      <c r="K1065" s="336"/>
      <c r="L1065" s="336"/>
      <c r="M1065" s="336"/>
    </row>
    <row r="1066" spans="2:13">
      <c r="B1066" s="534"/>
      <c r="C1066" s="336"/>
      <c r="D1066" s="336"/>
      <c r="E1066" s="336"/>
      <c r="F1066" s="336"/>
      <c r="G1066" s="336"/>
      <c r="H1066" s="336"/>
      <c r="I1066" s="336"/>
      <c r="J1066" s="336"/>
      <c r="K1066" s="336"/>
      <c r="L1066" s="336"/>
      <c r="M1066" s="336"/>
    </row>
    <row r="1067" spans="2:13">
      <c r="B1067" s="534"/>
      <c r="C1067" s="336"/>
      <c r="D1067" s="336"/>
      <c r="E1067" s="336"/>
      <c r="F1067" s="336"/>
      <c r="G1067" s="336"/>
      <c r="H1067" s="336"/>
      <c r="I1067" s="336"/>
      <c r="J1067" s="336"/>
      <c r="K1067" s="336"/>
      <c r="L1067" s="336"/>
      <c r="M1067" s="336"/>
    </row>
    <row r="1068" spans="2:13">
      <c r="B1068" s="534"/>
      <c r="C1068" s="336"/>
      <c r="D1068" s="336"/>
      <c r="E1068" s="336"/>
      <c r="F1068" s="336"/>
      <c r="G1068" s="336"/>
      <c r="H1068" s="336"/>
      <c r="I1068" s="336"/>
      <c r="J1068" s="336"/>
      <c r="K1068" s="336"/>
      <c r="L1068" s="336"/>
      <c r="M1068" s="336"/>
    </row>
    <row r="1069" spans="2:13">
      <c r="B1069" s="534"/>
      <c r="C1069" s="336"/>
      <c r="D1069" s="336"/>
      <c r="E1069" s="336"/>
      <c r="F1069" s="336"/>
      <c r="G1069" s="336"/>
      <c r="H1069" s="336"/>
      <c r="I1069" s="336"/>
      <c r="J1069" s="336"/>
      <c r="K1069" s="336"/>
      <c r="L1069" s="336"/>
      <c r="M1069" s="336"/>
    </row>
    <row r="1070" spans="2:13">
      <c r="B1070" s="534"/>
      <c r="C1070" s="336"/>
      <c r="D1070" s="336"/>
      <c r="E1070" s="336"/>
      <c r="F1070" s="336"/>
      <c r="G1070" s="336"/>
      <c r="H1070" s="336"/>
      <c r="I1070" s="336"/>
      <c r="J1070" s="336"/>
      <c r="K1070" s="336"/>
      <c r="L1070" s="336"/>
      <c r="M1070" s="336"/>
    </row>
    <row r="1071" spans="2:13">
      <c r="B1071" s="534"/>
      <c r="C1071" s="336"/>
      <c r="D1071" s="336"/>
      <c r="E1071" s="336"/>
      <c r="F1071" s="336"/>
      <c r="G1071" s="336"/>
      <c r="H1071" s="336"/>
      <c r="I1071" s="336"/>
      <c r="J1071" s="336"/>
      <c r="K1071" s="336"/>
      <c r="L1071" s="336"/>
      <c r="M1071" s="336"/>
    </row>
    <row r="1072" spans="2:13">
      <c r="B1072" s="534"/>
      <c r="C1072" s="336"/>
      <c r="D1072" s="336"/>
      <c r="E1072" s="336"/>
      <c r="F1072" s="336"/>
      <c r="G1072" s="336"/>
      <c r="H1072" s="336"/>
      <c r="I1072" s="336"/>
      <c r="J1072" s="336"/>
      <c r="K1072" s="336"/>
      <c r="L1072" s="336"/>
      <c r="M1072" s="336"/>
    </row>
    <row r="1073" spans="2:13">
      <c r="B1073" s="534"/>
      <c r="C1073" s="336"/>
      <c r="D1073" s="336"/>
      <c r="E1073" s="336"/>
      <c r="F1073" s="336"/>
      <c r="G1073" s="336"/>
      <c r="H1073" s="336"/>
      <c r="I1073" s="336"/>
      <c r="J1073" s="336"/>
      <c r="K1073" s="336"/>
      <c r="L1073" s="336"/>
      <c r="M1073" s="336"/>
    </row>
    <row r="1074" spans="2:13">
      <c r="B1074" s="534"/>
      <c r="C1074" s="336"/>
      <c r="D1074" s="336"/>
      <c r="E1074" s="336"/>
      <c r="F1074" s="336"/>
      <c r="G1074" s="336"/>
      <c r="H1074" s="336"/>
      <c r="I1074" s="336"/>
      <c r="J1074" s="336"/>
      <c r="K1074" s="336"/>
      <c r="L1074" s="336"/>
      <c r="M1074" s="336"/>
    </row>
    <row r="1075" spans="2:13">
      <c r="B1075" s="534"/>
      <c r="C1075" s="336"/>
      <c r="D1075" s="336"/>
      <c r="E1075" s="336"/>
      <c r="F1075" s="336"/>
      <c r="G1075" s="336"/>
      <c r="H1075" s="336"/>
      <c r="I1075" s="336"/>
      <c r="J1075" s="336"/>
      <c r="K1075" s="336"/>
      <c r="L1075" s="336"/>
      <c r="M1075" s="336"/>
    </row>
    <row r="1076" spans="2:13">
      <c r="B1076" s="534"/>
      <c r="C1076" s="336"/>
      <c r="D1076" s="336"/>
      <c r="E1076" s="336"/>
      <c r="F1076" s="336"/>
      <c r="G1076" s="336"/>
      <c r="H1076" s="336"/>
      <c r="I1076" s="336"/>
      <c r="J1076" s="336"/>
      <c r="K1076" s="336"/>
      <c r="L1076" s="336"/>
      <c r="M1076" s="336"/>
    </row>
    <row r="1077" spans="2:13">
      <c r="B1077" s="534"/>
      <c r="C1077" s="336"/>
      <c r="D1077" s="336"/>
      <c r="E1077" s="336"/>
      <c r="F1077" s="336"/>
      <c r="G1077" s="336"/>
      <c r="H1077" s="336"/>
      <c r="I1077" s="336"/>
      <c r="J1077" s="336"/>
      <c r="K1077" s="336"/>
      <c r="L1077" s="336"/>
      <c r="M1077" s="336"/>
    </row>
    <row r="1078" spans="2:13">
      <c r="B1078" s="534"/>
      <c r="C1078" s="336"/>
      <c r="D1078" s="336"/>
      <c r="E1078" s="336"/>
      <c r="F1078" s="336"/>
      <c r="G1078" s="336"/>
      <c r="H1078" s="336"/>
      <c r="I1078" s="336"/>
      <c r="J1078" s="336"/>
      <c r="K1078" s="336"/>
      <c r="L1078" s="336"/>
      <c r="M1078" s="336"/>
    </row>
    <row r="1079" spans="2:13">
      <c r="B1079" s="534"/>
      <c r="C1079" s="336"/>
      <c r="D1079" s="336"/>
      <c r="E1079" s="336"/>
      <c r="F1079" s="336"/>
      <c r="G1079" s="336"/>
      <c r="H1079" s="336"/>
      <c r="I1079" s="336"/>
      <c r="J1079" s="336"/>
      <c r="K1079" s="336"/>
      <c r="L1079" s="336"/>
      <c r="M1079" s="336"/>
    </row>
    <row r="1080" spans="2:13">
      <c r="B1080" s="534"/>
      <c r="C1080" s="336"/>
      <c r="D1080" s="336"/>
      <c r="E1080" s="336"/>
      <c r="F1080" s="336"/>
      <c r="G1080" s="336"/>
      <c r="H1080" s="336"/>
      <c r="I1080" s="336"/>
      <c r="J1080" s="336"/>
      <c r="K1080" s="336"/>
      <c r="L1080" s="336"/>
      <c r="M1080" s="336"/>
    </row>
    <row r="1081" spans="2:13">
      <c r="B1081" s="534"/>
      <c r="C1081" s="336"/>
      <c r="D1081" s="336"/>
      <c r="E1081" s="336"/>
      <c r="F1081" s="336"/>
      <c r="G1081" s="336"/>
      <c r="H1081" s="336"/>
      <c r="I1081" s="336"/>
      <c r="J1081" s="336"/>
      <c r="K1081" s="336"/>
      <c r="L1081" s="336"/>
      <c r="M1081" s="336"/>
    </row>
    <row r="1082" spans="2:13">
      <c r="B1082" s="534"/>
      <c r="C1082" s="336"/>
      <c r="D1082" s="336"/>
      <c r="E1082" s="336"/>
      <c r="F1082" s="336"/>
      <c r="G1082" s="336"/>
      <c r="H1082" s="336"/>
      <c r="I1082" s="336"/>
      <c r="J1082" s="336"/>
      <c r="K1082" s="336"/>
      <c r="L1082" s="336"/>
      <c r="M1082" s="336"/>
    </row>
    <row r="1083" spans="2:13">
      <c r="B1083" s="534"/>
      <c r="C1083" s="336"/>
      <c r="D1083" s="336"/>
      <c r="E1083" s="336"/>
      <c r="F1083" s="336"/>
      <c r="G1083" s="336"/>
      <c r="H1083" s="336"/>
      <c r="I1083" s="336"/>
      <c r="J1083" s="336"/>
      <c r="K1083" s="336"/>
      <c r="L1083" s="336"/>
      <c r="M1083" s="336"/>
    </row>
    <row r="1084" spans="2:13">
      <c r="B1084" s="534"/>
      <c r="C1084" s="336"/>
      <c r="D1084" s="336"/>
      <c r="E1084" s="336"/>
      <c r="F1084" s="336"/>
      <c r="G1084" s="336"/>
      <c r="H1084" s="336"/>
      <c r="I1084" s="336"/>
      <c r="J1084" s="336"/>
      <c r="K1084" s="336"/>
      <c r="L1084" s="336"/>
      <c r="M1084" s="336"/>
    </row>
    <row r="1085" spans="2:13">
      <c r="B1085" s="534"/>
      <c r="C1085" s="336"/>
      <c r="D1085" s="336"/>
      <c r="E1085" s="336"/>
      <c r="F1085" s="336"/>
      <c r="G1085" s="336"/>
      <c r="H1085" s="336"/>
      <c r="I1085" s="336"/>
      <c r="J1085" s="336"/>
      <c r="K1085" s="336"/>
      <c r="L1085" s="336"/>
      <c r="M1085" s="336"/>
    </row>
    <row r="1086" spans="2:13">
      <c r="B1086" s="534"/>
      <c r="C1086" s="336"/>
      <c r="D1086" s="336"/>
      <c r="E1086" s="336"/>
      <c r="F1086" s="336"/>
      <c r="G1086" s="336"/>
      <c r="H1086" s="336"/>
      <c r="I1086" s="336"/>
      <c r="J1086" s="336"/>
      <c r="K1086" s="336"/>
      <c r="L1086" s="336"/>
      <c r="M1086" s="336"/>
    </row>
    <row r="1087" spans="2:13">
      <c r="B1087" s="534"/>
      <c r="C1087" s="336"/>
      <c r="D1087" s="336"/>
      <c r="E1087" s="336"/>
      <c r="F1087" s="336"/>
      <c r="G1087" s="336"/>
      <c r="H1087" s="336"/>
      <c r="I1087" s="336"/>
      <c r="J1087" s="336"/>
      <c r="K1087" s="336"/>
      <c r="L1087" s="336"/>
      <c r="M1087" s="336"/>
    </row>
    <row r="1088" spans="2:13">
      <c r="B1088" s="534"/>
      <c r="C1088" s="336"/>
      <c r="D1088" s="336"/>
      <c r="E1088" s="336"/>
      <c r="F1088" s="336"/>
      <c r="G1088" s="336"/>
      <c r="H1088" s="336"/>
      <c r="I1088" s="336"/>
      <c r="J1088" s="336"/>
      <c r="K1088" s="336"/>
      <c r="L1088" s="336"/>
      <c r="M1088" s="336"/>
    </row>
    <row r="1089" spans="2:13">
      <c r="B1089" s="534"/>
      <c r="C1089" s="336"/>
      <c r="D1089" s="336"/>
      <c r="E1089" s="336"/>
      <c r="F1089" s="336"/>
      <c r="G1089" s="336"/>
      <c r="H1089" s="336"/>
      <c r="I1089" s="336"/>
      <c r="J1089" s="336"/>
      <c r="K1089" s="336"/>
      <c r="L1089" s="336"/>
      <c r="M1089" s="336"/>
    </row>
    <row r="1090" spans="2:13">
      <c r="B1090" s="534"/>
      <c r="C1090" s="336"/>
      <c r="D1090" s="336"/>
      <c r="E1090" s="336"/>
      <c r="F1090" s="336"/>
      <c r="G1090" s="336"/>
      <c r="H1090" s="336"/>
      <c r="I1090" s="336"/>
      <c r="J1090" s="336"/>
      <c r="K1090" s="336"/>
      <c r="L1090" s="336"/>
      <c r="M1090" s="336"/>
    </row>
    <row r="1091" spans="2:13">
      <c r="B1091" s="534"/>
      <c r="C1091" s="336"/>
      <c r="D1091" s="336"/>
      <c r="E1091" s="336"/>
      <c r="F1091" s="336"/>
      <c r="G1091" s="336"/>
      <c r="H1091" s="336"/>
      <c r="I1091" s="336"/>
      <c r="J1091" s="336"/>
      <c r="K1091" s="336"/>
      <c r="L1091" s="336"/>
      <c r="M1091" s="336"/>
    </row>
    <row r="1092" spans="2:13">
      <c r="B1092" s="534"/>
      <c r="C1092" s="336"/>
      <c r="D1092" s="336"/>
      <c r="E1092" s="336"/>
      <c r="F1092" s="336"/>
      <c r="G1092" s="336"/>
      <c r="H1092" s="336"/>
      <c r="I1092" s="336"/>
      <c r="J1092" s="336"/>
      <c r="K1092" s="336"/>
      <c r="L1092" s="336"/>
      <c r="M1092" s="336"/>
    </row>
    <row r="1093" spans="2:13">
      <c r="B1093" s="534"/>
      <c r="C1093" s="336"/>
      <c r="D1093" s="336"/>
      <c r="E1093" s="336"/>
      <c r="F1093" s="336"/>
      <c r="G1093" s="336"/>
      <c r="H1093" s="336"/>
      <c r="I1093" s="336"/>
      <c r="J1093" s="336"/>
      <c r="K1093" s="336"/>
      <c r="L1093" s="336"/>
      <c r="M1093" s="336"/>
    </row>
    <row r="1094" spans="2:13">
      <c r="B1094" s="534"/>
      <c r="C1094" s="336"/>
      <c r="D1094" s="336"/>
      <c r="E1094" s="336"/>
      <c r="F1094" s="336"/>
      <c r="G1094" s="336"/>
      <c r="H1094" s="336"/>
      <c r="I1094" s="336"/>
      <c r="J1094" s="336"/>
      <c r="K1094" s="336"/>
      <c r="L1094" s="336"/>
      <c r="M1094" s="336"/>
    </row>
    <row r="1095" spans="2:13">
      <c r="B1095" s="534"/>
      <c r="C1095" s="336"/>
      <c r="D1095" s="336"/>
      <c r="E1095" s="336"/>
      <c r="F1095" s="336"/>
      <c r="G1095" s="336"/>
      <c r="H1095" s="336"/>
      <c r="I1095" s="336"/>
      <c r="J1095" s="336"/>
      <c r="K1095" s="336"/>
      <c r="L1095" s="336"/>
      <c r="M1095" s="336"/>
    </row>
    <row r="1096" spans="2:13">
      <c r="B1096" s="534"/>
      <c r="C1096" s="336"/>
      <c r="D1096" s="336"/>
      <c r="E1096" s="336"/>
      <c r="F1096" s="336"/>
      <c r="G1096" s="336"/>
      <c r="H1096" s="336"/>
      <c r="I1096" s="336"/>
      <c r="J1096" s="336"/>
      <c r="K1096" s="336"/>
      <c r="L1096" s="336"/>
      <c r="M1096" s="336"/>
    </row>
    <row r="1097" spans="2:13">
      <c r="B1097" s="534"/>
      <c r="C1097" s="336"/>
      <c r="D1097" s="336"/>
      <c r="E1097" s="336"/>
      <c r="F1097" s="336"/>
      <c r="G1097" s="336"/>
      <c r="H1097" s="336"/>
      <c r="I1097" s="336"/>
      <c r="J1097" s="336"/>
      <c r="K1097" s="336"/>
      <c r="L1097" s="336"/>
      <c r="M1097" s="336"/>
    </row>
    <row r="1098" spans="2:13">
      <c r="B1098" s="534"/>
      <c r="C1098" s="336"/>
      <c r="D1098" s="336"/>
      <c r="E1098" s="336"/>
      <c r="F1098" s="336"/>
      <c r="G1098" s="336"/>
      <c r="H1098" s="336"/>
      <c r="I1098" s="336"/>
      <c r="J1098" s="336"/>
      <c r="K1098" s="336"/>
      <c r="L1098" s="336"/>
      <c r="M1098" s="336"/>
    </row>
    <row r="1099" spans="2:13">
      <c r="B1099" s="534"/>
      <c r="C1099" s="336"/>
      <c r="D1099" s="336"/>
      <c r="E1099" s="336"/>
      <c r="F1099" s="336"/>
      <c r="G1099" s="336"/>
      <c r="H1099" s="336"/>
      <c r="I1099" s="336"/>
      <c r="J1099" s="336"/>
      <c r="K1099" s="336"/>
      <c r="L1099" s="336"/>
      <c r="M1099" s="336"/>
    </row>
    <row r="1100" spans="2:13">
      <c r="B1100" s="534"/>
      <c r="C1100" s="336"/>
      <c r="D1100" s="336"/>
      <c r="E1100" s="336"/>
      <c r="F1100" s="336"/>
      <c r="G1100" s="336"/>
      <c r="H1100" s="336"/>
      <c r="I1100" s="336"/>
      <c r="J1100" s="336"/>
      <c r="K1100" s="336"/>
      <c r="L1100" s="336"/>
      <c r="M1100" s="336"/>
    </row>
    <row r="1101" spans="2:13">
      <c r="B1101" s="534"/>
      <c r="C1101" s="336"/>
      <c r="D1101" s="336"/>
      <c r="E1101" s="336"/>
      <c r="F1101" s="336"/>
      <c r="G1101" s="336"/>
      <c r="H1101" s="336"/>
      <c r="I1101" s="336"/>
      <c r="J1101" s="336"/>
      <c r="K1101" s="336"/>
      <c r="L1101" s="336"/>
      <c r="M1101" s="336"/>
    </row>
    <row r="1102" spans="2:13">
      <c r="B1102" s="534"/>
      <c r="C1102" s="336"/>
      <c r="D1102" s="336"/>
      <c r="E1102" s="336"/>
      <c r="F1102" s="336"/>
      <c r="G1102" s="336"/>
      <c r="H1102" s="336"/>
      <c r="I1102" s="336"/>
      <c r="J1102" s="336"/>
      <c r="K1102" s="336"/>
      <c r="L1102" s="336"/>
      <c r="M1102" s="336"/>
    </row>
    <row r="1103" spans="2:13">
      <c r="B1103" s="534"/>
      <c r="C1103" s="336"/>
      <c r="D1103" s="336"/>
      <c r="E1103" s="336"/>
      <c r="F1103" s="336"/>
      <c r="G1103" s="336"/>
      <c r="H1103" s="336"/>
      <c r="I1103" s="336"/>
      <c r="J1103" s="336"/>
      <c r="K1103" s="336"/>
      <c r="L1103" s="336"/>
      <c r="M1103" s="336"/>
    </row>
    <row r="1104" spans="2:13">
      <c r="B1104" s="534"/>
      <c r="C1104" s="336"/>
      <c r="D1104" s="336"/>
      <c r="E1104" s="336"/>
      <c r="F1104" s="336"/>
      <c r="G1104" s="336"/>
      <c r="H1104" s="336"/>
      <c r="I1104" s="336"/>
      <c r="J1104" s="336"/>
      <c r="K1104" s="336"/>
      <c r="L1104" s="336"/>
      <c r="M1104" s="336"/>
    </row>
    <row r="1105" spans="2:13">
      <c r="B1105" s="534"/>
      <c r="C1105" s="336"/>
      <c r="D1105" s="336"/>
      <c r="E1105" s="336"/>
      <c r="F1105" s="336"/>
      <c r="G1105" s="336"/>
      <c r="H1105" s="336"/>
      <c r="I1105" s="336"/>
      <c r="J1105" s="336"/>
      <c r="K1105" s="336"/>
      <c r="L1105" s="336"/>
      <c r="M1105" s="336"/>
    </row>
    <row r="1106" spans="2:13">
      <c r="B1106" s="534"/>
      <c r="C1106" s="336"/>
      <c r="D1106" s="336"/>
      <c r="E1106" s="336"/>
      <c r="F1106" s="336"/>
      <c r="G1106" s="336"/>
      <c r="H1106" s="336"/>
      <c r="I1106" s="336"/>
      <c r="J1106" s="336"/>
      <c r="K1106" s="336"/>
      <c r="L1106" s="336"/>
      <c r="M1106" s="336"/>
    </row>
    <row r="1107" spans="2:13">
      <c r="B1107" s="534"/>
      <c r="C1107" s="336"/>
      <c r="D1107" s="336"/>
      <c r="E1107" s="336"/>
      <c r="F1107" s="336"/>
      <c r="G1107" s="336"/>
      <c r="H1107" s="336"/>
      <c r="I1107" s="336"/>
      <c r="J1107" s="336"/>
      <c r="K1107" s="336"/>
      <c r="L1107" s="336"/>
      <c r="M1107" s="336"/>
    </row>
    <row r="1108" spans="2:13">
      <c r="B1108" s="534"/>
      <c r="C1108" s="336"/>
      <c r="D1108" s="336"/>
      <c r="E1108" s="336"/>
      <c r="F1108" s="336"/>
      <c r="G1108" s="336"/>
      <c r="H1108" s="336"/>
      <c r="I1108" s="336"/>
      <c r="J1108" s="336"/>
      <c r="K1108" s="336"/>
      <c r="L1108" s="336"/>
      <c r="M1108" s="336"/>
    </row>
    <row r="1109" spans="2:13">
      <c r="B1109" s="534"/>
      <c r="C1109" s="336"/>
      <c r="D1109" s="336"/>
      <c r="E1109" s="336"/>
      <c r="F1109" s="336"/>
      <c r="G1109" s="336"/>
      <c r="H1109" s="336"/>
      <c r="I1109" s="336"/>
      <c r="J1109" s="336"/>
      <c r="K1109" s="336"/>
      <c r="L1109" s="336"/>
      <c r="M1109" s="336"/>
    </row>
    <row r="1110" spans="2:13">
      <c r="B1110" s="534"/>
      <c r="C1110" s="336"/>
      <c r="D1110" s="336"/>
      <c r="E1110" s="336"/>
      <c r="F1110" s="336"/>
      <c r="G1110" s="336"/>
      <c r="H1110" s="336"/>
      <c r="I1110" s="336"/>
      <c r="J1110" s="336"/>
      <c r="K1110" s="336"/>
      <c r="L1110" s="336"/>
      <c r="M1110" s="336"/>
    </row>
    <row r="1111" spans="2:13">
      <c r="B1111" s="534"/>
      <c r="C1111" s="336"/>
      <c r="D1111" s="336"/>
      <c r="E1111" s="336"/>
      <c r="F1111" s="336"/>
      <c r="G1111" s="336"/>
      <c r="H1111" s="336"/>
      <c r="I1111" s="336"/>
      <c r="J1111" s="336"/>
      <c r="K1111" s="336"/>
      <c r="L1111" s="336"/>
      <c r="M1111" s="336"/>
    </row>
    <row r="1112" spans="2:13">
      <c r="B1112" s="534"/>
      <c r="C1112" s="336"/>
      <c r="D1112" s="336"/>
      <c r="E1112" s="336"/>
      <c r="F1112" s="336"/>
      <c r="G1112" s="336"/>
      <c r="H1112" s="336"/>
      <c r="I1112" s="336"/>
      <c r="J1112" s="336"/>
      <c r="K1112" s="336"/>
      <c r="L1112" s="336"/>
      <c r="M1112" s="336"/>
    </row>
    <row r="1113" spans="2:13">
      <c r="B1113" s="534"/>
      <c r="C1113" s="336"/>
      <c r="D1113" s="336"/>
      <c r="E1113" s="336"/>
      <c r="F1113" s="336"/>
      <c r="G1113" s="336"/>
      <c r="H1113" s="336"/>
      <c r="I1113" s="336"/>
      <c r="J1113" s="336"/>
      <c r="K1113" s="336"/>
      <c r="L1113" s="336"/>
      <c r="M1113" s="336"/>
    </row>
    <row r="1114" spans="2:13">
      <c r="B1114" s="534"/>
      <c r="C1114" s="336"/>
      <c r="D1114" s="336"/>
      <c r="E1114" s="336"/>
      <c r="F1114" s="336"/>
      <c r="G1114" s="336"/>
      <c r="H1114" s="336"/>
      <c r="I1114" s="336"/>
      <c r="J1114" s="336"/>
      <c r="K1114" s="336"/>
      <c r="L1114" s="336"/>
      <c r="M1114" s="336"/>
    </row>
    <row r="1115" spans="2:13">
      <c r="B1115" s="534"/>
      <c r="C1115" s="336"/>
      <c r="D1115" s="336"/>
      <c r="E1115" s="336"/>
      <c r="F1115" s="336"/>
      <c r="G1115" s="336"/>
      <c r="H1115" s="336"/>
      <c r="I1115" s="336"/>
      <c r="J1115" s="336"/>
      <c r="K1115" s="336"/>
      <c r="L1115" s="336"/>
      <c r="M1115" s="336"/>
    </row>
    <row r="1116" spans="2:13">
      <c r="B1116" s="534"/>
      <c r="C1116" s="336"/>
      <c r="D1116" s="336"/>
      <c r="E1116" s="336"/>
      <c r="F1116" s="336"/>
      <c r="G1116" s="336"/>
      <c r="H1116" s="336"/>
      <c r="I1116" s="336"/>
      <c r="J1116" s="336"/>
      <c r="K1116" s="336"/>
      <c r="L1116" s="336"/>
      <c r="M1116" s="336"/>
    </row>
    <row r="1117" spans="2:13">
      <c r="B1117" s="534"/>
      <c r="C1117" s="336"/>
      <c r="D1117" s="336"/>
      <c r="E1117" s="336"/>
      <c r="F1117" s="336"/>
      <c r="G1117" s="336"/>
      <c r="H1117" s="336"/>
      <c r="I1117" s="336"/>
      <c r="J1117" s="336"/>
      <c r="K1117" s="336"/>
      <c r="L1117" s="336"/>
      <c r="M1117" s="336"/>
    </row>
    <row r="1118" spans="2:13">
      <c r="B1118" s="534"/>
      <c r="C1118" s="336"/>
      <c r="D1118" s="336"/>
      <c r="E1118" s="336"/>
      <c r="F1118" s="336"/>
      <c r="G1118" s="336"/>
      <c r="H1118" s="336"/>
      <c r="I1118" s="336"/>
      <c r="J1118" s="336"/>
      <c r="K1118" s="336"/>
      <c r="L1118" s="336"/>
      <c r="M1118" s="336"/>
    </row>
    <row r="1119" spans="2:13">
      <c r="B1119" s="534"/>
      <c r="C1119" s="336"/>
      <c r="D1119" s="336"/>
      <c r="E1119" s="336"/>
      <c r="F1119" s="336"/>
      <c r="G1119" s="336"/>
      <c r="H1119" s="336"/>
      <c r="I1119" s="336"/>
      <c r="J1119" s="336"/>
      <c r="K1119" s="336"/>
      <c r="L1119" s="336"/>
      <c r="M1119" s="336"/>
    </row>
    <row r="1120" spans="2:13">
      <c r="B1120" s="534"/>
      <c r="C1120" s="336"/>
      <c r="D1120" s="336"/>
      <c r="E1120" s="336"/>
      <c r="F1120" s="336"/>
      <c r="G1120" s="336"/>
      <c r="H1120" s="336"/>
      <c r="I1120" s="336"/>
      <c r="J1120" s="336"/>
      <c r="K1120" s="336"/>
      <c r="L1120" s="336"/>
      <c r="M1120" s="336"/>
    </row>
    <row r="1121" spans="2:13">
      <c r="B1121" s="534"/>
      <c r="C1121" s="336"/>
      <c r="D1121" s="336"/>
      <c r="E1121" s="336"/>
      <c r="F1121" s="336"/>
      <c r="G1121" s="336"/>
      <c r="H1121" s="336"/>
      <c r="I1121" s="336"/>
      <c r="J1121" s="336"/>
      <c r="K1121" s="336"/>
      <c r="L1121" s="336"/>
      <c r="M1121" s="336"/>
    </row>
    <row r="1122" spans="2:13">
      <c r="B1122" s="534"/>
      <c r="C1122" s="336"/>
      <c r="D1122" s="336"/>
      <c r="E1122" s="336"/>
      <c r="F1122" s="336"/>
      <c r="G1122" s="336"/>
      <c r="H1122" s="336"/>
      <c r="I1122" s="336"/>
      <c r="J1122" s="336"/>
      <c r="K1122" s="336"/>
      <c r="L1122" s="336"/>
      <c r="M1122" s="336"/>
    </row>
    <row r="1123" spans="2:13">
      <c r="B1123" s="534"/>
      <c r="C1123" s="336"/>
      <c r="D1123" s="336"/>
      <c r="E1123" s="336"/>
      <c r="F1123" s="336"/>
      <c r="G1123" s="336"/>
      <c r="H1123" s="336"/>
      <c r="I1123" s="336"/>
      <c r="J1123" s="336"/>
      <c r="K1123" s="336"/>
      <c r="L1123" s="336"/>
      <c r="M1123" s="336"/>
    </row>
    <row r="1124" spans="2:13">
      <c r="B1124" s="534"/>
      <c r="C1124" s="336"/>
      <c r="D1124" s="336"/>
      <c r="E1124" s="336"/>
      <c r="F1124" s="336"/>
      <c r="G1124" s="336"/>
      <c r="H1124" s="336"/>
      <c r="I1124" s="336"/>
      <c r="J1124" s="336"/>
      <c r="K1124" s="336"/>
      <c r="L1124" s="336"/>
      <c r="M1124" s="336"/>
    </row>
    <row r="1125" spans="2:13">
      <c r="B1125" s="534"/>
      <c r="C1125" s="336"/>
      <c r="D1125" s="336"/>
      <c r="E1125" s="336"/>
      <c r="F1125" s="336"/>
      <c r="G1125" s="336"/>
      <c r="H1125" s="336"/>
      <c r="I1125" s="336"/>
      <c r="J1125" s="336"/>
      <c r="K1125" s="336"/>
      <c r="L1125" s="336"/>
      <c r="M1125" s="336"/>
    </row>
    <row r="1126" spans="2:13">
      <c r="B1126" s="534"/>
      <c r="C1126" s="336"/>
      <c r="D1126" s="336"/>
      <c r="E1126" s="336"/>
      <c r="F1126" s="336"/>
      <c r="G1126" s="336"/>
      <c r="H1126" s="336"/>
      <c r="I1126" s="336"/>
      <c r="J1126" s="336"/>
      <c r="K1126" s="336"/>
      <c r="L1126" s="336"/>
      <c r="M1126" s="336"/>
    </row>
    <row r="1127" spans="2:13">
      <c r="B1127" s="534"/>
      <c r="C1127" s="336"/>
      <c r="D1127" s="336"/>
      <c r="E1127" s="336"/>
      <c r="F1127" s="336"/>
      <c r="G1127" s="336"/>
      <c r="H1127" s="336"/>
      <c r="I1127" s="336"/>
      <c r="J1127" s="336"/>
      <c r="K1127" s="336"/>
      <c r="L1127" s="336"/>
      <c r="M1127" s="336"/>
    </row>
    <row r="1128" spans="2:13">
      <c r="B1128" s="534"/>
      <c r="C1128" s="336"/>
      <c r="D1128" s="336"/>
      <c r="E1128" s="336"/>
      <c r="F1128" s="336"/>
      <c r="G1128" s="336"/>
      <c r="H1128" s="336"/>
      <c r="I1128" s="336"/>
      <c r="J1128" s="336"/>
      <c r="K1128" s="336"/>
      <c r="L1128" s="336"/>
      <c r="M1128" s="336"/>
    </row>
    <row r="1129" spans="2:13">
      <c r="B1129" s="534"/>
      <c r="C1129" s="336"/>
      <c r="D1129" s="336"/>
      <c r="E1129" s="336"/>
      <c r="F1129" s="336"/>
      <c r="G1129" s="336"/>
      <c r="H1129" s="336"/>
      <c r="I1129" s="336"/>
      <c r="J1129" s="336"/>
      <c r="K1129" s="336"/>
      <c r="L1129" s="336"/>
      <c r="M1129" s="336"/>
    </row>
    <row r="1130" spans="2:13">
      <c r="B1130" s="534"/>
      <c r="C1130" s="336"/>
      <c r="D1130" s="336"/>
      <c r="E1130" s="336"/>
      <c r="F1130" s="336"/>
      <c r="G1130" s="336"/>
      <c r="H1130" s="336"/>
      <c r="I1130" s="336"/>
      <c r="J1130" s="336"/>
      <c r="K1130" s="336"/>
      <c r="L1130" s="336"/>
      <c r="M1130" s="336"/>
    </row>
    <row r="1131" spans="2:13">
      <c r="B1131" s="534"/>
      <c r="C1131" s="336"/>
      <c r="D1131" s="336"/>
      <c r="E1131" s="336"/>
      <c r="F1131" s="336"/>
      <c r="G1131" s="336"/>
      <c r="H1131" s="336"/>
      <c r="I1131" s="336"/>
      <c r="J1131" s="336"/>
      <c r="K1131" s="336"/>
      <c r="L1131" s="336"/>
      <c r="M1131" s="336"/>
    </row>
    <row r="1132" spans="2:13">
      <c r="B1132" s="534"/>
      <c r="C1132" s="336"/>
      <c r="D1132" s="336"/>
      <c r="E1132" s="336"/>
      <c r="F1132" s="336"/>
      <c r="G1132" s="336"/>
      <c r="H1132" s="336"/>
      <c r="I1132" s="336"/>
      <c r="J1132" s="336"/>
      <c r="K1132" s="336"/>
      <c r="L1132" s="336"/>
      <c r="M1132" s="336"/>
    </row>
    <row r="1133" spans="2:13">
      <c r="B1133" s="534"/>
      <c r="C1133" s="336"/>
      <c r="D1133" s="336"/>
      <c r="E1133" s="336"/>
      <c r="F1133" s="336"/>
      <c r="G1133" s="336"/>
      <c r="H1133" s="336"/>
      <c r="I1133" s="336"/>
      <c r="J1133" s="336"/>
      <c r="K1133" s="336"/>
      <c r="L1133" s="336"/>
      <c r="M1133" s="336"/>
    </row>
    <row r="1134" spans="2:13">
      <c r="B1134" s="534"/>
      <c r="C1134" s="336"/>
      <c r="D1134" s="336"/>
      <c r="E1134" s="336"/>
      <c r="F1134" s="336"/>
      <c r="G1134" s="336"/>
      <c r="H1134" s="336"/>
      <c r="I1134" s="336"/>
      <c r="J1134" s="336"/>
      <c r="K1134" s="336"/>
      <c r="L1134" s="336"/>
      <c r="M1134" s="336"/>
    </row>
    <row r="1135" spans="2:13">
      <c r="B1135" s="534"/>
      <c r="C1135" s="336"/>
      <c r="D1135" s="336"/>
      <c r="E1135" s="336"/>
      <c r="F1135" s="336"/>
      <c r="G1135" s="336"/>
      <c r="H1135" s="336"/>
      <c r="I1135" s="336"/>
      <c r="J1135" s="336"/>
      <c r="K1135" s="336"/>
      <c r="L1135" s="336"/>
      <c r="M1135" s="336"/>
    </row>
    <row r="1136" spans="2:13">
      <c r="B1136" s="534"/>
      <c r="C1136" s="336"/>
      <c r="D1136" s="336"/>
      <c r="E1136" s="336"/>
      <c r="F1136" s="336"/>
      <c r="G1136" s="336"/>
      <c r="H1136" s="336"/>
      <c r="I1136" s="336"/>
      <c r="J1136" s="336"/>
      <c r="K1136" s="336"/>
      <c r="L1136" s="336"/>
      <c r="M1136" s="336"/>
    </row>
    <row r="1137" spans="2:13">
      <c r="B1137" s="534"/>
      <c r="C1137" s="336"/>
      <c r="D1137" s="336"/>
      <c r="E1137" s="336"/>
      <c r="F1137" s="336"/>
      <c r="G1137" s="336"/>
      <c r="H1137" s="336"/>
      <c r="I1137" s="336"/>
      <c r="J1137" s="336"/>
      <c r="K1137" s="336"/>
      <c r="L1137" s="336"/>
      <c r="M1137" s="336"/>
    </row>
    <row r="1138" spans="2:13">
      <c r="B1138" s="534"/>
      <c r="C1138" s="336"/>
      <c r="D1138" s="336"/>
      <c r="E1138" s="336"/>
      <c r="F1138" s="336"/>
      <c r="G1138" s="336"/>
      <c r="H1138" s="336"/>
      <c r="I1138" s="336"/>
      <c r="J1138" s="336"/>
      <c r="K1138" s="336"/>
      <c r="L1138" s="336"/>
      <c r="M1138" s="336"/>
    </row>
    <row r="1139" spans="2:13">
      <c r="B1139" s="534"/>
      <c r="C1139" s="336"/>
      <c r="D1139" s="336"/>
      <c r="E1139" s="336"/>
      <c r="F1139" s="336"/>
      <c r="G1139" s="336"/>
      <c r="H1139" s="336"/>
      <c r="I1139" s="336"/>
      <c r="J1139" s="336"/>
      <c r="K1139" s="336"/>
      <c r="L1139" s="336"/>
      <c r="M1139" s="336"/>
    </row>
    <row r="1140" spans="2:13">
      <c r="B1140" s="534"/>
      <c r="C1140" s="336"/>
      <c r="D1140" s="336"/>
      <c r="E1140" s="336"/>
      <c r="F1140" s="336"/>
      <c r="G1140" s="336"/>
      <c r="H1140" s="336"/>
      <c r="I1140" s="336"/>
      <c r="J1140" s="336"/>
      <c r="K1140" s="336"/>
      <c r="L1140" s="336"/>
      <c r="M1140" s="336"/>
    </row>
    <row r="1141" spans="2:13">
      <c r="B1141" s="534"/>
      <c r="C1141" s="336"/>
      <c r="D1141" s="336"/>
      <c r="E1141" s="336"/>
      <c r="F1141" s="336"/>
      <c r="G1141" s="336"/>
      <c r="H1141" s="336"/>
      <c r="I1141" s="336"/>
      <c r="J1141" s="336"/>
      <c r="K1141" s="336"/>
      <c r="L1141" s="336"/>
      <c r="M1141" s="336"/>
    </row>
    <row r="1142" spans="2:13">
      <c r="B1142" s="534"/>
      <c r="C1142" s="336"/>
      <c r="D1142" s="336"/>
      <c r="E1142" s="336"/>
      <c r="F1142" s="336"/>
      <c r="G1142" s="336"/>
      <c r="H1142" s="336"/>
      <c r="I1142" s="336"/>
      <c r="J1142" s="336"/>
      <c r="K1142" s="336"/>
      <c r="L1142" s="336"/>
      <c r="M1142" s="336"/>
    </row>
    <row r="1143" spans="2:13">
      <c r="B1143" s="534"/>
      <c r="C1143" s="336"/>
      <c r="D1143" s="336"/>
      <c r="E1143" s="336"/>
      <c r="F1143" s="336"/>
      <c r="G1143" s="336"/>
      <c r="H1143" s="336"/>
      <c r="I1143" s="336"/>
      <c r="J1143" s="336"/>
      <c r="K1143" s="336"/>
      <c r="L1143" s="336"/>
      <c r="M1143" s="336"/>
    </row>
    <row r="1144" spans="2:13">
      <c r="B1144" s="534"/>
      <c r="C1144" s="336"/>
      <c r="D1144" s="336"/>
      <c r="E1144" s="336"/>
      <c r="F1144" s="336"/>
      <c r="G1144" s="336"/>
      <c r="H1144" s="336"/>
      <c r="I1144" s="336"/>
      <c r="J1144" s="336"/>
      <c r="K1144" s="336"/>
      <c r="L1144" s="336"/>
      <c r="M1144" s="336"/>
    </row>
    <row r="1145" spans="2:13">
      <c r="B1145" s="534"/>
      <c r="C1145" s="336"/>
      <c r="D1145" s="336"/>
      <c r="E1145" s="336"/>
      <c r="F1145" s="336"/>
      <c r="G1145" s="336"/>
      <c r="H1145" s="336"/>
      <c r="I1145" s="336"/>
      <c r="J1145" s="336"/>
      <c r="K1145" s="336"/>
      <c r="L1145" s="336"/>
      <c r="M1145" s="336"/>
    </row>
    <row r="1146" spans="2:13">
      <c r="B1146" s="534"/>
      <c r="C1146" s="336"/>
      <c r="D1146" s="336"/>
      <c r="E1146" s="336"/>
      <c r="F1146" s="336"/>
      <c r="G1146" s="336"/>
      <c r="H1146" s="336"/>
      <c r="I1146" s="336"/>
      <c r="J1146" s="336"/>
      <c r="K1146" s="336"/>
      <c r="L1146" s="336"/>
      <c r="M1146" s="336"/>
    </row>
    <row r="1147" spans="2:13">
      <c r="B1147" s="534"/>
      <c r="C1147" s="336"/>
      <c r="D1147" s="336"/>
      <c r="E1147" s="336"/>
      <c r="F1147" s="336"/>
      <c r="G1147" s="336"/>
      <c r="H1147" s="336"/>
      <c r="I1147" s="336"/>
      <c r="J1147" s="336"/>
      <c r="K1147" s="336"/>
      <c r="L1147" s="336"/>
      <c r="M1147" s="336"/>
    </row>
    <row r="1148" spans="2:13">
      <c r="B1148" s="534"/>
      <c r="C1148" s="336"/>
      <c r="D1148" s="336"/>
      <c r="E1148" s="336"/>
      <c r="F1148" s="336"/>
      <c r="G1148" s="336"/>
      <c r="H1148" s="336"/>
      <c r="I1148" s="336"/>
      <c r="J1148" s="336"/>
      <c r="K1148" s="336"/>
      <c r="L1148" s="336"/>
      <c r="M1148" s="336"/>
    </row>
    <row r="1149" spans="2:13">
      <c r="B1149" s="534"/>
      <c r="C1149" s="336"/>
      <c r="D1149" s="336"/>
      <c r="E1149" s="336"/>
      <c r="F1149" s="336"/>
      <c r="G1149" s="336"/>
      <c r="H1149" s="336"/>
      <c r="I1149" s="336"/>
      <c r="J1149" s="336"/>
      <c r="K1149" s="336"/>
      <c r="L1149" s="336"/>
      <c r="M1149" s="336"/>
    </row>
    <row r="1150" spans="2:13">
      <c r="B1150" s="534"/>
      <c r="C1150" s="336"/>
      <c r="D1150" s="336"/>
      <c r="E1150" s="336"/>
      <c r="F1150" s="336"/>
      <c r="G1150" s="336"/>
      <c r="H1150" s="336"/>
      <c r="I1150" s="336"/>
      <c r="J1150" s="336"/>
      <c r="K1150" s="336"/>
      <c r="L1150" s="336"/>
      <c r="M1150" s="336"/>
    </row>
    <row r="1151" spans="2:13">
      <c r="B1151" s="534"/>
      <c r="C1151" s="336"/>
      <c r="D1151" s="336"/>
      <c r="E1151" s="336"/>
      <c r="F1151" s="336"/>
      <c r="G1151" s="336"/>
      <c r="H1151" s="336"/>
      <c r="I1151" s="336"/>
      <c r="J1151" s="336"/>
      <c r="K1151" s="336"/>
      <c r="L1151" s="336"/>
      <c r="M1151" s="336"/>
    </row>
    <row r="1152" spans="2:13">
      <c r="B1152" s="534"/>
      <c r="C1152" s="336"/>
      <c r="D1152" s="336"/>
      <c r="E1152" s="336"/>
      <c r="F1152" s="336"/>
      <c r="G1152" s="336"/>
      <c r="H1152" s="336"/>
      <c r="I1152" s="336"/>
      <c r="J1152" s="336"/>
      <c r="K1152" s="336"/>
      <c r="L1152" s="336"/>
      <c r="M1152" s="336"/>
    </row>
    <row r="1153" spans="2:13">
      <c r="B1153" s="534"/>
      <c r="C1153" s="336"/>
      <c r="D1153" s="336"/>
      <c r="E1153" s="336"/>
      <c r="F1153" s="336"/>
      <c r="G1153" s="336"/>
      <c r="H1153" s="336"/>
      <c r="I1153" s="336"/>
      <c r="J1153" s="336"/>
      <c r="K1153" s="336"/>
      <c r="L1153" s="336"/>
      <c r="M1153" s="336"/>
    </row>
    <row r="1154" spans="2:13">
      <c r="B1154" s="534"/>
      <c r="C1154" s="336"/>
      <c r="D1154" s="336"/>
      <c r="E1154" s="336"/>
      <c r="F1154" s="336"/>
      <c r="G1154" s="336"/>
      <c r="H1154" s="336"/>
      <c r="I1154" s="336"/>
      <c r="J1154" s="336"/>
      <c r="K1154" s="336"/>
      <c r="L1154" s="336"/>
      <c r="M1154" s="336"/>
    </row>
    <row r="1155" spans="2:13">
      <c r="B1155" s="534"/>
      <c r="C1155" s="336"/>
      <c r="D1155" s="336"/>
      <c r="E1155" s="336"/>
      <c r="F1155" s="336"/>
      <c r="G1155" s="336"/>
      <c r="H1155" s="336"/>
      <c r="I1155" s="336"/>
      <c r="J1155" s="336"/>
      <c r="K1155" s="336"/>
      <c r="L1155" s="336"/>
      <c r="M1155" s="336"/>
    </row>
    <row r="1156" spans="2:13">
      <c r="B1156" s="534"/>
      <c r="C1156" s="336"/>
      <c r="D1156" s="336"/>
      <c r="E1156" s="336"/>
      <c r="F1156" s="336"/>
      <c r="G1156" s="336"/>
      <c r="H1156" s="336"/>
      <c r="I1156" s="336"/>
      <c r="J1156" s="336"/>
      <c r="K1156" s="336"/>
      <c r="L1156" s="336"/>
      <c r="M1156" s="336"/>
    </row>
    <row r="1157" spans="2:13">
      <c r="B1157" s="534"/>
      <c r="C1157" s="336"/>
      <c r="D1157" s="336"/>
      <c r="E1157" s="336"/>
      <c r="F1157" s="336"/>
      <c r="G1157" s="336"/>
      <c r="H1157" s="336"/>
      <c r="I1157" s="336"/>
      <c r="J1157" s="336"/>
      <c r="K1157" s="336"/>
      <c r="L1157" s="336"/>
      <c r="M1157" s="336"/>
    </row>
    <row r="1158" spans="2:13">
      <c r="B1158" s="534"/>
      <c r="C1158" s="336"/>
      <c r="D1158" s="336"/>
      <c r="E1158" s="336"/>
      <c r="F1158" s="336"/>
      <c r="G1158" s="336"/>
      <c r="H1158" s="336"/>
      <c r="I1158" s="336"/>
      <c r="J1158" s="336"/>
      <c r="K1158" s="336"/>
      <c r="L1158" s="336"/>
      <c r="M1158" s="336"/>
    </row>
    <row r="1159" spans="2:13">
      <c r="B1159" s="534"/>
      <c r="C1159" s="336"/>
      <c r="D1159" s="336"/>
      <c r="E1159" s="336"/>
      <c r="F1159" s="336"/>
      <c r="G1159" s="336"/>
      <c r="H1159" s="336"/>
      <c r="I1159" s="336"/>
      <c r="J1159" s="336"/>
      <c r="K1159" s="336"/>
      <c r="L1159" s="336"/>
      <c r="M1159" s="336"/>
    </row>
    <row r="1160" spans="2:13">
      <c r="B1160" s="534"/>
      <c r="C1160" s="336"/>
      <c r="D1160" s="336"/>
      <c r="E1160" s="336"/>
      <c r="F1160" s="336"/>
      <c r="G1160" s="336"/>
      <c r="H1160" s="336"/>
      <c r="I1160" s="336"/>
      <c r="J1160" s="336"/>
      <c r="K1160" s="336"/>
      <c r="L1160" s="336"/>
      <c r="M1160" s="336"/>
    </row>
    <row r="1161" spans="2:13">
      <c r="B1161" s="534"/>
      <c r="C1161" s="336"/>
      <c r="D1161" s="336"/>
      <c r="E1161" s="336"/>
      <c r="F1161" s="336"/>
      <c r="G1161" s="336"/>
      <c r="H1161" s="336"/>
      <c r="I1161" s="336"/>
      <c r="J1161" s="336"/>
      <c r="K1161" s="336"/>
      <c r="L1161" s="336"/>
      <c r="M1161" s="336"/>
    </row>
    <row r="1162" spans="2:13">
      <c r="B1162" s="534"/>
      <c r="C1162" s="336"/>
      <c r="D1162" s="336"/>
      <c r="E1162" s="336"/>
      <c r="F1162" s="336"/>
      <c r="G1162" s="336"/>
      <c r="H1162" s="336"/>
      <c r="I1162" s="336"/>
      <c r="J1162" s="336"/>
      <c r="K1162" s="336"/>
      <c r="L1162" s="336"/>
      <c r="M1162" s="336"/>
    </row>
    <row r="1163" spans="2:13">
      <c r="B1163" s="534"/>
      <c r="C1163" s="336"/>
      <c r="D1163" s="336"/>
      <c r="E1163" s="336"/>
      <c r="F1163" s="336"/>
      <c r="G1163" s="336"/>
      <c r="H1163" s="336"/>
      <c r="I1163" s="336"/>
      <c r="J1163" s="336"/>
      <c r="K1163" s="336"/>
      <c r="L1163" s="336"/>
      <c r="M1163" s="336"/>
    </row>
    <row r="1164" spans="2:13">
      <c r="B1164" s="534"/>
      <c r="C1164" s="336"/>
      <c r="D1164" s="336"/>
      <c r="E1164" s="336"/>
      <c r="F1164" s="336"/>
      <c r="G1164" s="336"/>
      <c r="H1164" s="336"/>
      <c r="I1164" s="336"/>
      <c r="J1164" s="336"/>
      <c r="K1164" s="336"/>
      <c r="L1164" s="336"/>
      <c r="M1164" s="336"/>
    </row>
    <row r="1165" spans="2:13">
      <c r="B1165" s="534"/>
      <c r="C1165" s="336"/>
      <c r="D1165" s="336"/>
      <c r="E1165" s="336"/>
      <c r="F1165" s="336"/>
      <c r="G1165" s="336"/>
      <c r="H1165" s="336"/>
      <c r="I1165" s="336"/>
      <c r="J1165" s="336"/>
      <c r="K1165" s="336"/>
      <c r="L1165" s="336"/>
      <c r="M1165" s="336"/>
    </row>
    <row r="1166" spans="2:13">
      <c r="B1166" s="534"/>
      <c r="C1166" s="336"/>
      <c r="D1166" s="336"/>
      <c r="E1166" s="336"/>
      <c r="F1166" s="336"/>
      <c r="G1166" s="336"/>
      <c r="H1166" s="336"/>
      <c r="I1166" s="336"/>
      <c r="J1166" s="336"/>
      <c r="K1166" s="336"/>
      <c r="L1166" s="336"/>
      <c r="M1166" s="336"/>
    </row>
    <row r="1167" spans="2:13">
      <c r="B1167" s="534"/>
      <c r="C1167" s="336"/>
      <c r="D1167" s="336"/>
      <c r="E1167" s="336"/>
      <c r="F1167" s="336"/>
      <c r="G1167" s="336"/>
      <c r="H1167" s="336"/>
      <c r="I1167" s="336"/>
      <c r="J1167" s="336"/>
      <c r="K1167" s="336"/>
      <c r="L1167" s="336"/>
      <c r="M1167" s="336"/>
    </row>
    <row r="1168" spans="2:13">
      <c r="B1168" s="534"/>
      <c r="C1168" s="336"/>
      <c r="D1168" s="336"/>
      <c r="E1168" s="336"/>
      <c r="F1168" s="336"/>
      <c r="G1168" s="336"/>
      <c r="H1168" s="336"/>
      <c r="I1168" s="336"/>
      <c r="J1168" s="336"/>
      <c r="K1168" s="336"/>
      <c r="L1168" s="336"/>
      <c r="M1168" s="336"/>
    </row>
    <row r="1169" spans="2:13">
      <c r="B1169" s="534"/>
      <c r="C1169" s="336"/>
      <c r="D1169" s="336"/>
      <c r="E1169" s="336"/>
      <c r="F1169" s="336"/>
      <c r="G1169" s="336"/>
      <c r="H1169" s="336"/>
      <c r="I1169" s="336"/>
      <c r="J1169" s="336"/>
      <c r="K1169" s="336"/>
      <c r="L1169" s="336"/>
      <c r="M1169" s="336"/>
    </row>
    <row r="1170" spans="2:13">
      <c r="B1170" s="534"/>
      <c r="C1170" s="336"/>
      <c r="D1170" s="336"/>
      <c r="E1170" s="336"/>
      <c r="F1170" s="336"/>
      <c r="G1170" s="336"/>
      <c r="H1170" s="336"/>
      <c r="I1170" s="336"/>
      <c r="J1170" s="336"/>
      <c r="K1170" s="336"/>
      <c r="L1170" s="336"/>
      <c r="M1170" s="336"/>
    </row>
    <row r="1171" spans="2:13">
      <c r="B1171" s="534"/>
      <c r="C1171" s="336"/>
      <c r="D1171" s="336"/>
      <c r="E1171" s="336"/>
      <c r="F1171" s="336"/>
      <c r="G1171" s="336"/>
      <c r="H1171" s="336"/>
      <c r="I1171" s="336"/>
      <c r="J1171" s="336"/>
      <c r="K1171" s="336"/>
      <c r="L1171" s="336"/>
      <c r="M1171" s="336"/>
    </row>
    <row r="1172" spans="2:13">
      <c r="B1172" s="534"/>
      <c r="C1172" s="336"/>
      <c r="D1172" s="336"/>
      <c r="E1172" s="336"/>
      <c r="F1172" s="336"/>
      <c r="G1172" s="336"/>
      <c r="H1172" s="336"/>
      <c r="I1172" s="336"/>
      <c r="J1172" s="336"/>
      <c r="K1172" s="336"/>
      <c r="L1172" s="336"/>
      <c r="M1172" s="336"/>
    </row>
    <row r="1173" spans="2:13">
      <c r="B1173" s="534"/>
      <c r="C1173" s="336"/>
      <c r="D1173" s="336"/>
      <c r="E1173" s="336"/>
      <c r="F1173" s="336"/>
      <c r="G1173" s="336"/>
      <c r="H1173" s="336"/>
      <c r="I1173" s="336"/>
      <c r="J1173" s="336"/>
      <c r="K1173" s="336"/>
      <c r="L1173" s="336"/>
      <c r="M1173" s="336"/>
    </row>
    <row r="1174" spans="2:13">
      <c r="B1174" s="534"/>
      <c r="C1174" s="336"/>
      <c r="D1174" s="336"/>
      <c r="E1174" s="336"/>
      <c r="F1174" s="336"/>
      <c r="G1174" s="336"/>
      <c r="H1174" s="336"/>
      <c r="I1174" s="336"/>
      <c r="J1174" s="336"/>
      <c r="K1174" s="336"/>
      <c r="L1174" s="336"/>
      <c r="M1174" s="336"/>
    </row>
    <row r="1175" spans="2:13">
      <c r="B1175" s="534"/>
      <c r="C1175" s="336"/>
      <c r="D1175" s="336"/>
      <c r="E1175" s="336"/>
      <c r="F1175" s="336"/>
      <c r="G1175" s="336"/>
      <c r="H1175" s="336"/>
      <c r="I1175" s="336"/>
      <c r="J1175" s="336"/>
      <c r="K1175" s="336"/>
      <c r="L1175" s="336"/>
      <c r="M1175" s="336"/>
    </row>
    <row r="1176" spans="2:13">
      <c r="B1176" s="534"/>
      <c r="C1176" s="336"/>
      <c r="D1176" s="336"/>
      <c r="E1176" s="336"/>
      <c r="F1176" s="336"/>
      <c r="G1176" s="336"/>
      <c r="H1176" s="336"/>
      <c r="I1176" s="336"/>
      <c r="J1176" s="336"/>
      <c r="K1176" s="336"/>
      <c r="L1176" s="336"/>
      <c r="M1176" s="336"/>
    </row>
    <row r="1177" spans="2:13">
      <c r="B1177" s="534"/>
      <c r="C1177" s="336"/>
      <c r="D1177" s="336"/>
      <c r="E1177" s="336"/>
      <c r="F1177" s="336"/>
      <c r="G1177" s="336"/>
      <c r="H1177" s="336"/>
      <c r="I1177" s="336"/>
      <c r="J1177" s="336"/>
      <c r="K1177" s="336"/>
      <c r="L1177" s="336"/>
      <c r="M1177" s="336"/>
    </row>
    <row r="1178" spans="2:13">
      <c r="B1178" s="534"/>
      <c r="C1178" s="336"/>
      <c r="D1178" s="336"/>
      <c r="E1178" s="336"/>
      <c r="F1178" s="336"/>
      <c r="G1178" s="336"/>
      <c r="H1178" s="336"/>
      <c r="I1178" s="336"/>
      <c r="J1178" s="336"/>
      <c r="K1178" s="336"/>
      <c r="L1178" s="336"/>
      <c r="M1178" s="336"/>
    </row>
    <row r="1179" spans="2:13">
      <c r="B1179" s="534"/>
      <c r="C1179" s="336"/>
      <c r="D1179" s="336"/>
      <c r="E1179" s="336"/>
      <c r="F1179" s="336"/>
      <c r="G1179" s="336"/>
      <c r="H1179" s="336"/>
      <c r="I1179" s="336"/>
      <c r="J1179" s="336"/>
      <c r="K1179" s="336"/>
      <c r="L1179" s="336"/>
      <c r="M1179" s="336"/>
    </row>
    <row r="1180" spans="2:13">
      <c r="B1180" s="534"/>
      <c r="C1180" s="336"/>
      <c r="D1180" s="336"/>
      <c r="E1180" s="336"/>
      <c r="F1180" s="336"/>
      <c r="G1180" s="336"/>
      <c r="H1180" s="336"/>
      <c r="I1180" s="336"/>
      <c r="J1180" s="336"/>
      <c r="K1180" s="336"/>
      <c r="L1180" s="336"/>
      <c r="M1180" s="336"/>
    </row>
    <row r="1181" spans="2:13">
      <c r="B1181" s="534"/>
      <c r="C1181" s="336"/>
      <c r="D1181" s="336"/>
      <c r="E1181" s="336"/>
      <c r="F1181" s="336"/>
      <c r="G1181" s="336"/>
      <c r="H1181" s="336"/>
      <c r="I1181" s="336"/>
      <c r="J1181" s="336"/>
      <c r="K1181" s="336"/>
      <c r="L1181" s="336"/>
      <c r="M1181" s="336"/>
    </row>
    <row r="1182" spans="2:13">
      <c r="B1182" s="534"/>
      <c r="C1182" s="336"/>
      <c r="D1182" s="336"/>
      <c r="E1182" s="336"/>
      <c r="F1182" s="336"/>
      <c r="G1182" s="336"/>
      <c r="H1182" s="336"/>
      <c r="I1182" s="336"/>
      <c r="J1182" s="336"/>
      <c r="K1182" s="336"/>
      <c r="L1182" s="336"/>
      <c r="M1182" s="336"/>
    </row>
    <row r="1183" spans="2:13">
      <c r="B1183" s="534"/>
      <c r="C1183" s="336"/>
      <c r="D1183" s="336"/>
      <c r="E1183" s="336"/>
      <c r="F1183" s="336"/>
      <c r="G1183" s="336"/>
      <c r="H1183" s="336"/>
      <c r="I1183" s="336"/>
      <c r="J1183" s="336"/>
      <c r="K1183" s="336"/>
      <c r="L1183" s="336"/>
      <c r="M1183" s="336"/>
    </row>
    <row r="1184" spans="2:13">
      <c r="B1184" s="534"/>
      <c r="C1184" s="336"/>
      <c r="D1184" s="336"/>
      <c r="E1184" s="336"/>
      <c r="F1184" s="336"/>
      <c r="G1184" s="336"/>
      <c r="H1184" s="336"/>
      <c r="I1184" s="336"/>
      <c r="J1184" s="336"/>
      <c r="K1184" s="336"/>
      <c r="L1184" s="336"/>
      <c r="M1184" s="336"/>
    </row>
    <row r="1185" spans="2:13">
      <c r="B1185" s="534"/>
      <c r="C1185" s="336"/>
      <c r="D1185" s="336"/>
      <c r="E1185" s="336"/>
      <c r="F1185" s="336"/>
      <c r="G1185" s="336"/>
      <c r="H1185" s="336"/>
      <c r="I1185" s="336"/>
      <c r="J1185" s="336"/>
      <c r="K1185" s="336"/>
      <c r="L1185" s="336"/>
      <c r="M1185" s="336"/>
    </row>
    <row r="1186" spans="2:13">
      <c r="B1186" s="534"/>
      <c r="C1186" s="336"/>
      <c r="D1186" s="336"/>
      <c r="E1186" s="336"/>
      <c r="F1186" s="336"/>
      <c r="G1186" s="336"/>
      <c r="H1186" s="336"/>
      <c r="I1186" s="336"/>
      <c r="J1186" s="336"/>
      <c r="K1186" s="336"/>
      <c r="L1186" s="336"/>
      <c r="M1186" s="336"/>
    </row>
    <row r="1187" spans="2:13">
      <c r="B1187" s="534"/>
      <c r="C1187" s="336"/>
      <c r="D1187" s="336"/>
      <c r="E1187" s="336"/>
      <c r="F1187" s="336"/>
      <c r="G1187" s="336"/>
      <c r="H1187" s="336"/>
      <c r="I1187" s="336"/>
      <c r="J1187" s="336"/>
      <c r="K1187" s="336"/>
      <c r="L1187" s="336"/>
      <c r="M1187" s="336"/>
    </row>
    <row r="1188" spans="2:13">
      <c r="B1188" s="534"/>
      <c r="C1188" s="336"/>
      <c r="D1188" s="336"/>
      <c r="E1188" s="336"/>
      <c r="F1188" s="336"/>
      <c r="G1188" s="336"/>
      <c r="H1188" s="336"/>
      <c r="I1188" s="336"/>
      <c r="J1188" s="336"/>
      <c r="K1188" s="336"/>
      <c r="L1188" s="336"/>
      <c r="M1188" s="336"/>
    </row>
    <row r="1189" spans="2:13">
      <c r="B1189" s="534"/>
      <c r="C1189" s="336"/>
      <c r="D1189" s="336"/>
      <c r="E1189" s="336"/>
      <c r="F1189" s="336"/>
      <c r="G1189" s="336"/>
      <c r="H1189" s="336"/>
      <c r="I1189" s="336"/>
      <c r="J1189" s="336"/>
      <c r="K1189" s="336"/>
      <c r="L1189" s="336"/>
      <c r="M1189" s="336"/>
    </row>
    <row r="1190" spans="2:13">
      <c r="B1190" s="534"/>
      <c r="C1190" s="336"/>
      <c r="D1190" s="336"/>
      <c r="E1190" s="336"/>
      <c r="F1190" s="336"/>
      <c r="G1190" s="336"/>
      <c r="H1190" s="336"/>
      <c r="I1190" s="336"/>
      <c r="J1190" s="336"/>
      <c r="K1190" s="336"/>
      <c r="L1190" s="336"/>
      <c r="M1190" s="336"/>
    </row>
    <row r="1191" spans="2:13">
      <c r="B1191" s="534"/>
      <c r="C1191" s="336"/>
      <c r="D1191" s="336"/>
      <c r="E1191" s="336"/>
      <c r="F1191" s="336"/>
      <c r="G1191" s="336"/>
      <c r="H1191" s="336"/>
      <c r="I1191" s="336"/>
      <c r="J1191" s="336"/>
      <c r="K1191" s="336"/>
      <c r="L1191" s="336"/>
      <c r="M1191" s="336"/>
    </row>
    <row r="1192" spans="2:13">
      <c r="B1192" s="534"/>
      <c r="C1192" s="336"/>
      <c r="D1192" s="336"/>
      <c r="E1192" s="336"/>
      <c r="F1192" s="336"/>
      <c r="G1192" s="336"/>
      <c r="H1192" s="336"/>
      <c r="I1192" s="336"/>
      <c r="J1192" s="336"/>
      <c r="K1192" s="336"/>
      <c r="L1192" s="336"/>
      <c r="M1192" s="336"/>
    </row>
    <row r="1193" spans="2:13">
      <c r="B1193" s="534"/>
      <c r="C1193" s="336"/>
      <c r="D1193" s="336"/>
      <c r="E1193" s="336"/>
      <c r="F1193" s="336"/>
      <c r="G1193" s="336"/>
      <c r="H1193" s="336"/>
      <c r="I1193" s="336"/>
      <c r="J1193" s="336"/>
      <c r="K1193" s="336"/>
      <c r="L1193" s="336"/>
      <c r="M1193" s="336"/>
    </row>
    <row r="1194" spans="2:13">
      <c r="B1194" s="534"/>
      <c r="C1194" s="336"/>
      <c r="D1194" s="336"/>
      <c r="E1194" s="336"/>
      <c r="F1194" s="336"/>
      <c r="G1194" s="336"/>
      <c r="H1194" s="336"/>
      <c r="I1194" s="336"/>
      <c r="J1194" s="336"/>
      <c r="K1194" s="336"/>
      <c r="L1194" s="336"/>
      <c r="M1194" s="336"/>
    </row>
    <row r="1195" spans="2:13">
      <c r="B1195" s="534"/>
      <c r="C1195" s="336"/>
      <c r="D1195" s="336"/>
      <c r="E1195" s="336"/>
      <c r="F1195" s="336"/>
      <c r="G1195" s="336"/>
      <c r="H1195" s="336"/>
      <c r="I1195" s="336"/>
      <c r="J1195" s="336"/>
      <c r="K1195" s="336"/>
      <c r="L1195" s="336"/>
      <c r="M1195" s="336"/>
    </row>
    <row r="1196" spans="2:13">
      <c r="B1196" s="534"/>
      <c r="C1196" s="336"/>
      <c r="D1196" s="336"/>
      <c r="E1196" s="336"/>
      <c r="F1196" s="336"/>
      <c r="G1196" s="336"/>
      <c r="H1196" s="336"/>
      <c r="I1196" s="336"/>
      <c r="J1196" s="336"/>
      <c r="K1196" s="336"/>
      <c r="L1196" s="336"/>
      <c r="M1196" s="336"/>
    </row>
    <row r="1197" spans="2:13">
      <c r="B1197" s="534"/>
      <c r="C1197" s="336"/>
      <c r="D1197" s="336"/>
      <c r="E1197" s="336"/>
      <c r="F1197" s="336"/>
      <c r="G1197" s="336"/>
      <c r="H1197" s="336"/>
      <c r="I1197" s="336"/>
      <c r="J1197" s="336"/>
      <c r="K1197" s="336"/>
      <c r="L1197" s="336"/>
      <c r="M1197" s="336"/>
    </row>
    <row r="1198" spans="2:13">
      <c r="B1198" s="534"/>
      <c r="C1198" s="336"/>
      <c r="D1198" s="336"/>
      <c r="E1198" s="336"/>
      <c r="F1198" s="336"/>
      <c r="G1198" s="336"/>
      <c r="H1198" s="336"/>
      <c r="I1198" s="336"/>
      <c r="J1198" s="336"/>
      <c r="K1198" s="336"/>
      <c r="L1198" s="336"/>
      <c r="M1198" s="336"/>
    </row>
    <row r="1199" spans="2:13">
      <c r="B1199" s="534"/>
      <c r="C1199" s="336"/>
      <c r="D1199" s="336"/>
      <c r="E1199" s="336"/>
      <c r="F1199" s="336"/>
      <c r="G1199" s="336"/>
      <c r="H1199" s="336"/>
      <c r="I1199" s="336"/>
      <c r="J1199" s="336"/>
      <c r="K1199" s="336"/>
      <c r="L1199" s="336"/>
      <c r="M1199" s="336"/>
    </row>
    <row r="1200" spans="2:13">
      <c r="B1200" s="534"/>
      <c r="C1200" s="336"/>
      <c r="D1200" s="336"/>
      <c r="E1200" s="336"/>
      <c r="F1200" s="336"/>
      <c r="G1200" s="336"/>
      <c r="H1200" s="336"/>
      <c r="I1200" s="336"/>
      <c r="J1200" s="336"/>
      <c r="K1200" s="336"/>
      <c r="L1200" s="336"/>
      <c r="M1200" s="336"/>
    </row>
    <row r="1201" spans="2:13">
      <c r="B1201" s="534"/>
      <c r="C1201" s="336"/>
      <c r="D1201" s="336"/>
      <c r="E1201" s="336"/>
      <c r="F1201" s="336"/>
      <c r="G1201" s="336"/>
      <c r="H1201" s="336"/>
      <c r="I1201" s="336"/>
      <c r="J1201" s="336"/>
      <c r="K1201" s="336"/>
      <c r="L1201" s="336"/>
      <c r="M1201" s="336"/>
    </row>
    <row r="1202" spans="2:13">
      <c r="B1202" s="534"/>
      <c r="C1202" s="336"/>
      <c r="D1202" s="336"/>
      <c r="E1202" s="336"/>
      <c r="F1202" s="336"/>
      <c r="G1202" s="336"/>
      <c r="H1202" s="336"/>
      <c r="I1202" s="336"/>
      <c r="J1202" s="336"/>
      <c r="K1202" s="336"/>
      <c r="L1202" s="336"/>
      <c r="M1202" s="336"/>
    </row>
    <row r="1203" spans="2:13">
      <c r="B1203" s="534"/>
      <c r="C1203" s="336"/>
      <c r="D1203" s="336"/>
      <c r="E1203" s="336"/>
      <c r="F1203" s="336"/>
      <c r="G1203" s="336"/>
      <c r="H1203" s="336"/>
      <c r="I1203" s="336"/>
      <c r="J1203" s="336"/>
      <c r="K1203" s="336"/>
      <c r="L1203" s="336"/>
      <c r="M1203" s="336"/>
    </row>
    <row r="1204" spans="2:13">
      <c r="B1204" s="534"/>
      <c r="C1204" s="336"/>
      <c r="D1204" s="336"/>
      <c r="E1204" s="336"/>
      <c r="F1204" s="336"/>
      <c r="G1204" s="336"/>
      <c r="H1204" s="336"/>
      <c r="I1204" s="336"/>
      <c r="J1204" s="336"/>
      <c r="K1204" s="336"/>
      <c r="L1204" s="336"/>
      <c r="M1204" s="336"/>
    </row>
    <row r="1205" spans="2:13">
      <c r="B1205" s="534"/>
      <c r="C1205" s="336"/>
      <c r="D1205" s="336"/>
      <c r="E1205" s="336"/>
      <c r="F1205" s="336"/>
      <c r="G1205" s="336"/>
      <c r="H1205" s="336"/>
      <c r="I1205" s="336"/>
      <c r="J1205" s="336"/>
      <c r="K1205" s="336"/>
      <c r="L1205" s="336"/>
      <c r="M1205" s="336"/>
    </row>
    <row r="1206" spans="2:13">
      <c r="B1206" s="534"/>
      <c r="C1206" s="336"/>
      <c r="D1206" s="336"/>
      <c r="E1206" s="336"/>
      <c r="F1206" s="336"/>
      <c r="G1206" s="336"/>
      <c r="H1206" s="336"/>
      <c r="I1206" s="336"/>
      <c r="J1206" s="336"/>
      <c r="K1206" s="336"/>
      <c r="L1206" s="336"/>
      <c r="M1206" s="336"/>
    </row>
    <row r="1207" spans="2:13">
      <c r="B1207" s="534"/>
      <c r="C1207" s="336"/>
      <c r="D1207" s="336"/>
      <c r="E1207" s="336"/>
      <c r="F1207" s="336"/>
      <c r="G1207" s="336"/>
      <c r="H1207" s="336"/>
      <c r="I1207" s="336"/>
      <c r="J1207" s="336"/>
      <c r="K1207" s="336"/>
      <c r="L1207" s="336"/>
      <c r="M1207" s="336"/>
    </row>
    <row r="1208" spans="2:13">
      <c r="B1208" s="534"/>
      <c r="C1208" s="336"/>
      <c r="D1208" s="336"/>
      <c r="E1208" s="336"/>
      <c r="F1208" s="336"/>
      <c r="G1208" s="336"/>
      <c r="H1208" s="336"/>
      <c r="I1208" s="336"/>
      <c r="J1208" s="336"/>
      <c r="K1208" s="336"/>
      <c r="L1208" s="336"/>
      <c r="M1208" s="336"/>
    </row>
    <row r="1209" spans="2:13">
      <c r="B1209" s="534"/>
      <c r="C1209" s="336"/>
      <c r="D1209" s="336"/>
      <c r="E1209" s="336"/>
      <c r="F1209" s="336"/>
      <c r="G1209" s="336"/>
      <c r="H1209" s="336"/>
      <c r="I1209" s="336"/>
      <c r="J1209" s="336"/>
      <c r="K1209" s="336"/>
      <c r="L1209" s="336"/>
      <c r="M1209" s="336"/>
    </row>
    <row r="1210" spans="2:13">
      <c r="B1210" s="534"/>
      <c r="C1210" s="336"/>
      <c r="D1210" s="336"/>
      <c r="E1210" s="336"/>
      <c r="F1210" s="336"/>
      <c r="G1210" s="336"/>
      <c r="H1210" s="336"/>
      <c r="I1210" s="336"/>
      <c r="J1210" s="336"/>
      <c r="K1210" s="336"/>
      <c r="L1210" s="336"/>
      <c r="M1210" s="336"/>
    </row>
    <row r="1211" spans="2:13">
      <c r="B1211" s="534"/>
      <c r="C1211" s="336"/>
      <c r="D1211" s="336"/>
      <c r="E1211" s="336"/>
      <c r="F1211" s="336"/>
      <c r="G1211" s="336"/>
      <c r="H1211" s="336"/>
      <c r="I1211" s="336"/>
      <c r="J1211" s="336"/>
      <c r="K1211" s="336"/>
      <c r="L1211" s="336"/>
      <c r="M1211" s="336"/>
    </row>
    <row r="1212" spans="2:13">
      <c r="B1212" s="534"/>
      <c r="C1212" s="336"/>
      <c r="D1212" s="336"/>
      <c r="E1212" s="336"/>
      <c r="F1212" s="336"/>
      <c r="G1212" s="336"/>
      <c r="H1212" s="336"/>
      <c r="I1212" s="336"/>
      <c r="J1212" s="336"/>
      <c r="K1212" s="336"/>
      <c r="L1212" s="336"/>
      <c r="M1212" s="336"/>
    </row>
    <row r="1213" spans="2:13">
      <c r="B1213" s="534"/>
      <c r="C1213" s="336"/>
      <c r="D1213" s="336"/>
      <c r="E1213" s="336"/>
      <c r="F1213" s="336"/>
      <c r="G1213" s="336"/>
      <c r="H1213" s="336"/>
      <c r="I1213" s="336"/>
      <c r="J1213" s="336"/>
      <c r="K1213" s="336"/>
      <c r="L1213" s="336"/>
      <c r="M1213" s="336"/>
    </row>
    <row r="1214" spans="2:13">
      <c r="B1214" s="534"/>
      <c r="C1214" s="336"/>
      <c r="D1214" s="336"/>
      <c r="E1214" s="336"/>
      <c r="F1214" s="336"/>
      <c r="G1214" s="336"/>
      <c r="H1214" s="336"/>
      <c r="I1214" s="336"/>
      <c r="J1214" s="336"/>
      <c r="K1214" s="336"/>
      <c r="L1214" s="336"/>
      <c r="M1214" s="336"/>
    </row>
    <row r="1215" spans="2:13">
      <c r="B1215" s="534"/>
      <c r="C1215" s="336"/>
      <c r="D1215" s="336"/>
      <c r="E1215" s="336"/>
      <c r="F1215" s="336"/>
      <c r="G1215" s="336"/>
      <c r="H1215" s="336"/>
      <c r="I1215" s="336"/>
      <c r="J1215" s="336"/>
      <c r="K1215" s="336"/>
      <c r="L1215" s="336"/>
      <c r="M1215" s="336"/>
    </row>
    <row r="1216" spans="2:13">
      <c r="B1216" s="534"/>
      <c r="C1216" s="336"/>
      <c r="D1216" s="336"/>
      <c r="E1216" s="336"/>
      <c r="F1216" s="336"/>
      <c r="G1216" s="336"/>
      <c r="H1216" s="336"/>
      <c r="I1216" s="336"/>
      <c r="J1216" s="336"/>
      <c r="K1216" s="336"/>
      <c r="L1216" s="336"/>
      <c r="M1216" s="336"/>
    </row>
    <row r="1217" spans="2:13">
      <c r="B1217" s="534"/>
      <c r="C1217" s="336"/>
      <c r="D1217" s="336"/>
      <c r="E1217" s="336"/>
      <c r="F1217" s="336"/>
      <c r="G1217" s="336"/>
      <c r="H1217" s="336"/>
      <c r="I1217" s="336"/>
      <c r="J1217" s="336"/>
      <c r="K1217" s="336"/>
      <c r="L1217" s="336"/>
      <c r="M1217" s="336"/>
    </row>
    <row r="1218" spans="2:13">
      <c r="B1218" s="534"/>
      <c r="C1218" s="336"/>
      <c r="D1218" s="336"/>
      <c r="E1218" s="336"/>
      <c r="F1218" s="336"/>
      <c r="G1218" s="336"/>
      <c r="H1218" s="336"/>
      <c r="I1218" s="336"/>
      <c r="J1218" s="336"/>
      <c r="K1218" s="336"/>
      <c r="L1218" s="336"/>
      <c r="M1218" s="336"/>
    </row>
    <row r="1219" spans="2:13">
      <c r="B1219" s="534"/>
      <c r="C1219" s="336"/>
      <c r="D1219" s="336"/>
      <c r="E1219" s="336"/>
      <c r="F1219" s="336"/>
      <c r="G1219" s="336"/>
      <c r="H1219" s="336"/>
      <c r="I1219" s="336"/>
      <c r="J1219" s="336"/>
      <c r="K1219" s="336"/>
      <c r="L1219" s="336"/>
      <c r="M1219" s="336"/>
    </row>
    <row r="1220" spans="2:13">
      <c r="B1220" s="534"/>
      <c r="C1220" s="336"/>
      <c r="D1220" s="336"/>
      <c r="E1220" s="336"/>
      <c r="F1220" s="336"/>
      <c r="G1220" s="336"/>
      <c r="H1220" s="336"/>
      <c r="I1220" s="336"/>
      <c r="J1220" s="336"/>
      <c r="K1220" s="336"/>
      <c r="L1220" s="336"/>
      <c r="M1220" s="336"/>
    </row>
    <row r="1221" spans="2:13">
      <c r="B1221" s="534"/>
      <c r="C1221" s="336"/>
      <c r="D1221" s="336"/>
      <c r="E1221" s="336"/>
      <c r="F1221" s="336"/>
      <c r="G1221" s="336"/>
      <c r="H1221" s="336"/>
      <c r="I1221" s="336"/>
      <c r="J1221" s="336"/>
      <c r="K1221" s="336"/>
      <c r="L1221" s="336"/>
      <c r="M1221" s="336"/>
    </row>
    <row r="1222" spans="2:13">
      <c r="B1222" s="534"/>
      <c r="C1222" s="336"/>
      <c r="D1222" s="336"/>
      <c r="E1222" s="336"/>
      <c r="F1222" s="336"/>
      <c r="G1222" s="336"/>
      <c r="H1222" s="336"/>
      <c r="I1222" s="336"/>
      <c r="J1222" s="336"/>
      <c r="K1222" s="336"/>
      <c r="L1222" s="336"/>
      <c r="M1222" s="336"/>
    </row>
    <row r="1223" spans="2:13">
      <c r="B1223" s="534"/>
      <c r="C1223" s="336"/>
      <c r="D1223" s="336"/>
      <c r="E1223" s="336"/>
      <c r="F1223" s="336"/>
      <c r="G1223" s="336"/>
      <c r="H1223" s="336"/>
      <c r="I1223" s="336"/>
      <c r="J1223" s="336"/>
      <c r="K1223" s="336"/>
      <c r="L1223" s="336"/>
      <c r="M1223" s="336"/>
    </row>
    <row r="1224" spans="2:13">
      <c r="B1224" s="534"/>
      <c r="C1224" s="336"/>
      <c r="D1224" s="336"/>
      <c r="E1224" s="336"/>
      <c r="F1224" s="336"/>
      <c r="G1224" s="336"/>
      <c r="H1224" s="336"/>
      <c r="I1224" s="336"/>
      <c r="J1224" s="336"/>
      <c r="K1224" s="336"/>
      <c r="L1224" s="336"/>
      <c r="M1224" s="336"/>
    </row>
    <row r="1225" spans="2:13">
      <c r="B1225" s="534"/>
      <c r="C1225" s="336"/>
      <c r="D1225" s="336"/>
      <c r="E1225" s="336"/>
      <c r="F1225" s="336"/>
      <c r="G1225" s="336"/>
      <c r="H1225" s="336"/>
      <c r="I1225" s="336"/>
      <c r="J1225" s="336"/>
      <c r="K1225" s="336"/>
      <c r="L1225" s="336"/>
      <c r="M1225" s="336"/>
    </row>
    <row r="1226" spans="2:13">
      <c r="B1226" s="534"/>
      <c r="C1226" s="336"/>
      <c r="D1226" s="336"/>
      <c r="E1226" s="336"/>
      <c r="F1226" s="336"/>
      <c r="G1226" s="336"/>
      <c r="H1226" s="336"/>
      <c r="I1226" s="336"/>
      <c r="J1226" s="336"/>
      <c r="K1226" s="336"/>
      <c r="L1226" s="336"/>
      <c r="M1226" s="336"/>
    </row>
    <row r="1227" spans="2:13">
      <c r="B1227" s="534"/>
      <c r="C1227" s="336"/>
      <c r="D1227" s="336"/>
      <c r="E1227" s="336"/>
      <c r="F1227" s="336"/>
      <c r="G1227" s="336"/>
      <c r="H1227" s="336"/>
      <c r="I1227" s="336"/>
      <c r="J1227" s="336"/>
      <c r="K1227" s="336"/>
      <c r="L1227" s="336"/>
      <c r="M1227" s="336"/>
    </row>
    <row r="1228" spans="2:13">
      <c r="B1228" s="534"/>
      <c r="C1228" s="336"/>
      <c r="D1228" s="336"/>
      <c r="E1228" s="336"/>
      <c r="F1228" s="336"/>
      <c r="G1228" s="336"/>
      <c r="H1228" s="336"/>
      <c r="I1228" s="336"/>
      <c r="J1228" s="336"/>
      <c r="K1228" s="336"/>
      <c r="L1228" s="336"/>
      <c r="M1228" s="336"/>
    </row>
    <row r="1229" spans="2:13">
      <c r="B1229" s="534"/>
      <c r="C1229" s="336"/>
      <c r="D1229" s="336"/>
      <c r="E1229" s="336"/>
      <c r="F1229" s="336"/>
      <c r="G1229" s="336"/>
      <c r="H1229" s="336"/>
      <c r="I1229" s="336"/>
      <c r="J1229" s="336"/>
      <c r="K1229" s="336"/>
      <c r="L1229" s="336"/>
      <c r="M1229" s="336"/>
    </row>
    <row r="1230" spans="2:13">
      <c r="B1230" s="534"/>
      <c r="C1230" s="336"/>
      <c r="D1230" s="336"/>
      <c r="E1230" s="336"/>
      <c r="F1230" s="336"/>
      <c r="G1230" s="336"/>
      <c r="H1230" s="336"/>
      <c r="I1230" s="336"/>
      <c r="J1230" s="336"/>
      <c r="K1230" s="336"/>
      <c r="L1230" s="336"/>
      <c r="M1230" s="336"/>
    </row>
    <row r="1231" spans="2:13">
      <c r="B1231" s="534"/>
      <c r="C1231" s="336"/>
      <c r="D1231" s="336"/>
      <c r="E1231" s="336"/>
      <c r="F1231" s="336"/>
      <c r="G1231" s="336"/>
      <c r="H1231" s="336"/>
      <c r="I1231" s="336"/>
      <c r="J1231" s="336"/>
      <c r="K1231" s="336"/>
      <c r="L1231" s="336"/>
      <c r="M1231" s="336"/>
    </row>
    <row r="1232" spans="2:13">
      <c r="B1232" s="534"/>
      <c r="C1232" s="336"/>
      <c r="D1232" s="336"/>
      <c r="E1232" s="336"/>
      <c r="F1232" s="336"/>
      <c r="G1232" s="336"/>
      <c r="H1232" s="336"/>
      <c r="I1232" s="336"/>
      <c r="J1232" s="336"/>
      <c r="K1232" s="336"/>
      <c r="L1232" s="336"/>
      <c r="M1232" s="336"/>
    </row>
    <row r="1233" spans="2:13">
      <c r="B1233" s="534"/>
      <c r="C1233" s="336"/>
      <c r="D1233" s="336"/>
      <c r="E1233" s="336"/>
      <c r="F1233" s="336"/>
      <c r="G1233" s="336"/>
      <c r="H1233" s="336"/>
      <c r="I1233" s="336"/>
      <c r="J1233" s="336"/>
      <c r="K1233" s="336"/>
      <c r="L1233" s="336"/>
      <c r="M1233" s="336"/>
    </row>
    <row r="1234" spans="2:13">
      <c r="B1234" s="534"/>
      <c r="C1234" s="336"/>
      <c r="D1234" s="336"/>
      <c r="E1234" s="336"/>
      <c r="F1234" s="336"/>
      <c r="G1234" s="336"/>
      <c r="H1234" s="336"/>
      <c r="I1234" s="336"/>
      <c r="J1234" s="336"/>
      <c r="K1234" s="336"/>
      <c r="L1234" s="336"/>
      <c r="M1234" s="336"/>
    </row>
    <row r="1235" spans="2:13">
      <c r="B1235" s="534"/>
      <c r="C1235" s="336"/>
      <c r="D1235" s="336"/>
      <c r="E1235" s="336"/>
      <c r="F1235" s="336"/>
      <c r="G1235" s="336"/>
      <c r="H1235" s="336"/>
      <c r="I1235" s="336"/>
      <c r="J1235" s="336"/>
      <c r="K1235" s="336"/>
      <c r="L1235" s="336"/>
      <c r="M1235" s="336"/>
    </row>
    <row r="1236" spans="2:13">
      <c r="B1236" s="534"/>
      <c r="C1236" s="336"/>
      <c r="D1236" s="336"/>
      <c r="E1236" s="336"/>
      <c r="F1236" s="336"/>
      <c r="G1236" s="336"/>
      <c r="H1236" s="336"/>
      <c r="I1236" s="336"/>
      <c r="J1236" s="336"/>
      <c r="K1236" s="336"/>
      <c r="L1236" s="336"/>
      <c r="M1236" s="336"/>
    </row>
    <row r="1237" spans="2:13">
      <c r="B1237" s="534"/>
      <c r="C1237" s="336"/>
      <c r="D1237" s="336"/>
      <c r="E1237" s="336"/>
      <c r="F1237" s="336"/>
      <c r="G1237" s="336"/>
      <c r="H1237" s="336"/>
      <c r="I1237" s="336"/>
      <c r="J1237" s="336"/>
      <c r="K1237" s="336"/>
      <c r="L1237" s="336"/>
      <c r="M1237" s="336"/>
    </row>
    <row r="1238" spans="2:13">
      <c r="B1238" s="534"/>
      <c r="C1238" s="336"/>
      <c r="D1238" s="336"/>
      <c r="E1238" s="336"/>
      <c r="F1238" s="336"/>
      <c r="G1238" s="336"/>
      <c r="H1238" s="336"/>
      <c r="I1238" s="336"/>
      <c r="J1238" s="336"/>
      <c r="K1238" s="336"/>
      <c r="L1238" s="336"/>
      <c r="M1238" s="336"/>
    </row>
    <row r="1239" spans="2:13">
      <c r="B1239" s="534"/>
      <c r="C1239" s="336"/>
      <c r="D1239" s="336"/>
      <c r="E1239" s="336"/>
      <c r="F1239" s="336"/>
      <c r="G1239" s="336"/>
      <c r="H1239" s="336"/>
      <c r="I1239" s="336"/>
      <c r="J1239" s="336"/>
      <c r="K1239" s="336"/>
      <c r="L1239" s="336"/>
      <c r="M1239" s="336"/>
    </row>
    <row r="1240" spans="2:13">
      <c r="B1240" s="534"/>
      <c r="C1240" s="336"/>
      <c r="D1240" s="336"/>
      <c r="E1240" s="336"/>
      <c r="F1240" s="336"/>
      <c r="G1240" s="336"/>
      <c r="H1240" s="336"/>
      <c r="I1240" s="336"/>
      <c r="J1240" s="336"/>
      <c r="K1240" s="336"/>
      <c r="L1240" s="336"/>
      <c r="M1240" s="336"/>
    </row>
    <row r="1241" spans="2:13">
      <c r="B1241" s="534"/>
      <c r="C1241" s="336"/>
      <c r="D1241" s="336"/>
      <c r="E1241" s="336"/>
      <c r="F1241" s="336"/>
      <c r="G1241" s="336"/>
      <c r="H1241" s="336"/>
      <c r="I1241" s="336"/>
      <c r="J1241" s="336"/>
      <c r="K1241" s="336"/>
      <c r="L1241" s="336"/>
      <c r="M1241" s="336"/>
    </row>
    <row r="1242" spans="2:13">
      <c r="B1242" s="534"/>
      <c r="C1242" s="336"/>
      <c r="D1242" s="336"/>
      <c r="E1242" s="336"/>
      <c r="F1242" s="336"/>
      <c r="G1242" s="336"/>
      <c r="H1242" s="336"/>
      <c r="I1242" s="336"/>
      <c r="J1242" s="336"/>
      <c r="K1242" s="336"/>
      <c r="L1242" s="336"/>
      <c r="M1242" s="336"/>
    </row>
    <row r="1243" spans="2:13">
      <c r="B1243" s="534"/>
      <c r="C1243" s="336"/>
      <c r="D1243" s="336"/>
      <c r="E1243" s="336"/>
      <c r="F1243" s="336"/>
      <c r="G1243" s="336"/>
      <c r="H1243" s="336"/>
      <c r="I1243" s="336"/>
      <c r="J1243" s="336"/>
      <c r="K1243" s="336"/>
      <c r="L1243" s="336"/>
      <c r="M1243" s="336"/>
    </row>
    <row r="1244" spans="2:13">
      <c r="B1244" s="534"/>
      <c r="C1244" s="336"/>
      <c r="D1244" s="336"/>
      <c r="E1244" s="336"/>
      <c r="F1244" s="336"/>
      <c r="G1244" s="336"/>
      <c r="H1244" s="336"/>
      <c r="I1244" s="336"/>
      <c r="J1244" s="336"/>
      <c r="K1244" s="336"/>
      <c r="L1244" s="336"/>
      <c r="M1244" s="336"/>
    </row>
    <row r="1245" spans="2:13">
      <c r="B1245" s="534"/>
      <c r="C1245" s="336"/>
      <c r="D1245" s="336"/>
      <c r="E1245" s="336"/>
      <c r="F1245" s="336"/>
      <c r="G1245" s="336"/>
      <c r="H1245" s="336"/>
      <c r="I1245" s="336"/>
      <c r="J1245" s="336"/>
      <c r="K1245" s="336"/>
      <c r="L1245" s="336"/>
      <c r="M1245" s="336"/>
    </row>
    <row r="1246" spans="2:13">
      <c r="B1246" s="534"/>
      <c r="C1246" s="336"/>
      <c r="D1246" s="336"/>
      <c r="E1246" s="336"/>
      <c r="F1246" s="336"/>
      <c r="G1246" s="336"/>
      <c r="H1246" s="336"/>
      <c r="I1246" s="336"/>
      <c r="J1246" s="336"/>
      <c r="K1246" s="336"/>
      <c r="L1246" s="336"/>
      <c r="M1246" s="336"/>
    </row>
    <row r="1247" spans="2:13">
      <c r="B1247" s="534"/>
      <c r="C1247" s="336"/>
      <c r="D1247" s="336"/>
      <c r="E1247" s="336"/>
      <c r="F1247" s="336"/>
      <c r="G1247" s="336"/>
      <c r="H1247" s="336"/>
      <c r="I1247" s="336"/>
      <c r="J1247" s="336"/>
      <c r="K1247" s="336"/>
      <c r="L1247" s="336"/>
      <c r="M1247" s="336"/>
    </row>
    <row r="1248" spans="2:13">
      <c r="B1248" s="534"/>
      <c r="C1248" s="336"/>
      <c r="D1248" s="336"/>
      <c r="E1248" s="336"/>
      <c r="F1248" s="336"/>
      <c r="G1248" s="336"/>
      <c r="H1248" s="336"/>
      <c r="I1248" s="336"/>
      <c r="J1248" s="336"/>
      <c r="K1248" s="336"/>
      <c r="L1248" s="336"/>
      <c r="M1248" s="336"/>
    </row>
    <row r="1249" spans="2:13">
      <c r="B1249" s="534"/>
      <c r="C1249" s="336"/>
      <c r="D1249" s="336"/>
      <c r="E1249" s="336"/>
      <c r="F1249" s="336"/>
      <c r="G1249" s="336"/>
      <c r="H1249" s="336"/>
      <c r="I1249" s="336"/>
      <c r="J1249" s="336"/>
      <c r="K1249" s="336"/>
      <c r="L1249" s="336"/>
      <c r="M1249" s="336"/>
    </row>
    <row r="1250" spans="2:13">
      <c r="B1250" s="534"/>
      <c r="C1250" s="336"/>
      <c r="D1250" s="336"/>
      <c r="E1250" s="336"/>
      <c r="F1250" s="336"/>
      <c r="G1250" s="336"/>
      <c r="H1250" s="336"/>
      <c r="I1250" s="336"/>
      <c r="J1250" s="336"/>
      <c r="K1250" s="336"/>
      <c r="L1250" s="336"/>
      <c r="M1250" s="336"/>
    </row>
    <row r="1251" spans="2:13">
      <c r="I1251" s="336"/>
      <c r="J1251" s="336"/>
    </row>
  </sheetData>
  <mergeCells count="26">
    <mergeCell ref="D373:L374"/>
    <mergeCell ref="D363:L364"/>
    <mergeCell ref="D365:L366"/>
    <mergeCell ref="D367:L367"/>
    <mergeCell ref="D368:L370"/>
    <mergeCell ref="D360:L362"/>
    <mergeCell ref="G253:I253"/>
    <mergeCell ref="D283:K284"/>
    <mergeCell ref="D320:K321"/>
    <mergeCell ref="D310:J311"/>
    <mergeCell ref="D328:L330"/>
    <mergeCell ref="D316:J318"/>
    <mergeCell ref="D303:K305"/>
    <mergeCell ref="D280:L280"/>
    <mergeCell ref="D292:L292"/>
    <mergeCell ref="D288:L289"/>
    <mergeCell ref="D323:L326"/>
    <mergeCell ref="D352:L357"/>
    <mergeCell ref="D307:K309"/>
    <mergeCell ref="E177:E178"/>
    <mergeCell ref="B24:I25"/>
    <mergeCell ref="I60:J60"/>
    <mergeCell ref="I63:J63"/>
    <mergeCell ref="I134:J134"/>
    <mergeCell ref="I137:J137"/>
    <mergeCell ref="D42:L42"/>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O41"/>
  <sheetViews>
    <sheetView view="pageBreakPreview" topLeftCell="A6" zoomScaleNormal="100" zoomScaleSheetLayoutView="100" workbookViewId="0">
      <selection activeCell="K22" sqref="K22"/>
    </sheetView>
  </sheetViews>
  <sheetFormatPr defaultColWidth="9.140625" defaultRowHeight="15"/>
  <cols>
    <col min="1" max="1" width="9.42578125" style="566" customWidth="1"/>
    <col min="2" max="2" width="6.5703125" style="566" customWidth="1"/>
    <col min="3" max="8" width="14.5703125" style="566" customWidth="1"/>
    <col min="9" max="9" width="14.85546875" style="566" bestFit="1" customWidth="1"/>
    <col min="10" max="11" width="16.5703125" style="566" bestFit="1" customWidth="1"/>
    <col min="12" max="13" width="22.140625" style="566" bestFit="1" customWidth="1"/>
    <col min="14" max="14" width="8.42578125" style="566" customWidth="1"/>
    <col min="15" max="38" width="12.5703125" style="566" customWidth="1"/>
    <col min="39" max="16384" width="9.140625" style="566"/>
  </cols>
  <sheetData>
    <row r="1" spans="1:22" ht="15.75">
      <c r="A1" s="933" t="s">
        <v>116</v>
      </c>
    </row>
    <row r="2" spans="1:22" ht="15.75">
      <c r="A2" s="933" t="s">
        <v>116</v>
      </c>
    </row>
    <row r="3" spans="1:22">
      <c r="A3" s="1576" t="str">
        <f>+'WS C  - Working Capital'!A3:L3</f>
        <v>AEP East Companies</v>
      </c>
      <c r="B3" s="1576"/>
      <c r="C3" s="1576"/>
      <c r="D3" s="1576"/>
      <c r="E3" s="1576"/>
      <c r="F3" s="1576"/>
      <c r="G3" s="1576"/>
      <c r="H3" s="1576"/>
      <c r="I3" s="1576"/>
      <c r="J3" s="1576"/>
      <c r="K3" s="1576"/>
      <c r="L3" s="551"/>
      <c r="M3" s="551"/>
      <c r="N3" s="551"/>
      <c r="O3" s="551"/>
    </row>
    <row r="4" spans="1:22">
      <c r="A4" s="1577" t="str">
        <f>"Cost of Service Formula Rate Using Actual/Projected FF1 Balances"</f>
        <v>Cost of Service Formula Rate Using Actual/Projected FF1 Balances</v>
      </c>
      <c r="B4" s="1577"/>
      <c r="C4" s="1577"/>
      <c r="D4" s="1577"/>
      <c r="E4" s="1577"/>
      <c r="F4" s="1577"/>
      <c r="G4" s="1577"/>
      <c r="H4" s="1577"/>
      <c r="I4" s="1577"/>
      <c r="J4" s="1577"/>
      <c r="K4" s="1577"/>
      <c r="L4" s="553"/>
      <c r="M4" s="553"/>
      <c r="N4" s="553"/>
      <c r="O4" s="553"/>
    </row>
    <row r="5" spans="1:22">
      <c r="A5" s="1577" t="s">
        <v>239</v>
      </c>
      <c r="B5" s="1577"/>
      <c r="C5" s="1577"/>
      <c r="D5" s="1577"/>
      <c r="E5" s="1577"/>
      <c r="F5" s="1577"/>
      <c r="G5" s="1577"/>
      <c r="H5" s="1577"/>
      <c r="I5" s="1577"/>
      <c r="J5" s="1577"/>
      <c r="K5" s="1577"/>
      <c r="L5" s="552"/>
      <c r="M5" s="552"/>
      <c r="N5" s="552"/>
      <c r="O5" s="552"/>
    </row>
    <row r="6" spans="1:22">
      <c r="A6" s="1578" t="str">
        <f>TCOS!F9</f>
        <v>KINGSPORT POWER COMPANY</v>
      </c>
      <c r="B6" s="1578"/>
      <c r="C6" s="1578"/>
      <c r="D6" s="1578"/>
      <c r="E6" s="1578"/>
      <c r="F6" s="1578"/>
      <c r="G6" s="1578"/>
      <c r="H6" s="1578"/>
      <c r="I6" s="1578"/>
      <c r="J6" s="1578"/>
      <c r="K6" s="1578"/>
      <c r="L6" s="344"/>
      <c r="M6" s="344"/>
      <c r="N6" s="344"/>
      <c r="O6" s="344"/>
    </row>
    <row r="7" spans="1:22">
      <c r="A7" s="567"/>
      <c r="B7" s="567"/>
      <c r="C7" s="567"/>
      <c r="D7" s="567"/>
      <c r="E7" s="567"/>
      <c r="F7" s="567"/>
      <c r="G7" s="567"/>
      <c r="H7" s="567"/>
      <c r="I7" s="567"/>
      <c r="J7" s="567"/>
      <c r="K7" s="567"/>
      <c r="L7" s="567"/>
      <c r="M7" s="567"/>
      <c r="N7" s="567"/>
      <c r="O7" s="567"/>
    </row>
    <row r="8" spans="1:22" ht="18">
      <c r="A8" s="1581"/>
      <c r="B8" s="1581"/>
      <c r="C8" s="1581"/>
      <c r="D8" s="1581"/>
      <c r="E8" s="1581"/>
      <c r="F8" s="1581"/>
      <c r="G8" s="1581"/>
      <c r="H8" s="1581"/>
      <c r="I8" s="1581"/>
      <c r="J8" s="1581"/>
      <c r="K8" s="1581"/>
      <c r="L8" s="569"/>
      <c r="M8" s="570"/>
    </row>
    <row r="9" spans="1:22" ht="18">
      <c r="A9" s="568"/>
      <c r="B9" s="568"/>
      <c r="C9" s="568"/>
      <c r="D9" s="568"/>
      <c r="E9" s="568"/>
      <c r="F9" s="568" t="s">
        <v>116</v>
      </c>
      <c r="G9" s="568"/>
      <c r="H9" s="568"/>
      <c r="I9" s="568"/>
      <c r="J9" s="568"/>
      <c r="K9" s="568"/>
      <c r="L9" s="569"/>
      <c r="M9" s="570"/>
    </row>
    <row r="10" spans="1:22" ht="15.75">
      <c r="A10" s="571" t="s">
        <v>171</v>
      </c>
      <c r="B10" s="569"/>
      <c r="C10" s="572"/>
      <c r="D10" s="572"/>
      <c r="E10" s="572"/>
      <c r="F10" s="572"/>
      <c r="G10" s="573"/>
      <c r="H10" s="573"/>
      <c r="I10" s="571" t="s">
        <v>184</v>
      </c>
      <c r="J10" s="571" t="s">
        <v>28</v>
      </c>
      <c r="K10" s="574"/>
      <c r="N10" s="575"/>
      <c r="P10" s="575"/>
      <c r="R10" s="575"/>
      <c r="S10" s="575"/>
      <c r="T10" s="575"/>
      <c r="U10" s="537"/>
      <c r="V10" s="537"/>
    </row>
    <row r="11" spans="1:22" ht="15.75">
      <c r="A11" s="571" t="s">
        <v>107</v>
      </c>
      <c r="B11" s="1582" t="s">
        <v>169</v>
      </c>
      <c r="C11" s="1582"/>
      <c r="D11" s="1582"/>
      <c r="E11" s="1582"/>
      <c r="F11" s="1582"/>
      <c r="G11" s="1582"/>
      <c r="H11" s="1582"/>
      <c r="I11" s="576" t="s">
        <v>185</v>
      </c>
      <c r="J11" s="576" t="s">
        <v>117</v>
      </c>
      <c r="K11" s="576" t="s">
        <v>117</v>
      </c>
      <c r="L11" s="577"/>
      <c r="M11" s="577"/>
      <c r="N11" s="575"/>
      <c r="O11" s="575"/>
      <c r="P11" s="575"/>
      <c r="Q11" s="575"/>
      <c r="R11" s="575"/>
      <c r="S11" s="575"/>
      <c r="T11" s="578"/>
      <c r="U11" s="537"/>
      <c r="V11" s="537"/>
    </row>
    <row r="12" spans="1:22" ht="15.75">
      <c r="A12" s="573"/>
      <c r="B12" s="579"/>
      <c r="C12" s="569"/>
      <c r="D12" s="573"/>
      <c r="E12" s="573"/>
      <c r="F12" s="573"/>
      <c r="G12" s="573"/>
      <c r="H12" s="573"/>
      <c r="I12" s="573"/>
      <c r="J12" s="573"/>
      <c r="K12" s="580"/>
      <c r="L12" s="577"/>
      <c r="M12" s="577"/>
      <c r="N12" s="575"/>
      <c r="O12" s="575"/>
      <c r="P12" s="575"/>
      <c r="Q12" s="575"/>
      <c r="R12" s="575"/>
      <c r="S12" s="575"/>
      <c r="T12" s="578"/>
      <c r="U12" s="537"/>
      <c r="V12" s="537"/>
    </row>
    <row r="13" spans="1:22" s="587" customFormat="1" ht="12.75">
      <c r="A13" s="581">
        <v>1</v>
      </c>
      <c r="B13" s="582" t="s">
        <v>484</v>
      </c>
      <c r="C13" s="563"/>
      <c r="D13" s="583"/>
      <c r="E13" s="583"/>
      <c r="F13" s="583"/>
      <c r="G13" s="583"/>
      <c r="H13" s="583"/>
      <c r="I13" s="882">
        <v>380242.52</v>
      </c>
      <c r="J13" s="584">
        <f>+I13-K12</f>
        <v>380242.52</v>
      </c>
      <c r="K13" s="882">
        <v>0</v>
      </c>
      <c r="L13" s="585"/>
      <c r="M13" s="585"/>
      <c r="N13" s="563"/>
      <c r="O13" s="563"/>
      <c r="P13" s="563"/>
      <c r="Q13" s="563"/>
      <c r="R13" s="563"/>
      <c r="S13" s="563"/>
      <c r="T13" s="586"/>
      <c r="U13" s="563"/>
      <c r="V13" s="563"/>
    </row>
    <row r="14" spans="1:22" s="587" customFormat="1" ht="12.75">
      <c r="A14" s="588"/>
      <c r="B14" s="589"/>
      <c r="C14" s="590"/>
      <c r="D14" s="591"/>
      <c r="E14" s="591"/>
      <c r="F14" s="591"/>
      <c r="G14" s="591"/>
      <c r="H14" s="583"/>
      <c r="I14" s="592"/>
      <c r="J14" s="593"/>
      <c r="K14" s="592"/>
      <c r="L14" s="585"/>
      <c r="M14" s="585"/>
      <c r="N14" s="563"/>
      <c r="O14" s="563"/>
      <c r="P14" s="563"/>
      <c r="Q14" s="563"/>
      <c r="R14" s="563"/>
      <c r="S14" s="563"/>
      <c r="T14" s="586"/>
      <c r="U14" s="563"/>
      <c r="V14" s="563"/>
    </row>
    <row r="15" spans="1:22" s="587" customFormat="1" ht="12.75">
      <c r="A15" s="581">
        <f>+A13+1</f>
        <v>2</v>
      </c>
      <c r="B15" s="594" t="s">
        <v>485</v>
      </c>
      <c r="C15" s="563"/>
      <c r="D15" s="583"/>
      <c r="E15" s="583"/>
      <c r="F15" s="583"/>
      <c r="G15" s="583"/>
      <c r="H15" s="583"/>
      <c r="I15" s="882">
        <v>73517.820000000007</v>
      </c>
      <c r="J15" s="584">
        <f>+I15-K15</f>
        <v>73517.820000000007</v>
      </c>
      <c r="K15" s="882">
        <v>0</v>
      </c>
      <c r="L15" s="585"/>
      <c r="M15" s="585"/>
      <c r="N15" s="563"/>
      <c r="O15" s="563"/>
      <c r="P15" s="563"/>
      <c r="Q15" s="563"/>
      <c r="R15" s="563"/>
      <c r="S15" s="563"/>
      <c r="T15" s="563"/>
      <c r="U15" s="563"/>
      <c r="V15" s="563"/>
    </row>
    <row r="16" spans="1:22" s="587" customFormat="1" ht="12.75">
      <c r="A16" s="588"/>
      <c r="B16" s="595"/>
      <c r="C16" s="590"/>
      <c r="D16" s="591"/>
      <c r="E16" s="591"/>
      <c r="F16" s="591"/>
      <c r="G16" s="591"/>
      <c r="H16" s="583"/>
      <c r="I16" s="593"/>
      <c r="J16" s="593"/>
      <c r="K16" s="593"/>
      <c r="L16" s="585"/>
      <c r="M16" s="585"/>
      <c r="N16" s="563"/>
      <c r="O16" s="563"/>
      <c r="P16" s="563"/>
      <c r="Q16" s="563"/>
      <c r="R16" s="563"/>
      <c r="S16" s="563"/>
      <c r="T16" s="563"/>
      <c r="U16" s="563"/>
      <c r="V16" s="563"/>
    </row>
    <row r="17" spans="1:22" s="587" customFormat="1" ht="12.75">
      <c r="A17" s="581">
        <f>+A15+1</f>
        <v>3</v>
      </c>
      <c r="B17" s="594" t="s">
        <v>486</v>
      </c>
      <c r="C17" s="563"/>
      <c r="D17" s="583"/>
      <c r="E17" s="583"/>
      <c r="F17" s="583"/>
      <c r="G17" s="583"/>
      <c r="H17" s="583"/>
      <c r="I17" s="882">
        <v>1394428.3420000002</v>
      </c>
      <c r="J17" s="584">
        <f>+I17-K17</f>
        <v>1376068.5820000002</v>
      </c>
      <c r="K17" s="882">
        <v>18359.760000000002</v>
      </c>
      <c r="L17" s="585"/>
      <c r="M17" s="585"/>
      <c r="N17" s="563"/>
      <c r="O17" s="563"/>
      <c r="P17" s="563"/>
      <c r="Q17" s="563"/>
      <c r="R17" s="563"/>
      <c r="S17" s="563"/>
      <c r="T17" s="563"/>
      <c r="U17" s="563"/>
      <c r="V17" s="563"/>
    </row>
    <row r="18" spans="1:22" s="587" customFormat="1" ht="12.75">
      <c r="A18" s="588"/>
      <c r="B18" s="593"/>
      <c r="C18" s="599"/>
      <c r="D18" s="593"/>
      <c r="E18" s="593"/>
      <c r="F18" s="593"/>
      <c r="G18" s="596"/>
      <c r="H18" s="593"/>
      <c r="I18" s="593" t="s">
        <v>116</v>
      </c>
      <c r="J18" s="593"/>
      <c r="K18" s="593"/>
      <c r="L18" s="585"/>
      <c r="M18" s="585"/>
      <c r="N18" s="563"/>
      <c r="O18" s="563"/>
      <c r="P18" s="563"/>
      <c r="Q18" s="563"/>
      <c r="R18" s="563"/>
      <c r="S18" s="563"/>
      <c r="T18" s="563"/>
      <c r="U18" s="563"/>
      <c r="V18" s="563"/>
    </row>
    <row r="19" spans="1:22" s="587" customFormat="1" ht="12.75">
      <c r="A19" s="581">
        <f>+A17+1</f>
        <v>4</v>
      </c>
      <c r="B19" s="582" t="s">
        <v>762</v>
      </c>
      <c r="C19" s="599"/>
      <c r="D19" s="593"/>
      <c r="E19" s="593"/>
      <c r="F19" s="593"/>
      <c r="G19" s="596"/>
      <c r="H19" s="593"/>
      <c r="I19" s="882">
        <v>454899.16000000003</v>
      </c>
      <c r="J19" s="584">
        <f>+I19-K19</f>
        <v>179945.60000000003</v>
      </c>
      <c r="K19" s="882">
        <v>274953.56</v>
      </c>
      <c r="L19" s="585"/>
      <c r="M19" s="585"/>
      <c r="N19" s="598"/>
      <c r="O19" s="563"/>
      <c r="P19" s="563"/>
      <c r="Q19" s="563"/>
      <c r="R19" s="563"/>
      <c r="S19" s="563"/>
      <c r="T19" s="563"/>
      <c r="U19" s="563"/>
      <c r="V19" s="563"/>
    </row>
    <row r="20" spans="1:22" s="587" customFormat="1" ht="12.75">
      <c r="A20" s="588"/>
      <c r="B20" s="582"/>
      <c r="C20" s="599"/>
      <c r="D20" s="593"/>
      <c r="E20" s="593"/>
      <c r="F20" s="593"/>
      <c r="G20" s="596"/>
      <c r="H20" s="593"/>
      <c r="I20" s="563"/>
      <c r="J20" s="563"/>
      <c r="K20" s="563"/>
      <c r="L20" s="599"/>
      <c r="M20" s="585"/>
      <c r="N20" s="598"/>
      <c r="O20" s="563"/>
      <c r="P20" s="563"/>
      <c r="Q20" s="563"/>
      <c r="R20" s="563"/>
      <c r="S20" s="563"/>
      <c r="T20" s="563"/>
      <c r="U20" s="563"/>
      <c r="V20" s="563"/>
    </row>
    <row r="21" spans="1:22" s="587" customFormat="1" ht="12.75">
      <c r="A21" s="581">
        <f>+A19+1</f>
        <v>5</v>
      </c>
      <c r="B21" s="582" t="s">
        <v>763</v>
      </c>
      <c r="C21" s="599"/>
      <c r="D21" s="593"/>
      <c r="E21" s="593"/>
      <c r="F21" s="593"/>
      <c r="G21" s="596"/>
      <c r="H21" s="593"/>
      <c r="I21" s="882">
        <v>7963867.6699999999</v>
      </c>
      <c r="J21" s="584">
        <f>+I21-K21</f>
        <v>7963867.6699999999</v>
      </c>
      <c r="K21" s="882">
        <v>0</v>
      </c>
      <c r="L21" s="585"/>
      <c r="M21" s="585"/>
      <c r="N21" s="598"/>
      <c r="O21" s="563"/>
      <c r="P21" s="563"/>
      <c r="Q21" s="563"/>
      <c r="R21" s="563"/>
      <c r="S21" s="563"/>
      <c r="T21" s="563"/>
      <c r="U21" s="563"/>
      <c r="V21" s="563"/>
    </row>
    <row r="22" spans="1:22" s="587" customFormat="1" ht="12.75">
      <c r="A22" s="581"/>
      <c r="B22" s="582"/>
      <c r="C22" s="599"/>
      <c r="D22" s="593"/>
      <c r="E22" s="593"/>
      <c r="F22" s="593"/>
      <c r="G22" s="596"/>
      <c r="H22" s="593"/>
      <c r="I22" s="932"/>
      <c r="J22" s="584"/>
      <c r="K22" s="932"/>
      <c r="L22" s="585"/>
      <c r="M22" s="585"/>
      <c r="N22" s="598"/>
      <c r="O22" s="563"/>
      <c r="P22" s="563"/>
      <c r="Q22" s="563"/>
      <c r="R22" s="563"/>
      <c r="S22" s="563"/>
      <c r="T22" s="563"/>
      <c r="U22" s="563"/>
      <c r="V22" s="563"/>
    </row>
    <row r="23" spans="1:22" s="587" customFormat="1" ht="12.75">
      <c r="A23" s="581" t="s">
        <v>623</v>
      </c>
      <c r="B23" s="582" t="s">
        <v>626</v>
      </c>
      <c r="C23" s="599"/>
      <c r="D23" s="593"/>
      <c r="E23" s="593"/>
      <c r="F23" s="593"/>
      <c r="G23" s="596"/>
      <c r="H23" s="593"/>
      <c r="I23" s="882"/>
      <c r="J23" s="584">
        <v>0</v>
      </c>
      <c r="K23" s="882"/>
      <c r="L23" s="585"/>
      <c r="M23" s="585"/>
      <c r="N23" s="598"/>
      <c r="O23" s="563"/>
      <c r="P23" s="563"/>
      <c r="Q23" s="563"/>
      <c r="R23" s="563"/>
      <c r="S23" s="563"/>
      <c r="T23" s="563"/>
      <c r="U23" s="563"/>
      <c r="V23" s="563"/>
    </row>
    <row r="24" spans="1:22" s="587" customFormat="1" ht="12.75">
      <c r="A24" s="581"/>
      <c r="B24" s="582"/>
      <c r="C24" s="599"/>
      <c r="D24" s="593"/>
      <c r="E24" s="593"/>
      <c r="F24" s="593"/>
      <c r="G24" s="596"/>
      <c r="H24" s="593"/>
      <c r="I24" s="932"/>
      <c r="J24" s="584"/>
      <c r="K24" s="932"/>
      <c r="L24" s="585"/>
      <c r="M24" s="585"/>
      <c r="N24" s="598"/>
      <c r="O24" s="563"/>
      <c r="P24" s="563"/>
      <c r="Q24" s="563"/>
      <c r="R24" s="563"/>
      <c r="S24" s="563"/>
      <c r="T24" s="563"/>
      <c r="U24" s="563"/>
      <c r="V24" s="563"/>
    </row>
    <row r="25" spans="1:22" s="587" customFormat="1" ht="12.75">
      <c r="A25" s="581" t="s">
        <v>624</v>
      </c>
      <c r="B25" s="582" t="s">
        <v>625</v>
      </c>
      <c r="C25" s="599"/>
      <c r="D25" s="593"/>
      <c r="E25" s="593"/>
      <c r="F25" s="593"/>
      <c r="G25" s="596"/>
      <c r="H25" s="593"/>
      <c r="I25" s="882"/>
      <c r="J25" s="584">
        <v>0</v>
      </c>
      <c r="K25" s="882"/>
      <c r="L25" s="585"/>
      <c r="M25" s="585"/>
      <c r="N25" s="598"/>
      <c r="O25" s="563"/>
      <c r="P25" s="563"/>
      <c r="Q25" s="563"/>
      <c r="R25" s="563"/>
      <c r="S25" s="563"/>
      <c r="T25" s="563"/>
      <c r="U25" s="563"/>
      <c r="V25" s="563"/>
    </row>
    <row r="26" spans="1:22" s="587" customFormat="1" ht="12.75">
      <c r="A26" s="581"/>
      <c r="B26" s="582"/>
      <c r="C26" s="599"/>
      <c r="D26" s="593"/>
      <c r="E26" s="593"/>
      <c r="F26" s="593"/>
      <c r="G26" s="596"/>
      <c r="H26" s="593"/>
      <c r="I26" s="563"/>
      <c r="J26" s="563"/>
      <c r="L26" s="585"/>
      <c r="M26" s="585"/>
      <c r="N26" s="563"/>
      <c r="O26" s="563"/>
      <c r="P26" s="563"/>
      <c r="Q26" s="563"/>
      <c r="R26" s="563"/>
      <c r="S26" s="563"/>
      <c r="T26" s="563"/>
      <c r="U26" s="563"/>
      <c r="V26" s="563"/>
    </row>
    <row r="27" spans="1:22" s="587" customFormat="1" ht="12.75">
      <c r="A27" s="581">
        <f>+A21+1</f>
        <v>6</v>
      </c>
      <c r="B27" s="582" t="s">
        <v>75</v>
      </c>
      <c r="C27" s="599"/>
      <c r="D27" s="593"/>
      <c r="E27" s="593"/>
      <c r="F27" s="593"/>
      <c r="G27" s="596"/>
      <c r="H27" s="593"/>
      <c r="I27" s="600">
        <f>+I21+I19+I17+I15+I13+I23+I25</f>
        <v>10266955.512</v>
      </c>
      <c r="J27" s="600">
        <f>+J21+J19+J17+J15+J13+J23+J25</f>
        <v>9973642.1919999998</v>
      </c>
      <c r="K27" s="600">
        <f>+K21+K19+K17+K15+K13+K23+K25</f>
        <v>293313.32</v>
      </c>
      <c r="L27" s="585"/>
      <c r="M27" s="585"/>
      <c r="N27" s="563"/>
      <c r="O27" s="563"/>
      <c r="P27" s="563"/>
      <c r="Q27" s="563"/>
      <c r="R27" s="563"/>
      <c r="S27" s="563"/>
      <c r="T27" s="563"/>
      <c r="U27" s="563"/>
      <c r="V27" s="563"/>
    </row>
    <row r="28" spans="1:22" s="587" customFormat="1" ht="12.75">
      <c r="A28" s="581"/>
      <c r="B28" s="582"/>
      <c r="C28" s="599"/>
      <c r="D28" s="593"/>
      <c r="E28" s="593"/>
      <c r="F28" s="593"/>
      <c r="G28" s="596"/>
      <c r="H28" s="593"/>
      <c r="I28" s="563"/>
      <c r="J28" s="563"/>
      <c r="K28" s="563"/>
      <c r="L28" s="585"/>
      <c r="M28" s="585"/>
      <c r="N28" s="563"/>
      <c r="O28" s="563"/>
      <c r="P28" s="563"/>
      <c r="Q28" s="563"/>
      <c r="R28" s="563"/>
      <c r="S28" s="563"/>
      <c r="T28" s="563"/>
      <c r="U28" s="563"/>
      <c r="V28" s="563"/>
    </row>
    <row r="29" spans="1:22" s="587" customFormat="1" ht="12.75">
      <c r="A29" s="581">
        <f>+A27+1</f>
        <v>7</v>
      </c>
      <c r="B29" s="1580" t="s">
        <v>487</v>
      </c>
      <c r="C29" s="1526"/>
      <c r="D29" s="1526"/>
      <c r="E29" s="1526"/>
      <c r="F29" s="1526"/>
      <c r="G29" s="1526"/>
      <c r="H29" s="593"/>
      <c r="I29" s="882"/>
      <c r="J29" s="584">
        <f>+I29-K29</f>
        <v>0</v>
      </c>
      <c r="K29" s="882"/>
      <c r="L29" s="585"/>
      <c r="M29" s="585"/>
      <c r="N29" s="563"/>
      <c r="O29" s="563"/>
      <c r="P29" s="563"/>
      <c r="Q29" s="563"/>
      <c r="R29" s="563"/>
      <c r="S29" s="563"/>
      <c r="T29" s="563"/>
      <c r="U29" s="563"/>
      <c r="V29" s="563"/>
    </row>
    <row r="30" spans="1:22" s="587" customFormat="1" ht="12.75">
      <c r="A30" s="1149"/>
      <c r="B30" s="1526"/>
      <c r="C30" s="1526"/>
      <c r="D30" s="1526"/>
      <c r="E30" s="1526"/>
      <c r="F30" s="1526"/>
      <c r="G30" s="1526"/>
      <c r="H30" s="583"/>
      <c r="I30" s="601"/>
      <c r="J30" s="583"/>
      <c r="K30" s="602"/>
      <c r="L30" s="585"/>
      <c r="M30" s="585"/>
      <c r="N30" s="563"/>
      <c r="O30" s="563"/>
      <c r="P30" s="563"/>
      <c r="Q30" s="563"/>
      <c r="R30" s="563"/>
      <c r="S30" s="563"/>
      <c r="T30" s="563"/>
      <c r="U30" s="563"/>
      <c r="V30" s="563"/>
    </row>
    <row r="31" spans="1:22" s="587" customFormat="1" ht="12.75">
      <c r="A31" s="581">
        <f>+A29+1</f>
        <v>8</v>
      </c>
      <c r="B31" s="589" t="s">
        <v>217</v>
      </c>
      <c r="C31" s="590"/>
      <c r="D31" s="591"/>
      <c r="E31" s="591"/>
      <c r="F31" s="591"/>
      <c r="G31" s="597"/>
      <c r="H31" s="583"/>
      <c r="I31" s="603">
        <f>SUM(I27:I29)</f>
        <v>10266955.512</v>
      </c>
      <c r="J31" s="603">
        <f>SUM(J27:J29)</f>
        <v>9973642.1919999998</v>
      </c>
      <c r="K31" s="603">
        <f>SUM(K27:K29)</f>
        <v>293313.32</v>
      </c>
      <c r="L31" s="585"/>
      <c r="M31" s="585"/>
      <c r="N31" s="563"/>
      <c r="O31" s="563"/>
      <c r="P31" s="563"/>
      <c r="Q31" s="563"/>
      <c r="R31" s="563"/>
      <c r="S31" s="563"/>
      <c r="T31" s="563"/>
      <c r="U31" s="563"/>
      <c r="V31" s="563"/>
    </row>
    <row r="32" spans="1:22" s="587" customFormat="1" ht="12.75">
      <c r="A32" s="581"/>
      <c r="B32" s="589"/>
      <c r="C32" s="590"/>
      <c r="D32" s="591"/>
      <c r="E32" s="591"/>
      <c r="F32" s="591"/>
      <c r="G32" s="597"/>
      <c r="H32" s="583"/>
      <c r="I32" s="602"/>
      <c r="J32" s="602"/>
      <c r="K32" s="602"/>
      <c r="L32" s="585"/>
      <c r="M32" s="585"/>
      <c r="N32" s="563"/>
      <c r="O32" s="563"/>
      <c r="P32" s="563"/>
      <c r="Q32" s="563"/>
      <c r="R32" s="563"/>
      <c r="S32" s="563"/>
      <c r="T32" s="563"/>
      <c r="U32" s="563"/>
      <c r="V32" s="563"/>
    </row>
    <row r="33" spans="1:41" s="587" customFormat="1" ht="12.75">
      <c r="A33" s="581"/>
      <c r="B33" s="589"/>
      <c r="C33" s="590"/>
      <c r="D33" s="591"/>
      <c r="E33" s="591"/>
      <c r="F33" s="591"/>
      <c r="G33" s="597"/>
      <c r="H33" s="583"/>
      <c r="I33" s="602"/>
      <c r="J33" s="602"/>
      <c r="K33" s="602"/>
      <c r="L33" s="585"/>
      <c r="M33" s="585"/>
      <c r="N33" s="563"/>
      <c r="O33" s="563"/>
      <c r="P33" s="563"/>
      <c r="Q33" s="563"/>
      <c r="R33" s="563"/>
      <c r="S33" s="563"/>
      <c r="T33" s="563"/>
      <c r="U33" s="563"/>
      <c r="V33" s="563"/>
    </row>
    <row r="34" spans="1:41" s="587" customFormat="1" ht="12.75">
      <c r="A34" s="1160"/>
      <c r="L34" s="585"/>
      <c r="M34" s="585"/>
      <c r="N34" s="563"/>
      <c r="O34" s="563"/>
      <c r="P34" s="563"/>
      <c r="Q34" s="563"/>
      <c r="R34" s="563"/>
      <c r="S34" s="563"/>
      <c r="T34" s="563"/>
      <c r="U34" s="563"/>
      <c r="V34" s="563"/>
    </row>
    <row r="35" spans="1:41">
      <c r="A35" s="1161"/>
      <c r="B35" s="563"/>
      <c r="C35" s="582"/>
      <c r="D35" s="583"/>
      <c r="E35" s="583"/>
      <c r="F35" s="583"/>
      <c r="G35" s="596"/>
      <c r="H35" s="583"/>
      <c r="I35" s="583"/>
      <c r="J35" s="583"/>
      <c r="K35" s="583"/>
      <c r="L35" s="604"/>
      <c r="M35" s="605"/>
      <c r="N35" s="537"/>
      <c r="O35" s="572"/>
      <c r="P35" s="572"/>
      <c r="Q35" s="572"/>
      <c r="R35" s="572"/>
      <c r="S35" s="537"/>
      <c r="T35" s="537"/>
      <c r="U35" s="537"/>
      <c r="V35" s="537"/>
    </row>
    <row r="36" spans="1:41" ht="15" customHeight="1">
      <c r="A36" s="1149" t="s">
        <v>501</v>
      </c>
      <c r="B36" s="1579"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579"/>
      <c r="D36" s="1579"/>
      <c r="E36" s="1579"/>
      <c r="F36" s="1579"/>
      <c r="G36" s="1579"/>
      <c r="H36" s="1579"/>
      <c r="I36" s="1579"/>
      <c r="J36" s="1579"/>
      <c r="K36" s="563"/>
      <c r="L36" s="607"/>
      <c r="M36" s="607"/>
      <c r="N36" s="537"/>
      <c r="O36" s="572"/>
      <c r="P36" s="572"/>
      <c r="Q36" s="572"/>
      <c r="R36" s="572"/>
      <c r="S36" s="537"/>
      <c r="T36" s="575"/>
      <c r="U36" s="537"/>
      <c r="V36" s="537"/>
    </row>
    <row r="37" spans="1:41" ht="15.75">
      <c r="A37" s="1149"/>
      <c r="B37" s="1579"/>
      <c r="C37" s="1579"/>
      <c r="D37" s="1579"/>
      <c r="E37" s="1579"/>
      <c r="F37" s="1579"/>
      <c r="G37" s="1579"/>
      <c r="H37" s="1579"/>
      <c r="I37" s="1579"/>
      <c r="J37" s="1579"/>
      <c r="K37" s="563"/>
      <c r="L37" s="536"/>
      <c r="M37" s="608"/>
      <c r="N37" s="608"/>
      <c r="O37" s="608"/>
      <c r="P37" s="608"/>
      <c r="Q37" s="608"/>
      <c r="R37" s="536"/>
      <c r="S37" s="536"/>
      <c r="T37" s="536"/>
      <c r="U37" s="536"/>
      <c r="V37" s="536"/>
      <c r="W37" s="577"/>
      <c r="X37" s="577"/>
      <c r="Y37" s="577"/>
      <c r="Z37" s="577"/>
      <c r="AA37" s="577"/>
      <c r="AB37" s="577"/>
      <c r="AC37" s="577"/>
      <c r="AD37" s="577"/>
      <c r="AE37" s="577"/>
      <c r="AF37" s="577"/>
      <c r="AG37" s="577"/>
      <c r="AH37" s="577"/>
      <c r="AI37" s="577"/>
      <c r="AJ37" s="577"/>
      <c r="AK37" s="577"/>
      <c r="AL37" s="577"/>
      <c r="AM37" s="577"/>
      <c r="AN37" s="577"/>
      <c r="AO37" s="577"/>
    </row>
    <row r="38" spans="1:41" ht="15.75">
      <c r="A38" s="1149" t="s">
        <v>621</v>
      </c>
      <c r="B38" s="1158" t="s">
        <v>622</v>
      </c>
      <c r="C38" s="1159"/>
      <c r="D38" s="1159"/>
      <c r="E38" s="1159"/>
      <c r="F38" s="1159"/>
      <c r="G38" s="1159"/>
      <c r="H38" s="1159"/>
      <c r="I38" s="606"/>
      <c r="J38" s="606"/>
      <c r="K38" s="609"/>
      <c r="L38" s="536"/>
      <c r="M38" s="608"/>
      <c r="N38" s="608"/>
      <c r="O38" s="608"/>
      <c r="P38" s="608"/>
      <c r="Q38" s="608"/>
      <c r="R38" s="536"/>
      <c r="S38" s="536"/>
      <c r="T38" s="536"/>
      <c r="U38" s="536"/>
      <c r="V38" s="536"/>
      <c r="W38" s="577"/>
      <c r="X38" s="577"/>
      <c r="Y38" s="577"/>
      <c r="Z38" s="577"/>
      <c r="AA38" s="577"/>
      <c r="AB38" s="577"/>
      <c r="AC38" s="577"/>
      <c r="AD38" s="577"/>
      <c r="AE38" s="577"/>
      <c r="AF38" s="577"/>
      <c r="AG38" s="577"/>
      <c r="AH38" s="577"/>
      <c r="AI38" s="577"/>
      <c r="AJ38" s="577"/>
      <c r="AK38" s="577"/>
      <c r="AL38" s="577"/>
      <c r="AM38" s="577"/>
      <c r="AN38" s="577"/>
      <c r="AO38" s="577"/>
    </row>
    <row r="39" spans="1:41" ht="15.75">
      <c r="A39" s="581">
        <f>+A31+1</f>
        <v>9</v>
      </c>
      <c r="B39" s="594" t="s">
        <v>537</v>
      </c>
      <c r="C39" s="563"/>
      <c r="D39" s="583"/>
      <c r="E39" s="583"/>
      <c r="F39" s="583"/>
      <c r="G39" s="596"/>
      <c r="H39" s="583"/>
      <c r="I39" s="602"/>
      <c r="J39" s="602"/>
      <c r="K39" s="882">
        <v>0</v>
      </c>
      <c r="L39" s="536"/>
      <c r="M39" s="608"/>
      <c r="N39" s="608"/>
      <c r="O39" s="608"/>
      <c r="P39" s="608"/>
      <c r="Q39" s="608"/>
      <c r="R39" s="536"/>
      <c r="S39" s="536"/>
      <c r="T39" s="536"/>
      <c r="U39" s="536"/>
      <c r="V39" s="536"/>
      <c r="W39" s="577"/>
      <c r="X39" s="577"/>
      <c r="Y39" s="577"/>
      <c r="Z39" s="577"/>
      <c r="AA39" s="577"/>
      <c r="AB39" s="577"/>
      <c r="AC39" s="577"/>
      <c r="AD39" s="577"/>
      <c r="AE39" s="577"/>
      <c r="AF39" s="577"/>
      <c r="AG39" s="577"/>
      <c r="AH39" s="577"/>
      <c r="AI39" s="577"/>
      <c r="AJ39" s="577"/>
      <c r="AK39" s="577"/>
      <c r="AL39" s="577"/>
      <c r="AM39" s="577"/>
      <c r="AN39" s="577"/>
      <c r="AO39" s="577"/>
    </row>
    <row r="40" spans="1:41" ht="15.75">
      <c r="A40" s="537"/>
      <c r="B40" s="536"/>
      <c r="E40" s="608"/>
      <c r="F40" s="608"/>
      <c r="G40" s="608"/>
      <c r="H40" s="608"/>
      <c r="I40" s="610"/>
      <c r="J40" s="608"/>
      <c r="K40" s="608"/>
      <c r="L40" s="536"/>
      <c r="M40" s="608"/>
      <c r="N40" s="608"/>
      <c r="O40" s="608"/>
      <c r="P40" s="608"/>
      <c r="Q40" s="608"/>
      <c r="R40" s="536"/>
      <c r="S40" s="536"/>
      <c r="T40" s="536"/>
      <c r="U40" s="536"/>
      <c r="V40" s="536"/>
      <c r="W40" s="577"/>
      <c r="X40" s="577"/>
      <c r="Y40" s="577"/>
      <c r="Z40" s="577"/>
      <c r="AA40" s="577"/>
      <c r="AB40" s="577"/>
      <c r="AC40" s="577"/>
      <c r="AD40" s="577"/>
      <c r="AE40" s="577"/>
      <c r="AF40" s="577"/>
      <c r="AG40" s="577"/>
      <c r="AH40" s="577"/>
      <c r="AI40" s="577"/>
      <c r="AJ40" s="577"/>
      <c r="AK40" s="577"/>
      <c r="AL40" s="577"/>
      <c r="AM40" s="577"/>
      <c r="AN40" s="577"/>
      <c r="AO40" s="577"/>
    </row>
    <row r="41" spans="1:41" ht="15.75">
      <c r="A41" s="537"/>
      <c r="B41" s="536"/>
      <c r="E41" s="608"/>
      <c r="F41" s="608"/>
      <c r="G41" s="608"/>
      <c r="H41" s="608"/>
      <c r="I41" s="608" t="s">
        <v>116</v>
      </c>
      <c r="J41" s="608"/>
      <c r="K41" s="608"/>
      <c r="L41" s="536"/>
      <c r="M41" s="608"/>
      <c r="N41" s="608"/>
      <c r="O41" s="608"/>
      <c r="P41" s="608"/>
      <c r="Q41" s="608"/>
      <c r="R41" s="536"/>
      <c r="S41" s="536"/>
      <c r="T41" s="536"/>
      <c r="U41" s="536"/>
      <c r="V41" s="536"/>
      <c r="W41" s="577"/>
      <c r="X41" s="577"/>
      <c r="Y41" s="577"/>
      <c r="Z41" s="577"/>
      <c r="AA41" s="577"/>
      <c r="AB41" s="577"/>
      <c r="AC41" s="577"/>
      <c r="AD41" s="577"/>
      <c r="AE41" s="577"/>
      <c r="AF41" s="577"/>
      <c r="AG41" s="577"/>
      <c r="AH41" s="577"/>
      <c r="AI41" s="577"/>
      <c r="AJ41" s="577"/>
      <c r="AK41" s="577"/>
      <c r="AL41" s="577"/>
      <c r="AM41" s="577"/>
      <c r="AN41" s="577"/>
      <c r="AO41" s="57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S64"/>
  <sheetViews>
    <sheetView view="pageBreakPreview" topLeftCell="A11" zoomScale="85" zoomScaleNormal="85" zoomScaleSheetLayoutView="85" workbookViewId="0">
      <selection activeCell="F60" sqref="F60"/>
    </sheetView>
  </sheetViews>
  <sheetFormatPr defaultColWidth="9.140625" defaultRowHeight="15"/>
  <cols>
    <col min="1" max="1" width="10.42578125" style="56" customWidth="1"/>
    <col min="2" max="2" width="15.140625" style="28" customWidth="1"/>
    <col min="3" max="3" width="59.1406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33" t="s">
        <v>116</v>
      </c>
    </row>
    <row r="2" spans="1:11" ht="15.75">
      <c r="A2" s="933" t="s">
        <v>116</v>
      </c>
    </row>
    <row r="3" spans="1:11">
      <c r="A3" s="1543" t="s">
        <v>389</v>
      </c>
      <c r="B3" s="1543"/>
      <c r="C3" s="1543"/>
      <c r="D3" s="1543"/>
      <c r="E3" s="1543"/>
      <c r="F3" s="1543"/>
      <c r="G3" s="1543"/>
      <c r="H3" s="40"/>
    </row>
    <row r="4" spans="1:11" ht="17.25" customHeight="1">
      <c r="A4" s="1544" t="str">
        <f>"Cost of Service Formula Rate Using Actual/Projected FF1 Balances"</f>
        <v>Cost of Service Formula Rate Using Actual/Projected FF1 Balances</v>
      </c>
      <c r="B4" s="1544"/>
      <c r="C4" s="1544"/>
      <c r="D4" s="1544"/>
      <c r="E4" s="1544"/>
      <c r="F4" s="1544"/>
      <c r="G4" s="1544"/>
      <c r="H4" s="95"/>
      <c r="I4" s="95"/>
      <c r="J4" s="95"/>
      <c r="K4" s="95"/>
    </row>
    <row r="5" spans="1:11" ht="18" customHeight="1">
      <c r="A5" s="1544" t="s">
        <v>490</v>
      </c>
      <c r="B5" s="1544"/>
      <c r="C5" s="1544"/>
      <c r="D5" s="1544"/>
      <c r="E5" s="1544"/>
      <c r="F5" s="1544"/>
      <c r="G5" s="1544"/>
    </row>
    <row r="6" spans="1:11" ht="19.5" customHeight="1">
      <c r="A6" s="1555" t="str">
        <f>TCOS!F9</f>
        <v>KINGSPORT POWER COMPANY</v>
      </c>
      <c r="B6" s="1555"/>
      <c r="C6" s="1555"/>
      <c r="D6" s="1555"/>
      <c r="E6" s="1555"/>
      <c r="F6" s="1555"/>
      <c r="G6" s="1555"/>
    </row>
    <row r="7" spans="1:11" ht="12.75" customHeight="1">
      <c r="A7" s="1543"/>
      <c r="B7" s="1543"/>
      <c r="C7" s="1543"/>
      <c r="D7" s="1543"/>
      <c r="E7" s="1543"/>
      <c r="F7" s="1543"/>
      <c r="G7" s="47"/>
    </row>
    <row r="8" spans="1:11" ht="18">
      <c r="A8" s="1583"/>
      <c r="B8" s="1583"/>
      <c r="C8" s="1583"/>
      <c r="D8" s="1583"/>
      <c r="E8" s="1583"/>
      <c r="F8" s="1583"/>
      <c r="G8" s="1583"/>
    </row>
    <row r="9" spans="1:11" ht="18">
      <c r="A9" s="165"/>
      <c r="B9" s="165"/>
      <c r="C9" s="165"/>
      <c r="D9" s="165"/>
      <c r="E9" s="165"/>
      <c r="F9" s="165" t="s">
        <v>116</v>
      </c>
      <c r="G9" s="165"/>
    </row>
    <row r="10" spans="1:11" ht="15.75">
      <c r="B10" s="37" t="s">
        <v>164</v>
      </c>
      <c r="C10" s="37" t="s">
        <v>165</v>
      </c>
      <c r="D10" s="37" t="s">
        <v>166</v>
      </c>
      <c r="E10" s="37" t="s">
        <v>167</v>
      </c>
      <c r="F10" s="37" t="s">
        <v>85</v>
      </c>
      <c r="G10" s="37" t="s">
        <v>86</v>
      </c>
    </row>
    <row r="11" spans="1:11" ht="15.75">
      <c r="B11" s="48"/>
      <c r="C11" s="47"/>
      <c r="D11" s="203"/>
      <c r="E11" s="204"/>
      <c r="F11" s="205" t="s">
        <v>88</v>
      </c>
      <c r="G11" s="37"/>
    </row>
    <row r="12" spans="1:11" ht="15.75">
      <c r="A12" s="51" t="s">
        <v>171</v>
      </c>
      <c r="B12" s="48"/>
      <c r="C12" s="57"/>
      <c r="D12" s="51">
        <f>+TCOS!L4</f>
        <v>2024</v>
      </c>
      <c r="E12" s="205" t="s">
        <v>88</v>
      </c>
      <c r="F12" s="51" t="s">
        <v>117</v>
      </c>
      <c r="G12" s="37"/>
    </row>
    <row r="13" spans="1:11" ht="15.75">
      <c r="A13" s="51" t="s">
        <v>107</v>
      </c>
      <c r="B13" s="51" t="s">
        <v>37</v>
      </c>
      <c r="C13" s="51" t="s">
        <v>169</v>
      </c>
      <c r="D13" s="51" t="s">
        <v>38</v>
      </c>
      <c r="E13" s="51" t="s">
        <v>90</v>
      </c>
      <c r="F13" s="51" t="s">
        <v>39</v>
      </c>
      <c r="G13" s="51" t="s">
        <v>40</v>
      </c>
    </row>
    <row r="14" spans="1:11" ht="15.75">
      <c r="B14" s="51"/>
      <c r="C14" s="51"/>
      <c r="D14" s="51"/>
      <c r="E14" s="51"/>
      <c r="F14" s="51"/>
      <c r="G14" s="51"/>
    </row>
    <row r="15" spans="1:11" ht="15.75">
      <c r="B15" s="51"/>
      <c r="C15" s="51"/>
      <c r="D15" s="51"/>
      <c r="E15" s="51"/>
      <c r="F15" s="51"/>
      <c r="G15" s="51"/>
    </row>
    <row r="16" spans="1:11" ht="15.75">
      <c r="B16" s="51"/>
      <c r="D16" s="51"/>
      <c r="E16" s="51"/>
      <c r="F16" s="51"/>
      <c r="G16" s="51"/>
    </row>
    <row r="17" spans="1:7" ht="15.75">
      <c r="B17" s="51"/>
      <c r="C17" s="51" t="s">
        <v>498</v>
      </c>
      <c r="D17" s="45"/>
      <c r="E17" s="45"/>
      <c r="F17" s="45"/>
      <c r="G17" s="88"/>
    </row>
    <row r="18" spans="1:7">
      <c r="A18" s="56">
        <v>1</v>
      </c>
      <c r="B18" s="1287" t="s">
        <v>116</v>
      </c>
      <c r="C18" s="1284" t="s">
        <v>923</v>
      </c>
      <c r="D18" s="1286">
        <v>0</v>
      </c>
      <c r="E18" s="65"/>
      <c r="F18" s="65"/>
      <c r="G18" s="915"/>
    </row>
    <row r="19" spans="1:7">
      <c r="A19" s="56">
        <v>2</v>
      </c>
      <c r="B19" s="1287" t="s">
        <v>116</v>
      </c>
      <c r="C19" s="1284" t="s">
        <v>116</v>
      </c>
      <c r="D19" s="1286">
        <v>0</v>
      </c>
      <c r="E19" s="65"/>
      <c r="F19" s="65"/>
      <c r="G19" s="44"/>
    </row>
    <row r="20" spans="1:7">
      <c r="A20" s="56">
        <v>3</v>
      </c>
      <c r="B20" s="883"/>
      <c r="C20" s="884"/>
      <c r="D20" s="885"/>
      <c r="E20" s="65"/>
      <c r="F20" s="65"/>
      <c r="G20" s="44"/>
    </row>
    <row r="21" spans="1:7" ht="15.75">
      <c r="A21" s="56">
        <v>4</v>
      </c>
      <c r="B21" s="51"/>
      <c r="C21" s="234" t="s">
        <v>120</v>
      </c>
      <c r="D21" s="303">
        <f>SUM(D18:D19)</f>
        <v>0</v>
      </c>
      <c r="E21" s="65"/>
      <c r="F21" s="65"/>
      <c r="G21" s="51"/>
    </row>
    <row r="22" spans="1:7" ht="15.75">
      <c r="B22" s="51"/>
      <c r="C22" s="234"/>
      <c r="D22" s="249"/>
      <c r="E22" s="45"/>
      <c r="F22" s="45"/>
      <c r="G22" s="51"/>
    </row>
    <row r="23" spans="1:7" ht="15.75">
      <c r="A23" s="9"/>
      <c r="B23" s="51"/>
      <c r="C23" s="51" t="s">
        <v>50</v>
      </c>
      <c r="D23" s="297"/>
      <c r="E23" s="45"/>
      <c r="F23" s="45"/>
      <c r="G23" s="51"/>
    </row>
    <row r="24" spans="1:7" ht="15.75">
      <c r="A24" s="50">
        <f>+A21+1</f>
        <v>5</v>
      </c>
      <c r="B24" s="300"/>
      <c r="C24" s="298"/>
      <c r="D24" s="1162"/>
      <c r="E24" s="45"/>
      <c r="F24" s="45"/>
      <c r="G24" s="51"/>
    </row>
    <row r="25" spans="1:7" ht="15.75">
      <c r="A25" s="299">
        <f>+A24+1</f>
        <v>6</v>
      </c>
      <c r="B25" s="1277" t="s">
        <v>51</v>
      </c>
      <c r="C25" s="1277" t="s">
        <v>52</v>
      </c>
      <c r="D25" s="1271">
        <v>0</v>
      </c>
      <c r="E25" s="45"/>
      <c r="F25" s="45"/>
      <c r="G25" s="51"/>
    </row>
    <row r="26" spans="1:7" ht="15.75">
      <c r="A26" s="50">
        <f>+A25+1</f>
        <v>7</v>
      </c>
      <c r="B26" s="1277" t="s">
        <v>53</v>
      </c>
      <c r="C26" s="1277" t="s">
        <v>54</v>
      </c>
      <c r="D26" s="1271">
        <v>8254.98</v>
      </c>
      <c r="E26" s="45"/>
      <c r="F26" s="45"/>
      <c r="G26" s="51"/>
    </row>
    <row r="27" spans="1:7" ht="15.75">
      <c r="A27" s="299">
        <f t="shared" ref="A27:A32" si="0">+A26+1</f>
        <v>8</v>
      </c>
      <c r="B27" s="1277" t="s">
        <v>55</v>
      </c>
      <c r="C27" s="1277" t="s">
        <v>56</v>
      </c>
      <c r="D27" s="1272">
        <v>5.44</v>
      </c>
      <c r="E27" s="45"/>
      <c r="F27" s="45"/>
      <c r="G27" s="51"/>
    </row>
    <row r="28" spans="1:7" ht="15.75">
      <c r="A28" s="50">
        <f t="shared" si="0"/>
        <v>9</v>
      </c>
      <c r="B28" s="1277" t="s">
        <v>57</v>
      </c>
      <c r="C28" s="1277" t="s">
        <v>58</v>
      </c>
      <c r="D28" s="1271">
        <v>0</v>
      </c>
      <c r="E28" s="45"/>
      <c r="F28" s="45"/>
      <c r="G28" s="51"/>
    </row>
    <row r="29" spans="1:7" ht="15.75">
      <c r="A29" s="299">
        <f t="shared" si="0"/>
        <v>10</v>
      </c>
      <c r="B29" s="1277" t="s">
        <v>59</v>
      </c>
      <c r="C29" s="1277" t="s">
        <v>60</v>
      </c>
      <c r="D29" s="1271">
        <v>6677.31</v>
      </c>
      <c r="E29" s="45"/>
      <c r="F29" s="45"/>
      <c r="G29" s="51"/>
    </row>
    <row r="30" spans="1:7" ht="15.75">
      <c r="A30" s="50">
        <f t="shared" si="0"/>
        <v>11</v>
      </c>
      <c r="B30" s="1277" t="s">
        <v>61</v>
      </c>
      <c r="C30" s="1277" t="s">
        <v>62</v>
      </c>
      <c r="D30" s="1271">
        <v>0</v>
      </c>
      <c r="E30" s="45"/>
      <c r="F30" s="45"/>
      <c r="G30" s="51"/>
    </row>
    <row r="31" spans="1:7" ht="15.75">
      <c r="A31" s="299">
        <f t="shared" si="0"/>
        <v>12</v>
      </c>
      <c r="B31" s="1277" t="s">
        <v>63</v>
      </c>
      <c r="C31" s="1277" t="s">
        <v>64</v>
      </c>
      <c r="D31" s="1271">
        <v>0</v>
      </c>
      <c r="E31" s="45"/>
      <c r="F31" s="45"/>
      <c r="G31" s="51"/>
    </row>
    <row r="32" spans="1:7" ht="15.75">
      <c r="A32" s="50">
        <f t="shared" si="0"/>
        <v>13</v>
      </c>
      <c r="B32" s="1277" t="s">
        <v>65</v>
      </c>
      <c r="C32" s="1277" t="s">
        <v>66</v>
      </c>
      <c r="D32" s="1271">
        <v>0</v>
      </c>
      <c r="E32" s="45"/>
      <c r="F32" s="45"/>
      <c r="G32" s="51"/>
    </row>
    <row r="33" spans="1:19" ht="15.75">
      <c r="A33" s="56">
        <f>+A32+1</f>
        <v>14</v>
      </c>
      <c r="B33" s="277"/>
      <c r="C33" s="37" t="s">
        <v>67</v>
      </c>
      <c r="D33" s="278">
        <f>SUM(D24:D32)</f>
        <v>14937.73</v>
      </c>
      <c r="E33" s="45"/>
      <c r="F33" s="45"/>
      <c r="G33" s="51"/>
    </row>
    <row r="34" spans="1:19" ht="15.75">
      <c r="A34" s="231"/>
      <c r="B34" s="64"/>
      <c r="C34" s="51"/>
      <c r="D34" s="51"/>
      <c r="E34" s="51"/>
      <c r="F34" s="51"/>
      <c r="G34" s="51"/>
    </row>
    <row r="35" spans="1:19" ht="15.75">
      <c r="A35" s="231"/>
      <c r="B35" s="50"/>
      <c r="C35" s="99" t="s">
        <v>214</v>
      </c>
      <c r="D35" s="47"/>
      <c r="E35" s="47"/>
      <c r="F35" s="47"/>
      <c r="G35" s="47"/>
    </row>
    <row r="36" spans="1:19">
      <c r="A36" s="56">
        <f>+A33+1</f>
        <v>15</v>
      </c>
      <c r="B36" s="883" t="s">
        <v>924</v>
      </c>
      <c r="C36" s="884" t="s">
        <v>887</v>
      </c>
      <c r="D36" s="885">
        <v>89.320000000000007</v>
      </c>
      <c r="E36" s="45">
        <f t="shared" ref="E36:E41" si="1">D36-F36</f>
        <v>69.81</v>
      </c>
      <c r="F36" s="45">
        <v>19.510000000000002</v>
      </c>
      <c r="G36" s="44" t="s">
        <v>116</v>
      </c>
    </row>
    <row r="37" spans="1:19">
      <c r="A37" s="56">
        <f>+A36+1</f>
        <v>16</v>
      </c>
      <c r="B37" s="883">
        <v>9280001</v>
      </c>
      <c r="C37" s="884" t="s">
        <v>1010</v>
      </c>
      <c r="D37" s="885">
        <v>0.28999999999999998</v>
      </c>
      <c r="E37" s="45">
        <f t="shared" si="1"/>
        <v>0</v>
      </c>
      <c r="F37" s="45">
        <v>0.28999999999999998</v>
      </c>
      <c r="G37" s="44" t="s">
        <v>116</v>
      </c>
    </row>
    <row r="38" spans="1:19">
      <c r="A38" s="56">
        <f>+A37+1</f>
        <v>17</v>
      </c>
      <c r="B38" s="883" t="s">
        <v>925</v>
      </c>
      <c r="C38" s="1284" t="s">
        <v>927</v>
      </c>
      <c r="D38" s="885">
        <v>89888.74</v>
      </c>
      <c r="E38" s="45">
        <f t="shared" si="1"/>
        <v>89493.41</v>
      </c>
      <c r="F38" s="45">
        <v>395.33</v>
      </c>
      <c r="G38" s="44" t="s">
        <v>116</v>
      </c>
    </row>
    <row r="39" spans="1:19">
      <c r="A39" s="56">
        <f>+A38+1</f>
        <v>18</v>
      </c>
      <c r="B39" s="883" t="s">
        <v>926</v>
      </c>
      <c r="C39" s="1284" t="s">
        <v>928</v>
      </c>
      <c r="D39" s="885">
        <v>177411.55000000002</v>
      </c>
      <c r="E39" s="45">
        <f t="shared" si="1"/>
        <v>177411.55000000002</v>
      </c>
      <c r="F39" s="45">
        <v>0</v>
      </c>
      <c r="G39" s="44" t="s">
        <v>116</v>
      </c>
    </row>
    <row r="40" spans="1:19">
      <c r="A40" s="56">
        <f>+A39+1</f>
        <v>19</v>
      </c>
      <c r="B40" s="1321" t="s">
        <v>937</v>
      </c>
      <c r="C40" s="1284" t="s">
        <v>938</v>
      </c>
      <c r="D40" s="885">
        <v>1802.92</v>
      </c>
      <c r="E40" s="45">
        <f t="shared" ref="E40" si="2">D40-F40</f>
        <v>30.1400000000001</v>
      </c>
      <c r="F40" s="45">
        <v>1772.78</v>
      </c>
      <c r="G40" s="44"/>
    </row>
    <row r="41" spans="1:19">
      <c r="A41" s="56">
        <f>+A39+1</f>
        <v>19</v>
      </c>
      <c r="B41" s="1321" t="s">
        <v>1206</v>
      </c>
      <c r="C41" s="1284" t="s">
        <v>1207</v>
      </c>
      <c r="D41" s="885">
        <v>995658.44000000006</v>
      </c>
      <c r="E41" s="1413">
        <f t="shared" si="1"/>
        <v>995658.44000000006</v>
      </c>
      <c r="F41" s="45">
        <v>0</v>
      </c>
      <c r="G41" s="47"/>
    </row>
    <row r="42" spans="1:19" ht="15.75" customHeight="1">
      <c r="A42" s="56">
        <f>+A41+1</f>
        <v>20</v>
      </c>
      <c r="B42" s="48"/>
      <c r="C42" s="1163" t="s">
        <v>627</v>
      </c>
      <c r="D42" s="59">
        <f>SUM(D36:D41)</f>
        <v>1264851.26</v>
      </c>
      <c r="E42" s="1426">
        <f t="shared" ref="E42:F42" si="3">SUM(E36:E41)</f>
        <v>1262663.3500000001</v>
      </c>
      <c r="F42" s="59">
        <f t="shared" si="3"/>
        <v>2187.91</v>
      </c>
      <c r="G42" s="30"/>
    </row>
    <row r="43" spans="1:19" ht="12.75" customHeight="1">
      <c r="B43" s="48"/>
      <c r="C43" s="49"/>
      <c r="D43" s="63"/>
      <c r="E43" s="33"/>
      <c r="F43" s="33"/>
      <c r="G43" s="47"/>
    </row>
    <row r="44" spans="1:19" ht="15.75">
      <c r="B44" s="50"/>
      <c r="C44" s="99" t="s">
        <v>213</v>
      </c>
      <c r="D44" s="33"/>
      <c r="E44" s="33"/>
      <c r="F44" s="33"/>
      <c r="G44" s="47"/>
    </row>
    <row r="45" spans="1:19">
      <c r="A45" s="56">
        <f>+A42+1</f>
        <v>21</v>
      </c>
      <c r="B45" s="883" t="s">
        <v>1208</v>
      </c>
      <c r="C45" s="884" t="s">
        <v>1209</v>
      </c>
      <c r="D45" s="885">
        <v>500</v>
      </c>
      <c r="E45" s="45">
        <f t="shared" ref="E45:E50" si="4">D45-F45</f>
        <v>500</v>
      </c>
      <c r="F45" s="45">
        <v>0</v>
      </c>
      <c r="G45"/>
      <c r="M45" s="29"/>
      <c r="N45" s="61"/>
      <c r="O45" s="62"/>
      <c r="P45" s="62"/>
      <c r="Q45" s="62"/>
      <c r="R45" s="62"/>
      <c r="S45" s="31"/>
    </row>
    <row r="46" spans="1:19">
      <c r="A46" s="56">
        <f>+A45+1</f>
        <v>22</v>
      </c>
      <c r="B46" s="883" t="s">
        <v>929</v>
      </c>
      <c r="C46" s="884" t="s">
        <v>933</v>
      </c>
      <c r="D46" s="885">
        <v>22.27</v>
      </c>
      <c r="E46" s="45">
        <f t="shared" si="4"/>
        <v>17.899999999999999</v>
      </c>
      <c r="F46" s="45">
        <v>4.37</v>
      </c>
      <c r="G46"/>
      <c r="M46" s="29"/>
      <c r="N46" s="61"/>
      <c r="O46" s="62"/>
      <c r="P46" s="62"/>
      <c r="Q46" s="62"/>
      <c r="R46" s="62"/>
      <c r="S46" s="31"/>
    </row>
    <row r="47" spans="1:19">
      <c r="A47" s="56">
        <f>+A46+1</f>
        <v>23</v>
      </c>
      <c r="B47" s="883" t="s">
        <v>930</v>
      </c>
      <c r="C47" s="1284" t="s">
        <v>934</v>
      </c>
      <c r="D47" s="885">
        <v>0</v>
      </c>
      <c r="E47" s="45">
        <f t="shared" si="4"/>
        <v>0</v>
      </c>
      <c r="F47" s="45">
        <v>0</v>
      </c>
      <c r="G47" s="1428"/>
      <c r="M47" s="29"/>
      <c r="N47" s="61"/>
      <c r="O47" s="62"/>
      <c r="P47" s="62"/>
      <c r="Q47" s="62"/>
      <c r="R47" s="62"/>
      <c r="S47" s="31"/>
    </row>
    <row r="48" spans="1:19">
      <c r="A48" s="56">
        <f>+A47+1</f>
        <v>24</v>
      </c>
      <c r="B48" s="883" t="s">
        <v>931</v>
      </c>
      <c r="C48" s="884" t="s">
        <v>935</v>
      </c>
      <c r="D48" s="885">
        <v>891.83</v>
      </c>
      <c r="E48" s="45">
        <f t="shared" si="4"/>
        <v>891.78000000000009</v>
      </c>
      <c r="F48" s="45">
        <v>0.05</v>
      </c>
      <c r="G48"/>
      <c r="M48" s="29"/>
      <c r="N48" s="61"/>
      <c r="O48" s="62"/>
      <c r="P48" s="62"/>
      <c r="Q48" s="62"/>
      <c r="R48" s="62"/>
      <c r="S48" s="31"/>
    </row>
    <row r="49" spans="1:19">
      <c r="A49" s="56">
        <f>+A48+1</f>
        <v>25</v>
      </c>
      <c r="B49" s="883" t="s">
        <v>1104</v>
      </c>
      <c r="C49" s="884" t="s">
        <v>1105</v>
      </c>
      <c r="D49" s="885">
        <v>0</v>
      </c>
      <c r="E49" s="45">
        <f t="shared" si="4"/>
        <v>0</v>
      </c>
      <c r="F49" s="45">
        <v>0</v>
      </c>
      <c r="G49"/>
      <c r="M49" s="29"/>
      <c r="N49" s="61"/>
      <c r="O49" s="62"/>
      <c r="P49" s="62"/>
      <c r="Q49" s="62"/>
      <c r="R49" s="62"/>
      <c r="S49" s="31"/>
    </row>
    <row r="50" spans="1:19">
      <c r="A50" s="56">
        <f t="shared" ref="A50" si="5">+A49+1</f>
        <v>26</v>
      </c>
      <c r="B50" s="883" t="s">
        <v>932</v>
      </c>
      <c r="C50" s="1284" t="s">
        <v>936</v>
      </c>
      <c r="D50" s="885">
        <v>0</v>
      </c>
      <c r="E50" s="45">
        <f t="shared" si="4"/>
        <v>0</v>
      </c>
      <c r="F50" s="45">
        <v>0</v>
      </c>
      <c r="G50"/>
      <c r="M50" s="29"/>
      <c r="N50" s="61"/>
      <c r="O50" s="62"/>
      <c r="P50" s="62"/>
      <c r="Q50" s="62"/>
      <c r="R50" s="62"/>
      <c r="S50" s="31"/>
    </row>
    <row r="51" spans="1:19">
      <c r="B51" s="46"/>
      <c r="C51" s="47"/>
      <c r="D51" s="52"/>
      <c r="E51" s="53"/>
      <c r="F51" s="52"/>
      <c r="G51" s="47"/>
    </row>
    <row r="52" spans="1:19" ht="15.75">
      <c r="A52" s="56">
        <f>A50+1</f>
        <v>27</v>
      </c>
      <c r="B52" s="48"/>
      <c r="C52" s="1163" t="s">
        <v>628</v>
      </c>
      <c r="D52" s="54">
        <f>SUM(D45:D51)</f>
        <v>1414.1</v>
      </c>
      <c r="E52" s="54">
        <f>SUM(E45:E51)</f>
        <v>1409.68</v>
      </c>
      <c r="F52" s="54">
        <f>SUM(F45:F50)</f>
        <v>4.42</v>
      </c>
      <c r="G52" s="30"/>
    </row>
    <row r="53" spans="1:19" ht="12.75" customHeight="1">
      <c r="B53" s="39"/>
      <c r="C53" s="39"/>
      <c r="D53" s="39"/>
      <c r="E53" s="39"/>
      <c r="F53" s="39"/>
      <c r="G53" s="39"/>
    </row>
    <row r="54" spans="1:19" ht="15.75">
      <c r="B54" s="37"/>
      <c r="C54" s="99" t="s">
        <v>212</v>
      </c>
      <c r="D54" s="55"/>
      <c r="E54" s="55"/>
      <c r="F54" s="55"/>
      <c r="G54" s="37"/>
    </row>
    <row r="55" spans="1:19">
      <c r="A55" s="56">
        <f>+A52+1</f>
        <v>28</v>
      </c>
      <c r="B55" s="883" t="s">
        <v>888</v>
      </c>
      <c r="C55" s="884" t="s">
        <v>889</v>
      </c>
      <c r="D55" s="885">
        <v>20212.150000000001</v>
      </c>
      <c r="E55" s="45">
        <f t="shared" ref="E55:E60" si="6">D55-F55</f>
        <v>13736.880000000001</v>
      </c>
      <c r="F55" s="45">
        <v>6475.27</v>
      </c>
      <c r="G55" s="29"/>
      <c r="H55" s="29"/>
      <c r="J55" s="31"/>
      <c r="K55" s="31"/>
    </row>
    <row r="56" spans="1:19">
      <c r="A56" s="56">
        <f>+A55+1</f>
        <v>29</v>
      </c>
      <c r="B56" s="883" t="s">
        <v>890</v>
      </c>
      <c r="C56" s="884" t="s">
        <v>891</v>
      </c>
      <c r="D56" s="885">
        <v>8070.0060000000003</v>
      </c>
      <c r="E56" s="45">
        <f t="shared" si="6"/>
        <v>7408.5990000000002</v>
      </c>
      <c r="F56" s="45">
        <v>661.40700000000004</v>
      </c>
      <c r="G56" s="29"/>
      <c r="H56" s="29"/>
      <c r="J56" s="31"/>
      <c r="K56" s="31"/>
    </row>
    <row r="57" spans="1:19">
      <c r="A57" s="56">
        <f>+A56+1</f>
        <v>30</v>
      </c>
      <c r="B57" s="883" t="s">
        <v>892</v>
      </c>
      <c r="C57" s="884" t="s">
        <v>893</v>
      </c>
      <c r="D57" s="885">
        <v>58.38</v>
      </c>
      <c r="E57" s="45">
        <f t="shared" si="6"/>
        <v>49.08</v>
      </c>
      <c r="F57" s="45">
        <v>9.3000000000000007</v>
      </c>
      <c r="G57" s="29"/>
      <c r="H57" s="29"/>
      <c r="J57" s="31"/>
      <c r="K57" s="31"/>
    </row>
    <row r="58" spans="1:19">
      <c r="A58" s="56">
        <f>A57+1</f>
        <v>31</v>
      </c>
      <c r="B58" s="883" t="s">
        <v>894</v>
      </c>
      <c r="C58" s="884" t="s">
        <v>1125</v>
      </c>
      <c r="D58" s="885">
        <v>-52.9</v>
      </c>
      <c r="E58" s="45">
        <f t="shared" si="6"/>
        <v>-52.9</v>
      </c>
      <c r="F58" s="45">
        <v>0</v>
      </c>
      <c r="G58" s="29"/>
      <c r="H58" s="29"/>
      <c r="J58" s="31"/>
      <c r="K58" s="31"/>
    </row>
    <row r="59" spans="1:19">
      <c r="A59" s="56">
        <f>+A58+1</f>
        <v>32</v>
      </c>
      <c r="B59" s="883" t="s">
        <v>895</v>
      </c>
      <c r="C59" s="1284" t="s">
        <v>896</v>
      </c>
      <c r="D59" s="885">
        <v>224980.27000000002</v>
      </c>
      <c r="E59" s="45">
        <f t="shared" si="6"/>
        <v>37037.460000000021</v>
      </c>
      <c r="F59" s="45">
        <v>187942.81</v>
      </c>
      <c r="G59" s="29"/>
      <c r="H59" s="29"/>
      <c r="J59" s="31"/>
      <c r="K59" s="31"/>
    </row>
    <row r="60" spans="1:19">
      <c r="A60" s="56">
        <f>A59+1</f>
        <v>33</v>
      </c>
      <c r="B60" s="883" t="s">
        <v>1126</v>
      </c>
      <c r="C60" s="884" t="s">
        <v>1127</v>
      </c>
      <c r="D60" s="886">
        <v>0</v>
      </c>
      <c r="E60" s="1413">
        <f t="shared" si="6"/>
        <v>0</v>
      </c>
      <c r="F60" s="306">
        <v>0</v>
      </c>
      <c r="G60" s="39"/>
    </row>
    <row r="61" spans="1:19">
      <c r="B61" s="304"/>
      <c r="C61" s="307"/>
      <c r="D61" s="308"/>
      <c r="E61" s="305"/>
      <c r="F61" s="305"/>
      <c r="G61" s="39"/>
    </row>
    <row r="62" spans="1:19" ht="15.75">
      <c r="A62" s="56">
        <f>+A60+1</f>
        <v>34</v>
      </c>
      <c r="B62" s="39"/>
      <c r="C62" s="1163" t="s">
        <v>629</v>
      </c>
      <c r="D62" s="306">
        <f>SUM(D55:D60)</f>
        <v>253267.90600000002</v>
      </c>
      <c r="E62" s="306">
        <f>SUM(E55:E60)</f>
        <v>58179.119000000021</v>
      </c>
      <c r="F62" s="306">
        <f>SUM(F55:F60)</f>
        <v>195088.78700000001</v>
      </c>
      <c r="G62" s="30"/>
    </row>
    <row r="63" spans="1:19">
      <c r="B63" s="87"/>
      <c r="C63" s="21"/>
      <c r="D63" s="302"/>
      <c r="E63" s="21"/>
      <c r="F63" s="21"/>
      <c r="G63" s="21"/>
    </row>
    <row r="64" spans="1:19" ht="12.75">
      <c r="A64"/>
      <c r="B64"/>
      <c r="C64"/>
      <c r="D64"/>
      <c r="E64"/>
      <c r="F64"/>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24"/>
  <sheetViews>
    <sheetView view="pageBreakPreview" zoomScaleNormal="100" zoomScaleSheetLayoutView="100" workbookViewId="0">
      <selection activeCell="F11" sqref="F11"/>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33" t="s">
        <v>116</v>
      </c>
    </row>
    <row r="2" spans="1:15" ht="15.75">
      <c r="A2" s="933" t="s">
        <v>116</v>
      </c>
    </row>
    <row r="3" spans="1:15" ht="15">
      <c r="A3" s="1543" t="s">
        <v>389</v>
      </c>
      <c r="B3" s="1543"/>
      <c r="C3" s="1543"/>
      <c r="D3" s="1543"/>
      <c r="E3" s="1543"/>
      <c r="F3" s="1543"/>
      <c r="G3" s="1543"/>
      <c r="H3" s="1543"/>
    </row>
    <row r="4" spans="1:15" ht="15">
      <c r="A4" s="1544" t="str">
        <f>"Cost of Service Formula Rate Using Actual/Projected FF1 Balances"</f>
        <v>Cost of Service Formula Rate Using Actual/Projected FF1 Balances</v>
      </c>
      <c r="B4" s="1544"/>
      <c r="C4" s="1544"/>
      <c r="D4" s="1544"/>
      <c r="E4" s="1544"/>
      <c r="F4" s="1544"/>
      <c r="G4" s="1544"/>
      <c r="H4" s="1544"/>
    </row>
    <row r="5" spans="1:15" ht="15">
      <c r="A5" s="1544" t="s">
        <v>530</v>
      </c>
      <c r="B5" s="1544"/>
      <c r="C5" s="1544"/>
      <c r="D5" s="1544"/>
      <c r="E5" s="1544"/>
      <c r="F5" s="1544"/>
      <c r="G5" s="1544"/>
      <c r="H5" s="1544"/>
    </row>
    <row r="6" spans="1:15" ht="15">
      <c r="A6" s="1555" t="str">
        <f>TCOS!F9</f>
        <v>KINGSPORT POWER COMPANY</v>
      </c>
      <c r="B6" s="1555"/>
      <c r="C6" s="1555"/>
      <c r="D6" s="1555"/>
      <c r="E6" s="1555"/>
      <c r="F6" s="1555"/>
      <c r="G6" s="1555"/>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908</v>
      </c>
      <c r="C9" s="38"/>
      <c r="D9" s="41"/>
      <c r="E9" s="887">
        <v>6.5000000000000002E-2</v>
      </c>
      <c r="F9" s="2" t="s">
        <v>116</v>
      </c>
      <c r="G9" s="23"/>
      <c r="H9" s="23"/>
      <c r="L9" s="22"/>
    </row>
    <row r="10" spans="1:15" ht="15">
      <c r="A10" s="22"/>
      <c r="B10" s="17" t="s">
        <v>764</v>
      </c>
      <c r="C10" s="38"/>
      <c r="D10" s="38"/>
      <c r="E10" s="888">
        <v>0.99929999999999997</v>
      </c>
      <c r="F10" s="2"/>
      <c r="G10" s="23"/>
      <c r="H10" s="23"/>
      <c r="L10" s="22"/>
    </row>
    <row r="11" spans="1:15" ht="15">
      <c r="A11" s="22"/>
      <c r="B11" s="17" t="s">
        <v>450</v>
      </c>
      <c r="C11" s="38"/>
      <c r="D11" s="38"/>
      <c r="E11" s="315"/>
      <c r="F11" s="42">
        <f>ROUND(E9*E10,6)</f>
        <v>6.4954999999999999E-2</v>
      </c>
      <c r="G11" s="23"/>
      <c r="L11" s="22"/>
    </row>
    <row r="12" spans="1:15" ht="15">
      <c r="A12" s="22"/>
      <c r="B12" s="17"/>
      <c r="C12" s="38"/>
      <c r="D12" s="38"/>
      <c r="E12" s="315"/>
      <c r="F12" s="42"/>
      <c r="G12" s="23"/>
      <c r="L12" s="22"/>
    </row>
    <row r="13" spans="1:15" ht="15">
      <c r="A13" s="22"/>
      <c r="B13" s="17" t="s">
        <v>909</v>
      </c>
      <c r="C13" s="38"/>
      <c r="D13" s="41"/>
      <c r="E13" s="887">
        <v>6.5000000000000002E-2</v>
      </c>
      <c r="F13" s="2"/>
      <c r="G13" s="23"/>
      <c r="L13" s="22"/>
    </row>
    <row r="14" spans="1:15" ht="15">
      <c r="A14" s="22"/>
      <c r="B14" s="17" t="s">
        <v>764</v>
      </c>
      <c r="C14" s="38"/>
      <c r="D14" s="38"/>
      <c r="E14" s="888">
        <v>5.3999999999999998E-5</v>
      </c>
      <c r="F14" s="2"/>
      <c r="G14" s="23"/>
      <c r="L14" s="22"/>
    </row>
    <row r="15" spans="1:15" ht="15">
      <c r="A15" s="22"/>
      <c r="B15" s="17" t="s">
        <v>450</v>
      </c>
      <c r="C15" s="38"/>
      <c r="D15" s="38"/>
      <c r="E15" s="315"/>
      <c r="F15" s="42">
        <f>ROUND(E13*E14,6)</f>
        <v>3.9999999999999998E-6</v>
      </c>
      <c r="G15" s="23"/>
      <c r="L15" s="22"/>
    </row>
    <row r="16" spans="1:15" ht="15">
      <c r="A16" s="22"/>
      <c r="B16" s="17"/>
      <c r="C16" s="38"/>
      <c r="D16" s="38"/>
      <c r="E16" s="315"/>
      <c r="F16" s="42"/>
      <c r="G16" s="23"/>
      <c r="L16" s="22"/>
    </row>
    <row r="17" spans="1:12" ht="15">
      <c r="A17" s="22"/>
      <c r="B17" s="17"/>
      <c r="C17" s="38"/>
      <c r="D17" s="38"/>
      <c r="E17" s="38"/>
      <c r="F17" s="43"/>
      <c r="G17" s="23"/>
      <c r="L17" s="22"/>
    </row>
    <row r="18" spans="1:12" ht="15.75" thickBot="1">
      <c r="A18" s="22"/>
      <c r="B18" s="20" t="s">
        <v>205</v>
      </c>
      <c r="C18" s="20"/>
      <c r="D18" s="20"/>
      <c r="E18" s="20"/>
      <c r="F18" s="135">
        <f>SUM(F11:F15)</f>
        <v>6.4959000000000003E-2</v>
      </c>
      <c r="G18" s="23"/>
      <c r="L18" s="22"/>
    </row>
    <row r="19" spans="1:12" ht="13.5" thickTop="1">
      <c r="A19" s="22"/>
      <c r="G19" s="21"/>
      <c r="L19" s="22"/>
    </row>
    <row r="20" spans="1:12">
      <c r="A20" s="22"/>
      <c r="G20" s="21"/>
      <c r="H20" s="21"/>
      <c r="L20" s="22"/>
    </row>
    <row r="21" spans="1:12" ht="21.75" customHeight="1">
      <c r="A21" s="2"/>
      <c r="B21" s="1584" t="s">
        <v>116</v>
      </c>
      <c r="C21" s="1584"/>
      <c r="D21" s="1584"/>
      <c r="E21" s="1584"/>
      <c r="F21" s="1584"/>
      <c r="G21" s="1584"/>
      <c r="H21" s="21"/>
      <c r="I21" s="19"/>
      <c r="L21" s="21"/>
    </row>
    <row r="22" spans="1:12" ht="12.75" customHeight="1">
      <c r="A22" s="21"/>
      <c r="B22" s="1584"/>
      <c r="C22" s="1584"/>
      <c r="D22" s="1584"/>
      <c r="E22" s="1584"/>
      <c r="F22" s="1584"/>
      <c r="G22" s="1584"/>
      <c r="H22" s="21"/>
      <c r="L22" s="21"/>
    </row>
    <row r="23" spans="1:12" ht="17.25" customHeight="1">
      <c r="A23" s="21"/>
      <c r="B23" s="1584"/>
      <c r="C23" s="1584"/>
      <c r="D23" s="1584"/>
      <c r="E23" s="1584"/>
      <c r="F23" s="1584"/>
      <c r="G23" s="1584"/>
      <c r="H23" s="21"/>
      <c r="I23" s="21"/>
      <c r="L23" s="21"/>
    </row>
    <row r="24" spans="1:12" ht="18" customHeight="1">
      <c r="A24" s="5" t="s">
        <v>501</v>
      </c>
      <c r="B24" s="5" t="s">
        <v>76</v>
      </c>
      <c r="C24" s="5"/>
      <c r="D24" s="5"/>
      <c r="E24" s="5"/>
      <c r="F24" s="5"/>
      <c r="G24" s="5"/>
      <c r="H24" s="21"/>
      <c r="I24" s="21"/>
      <c r="L24" s="21"/>
    </row>
  </sheetData>
  <mergeCells count="5">
    <mergeCell ref="B21:G23"/>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14999847407452621"/>
    <pageSetUpPr fitToPage="1"/>
  </sheetPr>
  <dimension ref="A1:AC82"/>
  <sheetViews>
    <sheetView view="pageBreakPreview" topLeftCell="A18" zoomScale="60" zoomScaleNormal="55" workbookViewId="0">
      <selection activeCell="E54" sqref="E54"/>
    </sheetView>
  </sheetViews>
  <sheetFormatPr defaultColWidth="9.140625" defaultRowHeight="15"/>
  <cols>
    <col min="1" max="1" width="7.42578125" style="123" customWidth="1"/>
    <col min="2" max="2" width="1.5703125" style="124" customWidth="1"/>
    <col min="3" max="3" width="62.42578125" style="124" customWidth="1"/>
    <col min="4" max="4" width="19.140625" style="124" customWidth="1"/>
    <col min="5" max="5" width="22.5703125" style="118" bestFit="1" customWidth="1"/>
    <col min="6" max="6" width="1.5703125" style="109" customWidth="1"/>
    <col min="7" max="7" width="21.85546875" style="109" customWidth="1"/>
    <col min="8" max="8" width="1.5703125" style="109" customWidth="1"/>
    <col min="9" max="9" width="21.42578125" style="109" customWidth="1"/>
    <col min="10" max="10" width="1.5703125" style="109" customWidth="1"/>
    <col min="11" max="11" width="19.42578125" style="109" bestFit="1" customWidth="1"/>
    <col min="12" max="12" width="3.42578125" style="109" customWidth="1"/>
    <col min="13" max="13" width="22.5703125" style="109" customWidth="1"/>
    <col min="14" max="14" width="1.42578125" style="109" customWidth="1"/>
    <col min="15" max="15" width="22.140625" style="227" customWidth="1"/>
    <col min="16" max="16384" width="9.140625" style="109"/>
  </cols>
  <sheetData>
    <row r="1" spans="1:29" ht="15.75">
      <c r="A1" s="933" t="s">
        <v>116</v>
      </c>
    </row>
    <row r="2" spans="1:29" ht="15.75">
      <c r="A2" s="933" t="s">
        <v>116</v>
      </c>
    </row>
    <row r="3" spans="1:29" ht="18.75" customHeight="1">
      <c r="A3" s="1543" t="s">
        <v>389</v>
      </c>
      <c r="B3" s="1543"/>
      <c r="C3" s="1543"/>
      <c r="D3" s="1543"/>
      <c r="E3" s="1543"/>
      <c r="F3" s="1543"/>
      <c r="G3" s="1543"/>
      <c r="H3" s="1543"/>
      <c r="I3" s="1543"/>
      <c r="J3" s="1543"/>
      <c r="K3" s="1543"/>
      <c r="L3" s="1543"/>
      <c r="M3" s="1543"/>
    </row>
    <row r="4" spans="1:29" ht="18.75" customHeight="1">
      <c r="A4" s="1544" t="str">
        <f>"Cost of Service Formula Rate Using Actual/Projected FF1 Balances"</f>
        <v>Cost of Service Formula Rate Using Actual/Projected FF1 Balances</v>
      </c>
      <c r="B4" s="1544"/>
      <c r="C4" s="1544"/>
      <c r="D4" s="1544"/>
      <c r="E4" s="1544"/>
      <c r="F4" s="1544"/>
      <c r="G4" s="1544"/>
      <c r="H4" s="1544"/>
      <c r="I4" s="1544"/>
      <c r="J4" s="1544"/>
      <c r="K4" s="1544"/>
      <c r="L4" s="1544"/>
      <c r="M4" s="1544"/>
    </row>
    <row r="5" spans="1:29" ht="18.75" customHeight="1">
      <c r="A5" s="1544" t="s">
        <v>240</v>
      </c>
      <c r="B5" s="1544"/>
      <c r="C5" s="1544"/>
      <c r="D5" s="1544"/>
      <c r="E5" s="1544"/>
      <c r="F5" s="1544"/>
      <c r="G5" s="1544"/>
      <c r="H5" s="1544"/>
      <c r="I5" s="1544"/>
      <c r="J5" s="1544"/>
      <c r="K5" s="1544"/>
      <c r="L5" s="1544"/>
      <c r="M5" s="1544"/>
    </row>
    <row r="6" spans="1:29" ht="18.75" customHeight="1">
      <c r="A6" s="1551" t="str">
        <f>+TCOS!F9</f>
        <v>KINGSPORT POWER COMPANY</v>
      </c>
      <c r="B6" s="1551"/>
      <c r="C6" s="1551"/>
      <c r="D6" s="1551"/>
      <c r="E6" s="1551"/>
      <c r="F6" s="1551"/>
      <c r="G6" s="1551"/>
      <c r="H6" s="1551"/>
      <c r="I6" s="1551"/>
      <c r="J6" s="1551"/>
      <c r="K6" s="1551"/>
      <c r="L6" s="1551"/>
      <c r="M6" s="1551"/>
    </row>
    <row r="7" spans="1:29" ht="18" customHeight="1">
      <c r="A7" s="1555"/>
      <c r="B7" s="1555"/>
      <c r="C7" s="1555"/>
      <c r="D7" s="1555"/>
      <c r="E7" s="1555"/>
      <c r="F7" s="1555"/>
      <c r="G7" s="1555"/>
      <c r="H7" s="1555"/>
      <c r="I7" s="1555"/>
      <c r="J7" s="1555"/>
      <c r="K7" s="1555"/>
      <c r="L7" s="1555"/>
      <c r="M7" s="1555"/>
    </row>
    <row r="8" spans="1:29" ht="18" customHeight="1">
      <c r="A8" s="1583"/>
      <c r="B8" s="1583"/>
      <c r="C8" s="1583"/>
      <c r="D8" s="1583"/>
      <c r="E8" s="1583"/>
      <c r="F8" s="1583"/>
      <c r="G8" s="1583"/>
      <c r="H8" s="1583"/>
      <c r="I8" s="1583"/>
      <c r="J8" s="1583"/>
      <c r="K8" s="1583"/>
      <c r="L8" s="1583"/>
      <c r="M8" s="1583"/>
    </row>
    <row r="9" spans="1:29" ht="18" customHeight="1">
      <c r="A9" s="165"/>
      <c r="B9" s="165"/>
      <c r="C9" s="165"/>
      <c r="D9" s="165"/>
      <c r="E9" s="165" t="s">
        <v>116</v>
      </c>
      <c r="F9" s="165" t="s">
        <v>116</v>
      </c>
      <c r="G9" s="165"/>
      <c r="H9" s="165"/>
      <c r="I9" s="165"/>
      <c r="J9" s="165"/>
      <c r="K9" s="165"/>
      <c r="L9" s="165"/>
      <c r="M9" s="165"/>
    </row>
    <row r="10" spans="1:29" ht="19.5" customHeight="1">
      <c r="A10" s="111"/>
      <c r="B10" s="112"/>
      <c r="C10" s="37" t="s">
        <v>164</v>
      </c>
      <c r="E10" s="37" t="s">
        <v>165</v>
      </c>
      <c r="G10" s="37" t="s">
        <v>166</v>
      </c>
      <c r="I10" s="37" t="s">
        <v>167</v>
      </c>
      <c r="K10" s="37" t="s">
        <v>85</v>
      </c>
      <c r="M10" s="37" t="s">
        <v>86</v>
      </c>
    </row>
    <row r="11" spans="1:29" ht="18">
      <c r="A11" s="206"/>
      <c r="B11" s="207"/>
      <c r="C11" s="207"/>
      <c r="D11" s="207"/>
      <c r="E11"/>
      <c r="F11"/>
      <c r="G11"/>
      <c r="H11"/>
      <c r="I11"/>
      <c r="J11"/>
      <c r="K11"/>
      <c r="L11"/>
      <c r="M11"/>
      <c r="Q11" s="40"/>
      <c r="R11" s="40"/>
      <c r="S11" s="40"/>
      <c r="T11" s="40"/>
      <c r="U11" s="40"/>
      <c r="V11" s="40"/>
      <c r="W11" s="40"/>
      <c r="X11" s="40"/>
      <c r="Y11" s="40"/>
      <c r="Z11" s="40"/>
      <c r="AA11" s="40"/>
      <c r="AB11" s="40"/>
      <c r="AC11" s="40"/>
    </row>
    <row r="12" spans="1:29" ht="19.5">
      <c r="A12" s="206" t="s">
        <v>171</v>
      </c>
      <c r="B12" s="207"/>
      <c r="C12" s="207"/>
      <c r="D12" s="207"/>
      <c r="E12" s="208" t="s">
        <v>120</v>
      </c>
      <c r="F12" s="206"/>
      <c r="G12" s="206"/>
      <c r="H12" s="206"/>
      <c r="I12" s="206"/>
      <c r="J12" s="206"/>
      <c r="K12" s="117"/>
      <c r="L12" s="117"/>
      <c r="M12" s="209"/>
    </row>
    <row r="13" spans="1:29" ht="19.5">
      <c r="A13" s="210" t="s">
        <v>119</v>
      </c>
      <c r="B13" s="207"/>
      <c r="C13" s="210" t="s">
        <v>308</v>
      </c>
      <c r="D13" s="207"/>
      <c r="E13" s="211" t="s">
        <v>185</v>
      </c>
      <c r="F13" s="206"/>
      <c r="G13" s="210" t="s">
        <v>311</v>
      </c>
      <c r="H13" s="206"/>
      <c r="I13" s="210" t="s">
        <v>163</v>
      </c>
      <c r="J13" s="206"/>
      <c r="K13" s="212" t="s">
        <v>183</v>
      </c>
      <c r="L13" s="213"/>
      <c r="M13" s="212" t="s">
        <v>312</v>
      </c>
    </row>
    <row r="14" spans="1:29" ht="19.5">
      <c r="A14" s="113"/>
      <c r="B14" s="112"/>
      <c r="C14" s="108"/>
      <c r="D14" s="108"/>
      <c r="E14" s="108" t="s">
        <v>69</v>
      </c>
      <c r="F14" s="108"/>
      <c r="G14" s="108"/>
      <c r="H14" s="108"/>
      <c r="I14" s="108"/>
      <c r="J14" s="108"/>
      <c r="K14" s="107"/>
      <c r="L14" s="107"/>
    </row>
    <row r="15" spans="1:29" ht="19.5">
      <c r="A15" s="111"/>
      <c r="B15" s="112"/>
      <c r="C15" s="112"/>
      <c r="D15" s="112"/>
      <c r="E15" s="114"/>
      <c r="F15" s="110"/>
      <c r="G15" s="110"/>
      <c r="H15" s="110"/>
      <c r="I15" s="106"/>
      <c r="J15" s="110"/>
      <c r="K15" s="107"/>
      <c r="L15" s="107"/>
    </row>
    <row r="16" spans="1:29" ht="19.5">
      <c r="A16" s="111">
        <v>1</v>
      </c>
      <c r="B16" s="112"/>
      <c r="C16" s="115" t="s">
        <v>325</v>
      </c>
      <c r="D16" s="112"/>
      <c r="E16" s="107"/>
      <c r="F16" s="107"/>
      <c r="G16" s="134"/>
      <c r="H16" s="134"/>
      <c r="I16" s="134"/>
      <c r="J16" s="134"/>
      <c r="K16" s="134"/>
      <c r="L16" s="134"/>
      <c r="M16" s="116"/>
    </row>
    <row r="17" spans="1:15" ht="19.5">
      <c r="A17" s="111">
        <f>+A16+1</f>
        <v>2</v>
      </c>
      <c r="B17" s="112"/>
      <c r="C17" s="107" t="s">
        <v>309</v>
      </c>
      <c r="D17" s="112"/>
      <c r="E17" s="276">
        <f>'WS H-1-Detail of Tax Amts'!E15</f>
        <v>6649584</v>
      </c>
      <c r="F17" s="107"/>
      <c r="G17" s="134"/>
      <c r="H17" s="134"/>
      <c r="I17" s="134"/>
      <c r="J17" s="134"/>
      <c r="K17" s="134"/>
      <c r="L17" s="134"/>
      <c r="M17" s="116">
        <f>+E17</f>
        <v>6649584</v>
      </c>
    </row>
    <row r="18" spans="1:15" ht="19.5">
      <c r="A18" s="111"/>
      <c r="B18" s="112"/>
      <c r="C18" s="117"/>
      <c r="D18" s="112"/>
      <c r="E18" s="275"/>
      <c r="F18" s="107"/>
      <c r="G18" s="134"/>
      <c r="H18" s="134"/>
      <c r="I18" s="134"/>
      <c r="J18" s="134"/>
      <c r="K18" s="134"/>
      <c r="L18" s="134"/>
      <c r="M18" s="116"/>
    </row>
    <row r="19" spans="1:15" ht="18">
      <c r="A19" s="1119">
        <f>+A17+1</f>
        <v>3</v>
      </c>
      <c r="B19" s="1120"/>
      <c r="C19" s="1121" t="s">
        <v>326</v>
      </c>
      <c r="D19" s="1120"/>
      <c r="E19" s="1122"/>
      <c r="F19" s="1123"/>
      <c r="G19" s="1124"/>
      <c r="H19" s="1117"/>
      <c r="I19" s="1117"/>
      <c r="J19" s="1117"/>
      <c r="K19" s="1117"/>
      <c r="L19" s="1117"/>
      <c r="M19" s="1118"/>
    </row>
    <row r="20" spans="1:15" ht="18">
      <c r="A20" s="1119">
        <f>+A19+1</f>
        <v>4</v>
      </c>
      <c r="B20" s="1120"/>
      <c r="C20" s="1123" t="s">
        <v>600</v>
      </c>
      <c r="D20" s="1123"/>
      <c r="E20" s="1125">
        <f>'WS H-1-Detail of Tax Amts'!E27</f>
        <v>862572.7899999998</v>
      </c>
      <c r="F20" s="1123"/>
      <c r="G20" s="1124">
        <f>+E20</f>
        <v>862572.7899999998</v>
      </c>
      <c r="H20" s="1117"/>
      <c r="I20" s="1117"/>
      <c r="J20" s="1117"/>
      <c r="K20" s="1117"/>
      <c r="L20" s="1117"/>
      <c r="M20" s="1118"/>
      <c r="O20"/>
    </row>
    <row r="21" spans="1:15" ht="18">
      <c r="A21" s="1119">
        <f>+A20+1</f>
        <v>5</v>
      </c>
      <c r="B21" s="1120"/>
      <c r="C21" s="1123" t="s">
        <v>465</v>
      </c>
      <c r="D21" s="1123"/>
      <c r="E21" s="1125">
        <f>'WS H-1-Detail of Tax Amts'!E33</f>
        <v>0</v>
      </c>
      <c r="F21" s="1123"/>
      <c r="G21" s="1124">
        <f>+E21</f>
        <v>0</v>
      </c>
      <c r="H21" s="1117"/>
      <c r="I21" s="1117"/>
      <c r="J21" s="1117"/>
      <c r="K21" s="1117"/>
      <c r="L21" s="1117"/>
      <c r="M21" s="1118"/>
      <c r="O21"/>
    </row>
    <row r="22" spans="1:15" ht="18">
      <c r="A22" s="1119">
        <f>+A21+1</f>
        <v>6</v>
      </c>
      <c r="B22" s="1120"/>
      <c r="C22" s="1123" t="s">
        <v>912</v>
      </c>
      <c r="D22" s="1125"/>
      <c r="E22" s="1125">
        <f>'WS H-1-Detail of Tax Amts'!E44</f>
        <v>0</v>
      </c>
      <c r="F22" s="1123"/>
      <c r="G22" s="1124">
        <f>+E22</f>
        <v>0</v>
      </c>
      <c r="H22" s="1117"/>
      <c r="I22" s="1117"/>
      <c r="J22" s="1117"/>
      <c r="K22" s="1117"/>
      <c r="L22" s="1117"/>
      <c r="M22" s="1118"/>
      <c r="O22"/>
    </row>
    <row r="23" spans="1:15" ht="18">
      <c r="A23" s="1119">
        <f>+A22+1</f>
        <v>7</v>
      </c>
      <c r="B23" s="1120"/>
      <c r="C23" s="1123" t="s">
        <v>913</v>
      </c>
      <c r="D23" s="1125"/>
      <c r="E23" s="1125">
        <f>'WS H-1-Detail of Tax Amts'!E50</f>
        <v>0</v>
      </c>
      <c r="F23" s="1123"/>
      <c r="G23" s="1124">
        <f>E23</f>
        <v>0</v>
      </c>
      <c r="H23" s="1117"/>
      <c r="I23" s="1117"/>
      <c r="J23" s="1117"/>
      <c r="K23" s="1117"/>
      <c r="L23" s="1117"/>
      <c r="M23" s="1118"/>
      <c r="O23"/>
    </row>
    <row r="24" spans="1:15" ht="19.5">
      <c r="A24" s="111"/>
      <c r="B24" s="112"/>
      <c r="C24" s="117"/>
      <c r="D24" s="112"/>
      <c r="E24" s="275"/>
      <c r="F24" s="107"/>
      <c r="G24" s="134"/>
      <c r="H24" s="134"/>
      <c r="I24" s="134"/>
      <c r="J24" s="134"/>
      <c r="K24" s="134"/>
      <c r="L24" s="134"/>
      <c r="M24" s="116"/>
      <c r="O24" s="228"/>
    </row>
    <row r="25" spans="1:15" ht="19.5">
      <c r="A25" s="111">
        <f>+A23+1</f>
        <v>8</v>
      </c>
      <c r="B25" s="112"/>
      <c r="C25" s="115" t="s">
        <v>327</v>
      </c>
      <c r="D25" s="112"/>
      <c r="E25" s="275"/>
      <c r="F25" s="107"/>
      <c r="G25" s="134"/>
      <c r="H25" s="134"/>
      <c r="I25" s="134"/>
      <c r="J25" s="134"/>
      <c r="K25" s="134"/>
      <c r="L25" s="134"/>
      <c r="M25" s="116"/>
      <c r="O25" s="228"/>
    </row>
    <row r="26" spans="1:15" ht="19.5">
      <c r="A26" s="111">
        <f>+A25+1</f>
        <v>9</v>
      </c>
      <c r="B26" s="112"/>
      <c r="C26" s="110" t="s">
        <v>323</v>
      </c>
      <c r="D26" s="112"/>
      <c r="E26" s="276">
        <f>'WS H-1-Detail of Tax Amts'!E61</f>
        <v>221943</v>
      </c>
      <c r="F26" s="107"/>
      <c r="G26" s="134"/>
      <c r="H26" s="134"/>
      <c r="I26" s="134">
        <f>+E26</f>
        <v>221943</v>
      </c>
      <c r="J26" s="134"/>
      <c r="K26" s="134"/>
      <c r="L26" s="134"/>
      <c r="M26" s="116"/>
      <c r="O26" s="228"/>
    </row>
    <row r="27" spans="1:15" ht="19.5">
      <c r="A27" s="111">
        <f>+A26+1</f>
        <v>10</v>
      </c>
      <c r="B27" s="112"/>
      <c r="C27" s="110" t="s">
        <v>316</v>
      </c>
      <c r="D27" s="112"/>
      <c r="E27" s="276">
        <f>'WS H-1-Detail of Tax Amts'!E63</f>
        <v>0</v>
      </c>
      <c r="F27" s="107"/>
      <c r="G27" s="107"/>
      <c r="H27" s="107"/>
      <c r="I27" s="116">
        <f>+E27</f>
        <v>0</v>
      </c>
      <c r="J27" s="110"/>
      <c r="K27" s="107"/>
      <c r="L27" s="107"/>
      <c r="M27" s="116"/>
    </row>
    <row r="28" spans="1:15" ht="19.5">
      <c r="A28" s="111">
        <f>+A27+1</f>
        <v>11</v>
      </c>
      <c r="B28" s="112"/>
      <c r="C28" s="110" t="s">
        <v>317</v>
      </c>
      <c r="D28" s="112"/>
      <c r="E28" s="276">
        <f>'WS H-1-Detail of Tax Amts'!E65</f>
        <v>1016</v>
      </c>
      <c r="F28" s="107"/>
      <c r="G28" s="107"/>
      <c r="H28" s="107"/>
      <c r="I28" s="116">
        <f>+E28</f>
        <v>1016</v>
      </c>
      <c r="J28" s="114"/>
      <c r="K28" s="107"/>
      <c r="L28" s="107"/>
      <c r="M28" s="116"/>
    </row>
    <row r="29" spans="1:15" ht="19.5">
      <c r="A29" s="111" t="s">
        <v>116</v>
      </c>
      <c r="B29" s="112"/>
      <c r="C29" s="107"/>
      <c r="D29" s="112"/>
      <c r="E29" s="275"/>
      <c r="F29" s="107"/>
      <c r="G29" s="107"/>
      <c r="H29" s="107"/>
      <c r="I29" s="126"/>
      <c r="J29" s="127"/>
      <c r="K29" s="130"/>
      <c r="L29" s="130"/>
      <c r="M29" s="116"/>
    </row>
    <row r="30" spans="1:15" ht="19.5">
      <c r="A30" s="111">
        <f>A28+1</f>
        <v>12</v>
      </c>
      <c r="B30" s="112"/>
      <c r="C30" s="115" t="s">
        <v>442</v>
      </c>
      <c r="D30" s="112"/>
      <c r="E30" s="275"/>
      <c r="F30" s="107"/>
      <c r="G30" s="107"/>
      <c r="H30" s="107"/>
      <c r="I30" s="126"/>
      <c r="J30" s="127"/>
      <c r="K30" s="130"/>
      <c r="L30" s="130"/>
      <c r="M30" s="116"/>
    </row>
    <row r="31" spans="1:15" ht="19.5">
      <c r="A31" s="111">
        <f>A30+1</f>
        <v>13</v>
      </c>
      <c r="B31" s="112"/>
      <c r="C31" s="122" t="s">
        <v>443</v>
      </c>
      <c r="D31" s="230"/>
      <c r="E31" s="276">
        <f>'WS H-1-Detail of Tax Amts'!E71</f>
        <v>0</v>
      </c>
      <c r="F31" s="122"/>
      <c r="G31" s="107"/>
      <c r="H31" s="107"/>
      <c r="I31" s="126"/>
      <c r="J31" s="127"/>
      <c r="K31" s="130"/>
      <c r="L31" s="130"/>
      <c r="M31" s="116">
        <f>E31</f>
        <v>0</v>
      </c>
    </row>
    <row r="32" spans="1:15" ht="19.5">
      <c r="A32" s="111"/>
      <c r="B32" s="112"/>
      <c r="C32" s="107"/>
      <c r="D32" s="112"/>
      <c r="E32" s="275"/>
      <c r="F32" s="107"/>
      <c r="G32" s="107"/>
      <c r="H32" s="107"/>
      <c r="I32" s="126"/>
      <c r="J32" s="127"/>
      <c r="K32" s="130"/>
      <c r="L32" s="130"/>
      <c r="M32" s="116"/>
    </row>
    <row r="33" spans="1:13" ht="19.5">
      <c r="A33" s="119">
        <f>+A31+1</f>
        <v>14</v>
      </c>
      <c r="B33" s="120"/>
      <c r="C33" s="115" t="s">
        <v>324</v>
      </c>
      <c r="D33" s="121"/>
      <c r="E33" s="275"/>
      <c r="F33" s="107"/>
      <c r="G33" s="116"/>
      <c r="H33" s="116"/>
      <c r="I33" s="116"/>
      <c r="J33" s="116"/>
      <c r="K33" s="116"/>
      <c r="L33" s="116"/>
      <c r="M33" s="116"/>
    </row>
    <row r="34" spans="1:13" ht="19.5">
      <c r="A34" s="119">
        <f>A33+1</f>
        <v>15</v>
      </c>
      <c r="B34" s="120"/>
      <c r="C34" s="107" t="s">
        <v>861</v>
      </c>
      <c r="D34" s="121"/>
      <c r="E34" s="276">
        <f>'WS H-1-Detail of Tax Amts'!E75</f>
        <v>0</v>
      </c>
      <c r="F34" s="122"/>
      <c r="G34" s="116"/>
      <c r="H34" s="116"/>
      <c r="I34" s="116"/>
      <c r="J34" s="116"/>
      <c r="K34" s="116"/>
      <c r="L34" s="116"/>
      <c r="M34" s="116">
        <f>E34</f>
        <v>0</v>
      </c>
    </row>
    <row r="35" spans="1:13" ht="19.5">
      <c r="A35" s="111">
        <f>A34+1</f>
        <v>16</v>
      </c>
      <c r="B35" s="112"/>
      <c r="C35" s="107"/>
      <c r="D35" s="112"/>
      <c r="E35" s="162">
        <f>'WS H-1-Detail of Tax Amts'!E79</f>
        <v>0</v>
      </c>
      <c r="F35" s="107"/>
      <c r="G35" s="116"/>
      <c r="H35" s="116"/>
      <c r="I35" s="116"/>
      <c r="J35" s="116"/>
      <c r="K35" s="116">
        <f>+E35</f>
        <v>0</v>
      </c>
      <c r="L35" s="116"/>
      <c r="M35" s="116"/>
    </row>
    <row r="36" spans="1:13" ht="19.5">
      <c r="A36" s="111">
        <f t="shared" ref="A36:A42" si="0">+A35+1</f>
        <v>17</v>
      </c>
      <c r="B36" s="112"/>
      <c r="C36" s="107" t="s">
        <v>1098</v>
      </c>
      <c r="D36"/>
      <c r="E36" s="162">
        <f>'WS H-1-Detail of Tax Amts'!E83</f>
        <v>4282920</v>
      </c>
      <c r="F36" s="107"/>
      <c r="G36" s="162"/>
      <c r="H36" s="162"/>
      <c r="I36" s="162"/>
      <c r="J36" s="162"/>
      <c r="K36" s="116">
        <f>+E36</f>
        <v>4282920</v>
      </c>
      <c r="L36" s="162"/>
      <c r="M36" s="116"/>
    </row>
    <row r="37" spans="1:13" ht="19.5">
      <c r="A37" s="111">
        <f>+A36+1</f>
        <v>18</v>
      </c>
      <c r="B37" s="112"/>
      <c r="C37" s="107" t="s">
        <v>1099</v>
      </c>
      <c r="D37"/>
      <c r="E37" s="162">
        <f>'WS H-1-Detail of Tax Amts'!E93</f>
        <v>0</v>
      </c>
      <c r="F37" s="107"/>
      <c r="G37" s="116"/>
      <c r="H37" s="116"/>
      <c r="I37" s="116"/>
      <c r="J37" s="116"/>
      <c r="K37" s="116">
        <f>+E37</f>
        <v>0</v>
      </c>
      <c r="L37" s="116"/>
      <c r="M37" s="116"/>
    </row>
    <row r="38" spans="1:13" ht="19.5">
      <c r="A38" s="111">
        <f t="shared" si="0"/>
        <v>19</v>
      </c>
      <c r="B38" s="112"/>
      <c r="C38" s="107" t="s">
        <v>1100</v>
      </c>
      <c r="D38" s="112"/>
      <c r="E38" s="162">
        <f>'WS H-1-Detail of Tax Amts'!E100</f>
        <v>0</v>
      </c>
      <c r="F38" s="107"/>
      <c r="G38" s="116"/>
      <c r="H38" s="116"/>
      <c r="I38" s="116"/>
      <c r="J38" s="116"/>
      <c r="K38" s="116">
        <f>+E38</f>
        <v>0</v>
      </c>
      <c r="L38" s="116"/>
      <c r="M38" s="116"/>
    </row>
    <row r="39" spans="1:13" ht="19.5">
      <c r="A39" s="111">
        <f t="shared" si="0"/>
        <v>20</v>
      </c>
      <c r="B39" s="112"/>
      <c r="C39" s="107" t="s">
        <v>1101</v>
      </c>
      <c r="D39" s="112"/>
      <c r="E39" s="162">
        <f>'WS H-1-Detail of Tax Amts'!E103</f>
        <v>1367</v>
      </c>
      <c r="F39" s="122"/>
      <c r="G39" s="116"/>
      <c r="H39" s="116"/>
      <c r="I39" s="116"/>
      <c r="J39" s="116"/>
      <c r="K39" s="116"/>
      <c r="L39" s="116"/>
      <c r="M39" s="116">
        <f>+E39</f>
        <v>1367</v>
      </c>
    </row>
    <row r="40" spans="1:13" ht="19.5">
      <c r="A40" s="111">
        <f t="shared" si="0"/>
        <v>21</v>
      </c>
      <c r="B40" s="107"/>
      <c r="C40" s="107"/>
      <c r="D40" s="107"/>
      <c r="E40" s="162">
        <f>'WS H-1-Detail of Tax Amts'!E109</f>
        <v>0</v>
      </c>
      <c r="F40" s="107"/>
      <c r="G40" s="116"/>
      <c r="H40" s="116"/>
      <c r="I40" s="116"/>
      <c r="J40" s="116"/>
      <c r="K40" s="116"/>
      <c r="L40" s="116"/>
      <c r="M40" s="116">
        <f>+E40</f>
        <v>0</v>
      </c>
    </row>
    <row r="41" spans="1:13" ht="19.5">
      <c r="A41" s="111">
        <f t="shared" si="0"/>
        <v>22</v>
      </c>
      <c r="B41" s="107"/>
      <c r="C41" s="133"/>
      <c r="D41" s="122"/>
      <c r="E41" s="162">
        <f>'WS H-1-Detail of Tax Amts'!E112</f>
        <v>0</v>
      </c>
      <c r="F41" s="122"/>
      <c r="G41" s="116"/>
      <c r="H41" s="116"/>
      <c r="I41" s="116"/>
      <c r="J41" s="116"/>
      <c r="K41" s="116"/>
      <c r="L41" s="116"/>
      <c r="M41" s="116">
        <f>+E41</f>
        <v>0</v>
      </c>
    </row>
    <row r="42" spans="1:13" ht="19.5">
      <c r="A42" s="111">
        <f t="shared" si="0"/>
        <v>23</v>
      </c>
      <c r="B42" s="107"/>
      <c r="C42" s="133"/>
      <c r="D42" s="122"/>
      <c r="E42" s="162"/>
      <c r="F42" s="122"/>
      <c r="G42" s="116"/>
      <c r="H42" s="116"/>
      <c r="I42" s="116"/>
      <c r="J42" s="116"/>
      <c r="K42" s="116"/>
      <c r="L42" s="116"/>
      <c r="M42" s="116"/>
    </row>
    <row r="43" spans="1:13" ht="20.25" thickBot="1">
      <c r="A43" s="111">
        <f>A42+1</f>
        <v>24</v>
      </c>
      <c r="B43" s="238"/>
      <c r="C43" s="107" t="s">
        <v>313</v>
      </c>
      <c r="D43"/>
      <c r="E43" s="132">
        <f>SUM(E17:E41)</f>
        <v>12019402.789999999</v>
      </c>
      <c r="F43" s="107"/>
      <c r="G43" s="132">
        <f>SUM(G17:G41)</f>
        <v>862572.7899999998</v>
      </c>
      <c r="H43" s="125"/>
      <c r="I43" s="132">
        <f>SUM(I17:I41)</f>
        <v>222959</v>
      </c>
      <c r="J43" s="128"/>
      <c r="K43" s="132">
        <f>SUM(K17:K41)</f>
        <v>4282920</v>
      </c>
      <c r="L43" s="131"/>
      <c r="M43" s="132">
        <f>SUM(M17:M41)</f>
        <v>6650951</v>
      </c>
    </row>
    <row r="44" spans="1:13" ht="20.25" thickTop="1">
      <c r="A44" s="6"/>
      <c r="B44" s="238"/>
      <c r="C44" s="107" t="s">
        <v>383</v>
      </c>
      <c r="D44"/>
      <c r="E44"/>
      <c r="F44" s="107"/>
      <c r="G44" s="125"/>
      <c r="H44" s="125"/>
      <c r="I44" s="128"/>
      <c r="J44" s="129"/>
      <c r="K44" s="131"/>
      <c r="L44" s="131"/>
      <c r="M44" s="131"/>
    </row>
    <row r="45" spans="1:13" ht="19.5">
      <c r="A45" s="6"/>
      <c r="B45" s="238"/>
      <c r="C45" s="122" t="s">
        <v>80</v>
      </c>
      <c r="D45"/>
      <c r="E45"/>
      <c r="F45" s="107"/>
      <c r="G45" s="125"/>
      <c r="H45" s="125"/>
      <c r="I45" s="128"/>
      <c r="J45" s="129"/>
      <c r="K45" s="131"/>
      <c r="L45" s="131"/>
      <c r="M45" s="131"/>
    </row>
    <row r="46" spans="1:13" ht="19.5">
      <c r="A46" s="6"/>
      <c r="B46" s="238"/>
      <c r="C46" s="1585" t="s">
        <v>464</v>
      </c>
      <c r="D46" s="1585"/>
      <c r="E46" s="1585"/>
      <c r="F46" s="1585"/>
      <c r="G46" s="1585"/>
      <c r="H46" s="1585"/>
      <c r="I46" s="1585"/>
      <c r="J46" s="1585"/>
      <c r="K46" s="1585"/>
      <c r="L46" s="1585"/>
      <c r="M46" s="1585"/>
    </row>
    <row r="47" spans="1:13" ht="19.5">
      <c r="A47" s="111"/>
      <c r="C47" s="107"/>
      <c r="D47" s="107"/>
      <c r="E47" s="136" t="s">
        <v>231</v>
      </c>
      <c r="G47" s="136" t="s">
        <v>335</v>
      </c>
      <c r="H47" s="136"/>
      <c r="I47" s="136" t="s">
        <v>440</v>
      </c>
      <c r="J47" s="136"/>
      <c r="K47" s="136" t="s">
        <v>336</v>
      </c>
      <c r="L47" s="136"/>
      <c r="M47" s="136" t="s">
        <v>120</v>
      </c>
    </row>
    <row r="48" spans="1:13" ht="19.5">
      <c r="A48" s="158">
        <f>+A43+1</f>
        <v>25</v>
      </c>
      <c r="B48" s="159"/>
      <c r="C48" s="252" t="str">
        <f>"Functionalized Net Plant (TCOS, Lns "&amp;TCOS!B90&amp;" thru "&amp;TCOS!B95&amp;")"</f>
        <v>Functionalized Net Plant (TCOS, Lns 41 thru 46)</v>
      </c>
      <c r="D48" s="122"/>
      <c r="E48" s="253">
        <f>+TCOS!G90</f>
        <v>0</v>
      </c>
      <c r="F48" s="252"/>
      <c r="G48" s="253">
        <f>+TCOS!G91</f>
        <v>50488148.291538462</v>
      </c>
      <c r="H48" s="252"/>
      <c r="I48" s="253">
        <f>+TCOS!G92</f>
        <v>167988352.70692301</v>
      </c>
      <c r="J48" s="252"/>
      <c r="K48" s="254">
        <f>+TCOS!G93</f>
        <v>11958354.750000002</v>
      </c>
      <c r="L48" s="122"/>
      <c r="M48" s="160">
        <f>SUM(E48:K48)</f>
        <v>230434855.74846148</v>
      </c>
    </row>
    <row r="49" spans="1:21" ht="19.5">
      <c r="A49" s="158"/>
      <c r="B49" s="159"/>
      <c r="C49" s="1273" t="s">
        <v>910</v>
      </c>
      <c r="D49" s="122"/>
      <c r="E49" s="160"/>
      <c r="F49" s="122"/>
      <c r="G49" s="222"/>
      <c r="H49" s="122"/>
      <c r="I49" s="160"/>
      <c r="J49" s="122"/>
      <c r="K49" s="161"/>
      <c r="L49" s="122"/>
      <c r="M49" s="226"/>
    </row>
    <row r="50" spans="1:21" ht="19.5">
      <c r="A50" s="158">
        <f>+A48+1</f>
        <v>26</v>
      </c>
      <c r="B50" s="159"/>
      <c r="C50" s="122" t="str">
        <f>"Percentage of Plant in "&amp;C49&amp;""</f>
        <v>Percentage of Plant in TENNESSEE JURISDICTION</v>
      </c>
      <c r="D50" s="122"/>
      <c r="E50" s="889">
        <v>0</v>
      </c>
      <c r="F50" s="316"/>
      <c r="G50" s="889">
        <v>1</v>
      </c>
      <c r="H50" s="316"/>
      <c r="I50" s="889">
        <v>1</v>
      </c>
      <c r="J50" s="222"/>
      <c r="K50" s="889">
        <v>1</v>
      </c>
      <c r="L50" s="122"/>
      <c r="M50" s="226"/>
    </row>
    <row r="51" spans="1:21" ht="19.5">
      <c r="A51" s="158">
        <f t="shared" ref="A51:A57" si="1">+A50+1</f>
        <v>27</v>
      </c>
      <c r="B51" s="159"/>
      <c r="C51" s="252" t="str">
        <f>"Net Plant in "&amp;C49&amp;" (Ln "&amp;A48&amp;" * Ln "&amp;A50&amp;")"</f>
        <v>Net Plant in TENNESSEE JURISDICTION (Ln 25 * Ln 26)</v>
      </c>
      <c r="D51" s="122"/>
      <c r="E51" s="160">
        <f>+E48*E50</f>
        <v>0</v>
      </c>
      <c r="F51" s="122"/>
      <c r="G51" s="160">
        <f>+G48*G50</f>
        <v>50488148.291538462</v>
      </c>
      <c r="H51" s="122"/>
      <c r="I51" s="160">
        <f>+I48*I50</f>
        <v>167988352.70692301</v>
      </c>
      <c r="J51" s="122"/>
      <c r="K51" s="160">
        <f>+K48*K50</f>
        <v>11958354.750000002</v>
      </c>
      <c r="L51" s="122"/>
      <c r="M51" s="160">
        <f>SUM(E51:K51)</f>
        <v>230434855.74846148</v>
      </c>
      <c r="O51"/>
    </row>
    <row r="52" spans="1:21" ht="19.5">
      <c r="A52" s="158">
        <f t="shared" si="1"/>
        <v>28</v>
      </c>
      <c r="B52" s="159"/>
      <c r="C52" s="252" t="s">
        <v>227</v>
      </c>
      <c r="D52" s="122"/>
      <c r="E52" s="890">
        <v>0</v>
      </c>
      <c r="F52" s="122"/>
      <c r="G52" s="220"/>
      <c r="H52" s="122"/>
      <c r="I52" s="220"/>
      <c r="J52" s="122"/>
      <c r="K52" s="221"/>
      <c r="L52" s="122"/>
      <c r="M52" s="160"/>
      <c r="O52"/>
    </row>
    <row r="53" spans="1:21" ht="19.5">
      <c r="A53" s="158">
        <f t="shared" si="1"/>
        <v>29</v>
      </c>
      <c r="B53" s="159"/>
      <c r="C53" s="122" t="str">
        <f>"Taxable Property Basis (Ln "&amp;A51&amp;" - Ln "&amp;A52&amp;")"</f>
        <v>Taxable Property Basis (Ln 27 - Ln 28)</v>
      </c>
      <c r="D53" s="122"/>
      <c r="E53" s="160">
        <f>+E51-E52</f>
        <v>0</v>
      </c>
      <c r="F53" s="122"/>
      <c r="G53" s="160">
        <f>+G51-G52</f>
        <v>50488148.291538462</v>
      </c>
      <c r="H53" s="122"/>
      <c r="I53" s="160">
        <f>+I51-I52</f>
        <v>167988352.70692301</v>
      </c>
      <c r="J53" s="122"/>
      <c r="K53" s="160">
        <f>+K51-K52</f>
        <v>11958354.750000002</v>
      </c>
      <c r="L53" s="122"/>
      <c r="M53" s="160">
        <f>SUM(E53:K53)</f>
        <v>230434855.74846148</v>
      </c>
      <c r="O53"/>
    </row>
    <row r="54" spans="1:21" ht="19.5">
      <c r="A54" s="158">
        <f t="shared" si="1"/>
        <v>30</v>
      </c>
      <c r="B54" s="159"/>
      <c r="C54" s="162" t="s">
        <v>463</v>
      </c>
      <c r="D54" s="122"/>
      <c r="E54" s="889">
        <v>0</v>
      </c>
      <c r="F54" s="316"/>
      <c r="G54" s="889">
        <v>1</v>
      </c>
      <c r="H54" s="316"/>
      <c r="I54" s="889">
        <v>1</v>
      </c>
      <c r="J54" s="222"/>
      <c r="K54" s="889">
        <v>1</v>
      </c>
      <c r="L54" s="122"/>
      <c r="M54" s="214">
        <f>SUM(E54:K54)</f>
        <v>3</v>
      </c>
      <c r="O54"/>
    </row>
    <row r="55" spans="1:21" ht="19.5">
      <c r="A55" s="158">
        <f t="shared" si="1"/>
        <v>31</v>
      </c>
      <c r="B55" s="159"/>
      <c r="C55" s="252" t="str">
        <f>"Weighted Net Plant (Ln "&amp;A53&amp;" * Ln "&amp;A54&amp;")"</f>
        <v>Weighted Net Plant (Ln 29 * Ln 30)</v>
      </c>
      <c r="D55" s="122"/>
      <c r="E55" s="160">
        <f>+E53*E54</f>
        <v>0</v>
      </c>
      <c r="F55" s="122"/>
      <c r="G55" s="160">
        <f>+G53*G54</f>
        <v>50488148.291538462</v>
      </c>
      <c r="H55" s="122"/>
      <c r="I55" s="160">
        <f>+I53*I54</f>
        <v>167988352.70692301</v>
      </c>
      <c r="J55" s="122"/>
      <c r="K55" s="160">
        <f>+K53*K54</f>
        <v>11958354.750000002</v>
      </c>
      <c r="L55" s="122"/>
      <c r="M55" s="160"/>
      <c r="O55"/>
      <c r="P55"/>
      <c r="Q55"/>
      <c r="R55"/>
      <c r="S55"/>
      <c r="T55"/>
      <c r="U55"/>
    </row>
    <row r="56" spans="1:21" ht="19.5">
      <c r="A56" s="158">
        <f t="shared" si="1"/>
        <v>32</v>
      </c>
      <c r="B56" s="159"/>
      <c r="C56" s="122" t="str">
        <f>+"General Plant Allocator (Ln "&amp;A55&amp;" / (Total - General Plant))"</f>
        <v>General Plant Allocator (Ln 31 / (Total - General Plant))</v>
      </c>
      <c r="D56" s="122"/>
      <c r="E56" s="163">
        <f>IF(E54=0,0,+E55/($E55+$G55+$I55))</f>
        <v>0</v>
      </c>
      <c r="F56" s="122"/>
      <c r="G56" s="163">
        <f>IF(G54=0,0,+G55/($E55+$G55+$I55))</f>
        <v>0.23109189345674297</v>
      </c>
      <c r="H56" s="122"/>
      <c r="I56" s="163">
        <f>IF(I54=0,0,+I55/($E55+$G55+$I55))</f>
        <v>0.76890810654325692</v>
      </c>
      <c r="J56" s="122"/>
      <c r="K56" s="163">
        <v>-1</v>
      </c>
      <c r="L56" s="122"/>
      <c r="M56" s="122"/>
      <c r="O56"/>
      <c r="P56"/>
      <c r="Q56"/>
      <c r="R56"/>
      <c r="S56"/>
      <c r="T56"/>
      <c r="U56"/>
    </row>
    <row r="57" spans="1:21" ht="19.5">
      <c r="A57" s="158">
        <f t="shared" si="1"/>
        <v>33</v>
      </c>
      <c r="B57" s="159"/>
      <c r="C57" s="122" t="str">
        <f>"Functionalized General Plant (Ln "&amp;A56&amp;" * General Plant)"</f>
        <v>Functionalized General Plant (Ln 32 * General Plant)</v>
      </c>
      <c r="D57" s="122"/>
      <c r="E57" s="164">
        <f>ROUND($K55*E56,0)</f>
        <v>0</v>
      </c>
      <c r="F57" s="122"/>
      <c r="G57" s="164">
        <f>+G56*K55</f>
        <v>2763478.8418049365</v>
      </c>
      <c r="H57" s="122"/>
      <c r="I57" s="164">
        <f>ROUND($K55*I56,0)</f>
        <v>9194876</v>
      </c>
      <c r="J57" s="122"/>
      <c r="K57" s="164">
        <f>ROUND($K55*K56,0)</f>
        <v>-11958355</v>
      </c>
      <c r="L57" s="122"/>
      <c r="M57" s="160">
        <f>IF(SUM(E57:K57)&lt;&gt;0,0,0)</f>
        <v>0</v>
      </c>
      <c r="O57"/>
      <c r="P57"/>
      <c r="Q57"/>
      <c r="R57"/>
      <c r="S57"/>
      <c r="T57"/>
      <c r="U57"/>
    </row>
    <row r="58" spans="1:21" ht="19.5">
      <c r="A58" s="158">
        <f>+A57+1</f>
        <v>34</v>
      </c>
      <c r="B58" s="159"/>
      <c r="C58" s="122" t="str">
        <f>"Weighted "&amp;C49&amp;" Plant (Ln "&amp;A55&amp;" + "&amp;A57&amp;")"</f>
        <v>Weighted TENNESSEE JURISDICTION Plant (Ln 31 + 33)</v>
      </c>
      <c r="D58" s="122"/>
      <c r="E58" s="160">
        <f>+E55+E57</f>
        <v>0</v>
      </c>
      <c r="F58" s="122"/>
      <c r="G58" s="161">
        <f>+G55+G57</f>
        <v>53251627.133343399</v>
      </c>
      <c r="H58" s="122"/>
      <c r="I58" s="160">
        <f>+I55+I57</f>
        <v>177183228.70692301</v>
      </c>
      <c r="J58" s="122"/>
      <c r="K58" s="160">
        <f>+K55+K57</f>
        <v>-0.24999999813735485</v>
      </c>
      <c r="L58" s="122"/>
      <c r="M58" s="160">
        <f>SUM(E58:K58)-SUM(E57:K57)</f>
        <v>230434855.74846148</v>
      </c>
      <c r="O58"/>
    </row>
    <row r="59" spans="1:21" ht="19.5">
      <c r="A59" s="158">
        <f>+A58+1</f>
        <v>35</v>
      </c>
      <c r="B59" s="159"/>
      <c r="C59" s="122" t="str">
        <f>"Functional Percentage (Ln "&amp;A58&amp;"/Total Ln "&amp;A58&amp;")"</f>
        <v>Functional Percentage (Ln 34/Total Ln 34)</v>
      </c>
      <c r="D59" s="122"/>
      <c r="E59" s="222">
        <f>+E58/M58</f>
        <v>0</v>
      </c>
      <c r="F59" s="122"/>
      <c r="G59" s="223">
        <f>+G58/M58</f>
        <v>0.23109189345674297</v>
      </c>
      <c r="H59" s="122"/>
      <c r="I59" s="222">
        <f>+I58/M58</f>
        <v>0.76890810694165557</v>
      </c>
      <c r="J59" s="122"/>
      <c r="K59"/>
      <c r="L59" s="122"/>
      <c r="M59" s="160"/>
      <c r="O59"/>
    </row>
    <row r="60" spans="1:21" ht="19.5" hidden="1">
      <c r="A60" s="158"/>
      <c r="B60" s="159"/>
      <c r="C60" s="1273" t="s">
        <v>862</v>
      </c>
      <c r="D60" s="122"/>
      <c r="E60" s="160"/>
      <c r="F60" s="122"/>
      <c r="G60" s="160"/>
      <c r="H60" s="122"/>
      <c r="I60" s="160"/>
      <c r="J60" s="122"/>
      <c r="K60" s="161"/>
      <c r="L60" s="122"/>
      <c r="M60" s="160"/>
      <c r="O60"/>
    </row>
    <row r="61" spans="1:21" ht="19.5" hidden="1">
      <c r="A61" s="158">
        <f>+A59+1</f>
        <v>36</v>
      </c>
      <c r="B61" s="159"/>
      <c r="C61" s="122" t="str">
        <f>"Percentage of Plant in "&amp;C60&amp;""</f>
        <v>Percentage of Plant in STATE JURISDICTION #2</v>
      </c>
      <c r="D61" s="122"/>
      <c r="E61" s="889"/>
      <c r="F61" s="316"/>
      <c r="G61" s="889"/>
      <c r="H61" s="316"/>
      <c r="I61" s="889"/>
      <c r="J61" s="222"/>
      <c r="K61" s="889"/>
      <c r="L61" s="122"/>
      <c r="M61" s="219"/>
      <c r="O61"/>
    </row>
    <row r="62" spans="1:21" ht="19.5" hidden="1">
      <c r="A62" s="158">
        <f t="shared" ref="A62:A69" si="2">+A61+1</f>
        <v>37</v>
      </c>
      <c r="B62" s="159"/>
      <c r="C62" s="252" t="str">
        <f>"Net Plant in "&amp;C60&amp;" (Ln "&amp;A48&amp;" * Ln "&amp;A61&amp;")"</f>
        <v>Net Plant in STATE JURISDICTION #2 (Ln 25 * Ln 36)</v>
      </c>
      <c r="D62"/>
      <c r="E62" s="160">
        <f>+E61*E48</f>
        <v>0</v>
      </c>
      <c r="F62" s="122"/>
      <c r="G62" s="160">
        <f>+G61*G48</f>
        <v>0</v>
      </c>
      <c r="H62" s="122"/>
      <c r="I62" s="160">
        <f>+I61*I48</f>
        <v>0</v>
      </c>
      <c r="J62" s="122"/>
      <c r="K62" s="160">
        <f>+K61*K48</f>
        <v>0</v>
      </c>
      <c r="L62" s="122"/>
      <c r="M62" s="160">
        <f>SUM(E62:K62)</f>
        <v>0</v>
      </c>
      <c r="O62"/>
    </row>
    <row r="63" spans="1:21" ht="19.5" hidden="1">
      <c r="A63" s="158">
        <f t="shared" si="2"/>
        <v>38</v>
      </c>
      <c r="B63" s="159"/>
      <c r="C63" s="252" t="s">
        <v>227</v>
      </c>
      <c r="D63"/>
      <c r="E63" s="890"/>
      <c r="F63" s="122"/>
      <c r="G63" s="220"/>
      <c r="H63" s="122"/>
      <c r="I63" s="220"/>
      <c r="J63" s="122"/>
      <c r="K63" s="221"/>
      <c r="L63" s="122"/>
      <c r="M63" s="160"/>
      <c r="O63"/>
    </row>
    <row r="64" spans="1:21" ht="19.5" hidden="1">
      <c r="A64" s="158">
        <f t="shared" si="2"/>
        <v>39</v>
      </c>
      <c r="B64" s="159"/>
      <c r="C64" s="122" t="str">
        <f>"Taxable Property Basis (Ln "&amp;A62&amp;" - Ln "&amp;A63&amp;")"</f>
        <v>Taxable Property Basis (Ln 37 - Ln 38)</v>
      </c>
      <c r="D64"/>
      <c r="E64" s="160">
        <f>+E62-E63</f>
        <v>0</v>
      </c>
      <c r="F64" s="122"/>
      <c r="G64" s="160">
        <f>+G62-G63</f>
        <v>0</v>
      </c>
      <c r="H64" s="122"/>
      <c r="I64" s="160">
        <f>+I62-I63</f>
        <v>0</v>
      </c>
      <c r="J64" s="122"/>
      <c r="K64" s="160">
        <f>+K62-K63</f>
        <v>0</v>
      </c>
      <c r="L64" s="122"/>
      <c r="M64" s="160">
        <f>SUM(E64:K64)</f>
        <v>0</v>
      </c>
      <c r="O64"/>
    </row>
    <row r="65" spans="1:15" ht="19.5" hidden="1">
      <c r="A65" s="158">
        <f t="shared" si="2"/>
        <v>40</v>
      </c>
      <c r="B65" s="159"/>
      <c r="C65" s="162" t="s">
        <v>463</v>
      </c>
      <c r="D65"/>
      <c r="E65" s="889"/>
      <c r="F65" s="316"/>
      <c r="G65" s="889"/>
      <c r="H65" s="316"/>
      <c r="I65" s="889"/>
      <c r="J65" s="222"/>
      <c r="K65" s="889"/>
      <c r="L65" s="122"/>
      <c r="M65" s="214">
        <f>SUM(E65:K65)</f>
        <v>0</v>
      </c>
      <c r="O65"/>
    </row>
    <row r="66" spans="1:15" ht="19.5" hidden="1">
      <c r="A66" s="158">
        <f t="shared" si="2"/>
        <v>41</v>
      </c>
      <c r="B66" s="159"/>
      <c r="C66" s="252" t="str">
        <f>"Weighted Net Plant (Ln "&amp;A64&amp;" * Ln "&amp;A65&amp;")"</f>
        <v>Weighted Net Plant (Ln 39 * Ln 40)</v>
      </c>
      <c r="D66"/>
      <c r="E66" s="160">
        <f>+E64*E65</f>
        <v>0</v>
      </c>
      <c r="F66" s="122"/>
      <c r="G66" s="160">
        <f>+G64*G65</f>
        <v>0</v>
      </c>
      <c r="H66" s="122"/>
      <c r="I66" s="160">
        <f>+I64*I65</f>
        <v>0</v>
      </c>
      <c r="J66" s="122"/>
      <c r="K66" s="160">
        <f>+K64*K65</f>
        <v>0</v>
      </c>
      <c r="L66" s="122"/>
      <c r="M66" s="160"/>
      <c r="O66"/>
    </row>
    <row r="67" spans="1:15" ht="19.5" hidden="1">
      <c r="A67" s="158">
        <f t="shared" si="2"/>
        <v>42</v>
      </c>
      <c r="B67" s="159"/>
      <c r="C67" s="122" t="str">
        <f>+"General Plant Allocator (Ln "&amp;A66&amp;" / (Total - General Plant))"</f>
        <v>General Plant Allocator (Ln 41 / (Total - General Plant))</v>
      </c>
      <c r="D67" s="122"/>
      <c r="E67" s="163">
        <f>IF(E65=0,0,+E66/($E66+$G66+$I66))</f>
        <v>0</v>
      </c>
      <c r="F67" s="122"/>
      <c r="G67" s="163">
        <f>IF(G65=0,0,+G66/($E66+$G66+$I66))</f>
        <v>0</v>
      </c>
      <c r="H67" s="122"/>
      <c r="I67" s="163">
        <f>IF(I65=0,0,+I66/($E66+$G66+$I66))</f>
        <v>0</v>
      </c>
      <c r="J67" s="122"/>
      <c r="K67" s="163">
        <v>-1</v>
      </c>
      <c r="L67" s="122"/>
      <c r="M67" s="122"/>
      <c r="O67"/>
    </row>
    <row r="68" spans="1:15" ht="19.5" hidden="1">
      <c r="A68" s="158">
        <f t="shared" si="2"/>
        <v>43</v>
      </c>
      <c r="B68" s="159"/>
      <c r="C68" s="122" t="str">
        <f>"Functionalized General Plant (Ln "&amp;A67&amp;" * General Plant)"</f>
        <v>Functionalized General Plant (Ln 42 * General Plant)</v>
      </c>
      <c r="D68" s="122"/>
      <c r="E68" s="164">
        <f>ROUND($K66*E67,0)</f>
        <v>0</v>
      </c>
      <c r="F68" s="122"/>
      <c r="G68" s="164">
        <f>+G67*K66</f>
        <v>0</v>
      </c>
      <c r="H68" s="122"/>
      <c r="I68" s="164">
        <f>ROUND($K66*I67,0)</f>
        <v>0</v>
      </c>
      <c r="J68" s="122"/>
      <c r="K68" s="164">
        <f>ROUND($K66*K67,0)</f>
        <v>0</v>
      </c>
      <c r="L68" s="122"/>
      <c r="M68" s="160">
        <f>IF(SUM(E68:K68)&lt;&gt;0,0,0)</f>
        <v>0</v>
      </c>
      <c r="O68"/>
    </row>
    <row r="69" spans="1:15" ht="19.5" hidden="1">
      <c r="A69" s="158">
        <f t="shared" si="2"/>
        <v>44</v>
      </c>
      <c r="B69" s="159"/>
      <c r="C69" s="122" t="str">
        <f>"Weighted "&amp;C60&amp;" Plant (Ln "&amp;A66&amp;" + "&amp;A68&amp;")"</f>
        <v>Weighted STATE JURISDICTION #2 Plant (Ln 41 + 43)</v>
      </c>
      <c r="D69" s="122"/>
      <c r="E69" s="160">
        <f>+E66+E68</f>
        <v>0</v>
      </c>
      <c r="F69" s="122"/>
      <c r="G69" s="161">
        <f>+G66+G68</f>
        <v>0</v>
      </c>
      <c r="H69" s="122"/>
      <c r="I69" s="160">
        <f>+I66+I68</f>
        <v>0</v>
      </c>
      <c r="J69" s="122"/>
      <c r="K69" s="160">
        <f>+K66+K68</f>
        <v>0</v>
      </c>
      <c r="L69" s="122"/>
      <c r="M69" s="160">
        <f>SUM(E69:K69)-SUM(E68:K68)</f>
        <v>0</v>
      </c>
      <c r="O69"/>
    </row>
    <row r="70" spans="1:15" ht="19.5" hidden="1">
      <c r="A70" s="158">
        <f>+A69+1</f>
        <v>45</v>
      </c>
      <c r="B70" s="159"/>
      <c r="C70" s="122" t="str">
        <f>"Functional Percentage (Ln "&amp;A69&amp;"/Total Ln "&amp;A69&amp;")"</f>
        <v>Functional Percentage (Ln 44/Total Ln 44)</v>
      </c>
      <c r="D70" s="122"/>
      <c r="E70" s="222" t="e">
        <f>+E69/M69</f>
        <v>#DIV/0!</v>
      </c>
      <c r="F70" s="122"/>
      <c r="G70" s="223" t="e">
        <f>+G69/M69</f>
        <v>#DIV/0!</v>
      </c>
      <c r="H70" s="122"/>
      <c r="I70" s="222" t="e">
        <f>+I69/M69</f>
        <v>#DIV/0!</v>
      </c>
      <c r="J70" s="122"/>
      <c r="K70"/>
      <c r="L70" s="122"/>
      <c r="M70" s="160"/>
      <c r="O70"/>
    </row>
    <row r="71" spans="1:15" ht="19.5" hidden="1">
      <c r="A71" s="158"/>
      <c r="B71" s="159"/>
      <c r="C71" s="1273" t="s">
        <v>863</v>
      </c>
      <c r="D71" s="122"/>
      <c r="E71" s="321"/>
      <c r="F71" s="322"/>
      <c r="G71" s="323"/>
      <c r="H71" s="322"/>
      <c r="I71" s="321"/>
      <c r="J71" s="322"/>
      <c r="K71" s="319"/>
      <c r="L71" s="122"/>
      <c r="M71" s="160"/>
      <c r="O71"/>
    </row>
    <row r="72" spans="1:15" ht="19.5" hidden="1">
      <c r="A72" s="158">
        <f>+A70+1</f>
        <v>46</v>
      </c>
      <c r="B72" s="159"/>
      <c r="C72" s="122" t="str">
        <f>"Net Plant in "&amp;C71&amp;" (Ln "&amp;A48&amp;" - Ln "&amp;A51&amp;" - Ln "&amp;A62&amp;")"</f>
        <v>Net Plant in STATE JURISDICTION #3 (Ln 25 - Ln 27 - Ln 37)</v>
      </c>
      <c r="D72" s="122"/>
      <c r="E72" s="321">
        <f>+E48-E51-E62</f>
        <v>0</v>
      </c>
      <c r="F72" s="322"/>
      <c r="G72" s="321">
        <f>+G48-G51-G62</f>
        <v>0</v>
      </c>
      <c r="H72" s="322"/>
      <c r="I72" s="321">
        <f>+I48-I51-I62</f>
        <v>0</v>
      </c>
      <c r="J72" s="322"/>
      <c r="K72" s="321">
        <f>+K48-K51-K62</f>
        <v>0</v>
      </c>
      <c r="L72" s="122"/>
      <c r="M72" s="160">
        <f>SUM(E72:K72)</f>
        <v>0</v>
      </c>
      <c r="O72"/>
    </row>
    <row r="73" spans="1:15" ht="19.5" hidden="1">
      <c r="A73" s="158">
        <f t="shared" ref="A73:A79" si="3">+A72+1</f>
        <v>47</v>
      </c>
      <c r="B73" s="159"/>
      <c r="C73" s="122" t="s">
        <v>601</v>
      </c>
      <c r="D73" s="122"/>
      <c r="E73" s="890"/>
      <c r="F73" s="322"/>
      <c r="G73" s="324"/>
      <c r="H73" s="322"/>
      <c r="I73" s="324"/>
      <c r="J73" s="322"/>
      <c r="K73" s="325"/>
      <c r="L73" s="122"/>
      <c r="M73" s="160"/>
      <c r="O73"/>
    </row>
    <row r="74" spans="1:15" ht="19.5" hidden="1">
      <c r="A74" s="158">
        <f t="shared" si="3"/>
        <v>48</v>
      </c>
      <c r="B74" s="159"/>
      <c r="C74" s="122" t="s">
        <v>602</v>
      </c>
      <c r="D74" s="122"/>
      <c r="E74" s="321">
        <f>+E72-E73</f>
        <v>0</v>
      </c>
      <c r="F74" s="322"/>
      <c r="G74" s="321">
        <f>+G72-G73</f>
        <v>0</v>
      </c>
      <c r="H74" s="322"/>
      <c r="I74" s="321">
        <f>+I72-I73</f>
        <v>0</v>
      </c>
      <c r="J74" s="322"/>
      <c r="K74" s="321">
        <f>+K72-K73</f>
        <v>0</v>
      </c>
      <c r="L74" s="122"/>
      <c r="M74" s="160">
        <f>SUM(E74:K74)</f>
        <v>0</v>
      </c>
      <c r="O74"/>
    </row>
    <row r="75" spans="1:15" ht="19.5" hidden="1">
      <c r="A75" s="158">
        <f t="shared" si="3"/>
        <v>49</v>
      </c>
      <c r="B75" s="159"/>
      <c r="C75" s="162" t="s">
        <v>463</v>
      </c>
      <c r="D75" s="122"/>
      <c r="E75" s="889"/>
      <c r="F75" s="316"/>
      <c r="G75" s="889"/>
      <c r="H75" s="316"/>
      <c r="I75" s="889"/>
      <c r="J75" s="222"/>
      <c r="K75" s="889"/>
      <c r="L75" s="122"/>
      <c r="M75" s="160"/>
      <c r="O75"/>
    </row>
    <row r="76" spans="1:15" ht="19.5" hidden="1">
      <c r="A76" s="158">
        <f t="shared" si="3"/>
        <v>50</v>
      </c>
      <c r="B76" s="159"/>
      <c r="C76" s="122" t="str">
        <f>"Weighted Net Plant (Ln "&amp;A74&amp;" * Ln "&amp;A75&amp;")"</f>
        <v>Weighted Net Plant (Ln 48 * Ln 49)</v>
      </c>
      <c r="D76" s="122"/>
      <c r="E76" s="321">
        <f>+E74*E75</f>
        <v>0</v>
      </c>
      <c r="F76" s="322"/>
      <c r="G76" s="321">
        <f>+G74*G75</f>
        <v>0</v>
      </c>
      <c r="H76" s="322"/>
      <c r="I76" s="321">
        <f>+I74*I75</f>
        <v>0</v>
      </c>
      <c r="J76" s="322"/>
      <c r="K76" s="321">
        <f>+K74*K75</f>
        <v>0</v>
      </c>
      <c r="L76" s="122"/>
      <c r="M76" s="160"/>
      <c r="O76"/>
    </row>
    <row r="77" spans="1:15" ht="19.5" hidden="1">
      <c r="A77" s="158">
        <f t="shared" si="3"/>
        <v>51</v>
      </c>
      <c r="B77" s="159"/>
      <c r="C77" s="122" t="str">
        <f>+"General Plant Allocator (Ln "&amp;A76&amp;" / (Total - General Plant)"</f>
        <v>General Plant Allocator (Ln 50 / (Total - General Plant)</v>
      </c>
      <c r="D77" s="122"/>
      <c r="E77" s="326">
        <f>IF(E75=0,0,+E76/($E76+$G76+$I76))</f>
        <v>0</v>
      </c>
      <c r="F77" s="322"/>
      <c r="G77" s="326">
        <f>IF(G75=0,0,+G76/($E76+$G76+$I76))</f>
        <v>0</v>
      </c>
      <c r="H77" s="322"/>
      <c r="I77" s="326">
        <f>IF(I75=0,0,+I76/($E76+$G76+$I76))</f>
        <v>0</v>
      </c>
      <c r="J77" s="322"/>
      <c r="K77" s="326">
        <v>-1</v>
      </c>
      <c r="L77" s="122"/>
      <c r="M77" s="160"/>
      <c r="O77"/>
    </row>
    <row r="78" spans="1:15" ht="19.5" hidden="1">
      <c r="A78" s="158">
        <f t="shared" si="3"/>
        <v>52</v>
      </c>
      <c r="B78" s="159"/>
      <c r="C78" s="122" t="str">
        <f>"Functionalized General Plant (Ln "&amp;A78&amp;" * General Plant)"</f>
        <v>Functionalized General Plant (Ln 52 * General Plant)</v>
      </c>
      <c r="D78" s="122"/>
      <c r="E78" s="327">
        <f>ROUND($K76*E77,0)</f>
        <v>0</v>
      </c>
      <c r="F78" s="322"/>
      <c r="G78" s="327">
        <f>ROUND($K76*G77,0)</f>
        <v>0</v>
      </c>
      <c r="H78" s="322"/>
      <c r="I78" s="327">
        <f>ROUND($K76*I77,0)</f>
        <v>0</v>
      </c>
      <c r="J78" s="322"/>
      <c r="K78" s="327">
        <f>ROUND($K76*K77,0)</f>
        <v>0</v>
      </c>
      <c r="L78" s="122"/>
      <c r="M78" s="160"/>
      <c r="O78"/>
    </row>
    <row r="79" spans="1:15" ht="19.5" hidden="1">
      <c r="A79" s="158">
        <f t="shared" si="3"/>
        <v>53</v>
      </c>
      <c r="B79" s="159"/>
      <c r="C79" s="122" t="str">
        <f>"Weighted "&amp;C71&amp;" Plant (Ln "&amp;A76&amp;" + "&amp;A78&amp;")"</f>
        <v>Weighted STATE JURISDICTION #3 Plant (Ln 50 + 52)</v>
      </c>
      <c r="D79" s="122"/>
      <c r="E79" s="321">
        <f>+E76+E78</f>
        <v>0</v>
      </c>
      <c r="F79" s="322"/>
      <c r="G79" s="328">
        <f>+G76+G78</f>
        <v>0</v>
      </c>
      <c r="H79" s="322"/>
      <c r="I79" s="321">
        <f>+I76+I78</f>
        <v>0</v>
      </c>
      <c r="J79" s="322"/>
      <c r="K79" s="321">
        <f>+K76+K78</f>
        <v>0</v>
      </c>
      <c r="L79" s="122"/>
      <c r="M79" s="160">
        <f>SUM(E79:K79)-SUM(E78:K78)</f>
        <v>0</v>
      </c>
      <c r="O79"/>
    </row>
    <row r="80" spans="1:15" ht="19.5" hidden="1">
      <c r="A80" s="158">
        <f>+A79+1</f>
        <v>54</v>
      </c>
      <c r="B80" s="159"/>
      <c r="C80" s="122" t="str">
        <f>"Functional Percentage (Ln "&amp;A79&amp;"/Total Ln "&amp;A79&amp;")"</f>
        <v>Functional Percentage (Ln 53/Total Ln 53)</v>
      </c>
      <c r="D80" s="122"/>
      <c r="E80" s="319" t="e">
        <f>+E79/M79</f>
        <v>#DIV/0!</v>
      </c>
      <c r="F80" s="322"/>
      <c r="G80" s="323" t="e">
        <f>+G79/M79</f>
        <v>#DIV/0!</v>
      </c>
      <c r="H80" s="322"/>
      <c r="I80" s="319" t="e">
        <f>+I79/M79</f>
        <v>#DIV/0!</v>
      </c>
      <c r="J80" s="314"/>
      <c r="K80" s="314"/>
      <c r="L80" s="122"/>
      <c r="M80" s="160"/>
      <c r="O80"/>
    </row>
    <row r="81" spans="1:15" ht="19.5">
      <c r="A81" s="158"/>
      <c r="B81" s="159"/>
      <c r="C81" s="122"/>
      <c r="D81" s="122"/>
      <c r="E81" s="218"/>
      <c r="F81" s="122"/>
      <c r="G81" s="218"/>
      <c r="H81" s="122"/>
      <c r="I81" s="218"/>
      <c r="J81" s="122"/>
      <c r="K81"/>
      <c r="L81" s="122"/>
      <c r="M81" s="161"/>
      <c r="O81"/>
    </row>
    <row r="82" spans="1:15" ht="19.5">
      <c r="A82" s="158"/>
      <c r="B82" s="159"/>
      <c r="C82" s="122"/>
      <c r="D82" s="122"/>
      <c r="E82" s="162"/>
      <c r="F82" s="162"/>
      <c r="G82" s="162"/>
      <c r="H82" s="162"/>
      <c r="I82" s="162"/>
      <c r="J82" s="122"/>
      <c r="K82" s="218"/>
      <c r="L82" s="122"/>
      <c r="M82" s="162"/>
      <c r="O82"/>
    </row>
  </sheetData>
  <mergeCells count="7">
    <mergeCell ref="A8:M8"/>
    <mergeCell ref="A7:M7"/>
    <mergeCell ref="C46:M46"/>
    <mergeCell ref="A3:M3"/>
    <mergeCell ref="A4:M4"/>
    <mergeCell ref="A5:M5"/>
    <mergeCell ref="A6:M6"/>
  </mergeCells>
  <phoneticPr fontId="74"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T126"/>
  <sheetViews>
    <sheetView view="pageBreakPreview" topLeftCell="A2" zoomScale="70" zoomScaleNormal="70" zoomScaleSheetLayoutView="70" workbookViewId="0">
      <selection activeCell="A118" sqref="A118:G122"/>
    </sheetView>
  </sheetViews>
  <sheetFormatPr defaultColWidth="9.140625" defaultRowHeight="12.75"/>
  <cols>
    <col min="1" max="1" width="7.42578125" style="123" customWidth="1"/>
    <col min="2" max="2" width="1.5703125" style="124" customWidth="1"/>
    <col min="3" max="3" width="68.5703125" style="124" customWidth="1"/>
    <col min="4" max="4" width="19.140625" style="124" customWidth="1"/>
    <col min="5" max="5" width="20.42578125" style="118" customWidth="1"/>
    <col min="6" max="6" width="20.42578125" style="109" bestFit="1" customWidth="1"/>
    <col min="7" max="7" width="40.42578125" style="109" bestFit="1" customWidth="1"/>
    <col min="8" max="8" width="13" style="109" bestFit="1" customWidth="1"/>
    <col min="9" max="9" width="34" style="109" customWidth="1"/>
    <col min="10" max="16384" width="9.140625" style="109"/>
  </cols>
  <sheetData>
    <row r="1" spans="1:20" ht="15.75">
      <c r="A1" s="933" t="s">
        <v>116</v>
      </c>
    </row>
    <row r="2" spans="1:20" ht="15.75">
      <c r="A2" s="933" t="s">
        <v>116</v>
      </c>
    </row>
    <row r="3" spans="1:20" ht="18.75" customHeight="1">
      <c r="A3" s="1543" t="s">
        <v>389</v>
      </c>
      <c r="B3" s="1543"/>
      <c r="C3" s="1543"/>
      <c r="D3" s="1543"/>
      <c r="E3" s="1543"/>
      <c r="F3" s="1543"/>
    </row>
    <row r="4" spans="1:20" ht="18.75" customHeight="1">
      <c r="A4" s="1544" t="str">
        <f>"Cost of Service Formula Rate Using Actual/Projected FF1 Balances"</f>
        <v>Cost of Service Formula Rate Using Actual/Projected FF1 Balances</v>
      </c>
      <c r="B4" s="1544"/>
      <c r="C4" s="1544"/>
      <c r="D4" s="1544"/>
      <c r="E4" s="1544"/>
      <c r="F4" s="1544"/>
    </row>
    <row r="5" spans="1:20" ht="18.75" customHeight="1">
      <c r="A5" s="1544" t="s">
        <v>219</v>
      </c>
      <c r="B5" s="1544"/>
      <c r="C5" s="1544"/>
      <c r="D5" s="1544"/>
      <c r="E5" s="1544"/>
      <c r="F5" s="1544"/>
    </row>
    <row r="6" spans="1:20" ht="18" customHeight="1">
      <c r="A6" s="1551" t="str">
        <f>TCOS!F9</f>
        <v>KINGSPORT POWER COMPANY</v>
      </c>
      <c r="B6" s="1544"/>
      <c r="C6" s="1544"/>
      <c r="D6" s="1544"/>
      <c r="E6" s="1544"/>
      <c r="F6" s="1544"/>
    </row>
    <row r="7" spans="1:20" ht="18" customHeight="1">
      <c r="A7" s="1555"/>
      <c r="B7" s="1555"/>
      <c r="C7" s="1555"/>
      <c r="D7" s="1555"/>
      <c r="E7" s="1555"/>
      <c r="F7" s="1555"/>
    </row>
    <row r="8" spans="1:20" ht="19.5" customHeight="1">
      <c r="A8" s="111"/>
      <c r="B8" s="112"/>
      <c r="C8" s="37" t="s">
        <v>164</v>
      </c>
      <c r="E8" s="37" t="s">
        <v>165</v>
      </c>
      <c r="F8" s="262" t="s">
        <v>166</v>
      </c>
      <c r="G8" s="262" t="s">
        <v>167</v>
      </c>
    </row>
    <row r="9" spans="1:20" ht="18">
      <c r="A9" s="206"/>
      <c r="B9" s="207"/>
      <c r="C9" s="207"/>
      <c r="D9" s="207"/>
      <c r="E9"/>
      <c r="F9" s="101" t="s">
        <v>116</v>
      </c>
      <c r="G9" s="263"/>
      <c r="H9" s="40"/>
      <c r="I9" s="40"/>
      <c r="J9" s="40"/>
      <c r="K9" s="40"/>
      <c r="L9" s="40"/>
      <c r="M9" s="40"/>
      <c r="N9" s="40"/>
      <c r="O9" s="40"/>
      <c r="P9" s="40"/>
      <c r="Q9" s="40"/>
      <c r="R9" s="40"/>
      <c r="S9" s="40"/>
      <c r="T9" s="40"/>
    </row>
    <row r="10" spans="1:20" ht="18">
      <c r="A10" s="206" t="s">
        <v>171</v>
      </c>
      <c r="B10" s="207"/>
      <c r="C10" s="207"/>
      <c r="D10" s="207"/>
      <c r="E10" s="208" t="s">
        <v>120</v>
      </c>
      <c r="F10" s="264" t="s">
        <v>77</v>
      </c>
      <c r="G10" s="265"/>
    </row>
    <row r="11" spans="1:20" ht="18">
      <c r="A11" s="210" t="s">
        <v>119</v>
      </c>
      <c r="B11" s="266"/>
      <c r="C11" s="210" t="s">
        <v>30</v>
      </c>
      <c r="D11" s="1127"/>
      <c r="E11" s="211" t="s">
        <v>185</v>
      </c>
      <c r="F11" s="210" t="s">
        <v>78</v>
      </c>
      <c r="G11" s="211" t="s">
        <v>79</v>
      </c>
      <c r="H11" s="1127"/>
      <c r="I11" s="1127"/>
    </row>
    <row r="12" spans="1:20" ht="18">
      <c r="A12" s="113"/>
      <c r="B12" s="112"/>
      <c r="C12" s="108"/>
      <c r="D12" s="108"/>
      <c r="E12" s="108"/>
      <c r="F12" s="264"/>
      <c r="G12" s="267"/>
      <c r="H12" s="268"/>
      <c r="I12" s="1128"/>
    </row>
    <row r="13" spans="1:20" ht="18">
      <c r="A13" s="111"/>
      <c r="B13" s="112"/>
      <c r="C13" s="112"/>
      <c r="D13" s="112"/>
      <c r="E13" s="114"/>
      <c r="F13" s="108"/>
    </row>
    <row r="14" spans="1:20" ht="19.5">
      <c r="A14" s="111">
        <v>1</v>
      </c>
      <c r="B14" s="112"/>
      <c r="C14" s="115" t="s">
        <v>325</v>
      </c>
      <c r="D14" s="112"/>
      <c r="E14" s="122"/>
      <c r="F14" s="110"/>
    </row>
    <row r="15" spans="1:20" ht="19.5">
      <c r="A15" s="111">
        <f>+A14+1</f>
        <v>2</v>
      </c>
      <c r="B15" s="112"/>
      <c r="C15" s="107" t="s">
        <v>309</v>
      </c>
      <c r="D15"/>
      <c r="E15" s="276">
        <f>SUM(F16:F19)</f>
        <v>6649584</v>
      </c>
      <c r="F15" s="122"/>
      <c r="G15" s="268"/>
      <c r="H15" s="268"/>
    </row>
    <row r="16" spans="1:20" ht="19.5">
      <c r="A16" s="111"/>
      <c r="B16" s="112"/>
      <c r="C16" s="117"/>
      <c r="D16"/>
      <c r="E16" s="275"/>
      <c r="F16" s="891">
        <v>6649584</v>
      </c>
      <c r="G16" s="892" t="s">
        <v>1282</v>
      </c>
      <c r="H16" s="268"/>
    </row>
    <row r="17" spans="1:9" ht="19.5">
      <c r="A17" s="111"/>
      <c r="B17" s="112"/>
      <c r="C17" s="117"/>
      <c r="D17"/>
      <c r="E17" s="275"/>
      <c r="F17" s="891"/>
      <c r="G17" s="892"/>
      <c r="H17" s="268"/>
    </row>
    <row r="18" spans="1:9" ht="19.5">
      <c r="A18" s="111"/>
      <c r="B18" s="112"/>
      <c r="C18" s="117"/>
      <c r="D18"/>
      <c r="E18" s="275"/>
      <c r="F18" s="891"/>
      <c r="G18" s="892"/>
      <c r="H18" s="268"/>
    </row>
    <row r="19" spans="1:9" ht="18" customHeight="1">
      <c r="A19" s="111"/>
      <c r="B19" s="112"/>
      <c r="C19" s="117"/>
      <c r="D19"/>
      <c r="E19" s="275"/>
      <c r="F19" s="891"/>
      <c r="G19" s="892"/>
      <c r="H19" s="268"/>
    </row>
    <row r="20" spans="1:9" ht="18" customHeight="1">
      <c r="A20" s="111"/>
      <c r="B20" s="112"/>
      <c r="C20" s="117"/>
      <c r="D20"/>
      <c r="E20" s="275"/>
      <c r="F20" s="891"/>
      <c r="G20" s="892"/>
      <c r="H20" s="268"/>
    </row>
    <row r="21" spans="1:9" ht="18" customHeight="1">
      <c r="A21" s="111"/>
      <c r="B21" s="112"/>
      <c r="C21" s="117"/>
      <c r="D21"/>
      <c r="E21" s="275"/>
      <c r="F21" s="935"/>
      <c r="G21" s="936"/>
      <c r="H21" s="268"/>
    </row>
    <row r="22" spans="1:9" ht="18" customHeight="1">
      <c r="A22" s="111"/>
      <c r="B22" s="112"/>
      <c r="C22" s="37" t="s">
        <v>164</v>
      </c>
      <c r="D22" s="37" t="s">
        <v>165</v>
      </c>
      <c r="E22" s="262" t="s">
        <v>166</v>
      </c>
      <c r="F22" s="262" t="s">
        <v>167</v>
      </c>
      <c r="G22" s="262" t="s">
        <v>85</v>
      </c>
      <c r="H22" s="1165" t="s">
        <v>86</v>
      </c>
      <c r="I22" s="262" t="s">
        <v>87</v>
      </c>
    </row>
    <row r="23" spans="1:9" ht="58.5" customHeight="1">
      <c r="A23" s="210"/>
      <c r="B23" s="266"/>
      <c r="C23" s="1166" t="s">
        <v>755</v>
      </c>
      <c r="D23" s="1167" t="s">
        <v>674</v>
      </c>
      <c r="E23" s="1168" t="s">
        <v>753</v>
      </c>
      <c r="F23" s="1169" t="s">
        <v>754</v>
      </c>
      <c r="G23" s="1170" t="s">
        <v>79</v>
      </c>
      <c r="H23" s="1168" t="s">
        <v>820</v>
      </c>
      <c r="I23" s="1169" t="s">
        <v>752</v>
      </c>
    </row>
    <row r="24" spans="1:9" ht="19.5">
      <c r="A24" s="111"/>
      <c r="B24" s="112"/>
      <c r="C24" s="320"/>
      <c r="D24" s="5"/>
      <c r="E24" s="275"/>
      <c r="F24" s="276"/>
      <c r="G24" s="1113"/>
      <c r="H24" s="268"/>
      <c r="I24" s="268"/>
    </row>
    <row r="25" spans="1:9" ht="39">
      <c r="A25" s="1111">
        <f>+A15+1</f>
        <v>3</v>
      </c>
      <c r="B25" s="1112"/>
      <c r="C25" s="1164" t="s">
        <v>751</v>
      </c>
      <c r="D25" s="1171"/>
      <c r="E25" s="1172">
        <f>E27+E33+E44+E50</f>
        <v>862572.7899999998</v>
      </c>
      <c r="F25" s="1173"/>
      <c r="G25" s="1129"/>
      <c r="H25" s="1174"/>
      <c r="I25" s="1172">
        <f>I27+I33+I44+I50</f>
        <v>201417.58359334513</v>
      </c>
    </row>
    <row r="26" spans="1:9" ht="19.5">
      <c r="A26" s="111"/>
      <c r="B26" s="112"/>
      <c r="C26" s="115"/>
      <c r="D26"/>
      <c r="E26" s="275"/>
      <c r="F26" s="270"/>
      <c r="G26" s="1113"/>
      <c r="H26" s="1114"/>
      <c r="I26" s="1115"/>
    </row>
    <row r="27" spans="1:9" ht="19.5">
      <c r="A27" s="111">
        <f>+A25+1</f>
        <v>4</v>
      </c>
      <c r="B27" s="112"/>
      <c r="C27" s="1116" t="s">
        <v>600</v>
      </c>
      <c r="D27"/>
      <c r="E27" s="276">
        <f>SUM(F28:F32)</f>
        <v>862572.7899999998</v>
      </c>
      <c r="F27" s="270"/>
      <c r="G27" s="269"/>
      <c r="H27" s="271"/>
      <c r="I27" s="1110">
        <f>SUM(I28:I32)</f>
        <v>201417.58359334513</v>
      </c>
    </row>
    <row r="28" spans="1:9" ht="19.5">
      <c r="A28" s="111"/>
      <c r="B28" s="112"/>
      <c r="C28" s="1116"/>
      <c r="D28" s="1322">
        <v>2023</v>
      </c>
      <c r="E28" s="276"/>
      <c r="F28" s="891">
        <v>-560859.04</v>
      </c>
      <c r="G28" s="892" t="s">
        <v>1275</v>
      </c>
      <c r="H28" s="1275">
        <v>0.22737615713201575</v>
      </c>
      <c r="I28" s="1179">
        <f>+F28*H28</f>
        <v>-127525.97320795152</v>
      </c>
    </row>
    <row r="29" spans="1:9" ht="19.5">
      <c r="A29" s="111"/>
      <c r="B29" s="112"/>
      <c r="C29" s="1116"/>
      <c r="D29" s="1322">
        <v>2024</v>
      </c>
      <c r="E29" s="276"/>
      <c r="F29" s="891">
        <v>1423431.8299999998</v>
      </c>
      <c r="G29" s="892" t="s">
        <v>1275</v>
      </c>
      <c r="H29" s="1275">
        <f>'WS H Other Taxes'!G59</f>
        <v>0.23109189345674297</v>
      </c>
      <c r="I29" s="1179">
        <f>+F29*H29</f>
        <v>328943.55680129665</v>
      </c>
    </row>
    <row r="30" spans="1:9" ht="19.5">
      <c r="A30" s="111"/>
      <c r="B30" s="112"/>
      <c r="C30" s="1116"/>
      <c r="D30" s="891"/>
      <c r="E30" s="276"/>
      <c r="F30" s="891"/>
      <c r="G30" s="892"/>
      <c r="H30" s="1109"/>
      <c r="I30" s="1179">
        <f>+F30*H30</f>
        <v>0</v>
      </c>
    </row>
    <row r="31" spans="1:9" ht="19.5">
      <c r="A31" s="111"/>
      <c r="B31" s="112"/>
      <c r="C31" s="1116"/>
      <c r="D31" s="891"/>
      <c r="E31" s="276"/>
      <c r="F31" s="891"/>
      <c r="G31" s="892"/>
      <c r="H31" s="1109"/>
      <c r="I31" s="1179">
        <f t="shared" ref="I31:I42" si="0">F31*H31</f>
        <v>0</v>
      </c>
    </row>
    <row r="32" spans="1:9" ht="19.5">
      <c r="A32" s="111"/>
      <c r="B32" s="112"/>
      <c r="C32" s="1116"/>
      <c r="D32" s="891"/>
      <c r="E32" s="276"/>
      <c r="F32" s="891"/>
      <c r="G32" s="892"/>
      <c r="H32" s="1109"/>
      <c r="I32" s="1179">
        <f t="shared" si="0"/>
        <v>0</v>
      </c>
    </row>
    <row r="33" spans="1:9" ht="19.5">
      <c r="A33" s="111">
        <f>+A27+1</f>
        <v>5</v>
      </c>
      <c r="B33" s="112"/>
      <c r="C33" s="1116" t="s">
        <v>914</v>
      </c>
      <c r="D33"/>
      <c r="E33" s="276">
        <f>SUM(F34:F40)</f>
        <v>0</v>
      </c>
      <c r="F33" s="162"/>
      <c r="G33" s="269"/>
      <c r="H33" s="268"/>
      <c r="I33" s="1179">
        <f>SUM(I34:I42)</f>
        <v>0</v>
      </c>
    </row>
    <row r="34" spans="1:9" ht="19.5">
      <c r="A34" s="111"/>
      <c r="B34" s="112"/>
      <c r="C34" s="1116"/>
      <c r="D34" s="1322">
        <v>2023</v>
      </c>
      <c r="E34" s="276"/>
      <c r="F34" s="891"/>
      <c r="G34" s="892"/>
      <c r="H34" s="1274">
        <f>TCOS!J75</f>
        <v>0.19075927731221903</v>
      </c>
      <c r="I34" s="1179">
        <f>F34*H34</f>
        <v>0</v>
      </c>
    </row>
    <row r="35" spans="1:9" ht="19.5">
      <c r="A35" s="111"/>
      <c r="B35" s="112"/>
      <c r="C35" s="1116"/>
      <c r="D35" s="891"/>
      <c r="E35" s="276"/>
      <c r="F35" s="891"/>
      <c r="G35" s="892"/>
      <c r="H35" s="892"/>
      <c r="I35" s="1179">
        <f t="shared" si="0"/>
        <v>0</v>
      </c>
    </row>
    <row r="36" spans="1:9" ht="19.5">
      <c r="A36" s="111"/>
      <c r="B36" s="112"/>
      <c r="C36" s="1116"/>
      <c r="D36" s="891"/>
      <c r="E36" s="276"/>
      <c r="F36" s="891"/>
      <c r="G36" s="892"/>
      <c r="H36" s="892"/>
      <c r="I36" s="1179">
        <f t="shared" si="0"/>
        <v>0</v>
      </c>
    </row>
    <row r="37" spans="1:9" ht="19.5">
      <c r="A37" s="111"/>
      <c r="B37" s="112"/>
      <c r="C37" s="1116"/>
      <c r="D37" s="891"/>
      <c r="E37" s="276"/>
      <c r="F37" s="891"/>
      <c r="G37" s="892"/>
      <c r="H37" s="892"/>
      <c r="I37" s="1179">
        <f t="shared" si="0"/>
        <v>0</v>
      </c>
    </row>
    <row r="38" spans="1:9" ht="19.5">
      <c r="A38" s="111"/>
      <c r="B38" s="112"/>
      <c r="C38" s="1116"/>
      <c r="D38" s="891"/>
      <c r="E38" s="276"/>
      <c r="F38" s="891"/>
      <c r="G38" s="892"/>
      <c r="H38" s="892"/>
      <c r="I38" s="1179">
        <f t="shared" si="0"/>
        <v>0</v>
      </c>
    </row>
    <row r="39" spans="1:9" ht="19.5">
      <c r="A39" s="111"/>
      <c r="B39" s="112"/>
      <c r="C39" s="1116"/>
      <c r="D39" s="891"/>
      <c r="E39" s="276"/>
      <c r="F39" s="891"/>
      <c r="G39" s="892"/>
      <c r="H39" s="892"/>
      <c r="I39" s="1179">
        <f t="shared" si="0"/>
        <v>0</v>
      </c>
    </row>
    <row r="40" spans="1:9" ht="19.5">
      <c r="A40" s="111"/>
      <c r="B40" s="112"/>
      <c r="C40" s="1116"/>
      <c r="D40" s="891"/>
      <c r="E40" s="276"/>
      <c r="F40" s="891"/>
      <c r="G40" s="892"/>
      <c r="H40" s="892"/>
      <c r="I40" s="1179">
        <f t="shared" si="0"/>
        <v>0</v>
      </c>
    </row>
    <row r="41" spans="1:9" ht="19.5">
      <c r="A41" s="111"/>
      <c r="B41" s="112"/>
      <c r="C41" s="1116"/>
      <c r="D41" s="891"/>
      <c r="E41" s="276"/>
      <c r="F41" s="891"/>
      <c r="G41" s="892"/>
      <c r="H41" s="892"/>
      <c r="I41" s="1179">
        <f t="shared" si="0"/>
        <v>0</v>
      </c>
    </row>
    <row r="42" spans="1:9" ht="19.5">
      <c r="A42" s="111"/>
      <c r="B42" s="112"/>
      <c r="C42" s="1116"/>
      <c r="D42" s="891"/>
      <c r="E42" s="276"/>
      <c r="F42" s="891"/>
      <c r="G42" s="892"/>
      <c r="H42" s="892"/>
      <c r="I42" s="1179">
        <f t="shared" si="0"/>
        <v>0</v>
      </c>
    </row>
    <row r="43" spans="1:9" ht="19.5">
      <c r="A43" s="111"/>
      <c r="B43" s="112"/>
      <c r="C43" s="1116"/>
      <c r="D43" s="110"/>
      <c r="E43" s="276"/>
      <c r="F43" s="6"/>
      <c r="G43" s="310"/>
      <c r="H43" s="268"/>
      <c r="I43" s="268"/>
    </row>
    <row r="44" spans="1:9" ht="19.5" hidden="1">
      <c r="A44" s="111">
        <f>+A33+1</f>
        <v>6</v>
      </c>
      <c r="B44" s="112"/>
      <c r="C44" s="1116" t="s">
        <v>600</v>
      </c>
      <c r="D44" s="230"/>
      <c r="E44" s="276">
        <f>SUM(F45:F48)</f>
        <v>0</v>
      </c>
      <c r="F44" s="122" t="s">
        <v>116</v>
      </c>
      <c r="G44" s="310" t="s">
        <v>116</v>
      </c>
      <c r="H44" s="268"/>
      <c r="I44" s="1180">
        <f>SUM(I45:I49)</f>
        <v>0</v>
      </c>
    </row>
    <row r="45" spans="1:9" ht="19.5" hidden="1">
      <c r="A45" s="111"/>
      <c r="B45" s="112"/>
      <c r="C45" s="1116"/>
      <c r="D45" s="891"/>
      <c r="E45" s="276"/>
      <c r="F45" s="891"/>
      <c r="G45" s="892"/>
      <c r="H45" s="1274">
        <v>0</v>
      </c>
      <c r="I45" s="1179">
        <f>F45*H45</f>
        <v>0</v>
      </c>
    </row>
    <row r="46" spans="1:9" ht="19.5" hidden="1">
      <c r="A46" s="111"/>
      <c r="B46" s="112"/>
      <c r="C46" s="1116"/>
      <c r="D46" s="891"/>
      <c r="E46" s="276"/>
      <c r="F46" s="891"/>
      <c r="G46" s="892"/>
      <c r="H46" s="892"/>
      <c r="I46" s="1179">
        <f>F46*H46</f>
        <v>0</v>
      </c>
    </row>
    <row r="47" spans="1:9" ht="19.5" hidden="1">
      <c r="A47" s="111"/>
      <c r="B47" s="112"/>
      <c r="C47" s="1116"/>
      <c r="D47" s="891"/>
      <c r="E47" s="276"/>
      <c r="F47" s="891"/>
      <c r="G47" s="892"/>
      <c r="H47" s="892"/>
      <c r="I47" s="1179">
        <f>F47*H47</f>
        <v>0</v>
      </c>
    </row>
    <row r="48" spans="1:9" ht="19.5" hidden="1">
      <c r="A48" s="111"/>
      <c r="B48" s="112"/>
      <c r="C48" s="1116"/>
      <c r="D48" s="891"/>
      <c r="E48" s="276"/>
      <c r="F48" s="891"/>
      <c r="G48" s="892"/>
      <c r="H48" s="892"/>
      <c r="I48" s="1179">
        <f>F48*H48</f>
        <v>0</v>
      </c>
    </row>
    <row r="49" spans="1:9" ht="19.5" hidden="1">
      <c r="A49" s="111"/>
      <c r="B49" s="112"/>
      <c r="C49" s="1116"/>
      <c r="D49" s="891"/>
      <c r="E49" s="276"/>
      <c r="F49" s="891"/>
      <c r="G49" s="892"/>
      <c r="H49" s="892"/>
      <c r="I49" s="1179">
        <f>F49*H49</f>
        <v>0</v>
      </c>
    </row>
    <row r="50" spans="1:9" ht="19.5" hidden="1">
      <c r="A50" s="111"/>
      <c r="B50" s="112"/>
      <c r="C50" s="1116"/>
      <c r="D50" s="230"/>
      <c r="E50" s="276">
        <f>SUM(F51:F53)</f>
        <v>0</v>
      </c>
      <c r="F50" s="309"/>
      <c r="G50" s="310"/>
      <c r="H50" s="268"/>
      <c r="I50" s="1180">
        <f>SUM(I51:I53)</f>
        <v>0</v>
      </c>
    </row>
    <row r="51" spans="1:9" ht="19.5">
      <c r="A51" s="111">
        <f>A44+1</f>
        <v>7</v>
      </c>
      <c r="B51" s="112"/>
      <c r="C51" s="1116" t="s">
        <v>465</v>
      </c>
      <c r="D51" s="1322"/>
      <c r="E51" s="276"/>
      <c r="F51" s="891"/>
      <c r="G51" s="892"/>
      <c r="H51" s="1274">
        <f>TCOS!J75</f>
        <v>0.19075927731221903</v>
      </c>
      <c r="I51" s="1179">
        <f>F51*H51</f>
        <v>0</v>
      </c>
    </row>
    <row r="52" spans="1:9" ht="19.5">
      <c r="A52" s="111"/>
      <c r="B52" s="112"/>
      <c r="C52" s="110"/>
      <c r="D52" s="891"/>
      <c r="E52" s="276"/>
      <c r="F52" s="891"/>
      <c r="G52" s="892"/>
      <c r="H52" s="892"/>
      <c r="I52" s="1179">
        <f>F52*H52</f>
        <v>0</v>
      </c>
    </row>
    <row r="53" spans="1:9" ht="19.5">
      <c r="A53" s="111"/>
      <c r="B53" s="112"/>
      <c r="C53" s="110"/>
      <c r="D53" s="891"/>
      <c r="E53" s="276"/>
      <c r="F53" s="891"/>
      <c r="G53" s="892"/>
      <c r="H53" s="892"/>
      <c r="I53" s="1179">
        <f>F53*H53</f>
        <v>0</v>
      </c>
    </row>
    <row r="54" spans="1:9" ht="19.5">
      <c r="A54" s="1130"/>
      <c r="B54" s="1131"/>
      <c r="C54" s="1132"/>
      <c r="D54" s="1133"/>
      <c r="E54" s="1134"/>
      <c r="F54" s="1133"/>
      <c r="G54" s="1135"/>
      <c r="H54" s="1135"/>
      <c r="I54" s="1136"/>
    </row>
    <row r="55" spans="1:9" ht="19.5">
      <c r="A55" s="111"/>
      <c r="B55" s="112"/>
      <c r="C55" s="110"/>
      <c r="D55" s="230"/>
      <c r="E55" s="276"/>
      <c r="F55" s="309"/>
      <c r="G55" s="310"/>
      <c r="H55" s="268"/>
    </row>
    <row r="56" spans="1:9" ht="18">
      <c r="A56" s="111"/>
      <c r="B56" s="112"/>
      <c r="C56" s="37" t="s">
        <v>164</v>
      </c>
      <c r="E56" s="37" t="s">
        <v>165</v>
      </c>
      <c r="F56" s="262" t="s">
        <v>166</v>
      </c>
      <c r="G56" s="262" t="s">
        <v>167</v>
      </c>
      <c r="H56" s="268"/>
    </row>
    <row r="57" spans="1:9" ht="18">
      <c r="A57" s="206"/>
      <c r="B57" s="207"/>
      <c r="C57" s="207"/>
      <c r="D57" s="207"/>
      <c r="E57"/>
      <c r="F57" s="16"/>
      <c r="G57" s="263"/>
      <c r="H57" s="268"/>
    </row>
    <row r="58" spans="1:9" ht="18">
      <c r="A58" s="206" t="s">
        <v>171</v>
      </c>
      <c r="B58" s="207"/>
      <c r="C58" s="207"/>
      <c r="D58" s="207"/>
      <c r="E58" s="208" t="s">
        <v>120</v>
      </c>
      <c r="F58" s="264" t="s">
        <v>77</v>
      </c>
      <c r="G58" s="265"/>
      <c r="H58" s="268"/>
    </row>
    <row r="59" spans="1:9" ht="18">
      <c r="A59" s="210" t="s">
        <v>119</v>
      </c>
      <c r="B59" s="266"/>
      <c r="C59" s="210" t="s">
        <v>30</v>
      </c>
      <c r="D59" s="1127"/>
      <c r="E59" s="211" t="s">
        <v>185</v>
      </c>
      <c r="F59" s="210" t="s">
        <v>78</v>
      </c>
      <c r="G59" s="211" t="s">
        <v>79</v>
      </c>
      <c r="H59" s="268"/>
    </row>
    <row r="60" spans="1:9" ht="19.5">
      <c r="A60" s="111">
        <f>+A51+1</f>
        <v>8</v>
      </c>
      <c r="B60" s="112"/>
      <c r="C60" s="115" t="s">
        <v>327</v>
      </c>
      <c r="D60" s="112"/>
      <c r="E60" s="275"/>
      <c r="F60" s="271" t="s">
        <v>116</v>
      </c>
      <c r="G60" s="269"/>
      <c r="H60" s="268"/>
    </row>
    <row r="61" spans="1:9" ht="19.5">
      <c r="A61" s="111">
        <f>+A60+1</f>
        <v>9</v>
      </c>
      <c r="B61" s="112"/>
      <c r="C61" s="110" t="s">
        <v>323</v>
      </c>
      <c r="D61" s="112"/>
      <c r="E61" s="276">
        <f>SUM(F62)</f>
        <v>221943</v>
      </c>
      <c r="F61" s="272"/>
      <c r="G61" s="269"/>
      <c r="H61" s="268"/>
    </row>
    <row r="62" spans="1:9" ht="19.5">
      <c r="A62" s="111"/>
      <c r="B62" s="112"/>
      <c r="C62" s="110"/>
      <c r="D62" s="112"/>
      <c r="E62" s="276"/>
      <c r="F62" s="891">
        <v>221943</v>
      </c>
      <c r="G62" s="892" t="s">
        <v>1280</v>
      </c>
      <c r="H62" s="268"/>
    </row>
    <row r="63" spans="1:9" ht="19.5">
      <c r="A63" s="111">
        <f>+A61+1</f>
        <v>10</v>
      </c>
      <c r="B63" s="112"/>
      <c r="C63" s="110" t="s">
        <v>316</v>
      </c>
      <c r="D63" s="112"/>
      <c r="E63" s="276">
        <f>SUM(F64)</f>
        <v>0</v>
      </c>
      <c r="F63" s="122"/>
      <c r="G63" s="322"/>
      <c r="H63" s="268"/>
    </row>
    <row r="64" spans="1:9" ht="19.5">
      <c r="A64" s="111"/>
      <c r="B64" s="112"/>
      <c r="C64" s="110"/>
      <c r="D64" s="112"/>
      <c r="E64" s="276"/>
      <c r="F64" s="891"/>
      <c r="G64" s="892" t="s">
        <v>1011</v>
      </c>
      <c r="H64" s="268"/>
    </row>
    <row r="65" spans="1:8" ht="19.5">
      <c r="A65" s="111">
        <f>+A63+1</f>
        <v>11</v>
      </c>
      <c r="B65" s="112"/>
      <c r="C65" s="110" t="s">
        <v>317</v>
      </c>
      <c r="D65" s="112"/>
      <c r="E65" s="276">
        <f>SUM(F66:F70)</f>
        <v>1016</v>
      </c>
      <c r="F65" s="122"/>
      <c r="G65" s="269"/>
      <c r="H65" s="268"/>
    </row>
    <row r="66" spans="1:8" ht="19.5">
      <c r="A66" s="111"/>
      <c r="B66" s="112"/>
      <c r="C66" s="110"/>
      <c r="D66" s="112"/>
      <c r="E66" s="276"/>
      <c r="F66" s="891">
        <v>38</v>
      </c>
      <c r="G66" s="892" t="s">
        <v>1277</v>
      </c>
      <c r="H66" s="268"/>
    </row>
    <row r="67" spans="1:8" ht="19.5">
      <c r="A67" s="111"/>
      <c r="B67" s="112"/>
      <c r="C67" s="110"/>
      <c r="D67" s="112"/>
      <c r="E67" s="276"/>
      <c r="F67" s="891">
        <v>978</v>
      </c>
      <c r="G67" s="892" t="s">
        <v>1278</v>
      </c>
      <c r="H67" s="268"/>
    </row>
    <row r="68" spans="1:8" ht="19.5">
      <c r="A68" s="111"/>
      <c r="B68" s="112"/>
      <c r="C68" s="110"/>
      <c r="D68" s="112"/>
      <c r="E68" s="276"/>
      <c r="F68" s="891"/>
      <c r="G68" s="892"/>
      <c r="H68" s="268"/>
    </row>
    <row r="69" spans="1:8" ht="19.5">
      <c r="A69" s="109"/>
      <c r="B69" s="109"/>
      <c r="C69" s="109"/>
      <c r="D69" s="112"/>
      <c r="E69" s="275"/>
      <c r="F69" s="891"/>
      <c r="G69" s="892"/>
      <c r="H69" s="268"/>
    </row>
    <row r="70" spans="1:8" ht="19.5">
      <c r="A70" s="109"/>
      <c r="B70" s="109"/>
      <c r="C70" s="109"/>
      <c r="D70" s="112"/>
      <c r="E70" s="275"/>
      <c r="F70" s="891"/>
      <c r="G70" s="892"/>
      <c r="H70" s="268"/>
    </row>
    <row r="71" spans="1:8" ht="19.5">
      <c r="A71" s="111">
        <f>A65+1</f>
        <v>12</v>
      </c>
      <c r="B71" s="112"/>
      <c r="C71" s="115" t="s">
        <v>442</v>
      </c>
      <c r="D71" s="112"/>
      <c r="E71" s="276">
        <f>SUM(F72:F72)</f>
        <v>0</v>
      </c>
      <c r="F71" s="309"/>
      <c r="G71" s="310"/>
      <c r="H71" s="268"/>
    </row>
    <row r="72" spans="1:8" ht="19.5">
      <c r="A72" s="111">
        <f>+A71+1</f>
        <v>13</v>
      </c>
      <c r="B72" s="112"/>
      <c r="C72" s="122" t="s">
        <v>443</v>
      </c>
      <c r="D72" s="230"/>
      <c r="E72" s="276"/>
      <c r="F72" s="891"/>
      <c r="G72" s="892"/>
      <c r="H72" s="268"/>
    </row>
    <row r="73" spans="1:8" ht="19.5">
      <c r="A73" s="111"/>
      <c r="B73" s="112"/>
      <c r="C73" s="107"/>
      <c r="D73" s="112"/>
      <c r="E73" s="280"/>
      <c r="F73" s="309"/>
      <c r="G73" s="107"/>
      <c r="H73" s="268"/>
    </row>
    <row r="74" spans="1:8" ht="19.5">
      <c r="A74" s="119">
        <f>+A72+1</f>
        <v>14</v>
      </c>
      <c r="B74" s="112"/>
      <c r="C74" s="115" t="s">
        <v>324</v>
      </c>
      <c r="D74" s="121"/>
      <c r="E74" s="275"/>
      <c r="F74" s="122"/>
      <c r="G74" s="107"/>
      <c r="H74" s="268"/>
    </row>
    <row r="75" spans="1:8" ht="19.5">
      <c r="A75" s="119">
        <f>A74+1</f>
        <v>15</v>
      </c>
      <c r="B75" s="120"/>
      <c r="C75" s="107" t="s">
        <v>441</v>
      </c>
      <c r="D75" s="121"/>
      <c r="E75" s="276">
        <f>SUM(F76:F77)</f>
        <v>0</v>
      </c>
      <c r="F75" s="122"/>
      <c r="G75" s="107"/>
      <c r="H75" s="268"/>
    </row>
    <row r="76" spans="1:8" ht="19.5">
      <c r="A76" s="119"/>
      <c r="B76" s="120"/>
      <c r="C76" s="107"/>
      <c r="D76" s="109"/>
      <c r="E76" s="280"/>
      <c r="F76" s="891"/>
      <c r="G76" s="892"/>
      <c r="H76" s="268"/>
    </row>
    <row r="77" spans="1:8" ht="19.5">
      <c r="A77" s="119"/>
      <c r="B77" s="120"/>
      <c r="C77" s="107"/>
      <c r="D77" s="109"/>
      <c r="E77" s="280"/>
      <c r="F77" s="891"/>
      <c r="G77" s="892"/>
      <c r="H77" s="268"/>
    </row>
    <row r="78" spans="1:8" ht="19.5">
      <c r="A78" s="119"/>
      <c r="B78" s="120"/>
      <c r="C78" s="107"/>
      <c r="D78" s="109"/>
      <c r="E78" s="280"/>
      <c r="F78" s="891"/>
      <c r="G78" s="892"/>
      <c r="H78" s="268"/>
    </row>
    <row r="79" spans="1:8" ht="19.5">
      <c r="A79" s="111">
        <f>A75+1</f>
        <v>16</v>
      </c>
      <c r="B79" s="120"/>
      <c r="C79" s="107" t="s">
        <v>318</v>
      </c>
      <c r="D79" s="112"/>
      <c r="E79" s="276">
        <f>SUM(F80:F81)</f>
        <v>0</v>
      </c>
      <c r="F79" s="122"/>
      <c r="G79" s="107"/>
      <c r="H79" s="268"/>
    </row>
    <row r="80" spans="1:8" ht="19.5">
      <c r="A80" s="111"/>
      <c r="B80" s="120"/>
      <c r="C80" s="107"/>
      <c r="D80" s="112"/>
      <c r="E80" s="162"/>
      <c r="F80" s="891"/>
      <c r="G80" s="892"/>
      <c r="H80" s="268"/>
    </row>
    <row r="81" spans="1:8" ht="19.5">
      <c r="A81" s="111"/>
      <c r="B81" s="120"/>
      <c r="C81" s="107"/>
      <c r="D81" s="112"/>
      <c r="E81" s="162"/>
      <c r="F81" s="891"/>
      <c r="G81" s="892"/>
      <c r="H81" s="268"/>
    </row>
    <row r="82" spans="1:8" ht="19.5">
      <c r="A82" s="111"/>
      <c r="B82" s="120"/>
      <c r="C82" s="107"/>
      <c r="D82" s="112"/>
      <c r="E82" s="162"/>
      <c r="F82" s="891"/>
      <c r="G82" s="892"/>
      <c r="H82" s="268"/>
    </row>
    <row r="83" spans="1:8" ht="19.5">
      <c r="A83" s="111">
        <f>+A79+1</f>
        <v>17</v>
      </c>
      <c r="B83" s="112"/>
      <c r="C83" s="107" t="s">
        <v>319</v>
      </c>
      <c r="D83"/>
      <c r="E83" s="276">
        <f>SUM(F84:F91)</f>
        <v>4282920</v>
      </c>
      <c r="H83" s="268"/>
    </row>
    <row r="84" spans="1:8" ht="19.5">
      <c r="A84" s="111"/>
      <c r="B84" s="112"/>
      <c r="C84" s="107"/>
      <c r="D84"/>
      <c r="E84" s="162"/>
      <c r="F84" s="891">
        <v>5189814</v>
      </c>
      <c r="G84" s="892" t="s">
        <v>1276</v>
      </c>
      <c r="H84" s="268"/>
    </row>
    <row r="85" spans="1:8" ht="19.5">
      <c r="A85" s="111"/>
      <c r="B85" s="112"/>
      <c r="C85" s="107"/>
      <c r="D85"/>
      <c r="E85" s="162"/>
      <c r="F85" s="891">
        <v>-906894</v>
      </c>
      <c r="G85" s="892" t="s">
        <v>1281</v>
      </c>
      <c r="H85" s="268"/>
    </row>
    <row r="86" spans="1:8" ht="19.5">
      <c r="A86" s="111"/>
      <c r="B86" s="112"/>
      <c r="C86" s="107"/>
      <c r="D86"/>
      <c r="E86" s="162"/>
      <c r="F86" s="891"/>
      <c r="G86" s="892"/>
      <c r="H86" s="268"/>
    </row>
    <row r="87" spans="1:8" ht="19.5">
      <c r="A87" s="111"/>
      <c r="B87" s="112"/>
      <c r="C87" s="107"/>
      <c r="D87"/>
      <c r="E87" s="162"/>
      <c r="F87" s="891"/>
      <c r="G87" s="892"/>
      <c r="H87" s="268"/>
    </row>
    <row r="88" spans="1:8" ht="19.5">
      <c r="A88" s="111"/>
      <c r="B88" s="112"/>
      <c r="C88" s="107"/>
      <c r="D88"/>
      <c r="E88" s="162"/>
      <c r="F88" s="891"/>
      <c r="G88" s="892"/>
      <c r="H88" s="268"/>
    </row>
    <row r="89" spans="1:8" ht="19.5">
      <c r="A89" s="111"/>
      <c r="B89" s="112"/>
      <c r="C89" s="107"/>
      <c r="D89"/>
      <c r="E89" s="162"/>
      <c r="F89" s="891"/>
      <c r="G89" s="892"/>
      <c r="H89" s="268"/>
    </row>
    <row r="90" spans="1:8" ht="19.5">
      <c r="A90" s="111"/>
      <c r="B90" s="112"/>
      <c r="C90" s="107"/>
      <c r="D90"/>
      <c r="E90" s="162"/>
      <c r="F90" s="891"/>
      <c r="G90" s="892"/>
      <c r="H90" s="268"/>
    </row>
    <row r="91" spans="1:8" ht="19.5">
      <c r="A91" s="111"/>
      <c r="B91" s="112"/>
      <c r="C91" s="107"/>
      <c r="D91"/>
      <c r="E91" s="162"/>
      <c r="F91" s="891"/>
      <c r="G91" s="892"/>
      <c r="H91" s="268"/>
    </row>
    <row r="92" spans="1:8" ht="19.5">
      <c r="A92" s="111"/>
      <c r="B92" s="112"/>
      <c r="C92" s="107"/>
      <c r="D92"/>
      <c r="E92" s="162"/>
      <c r="F92" s="122"/>
      <c r="G92" s="107"/>
      <c r="H92" s="268"/>
    </row>
    <row r="93" spans="1:8" ht="19.5">
      <c r="A93" s="111">
        <f>+A83+1</f>
        <v>18</v>
      </c>
      <c r="B93" s="112"/>
      <c r="C93" s="107" t="s">
        <v>320</v>
      </c>
      <c r="D93"/>
      <c r="E93" s="276">
        <f>SUM(F94:F99)</f>
        <v>0</v>
      </c>
      <c r="F93" s="122"/>
      <c r="G93" s="107"/>
      <c r="H93" s="268"/>
    </row>
    <row r="94" spans="1:8" ht="19.5">
      <c r="A94" s="111"/>
      <c r="B94" s="112"/>
      <c r="C94" s="107"/>
      <c r="D94"/>
      <c r="E94" s="162"/>
      <c r="F94" s="891"/>
      <c r="G94" s="892"/>
      <c r="H94" s="268"/>
    </row>
    <row r="95" spans="1:8" ht="19.5">
      <c r="A95" s="111"/>
      <c r="B95" s="112"/>
      <c r="C95" s="107"/>
      <c r="D95"/>
      <c r="E95" s="162"/>
      <c r="F95" s="891"/>
      <c r="G95" s="892"/>
      <c r="H95" s="268"/>
    </row>
    <row r="96" spans="1:8" ht="19.5">
      <c r="A96" s="111"/>
      <c r="B96" s="112"/>
      <c r="C96" s="107"/>
      <c r="D96"/>
      <c r="E96" s="162"/>
      <c r="F96" s="891"/>
      <c r="G96" s="892" t="s">
        <v>116</v>
      </c>
      <c r="H96" s="268"/>
    </row>
    <row r="97" spans="1:8" ht="19.5">
      <c r="A97" s="111"/>
      <c r="B97" s="112"/>
      <c r="C97" s="107"/>
      <c r="D97"/>
      <c r="E97" s="162"/>
      <c r="F97" s="891"/>
      <c r="G97" s="892"/>
      <c r="H97" s="268"/>
    </row>
    <row r="98" spans="1:8" ht="19.5">
      <c r="A98" s="111"/>
      <c r="B98" s="112"/>
      <c r="C98" s="107"/>
      <c r="D98"/>
      <c r="E98" s="162"/>
      <c r="F98" s="891"/>
      <c r="G98" s="892"/>
      <c r="H98" s="268"/>
    </row>
    <row r="99" spans="1:8" ht="19.5">
      <c r="A99" s="111"/>
      <c r="B99" s="112"/>
      <c r="C99" s="107"/>
      <c r="D99"/>
      <c r="E99" s="162"/>
      <c r="F99" s="891"/>
      <c r="G99" s="892"/>
      <c r="H99" s="268"/>
    </row>
    <row r="100" spans="1:8" ht="19.5">
      <c r="A100" s="111">
        <f>+A93+1</f>
        <v>19</v>
      </c>
      <c r="B100" s="112"/>
      <c r="C100" s="107" t="s">
        <v>321</v>
      </c>
      <c r="D100" s="112"/>
      <c r="E100" s="276">
        <f>SUM(F101:F102)</f>
        <v>0</v>
      </c>
      <c r="F100" s="122"/>
      <c r="G100" s="310"/>
      <c r="H100" s="268"/>
    </row>
    <row r="101" spans="1:8" ht="19.5">
      <c r="A101" s="111"/>
      <c r="B101" s="112"/>
      <c r="C101" s="107"/>
      <c r="D101" s="112"/>
      <c r="E101" s="276"/>
      <c r="F101" s="891"/>
      <c r="G101" s="892"/>
      <c r="H101" s="268"/>
    </row>
    <row r="102" spans="1:8" ht="19.5">
      <c r="A102" s="111"/>
      <c r="B102" s="112"/>
      <c r="C102" s="107"/>
      <c r="D102" s="112"/>
      <c r="E102" s="280"/>
      <c r="F102" s="891"/>
      <c r="G102" s="892"/>
      <c r="H102" s="268"/>
    </row>
    <row r="103" spans="1:8" ht="19.5">
      <c r="A103" s="111">
        <f>+A100+1</f>
        <v>20</v>
      </c>
      <c r="B103" s="112"/>
      <c r="C103" s="107" t="s">
        <v>322</v>
      </c>
      <c r="D103" s="109"/>
      <c r="E103" s="276">
        <f>SUM(F104:F108)</f>
        <v>1367</v>
      </c>
      <c r="G103" s="107"/>
      <c r="H103" s="268"/>
    </row>
    <row r="104" spans="1:8" ht="19.5">
      <c r="A104" s="111"/>
      <c r="B104" s="112"/>
      <c r="C104" s="107"/>
      <c r="D104" s="112"/>
      <c r="E104" s="162"/>
      <c r="F104" s="891">
        <v>1367</v>
      </c>
      <c r="G104" s="892" t="s">
        <v>1279</v>
      </c>
      <c r="H104" s="268"/>
    </row>
    <row r="105" spans="1:8" ht="19.5">
      <c r="A105" s="111"/>
      <c r="B105" s="112"/>
      <c r="C105" s="107"/>
      <c r="D105" s="112"/>
      <c r="E105" s="162"/>
      <c r="F105" s="891"/>
      <c r="G105" s="892"/>
      <c r="H105" s="268"/>
    </row>
    <row r="106" spans="1:8" ht="19.5">
      <c r="A106" s="111"/>
      <c r="B106" s="112"/>
      <c r="C106" s="107"/>
      <c r="D106" s="112"/>
      <c r="E106" s="162"/>
      <c r="F106" s="891"/>
      <c r="G106" s="892"/>
      <c r="H106" s="268"/>
    </row>
    <row r="107" spans="1:8" ht="19.5">
      <c r="A107" s="111"/>
      <c r="B107" s="112"/>
      <c r="C107" s="107"/>
      <c r="D107" s="112"/>
      <c r="E107" s="162"/>
      <c r="F107" s="891"/>
      <c r="G107" s="892"/>
      <c r="H107" s="268"/>
    </row>
    <row r="108" spans="1:8" ht="19.5">
      <c r="A108" s="111"/>
      <c r="B108" s="112"/>
      <c r="C108" s="107"/>
      <c r="D108" s="112"/>
      <c r="E108" s="162"/>
      <c r="F108" s="122"/>
      <c r="G108" s="107"/>
      <c r="H108" s="268"/>
    </row>
    <row r="109" spans="1:8" ht="19.5">
      <c r="A109" s="111">
        <f>+A103+1</f>
        <v>21</v>
      </c>
      <c r="B109" s="112"/>
      <c r="C109" s="107" t="s">
        <v>310</v>
      </c>
      <c r="D109" s="107"/>
      <c r="E109" s="276">
        <f>SUM(F110:F111)</f>
        <v>0</v>
      </c>
      <c r="F109" s="122"/>
      <c r="G109" s="107"/>
      <c r="H109" s="268"/>
    </row>
    <row r="110" spans="1:8" ht="19.5">
      <c r="A110" s="111"/>
      <c r="B110" s="112"/>
      <c r="C110" s="107"/>
      <c r="D110" s="107"/>
      <c r="E110" s="162"/>
      <c r="F110" s="891"/>
      <c r="G110" s="892"/>
      <c r="H110" s="268"/>
    </row>
    <row r="111" spans="1:8" ht="19.5">
      <c r="A111" s="111"/>
      <c r="B111" s="112"/>
      <c r="C111" s="107"/>
      <c r="D111" s="107"/>
      <c r="E111" s="162"/>
      <c r="F111" s="891"/>
      <c r="G111" s="892"/>
      <c r="H111" s="268"/>
    </row>
    <row r="112" spans="1:8" ht="19.5">
      <c r="A112" s="111">
        <f>+A109+1</f>
        <v>22</v>
      </c>
      <c r="B112" s="107"/>
      <c r="C112" s="133" t="s">
        <v>108</v>
      </c>
      <c r="D112" s="122"/>
      <c r="E112" s="276">
        <f>SUM(F113:F113)</f>
        <v>0</v>
      </c>
      <c r="F112" s="273"/>
      <c r="G112" s="107"/>
      <c r="H112" s="268"/>
    </row>
    <row r="113" spans="1:9" ht="19.5">
      <c r="A113" s="111"/>
      <c r="B113" s="107"/>
      <c r="C113" s="133"/>
      <c r="D113" s="122"/>
      <c r="E113" s="162"/>
      <c r="F113" s="891"/>
      <c r="G113" s="892"/>
    </row>
    <row r="114" spans="1:9" ht="19.5">
      <c r="A114" s="6"/>
      <c r="B114" s="107"/>
      <c r="C114" s="250"/>
      <c r="D114"/>
      <c r="E114"/>
      <c r="F114" s="249"/>
      <c r="G114" s="274"/>
    </row>
    <row r="115" spans="1:9" ht="20.25" thickBot="1">
      <c r="A115" s="243">
        <f>+A112+1</f>
        <v>23</v>
      </c>
      <c r="B115" s="250"/>
      <c r="C115" s="107" t="s">
        <v>313</v>
      </c>
      <c r="D115"/>
      <c r="E115" s="132">
        <f>E15+E25+E61+E63+E79+E83+E93+E100+E103+E65</f>
        <v>12019402.789999999</v>
      </c>
      <c r="F115" s="132">
        <f>SUM(F15:F113)</f>
        <v>12019402.789999999</v>
      </c>
      <c r="G115" s="107"/>
    </row>
    <row r="116" spans="1:9" ht="20.25" thickTop="1">
      <c r="A116" s="6"/>
      <c r="B116" s="250"/>
      <c r="C116" s="107" t="s">
        <v>383</v>
      </c>
      <c r="D116"/>
      <c r="E116"/>
      <c r="F116" s="273"/>
      <c r="G116" s="116"/>
      <c r="I116" s="1414"/>
    </row>
    <row r="117" spans="1:9" ht="21">
      <c r="A117" s="6"/>
      <c r="B117" s="250"/>
      <c r="C117" s="107"/>
      <c r="D117"/>
      <c r="E117" s="286"/>
      <c r="F117" s="164" t="s">
        <v>116</v>
      </c>
      <c r="G117" s="107"/>
    </row>
    <row r="118" spans="1:9" ht="20.25" customHeight="1">
      <c r="A118" s="1587" t="s">
        <v>765</v>
      </c>
      <c r="B118" s="1587"/>
      <c r="C118" s="1587"/>
      <c r="D118" s="1587"/>
      <c r="E118" s="1587"/>
      <c r="F118" s="1587"/>
      <c r="G118" s="1587"/>
    </row>
    <row r="119" spans="1:9" ht="20.25" customHeight="1">
      <c r="A119" s="1587"/>
      <c r="B119" s="1587"/>
      <c r="C119" s="1587"/>
      <c r="D119" s="1587"/>
      <c r="E119" s="1587"/>
      <c r="F119" s="1587"/>
      <c r="G119" s="1587"/>
    </row>
    <row r="120" spans="1:9" ht="20.25" customHeight="1">
      <c r="A120" s="1587"/>
      <c r="B120" s="1587"/>
      <c r="C120" s="1587"/>
      <c r="D120" s="1587"/>
      <c r="E120" s="1587"/>
      <c r="F120" s="1587"/>
      <c r="G120" s="1587"/>
    </row>
    <row r="121" spans="1:9" ht="20.25" customHeight="1">
      <c r="A121" s="1587"/>
      <c r="B121" s="1587"/>
      <c r="C121" s="1587"/>
      <c r="D121" s="1587"/>
      <c r="E121" s="1587"/>
      <c r="F121" s="1587"/>
      <c r="G121" s="1587"/>
    </row>
    <row r="122" spans="1:9" ht="20.25" customHeight="1">
      <c r="A122" s="1587"/>
      <c r="B122" s="1587"/>
      <c r="C122" s="1587"/>
      <c r="D122" s="1587"/>
      <c r="E122" s="1587"/>
      <c r="F122" s="1587"/>
      <c r="G122" s="1587"/>
    </row>
    <row r="123" spans="1:9" ht="20.25" customHeight="1">
      <c r="A123" s="1175"/>
      <c r="B123" s="1175"/>
      <c r="C123" s="1175"/>
      <c r="D123" s="1175"/>
      <c r="E123" s="1175"/>
      <c r="F123" s="1175"/>
      <c r="G123" s="1175"/>
    </row>
    <row r="124" spans="1:9" ht="30.75" customHeight="1">
      <c r="A124" s="1586" t="s">
        <v>867</v>
      </c>
      <c r="B124" s="1586"/>
      <c r="C124" s="1586"/>
      <c r="D124" s="1586"/>
      <c r="E124" s="1586"/>
      <c r="F124" s="1586"/>
      <c r="G124" s="1586"/>
    </row>
    <row r="125" spans="1:9" ht="30.75" customHeight="1">
      <c r="A125" s="1586"/>
      <c r="B125" s="1586"/>
      <c r="C125" s="1586"/>
      <c r="D125" s="1586"/>
      <c r="E125" s="1586"/>
      <c r="F125" s="1586"/>
      <c r="G125" s="1586"/>
    </row>
    <row r="126" spans="1:9" ht="19.5">
      <c r="B126" s="159"/>
      <c r="F126" s="122"/>
      <c r="G126" s="107"/>
    </row>
  </sheetData>
  <mergeCells count="7">
    <mergeCell ref="A124:G125"/>
    <mergeCell ref="A118:G122"/>
    <mergeCell ref="A7:F7"/>
    <mergeCell ref="A3:F3"/>
    <mergeCell ref="A4:F4"/>
    <mergeCell ref="A5:F5"/>
    <mergeCell ref="A6:F6"/>
  </mergeCells>
  <phoneticPr fontId="74" type="noConversion"/>
  <pageMargins left="0.82" right="1.28" top="0.68" bottom="0.37" header="0.5" footer="0.5"/>
  <pageSetup scale="2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C61"/>
  <sheetViews>
    <sheetView view="pageBreakPreview" zoomScale="60" zoomScaleNormal="100" workbookViewId="0">
      <selection activeCell="A3" sqref="A3:J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33" t="s">
        <v>116</v>
      </c>
    </row>
    <row r="2" spans="1:29" ht="15.75">
      <c r="A2" s="933" t="s">
        <v>116</v>
      </c>
    </row>
    <row r="3" spans="1:29" ht="18">
      <c r="A3" s="1589" t="s">
        <v>389</v>
      </c>
      <c r="B3" s="1589"/>
      <c r="C3" s="1589"/>
      <c r="D3" s="1589"/>
      <c r="E3" s="1589"/>
      <c r="F3" s="1589"/>
      <c r="G3" s="1589"/>
      <c r="H3" s="1589"/>
      <c r="I3" s="1589"/>
      <c r="J3" s="1589"/>
      <c r="K3" s="153"/>
      <c r="L3" s="153"/>
      <c r="M3" s="153"/>
    </row>
    <row r="4" spans="1:29" ht="18">
      <c r="A4" s="1588" t="str">
        <f>"Cost of Service Formula Rate Using "&amp;TCOS!L4&amp;" FF1 Balances"</f>
        <v>Cost of Service Formula Rate Using 2024 FF1 Balances</v>
      </c>
      <c r="B4" s="1588"/>
      <c r="C4" s="1588"/>
      <c r="D4" s="1588"/>
      <c r="E4" s="1588"/>
      <c r="F4" s="1588"/>
      <c r="G4" s="1588"/>
      <c r="H4" s="1588"/>
      <c r="I4" s="1588"/>
      <c r="J4" s="1588"/>
      <c r="K4" s="95"/>
      <c r="L4" s="95"/>
      <c r="M4" s="95"/>
    </row>
    <row r="5" spans="1:29" ht="18">
      <c r="A5" s="1588" t="s">
        <v>549</v>
      </c>
      <c r="B5" s="1588"/>
      <c r="C5" s="1588"/>
      <c r="D5" s="1588"/>
      <c r="E5" s="1588"/>
      <c r="F5" s="1588"/>
      <c r="G5" s="1588"/>
      <c r="H5" s="1588"/>
      <c r="I5" s="1588"/>
      <c r="J5" s="1588"/>
      <c r="K5" s="154"/>
      <c r="L5" s="154"/>
      <c r="M5" s="154"/>
    </row>
    <row r="6" spans="1:29" ht="18">
      <c r="A6" s="1583" t="str">
        <f>+TCOS!F9</f>
        <v>KINGSPORT POWER COMPANY</v>
      </c>
      <c r="B6" s="1583"/>
      <c r="C6" s="1583"/>
      <c r="D6" s="1583"/>
      <c r="E6" s="1583"/>
      <c r="F6" s="1583"/>
      <c r="G6" s="1583"/>
      <c r="H6" s="1583"/>
      <c r="I6" s="1583"/>
      <c r="J6" s="1583"/>
      <c r="K6" s="165"/>
      <c r="L6" s="165"/>
      <c r="M6" s="165"/>
    </row>
    <row r="8" spans="1:29" ht="18">
      <c r="A8" s="171"/>
      <c r="B8" s="100"/>
      <c r="D8" s="102"/>
      <c r="E8" s="6"/>
      <c r="F8" s="104"/>
    </row>
    <row r="9" spans="1:29" ht="18">
      <c r="C9" s="7"/>
      <c r="D9" s="102"/>
      <c r="E9" s="6"/>
      <c r="F9" s="104" t="s">
        <v>116</v>
      </c>
      <c r="Q9" s="153"/>
      <c r="R9" s="153"/>
      <c r="S9" s="153"/>
      <c r="T9" s="153"/>
      <c r="U9" s="153"/>
      <c r="V9" s="153"/>
      <c r="W9" s="153"/>
      <c r="X9" s="153"/>
      <c r="Y9" s="153"/>
      <c r="Z9" s="153"/>
      <c r="AA9" s="153"/>
      <c r="AB9" s="153"/>
      <c r="AC9" s="153"/>
    </row>
    <row r="10" spans="1:29">
      <c r="C10" s="7"/>
      <c r="D10" s="102"/>
    </row>
    <row r="11" spans="1:29">
      <c r="C11" s="7"/>
      <c r="D11" s="102"/>
    </row>
    <row r="12" spans="1:29">
      <c r="C12" s="7"/>
      <c r="D12" s="102"/>
      <c r="H12" s="103"/>
    </row>
    <row r="13" spans="1:29">
      <c r="C13" s="7"/>
      <c r="D13" s="102"/>
      <c r="H13" s="103"/>
    </row>
    <row r="14" spans="1:29">
      <c r="C14" s="7"/>
      <c r="D14" s="102"/>
      <c r="E14" s="6"/>
      <c r="H14" s="103"/>
    </row>
    <row r="15" spans="1:29">
      <c r="C15" s="7"/>
      <c r="D15" s="102"/>
      <c r="E15" s="6"/>
      <c r="H15" s="104"/>
    </row>
    <row r="16" spans="1:29">
      <c r="C16" s="7"/>
      <c r="D16" s="102"/>
      <c r="E16" s="6"/>
      <c r="H16" s="166"/>
    </row>
    <row r="18" spans="1:12" ht="18">
      <c r="A18" s="171"/>
      <c r="B18" s="19"/>
    </row>
    <row r="20" spans="1:12">
      <c r="A20" s="18"/>
      <c r="B20" s="18"/>
      <c r="C20" s="167"/>
      <c r="E20" s="167"/>
      <c r="F20" s="167"/>
      <c r="G20" s="167"/>
      <c r="H20" s="167"/>
      <c r="I20" s="167"/>
      <c r="J20" s="168"/>
    </row>
    <row r="22" spans="1:12">
      <c r="E22" s="169"/>
      <c r="F22" s="170"/>
      <c r="G22" s="170"/>
      <c r="I22" s="170"/>
      <c r="L22" s="311"/>
    </row>
    <row r="23" spans="1:12">
      <c r="E23" s="105"/>
      <c r="F23" s="170"/>
      <c r="G23" s="170"/>
      <c r="I23" s="170"/>
      <c r="L23" s="311"/>
    </row>
    <row r="24" spans="1:12">
      <c r="E24" s="105"/>
      <c r="F24" s="170"/>
      <c r="G24" s="170"/>
      <c r="I24" s="170"/>
      <c r="L24" s="311"/>
    </row>
    <row r="25" spans="1:12">
      <c r="E25" s="105"/>
      <c r="F25" s="170"/>
      <c r="G25" s="170"/>
      <c r="I25" s="170"/>
      <c r="L25" s="311"/>
    </row>
    <row r="26" spans="1:12">
      <c r="E26" s="105"/>
      <c r="F26" s="170"/>
      <c r="G26" s="170"/>
      <c r="I26" s="170"/>
      <c r="L26" s="311"/>
    </row>
    <row r="27" spans="1:12">
      <c r="E27" s="105"/>
      <c r="F27" s="170"/>
      <c r="G27" s="170"/>
      <c r="I27" s="170"/>
      <c r="L27" s="311"/>
    </row>
    <row r="28" spans="1:12">
      <c r="E28" s="105"/>
      <c r="F28" s="170"/>
      <c r="G28" s="170"/>
      <c r="I28" s="170"/>
      <c r="L28" s="311"/>
    </row>
    <row r="29" spans="1:12">
      <c r="E29" s="105"/>
      <c r="F29" s="170"/>
      <c r="G29" s="170"/>
      <c r="I29" s="170"/>
      <c r="L29" s="311"/>
    </row>
    <row r="30" spans="1:12">
      <c r="E30" s="105"/>
      <c r="F30" s="170"/>
      <c r="G30" s="170"/>
      <c r="I30" s="170"/>
      <c r="L30" s="311"/>
    </row>
    <row r="31" spans="1:12">
      <c r="E31" s="105"/>
      <c r="F31" s="170"/>
      <c r="G31" s="170"/>
      <c r="I31" s="170"/>
      <c r="L31" s="311"/>
    </row>
    <row r="32" spans="1:12">
      <c r="E32" s="105"/>
      <c r="F32" s="170"/>
      <c r="G32" s="170"/>
      <c r="I32" s="170"/>
      <c r="L32" s="311"/>
    </row>
    <row r="33" spans="1:12">
      <c r="E33" s="105"/>
      <c r="F33" s="170"/>
      <c r="G33" s="170"/>
      <c r="I33" s="170"/>
      <c r="L33" s="311"/>
    </row>
    <row r="35" spans="1:12">
      <c r="H35" s="97"/>
      <c r="I35" s="317"/>
    </row>
    <row r="37" spans="1:12" ht="18">
      <c r="A37" s="171"/>
      <c r="B37" s="19"/>
    </row>
    <row r="44" spans="1:12" ht="18">
      <c r="A44" s="171"/>
      <c r="B44" s="179"/>
      <c r="C44" s="172"/>
      <c r="E44" s="172"/>
      <c r="F44" s="172"/>
      <c r="G44" s="172"/>
      <c r="H44" s="172"/>
      <c r="I44" s="102"/>
    </row>
    <row r="45" spans="1:12">
      <c r="B45" s="173"/>
      <c r="C45" s="172"/>
      <c r="E45" s="172"/>
      <c r="F45" s="172"/>
      <c r="G45" s="172"/>
      <c r="H45" s="172"/>
      <c r="I45" s="102"/>
    </row>
    <row r="46" spans="1:12">
      <c r="B46" s="178"/>
      <c r="C46" s="172"/>
      <c r="E46" s="172"/>
      <c r="F46" s="172"/>
      <c r="G46" s="180"/>
      <c r="H46" s="180"/>
    </row>
    <row r="47" spans="1:12">
      <c r="B47" s="178"/>
      <c r="C47" s="174"/>
      <c r="E47" s="174"/>
      <c r="F47" s="174"/>
      <c r="G47" s="174"/>
    </row>
    <row r="48" spans="1:12">
      <c r="B48" s="176"/>
      <c r="F48" s="97"/>
      <c r="G48" s="215"/>
      <c r="H48" s="183"/>
      <c r="I48" s="177"/>
      <c r="J48" s="181"/>
    </row>
    <row r="49" spans="2:10">
      <c r="B49" s="176"/>
      <c r="F49" s="97"/>
      <c r="G49" s="175"/>
      <c r="H49" s="183"/>
      <c r="I49" s="177"/>
      <c r="J49" s="181"/>
    </row>
    <row r="50" spans="2:10">
      <c r="B50" s="178"/>
      <c r="G50" s="175"/>
      <c r="H50" s="183"/>
      <c r="I50" s="177"/>
      <c r="J50" s="181"/>
    </row>
    <row r="51" spans="2:10">
      <c r="B51" s="255"/>
      <c r="C51" s="256"/>
      <c r="D51" s="172"/>
      <c r="E51" s="172"/>
      <c r="F51" s="172"/>
      <c r="G51" s="318"/>
      <c r="H51" s="181"/>
      <c r="J51" s="181"/>
    </row>
    <row r="52" spans="2:10">
      <c r="F52" s="97"/>
      <c r="G52" s="215"/>
      <c r="J52" s="182"/>
    </row>
    <row r="55" spans="2:10">
      <c r="D55" s="182"/>
    </row>
    <row r="56" spans="2:10">
      <c r="D56" s="182"/>
      <c r="H56" s="102"/>
    </row>
    <row r="57" spans="2:10">
      <c r="D57" s="182"/>
      <c r="H57" s="172"/>
    </row>
    <row r="58" spans="2:10">
      <c r="D58" s="182"/>
    </row>
    <row r="59" spans="2:10">
      <c r="D59" s="182"/>
      <c r="H59" s="102"/>
    </row>
    <row r="61" spans="2:10">
      <c r="G61" t="s">
        <v>116</v>
      </c>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5703125" style="348" customWidth="1"/>
    <col min="2" max="2" width="6.5703125" style="430" customWidth="1"/>
    <col min="3" max="3" width="42" style="348" customWidth="1"/>
    <col min="4" max="4" width="17.5703125" style="442" customWidth="1"/>
    <col min="5" max="7" width="17.5703125" style="348" customWidth="1"/>
    <col min="8" max="8" width="17.5703125" style="612" customWidth="1"/>
    <col min="9" max="9" width="17.5703125" style="348" bestFit="1" customWidth="1"/>
    <col min="10" max="10" width="2.140625" style="332" customWidth="1"/>
    <col min="11" max="11" width="20.5703125" style="348" customWidth="1"/>
    <col min="12" max="14" width="17.5703125" style="348" customWidth="1"/>
    <col min="15" max="15" width="16.5703125" style="348" customWidth="1"/>
    <col min="16" max="16" width="2.140625" style="563" customWidth="1"/>
    <col min="17" max="16384" width="8.85546875" style="348"/>
  </cols>
  <sheetData>
    <row r="1" spans="1:16" ht="15.75">
      <c r="A1" s="933" t="s">
        <v>116</v>
      </c>
    </row>
    <row r="2" spans="1:16" ht="15.75">
      <c r="A2" s="933" t="s">
        <v>116</v>
      </c>
    </row>
    <row r="3" spans="1:16" ht="15">
      <c r="A3" s="1576" t="s">
        <v>389</v>
      </c>
      <c r="B3" s="1576"/>
      <c r="C3" s="1576"/>
      <c r="D3" s="1576"/>
      <c r="E3" s="1576"/>
      <c r="F3" s="1576"/>
      <c r="G3" s="1576"/>
      <c r="H3" s="1576"/>
      <c r="I3" s="1576"/>
      <c r="J3" s="1576"/>
      <c r="K3" s="1576"/>
      <c r="L3" s="1576"/>
      <c r="M3" s="1576"/>
      <c r="N3" s="1576"/>
      <c r="O3" s="1576"/>
      <c r="P3" s="611"/>
    </row>
    <row r="4" spans="1:16" ht="15">
      <c r="A4" s="1577" t="str">
        <f>"Cost of Service Formula Rate Using "&amp;TCOS!L4&amp;" FF1 Balances"</f>
        <v>Cost of Service Formula Rate Using 2024 FF1 Balances</v>
      </c>
      <c r="B4" s="1577"/>
      <c r="C4" s="1577"/>
      <c r="D4" s="1577"/>
      <c r="E4" s="1577"/>
      <c r="F4" s="1577"/>
      <c r="G4" s="1577"/>
      <c r="H4" s="1577"/>
      <c r="I4" s="1577"/>
      <c r="J4" s="1577"/>
      <c r="K4" s="1577"/>
      <c r="L4" s="1577"/>
      <c r="M4" s="1577"/>
      <c r="N4" s="1577"/>
      <c r="O4" s="1577"/>
      <c r="P4" s="611"/>
    </row>
    <row r="5" spans="1:16" ht="15">
      <c r="A5" s="1577" t="s">
        <v>470</v>
      </c>
      <c r="B5" s="1577"/>
      <c r="C5" s="1577"/>
      <c r="D5" s="1577"/>
      <c r="E5" s="1577"/>
      <c r="F5" s="1577"/>
      <c r="G5" s="1577"/>
      <c r="H5" s="1577"/>
      <c r="I5" s="1577"/>
      <c r="J5" s="1577"/>
      <c r="K5" s="1577"/>
      <c r="L5" s="1577"/>
      <c r="M5" s="1577"/>
      <c r="N5" s="1577"/>
      <c r="O5" s="1577"/>
      <c r="P5" s="611"/>
    </row>
    <row r="6" spans="1:16" ht="15">
      <c r="A6" s="1578" t="str">
        <f>TCOS!F9</f>
        <v>KINGSPORT POWER COMPANY</v>
      </c>
      <c r="B6" s="1578"/>
      <c r="C6" s="1578"/>
      <c r="D6" s="1578"/>
      <c r="E6" s="1578"/>
      <c r="F6" s="1578"/>
      <c r="G6" s="1578"/>
      <c r="H6" s="1578"/>
      <c r="I6" s="1578"/>
      <c r="J6" s="1578"/>
      <c r="K6" s="1578"/>
      <c r="L6" s="1578"/>
      <c r="M6" s="1578"/>
      <c r="N6" s="1578"/>
      <c r="O6" s="1578"/>
      <c r="P6" s="611"/>
    </row>
    <row r="7" spans="1:16">
      <c r="P7" s="611"/>
    </row>
    <row r="8" spans="1:16" ht="20.25">
      <c r="A8" s="613"/>
      <c r="C8" s="430"/>
      <c r="N8" s="614" t="str">
        <f>"Page "&amp;P8&amp;" of "</f>
        <v xml:space="preserve">Page 1 of </v>
      </c>
      <c r="O8" s="615">
        <f>COUNT(P$8:P$57923)</f>
        <v>2</v>
      </c>
      <c r="P8" s="616">
        <v>1</v>
      </c>
    </row>
    <row r="9" spans="1:16" ht="18">
      <c r="C9" s="617"/>
      <c r="F9" s="563" t="s">
        <v>116</v>
      </c>
      <c r="P9" s="611"/>
    </row>
    <row r="10" spans="1:16">
      <c r="P10" s="611"/>
    </row>
    <row r="11" spans="1:16" ht="18">
      <c r="B11" s="618" t="s">
        <v>173</v>
      </c>
      <c r="C11" s="1599" t="str">
        <f>"Calculate Return and Income Taxes with "&amp;F17&amp;" basis point ROE increase for Projects Qualified for Regional Billing."</f>
        <v>Calculate Return and Income Taxes with  basis point ROE increase for Projects Qualified for Regional Billing.</v>
      </c>
      <c r="D11" s="1600"/>
      <c r="E11" s="1600"/>
      <c r="F11" s="1600"/>
      <c r="G11" s="1600"/>
      <c r="H11" s="1600"/>
      <c r="P11" s="611"/>
    </row>
    <row r="12" spans="1:16" ht="18.75" customHeight="1">
      <c r="C12" s="1600"/>
      <c r="D12" s="1600"/>
      <c r="E12" s="1600"/>
      <c r="F12" s="1600"/>
      <c r="G12" s="1600"/>
      <c r="H12" s="1600"/>
      <c r="P12" s="611"/>
    </row>
    <row r="13" spans="1:16" ht="15.75" customHeight="1">
      <c r="C13" s="548"/>
      <c r="D13" s="548"/>
      <c r="E13" s="548"/>
      <c r="F13" s="548"/>
      <c r="G13" s="548"/>
      <c r="H13" s="548"/>
      <c r="P13" s="611"/>
    </row>
    <row r="14" spans="1:16" ht="15.75">
      <c r="C14" s="619" t="str">
        <f>"A.   Determine 'R' with hypothetical "&amp;F17&amp;" basis point increase in ROE for Identified Projects"</f>
        <v>A.   Determine 'R' with hypothetical  basis point increase in ROE for Identified Projects</v>
      </c>
      <c r="P14" s="611"/>
    </row>
    <row r="15" spans="1:16">
      <c r="C15" s="430"/>
      <c r="P15" s="611"/>
    </row>
    <row r="16" spans="1:16">
      <c r="C16" s="620" t="str">
        <f>"   ROE w/o incentives  (TCOS, ln "&amp;TCOS!B257&amp;")"</f>
        <v xml:space="preserve">   ROE w/o incentives  (TCOS, ln 156)</v>
      </c>
      <c r="E16" s="621"/>
      <c r="F16" s="622">
        <f>TCOS!J257</f>
        <v>0.10349999999999999</v>
      </c>
      <c r="G16" s="621"/>
      <c r="H16" s="623"/>
      <c r="I16" s="623"/>
      <c r="J16" s="624"/>
      <c r="K16" s="623"/>
      <c r="L16" s="623"/>
      <c r="M16" s="623"/>
      <c r="N16" s="623"/>
      <c r="O16" s="623"/>
      <c r="P16" s="624"/>
    </row>
    <row r="17" spans="3:16">
      <c r="C17" s="620" t="s">
        <v>254</v>
      </c>
      <c r="E17" s="621"/>
      <c r="F17" s="893"/>
      <c r="G17" s="625"/>
      <c r="H17" s="623"/>
      <c r="I17" s="623"/>
      <c r="J17" s="624"/>
    </row>
    <row r="18" spans="3:16">
      <c r="C18" s="620" t="str">
        <f>"   ROE with additional "&amp;F17&amp;" basis point incentive"</f>
        <v xml:space="preserve">   ROE with additional  basis point incentive</v>
      </c>
      <c r="D18" s="621"/>
      <c r="E18" s="621"/>
      <c r="F18" s="626">
        <f>IF((F16+(F17/10000)&gt;0.1274),"ERROR",F16+(F17/10000))</f>
        <v>0.10349999999999999</v>
      </c>
      <c r="G18" s="627"/>
      <c r="H18" s="623"/>
      <c r="I18" s="623"/>
      <c r="J18" s="624"/>
    </row>
    <row r="19" spans="3:16">
      <c r="C19" s="62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1"/>
      <c r="F19" s="628"/>
      <c r="G19" s="621"/>
      <c r="H19" s="623"/>
      <c r="I19" s="623"/>
      <c r="J19" s="624"/>
    </row>
    <row r="20" spans="3:16">
      <c r="C20" s="624"/>
      <c r="D20" s="629" t="s">
        <v>148</v>
      </c>
      <c r="E20" s="629" t="s">
        <v>147</v>
      </c>
      <c r="F20" s="630" t="s">
        <v>255</v>
      </c>
      <c r="G20" s="621"/>
      <c r="H20" s="623"/>
      <c r="I20" s="623"/>
      <c r="J20" s="624"/>
    </row>
    <row r="21" spans="3:16" ht="13.5" thickBot="1">
      <c r="C21" s="631" t="s">
        <v>259</v>
      </c>
      <c r="D21" s="632">
        <f>TCOS!H255</f>
        <v>0.47750991292642092</v>
      </c>
      <c r="E21" s="633">
        <f>TCOS!J255</f>
        <v>3.6999047619047619E-2</v>
      </c>
      <c r="F21" s="634">
        <f>E21*D21</f>
        <v>1.7667412006931931E-2</v>
      </c>
      <c r="G21" s="621"/>
      <c r="H21" s="623"/>
      <c r="I21" s="635"/>
      <c r="J21" s="636"/>
      <c r="K21" s="558"/>
      <c r="L21" s="558"/>
      <c r="M21" s="558"/>
      <c r="N21" s="558"/>
      <c r="O21" s="558"/>
    </row>
    <row r="22" spans="3:16">
      <c r="C22" s="631" t="s">
        <v>260</v>
      </c>
      <c r="D22" s="632">
        <f>TCOS!H256</f>
        <v>0</v>
      </c>
      <c r="E22" s="633">
        <f>TCOS!J256</f>
        <v>0</v>
      </c>
      <c r="F22" s="634">
        <f>E22*D22</f>
        <v>0</v>
      </c>
      <c r="G22" s="637"/>
      <c r="H22" s="637"/>
      <c r="I22" s="638"/>
      <c r="J22" s="639"/>
      <c r="K22" s="1593" t="s">
        <v>453</v>
      </c>
      <c r="L22" s="1594"/>
      <c r="M22" s="1594"/>
      <c r="N22" s="1594"/>
      <c r="O22" s="1595"/>
      <c r="P22" s="639"/>
    </row>
    <row r="23" spans="3:16">
      <c r="C23" s="640" t="s">
        <v>246</v>
      </c>
      <c r="D23" s="632">
        <f>TCOS!H257</f>
        <v>0.52249008707357913</v>
      </c>
      <c r="E23" s="633">
        <f>+F18</f>
        <v>0.10349999999999999</v>
      </c>
      <c r="F23" s="641">
        <f>E23*D23</f>
        <v>5.4077724012115434E-2</v>
      </c>
      <c r="G23" s="637"/>
      <c r="H23" s="637"/>
      <c r="I23" s="638"/>
      <c r="J23" s="639"/>
      <c r="K23" s="1596"/>
      <c r="L23" s="1597"/>
      <c r="M23" s="1597"/>
      <c r="N23" s="1597"/>
      <c r="O23" s="1598"/>
      <c r="P23" s="639"/>
    </row>
    <row r="24" spans="3:16">
      <c r="C24" s="642"/>
      <c r="D24" s="348"/>
      <c r="E24" s="643" t="s">
        <v>262</v>
      </c>
      <c r="F24" s="634">
        <f>SUM(F21:F23)</f>
        <v>7.1745136019047362E-2</v>
      </c>
      <c r="G24" s="637"/>
      <c r="H24" s="637"/>
      <c r="I24" s="638"/>
      <c r="J24" s="639"/>
      <c r="K24" s="644"/>
      <c r="L24" s="645"/>
      <c r="M24" s="646" t="s">
        <v>256</v>
      </c>
      <c r="N24" s="646" t="s">
        <v>257</v>
      </c>
      <c r="O24" s="647" t="s">
        <v>258</v>
      </c>
      <c r="P24" s="639"/>
    </row>
    <row r="25" spans="3:16">
      <c r="C25" s="563"/>
      <c r="D25" s="648"/>
      <c r="E25" s="648"/>
      <c r="F25" s="637"/>
      <c r="G25" s="637"/>
      <c r="H25" s="637"/>
      <c r="I25" s="637"/>
      <c r="J25" s="649"/>
      <c r="K25" s="650"/>
      <c r="L25" s="651"/>
      <c r="M25" s="651"/>
      <c r="N25" s="651"/>
      <c r="O25" s="652"/>
      <c r="P25" s="649"/>
    </row>
    <row r="26" spans="3:16" ht="16.5" thickBot="1">
      <c r="C26" s="619" t="str">
        <f>"B.   Determine Return using 'R' with hypothetical "&amp;F17&amp;" basis point ROE increase for Identified Projects."</f>
        <v>B.   Determine Return using 'R' with hypothetical  basis point ROE increase for Identified Projects.</v>
      </c>
      <c r="D26" s="648"/>
      <c r="E26" s="648"/>
      <c r="F26" s="653"/>
      <c r="G26" s="637"/>
      <c r="H26" s="621"/>
      <c r="I26" s="637"/>
      <c r="J26" s="649"/>
      <c r="K26" s="654" t="s">
        <v>263</v>
      </c>
      <c r="L26" s="655">
        <f>TCOS!L4</f>
        <v>2024</v>
      </c>
      <c r="M26" s="894">
        <f>N88</f>
        <v>0</v>
      </c>
      <c r="N26" s="894">
        <f>N89</f>
        <v>0</v>
      </c>
      <c r="O26" s="656">
        <f>+N26-M26</f>
        <v>0</v>
      </c>
      <c r="P26" s="649"/>
    </row>
    <row r="27" spans="3:16">
      <c r="C27" s="624"/>
      <c r="D27" s="648"/>
      <c r="E27" s="648"/>
      <c r="F27" s="649"/>
      <c r="G27" s="649"/>
      <c r="H27" s="649"/>
      <c r="I27" s="649"/>
      <c r="J27" s="649"/>
      <c r="K27" s="657"/>
      <c r="L27" s="657"/>
      <c r="M27" s="657"/>
      <c r="N27" s="657"/>
      <c r="O27" s="657"/>
      <c r="P27" s="649"/>
    </row>
    <row r="28" spans="3:16">
      <c r="C28" s="658" t="str">
        <f>"   Rate Base  (TCOS, ln "&amp;TCOS!B125&amp;")"</f>
        <v xml:space="preserve">   Rate Base  (TCOS, ln 68)</v>
      </c>
      <c r="D28" s="621"/>
      <c r="F28" s="659">
        <f>TCOS!L125</f>
        <v>48700628.562494569</v>
      </c>
      <c r="G28" s="649"/>
      <c r="H28" s="649"/>
      <c r="I28" s="649"/>
      <c r="J28" s="649"/>
      <c r="K28" s="657"/>
      <c r="L28" s="657"/>
      <c r="M28" s="657"/>
      <c r="N28" s="657"/>
      <c r="O28" s="660"/>
      <c r="P28" s="649"/>
    </row>
    <row r="29" spans="3:16">
      <c r="C29" s="624" t="s">
        <v>476</v>
      </c>
      <c r="D29" s="661"/>
      <c r="F29" s="634">
        <f>F24</f>
        <v>7.1745136019047362E-2</v>
      </c>
      <c r="G29" s="649"/>
      <c r="H29" s="649"/>
      <c r="I29" s="649"/>
      <c r="J29" s="649"/>
      <c r="K29" s="649"/>
      <c r="L29" s="649"/>
      <c r="M29" s="649"/>
      <c r="N29" s="649"/>
      <c r="O29" s="649"/>
      <c r="P29" s="649"/>
    </row>
    <row r="30" spans="3:16">
      <c r="C30" s="662" t="s">
        <v>264</v>
      </c>
      <c r="D30" s="662"/>
      <c r="F30" s="638">
        <f>F28*F29</f>
        <v>3494033.2204292757</v>
      </c>
      <c r="G30" s="649"/>
      <c r="H30" s="649"/>
      <c r="I30" s="639"/>
      <c r="J30" s="639"/>
      <c r="K30" s="639"/>
      <c r="L30" s="639"/>
      <c r="M30" s="639"/>
      <c r="N30" s="639"/>
      <c r="O30" s="649"/>
      <c r="P30" s="639"/>
    </row>
    <row r="31" spans="3:16">
      <c r="C31" s="663"/>
      <c r="D31" s="623"/>
      <c r="E31" s="623"/>
      <c r="F31" s="649"/>
      <c r="G31" s="649"/>
      <c r="H31" s="649"/>
      <c r="I31" s="639"/>
      <c r="J31" s="639"/>
      <c r="K31" s="639"/>
      <c r="L31" s="639"/>
      <c r="M31" s="639"/>
      <c r="N31" s="639"/>
      <c r="O31" s="649"/>
      <c r="P31" s="639"/>
    </row>
    <row r="32" spans="3:16" ht="15.75">
      <c r="C32" s="619" t="str">
        <f>"C.   Determine Income Taxes using Return with hypothetical "&amp;F17&amp;" basis point ROE increase for Identified Projects."</f>
        <v>C.   Determine Income Taxes using Return with hypothetical  basis point ROE increase for Identified Projects.</v>
      </c>
      <c r="D32" s="664"/>
      <c r="E32" s="664"/>
      <c r="F32" s="665"/>
      <c r="G32" s="665"/>
      <c r="H32" s="665"/>
      <c r="I32" s="666"/>
      <c r="J32" s="666"/>
      <c r="K32" s="666"/>
      <c r="L32" s="666"/>
      <c r="M32" s="666"/>
      <c r="N32" s="666"/>
      <c r="O32" s="665"/>
      <c r="P32" s="666"/>
    </row>
    <row r="33" spans="2:16">
      <c r="C33" s="642"/>
      <c r="D33" s="623"/>
      <c r="E33" s="623"/>
      <c r="F33" s="649"/>
      <c r="G33" s="649"/>
      <c r="H33" s="649"/>
      <c r="I33" s="639"/>
      <c r="J33" s="639"/>
      <c r="K33" s="639"/>
      <c r="L33" s="639"/>
      <c r="M33" s="639"/>
      <c r="N33" s="639"/>
      <c r="O33" s="649"/>
      <c r="P33" s="639"/>
    </row>
    <row r="34" spans="2:16">
      <c r="C34" s="624" t="s">
        <v>265</v>
      </c>
      <c r="D34" s="643"/>
      <c r="F34" s="667">
        <f>F30</f>
        <v>3494033.2204292757</v>
      </c>
      <c r="G34" s="649"/>
      <c r="H34" s="649"/>
      <c r="I34" s="649"/>
      <c r="J34" s="649"/>
      <c r="K34" s="649"/>
      <c r="L34" s="649"/>
      <c r="M34" s="649"/>
      <c r="N34" s="649"/>
      <c r="O34" s="649"/>
      <c r="P34" s="649"/>
    </row>
    <row r="35" spans="2:16">
      <c r="C35" s="658" t="str">
        <f>"   Effective Tax Rate  (TCOS, ln "&amp;TCOS!B190&amp;")"</f>
        <v xml:space="preserve">   Effective Tax Rate  (TCOS, ln 114)</v>
      </c>
      <c r="D35" s="586"/>
      <c r="F35" s="668">
        <f>TCOS!G190</f>
        <v>0.26664710540346687</v>
      </c>
      <c r="G35" s="563"/>
      <c r="H35" s="669"/>
      <c r="I35" s="563"/>
      <c r="J35" s="611"/>
      <c r="K35" s="563"/>
      <c r="L35" s="563"/>
      <c r="M35" s="563"/>
      <c r="N35" s="563"/>
      <c r="O35" s="563"/>
      <c r="P35" s="611"/>
    </row>
    <row r="36" spans="2:16">
      <c r="C36" s="663" t="s">
        <v>266</v>
      </c>
      <c r="D36" s="586"/>
      <c r="F36" s="670">
        <f>F34*F35</f>
        <v>931673.84441101982</v>
      </c>
      <c r="G36" s="563"/>
      <c r="H36" s="669"/>
      <c r="I36" s="563"/>
      <c r="J36" s="611"/>
      <c r="K36" s="563"/>
      <c r="L36" s="563"/>
      <c r="M36" s="563"/>
      <c r="N36" s="563"/>
      <c r="O36" s="563"/>
      <c r="P36" s="611"/>
    </row>
    <row r="37" spans="2:16" ht="15">
      <c r="C37" s="642" t="s">
        <v>304</v>
      </c>
      <c r="D37" s="494"/>
      <c r="F37" s="671">
        <f>TCOS!L199</f>
        <v>0</v>
      </c>
      <c r="G37" s="494"/>
      <c r="H37" s="494"/>
      <c r="I37" s="494"/>
      <c r="J37" s="494"/>
      <c r="K37" s="494"/>
      <c r="L37" s="494"/>
      <c r="M37" s="494"/>
      <c r="N37" s="494"/>
      <c r="O37" s="406"/>
      <c r="P37" s="494"/>
    </row>
    <row r="38" spans="2:16" ht="15">
      <c r="C38" s="642" t="s">
        <v>535</v>
      </c>
      <c r="D38" s="494"/>
      <c r="F38" s="671">
        <f>TCOS!L200</f>
        <v>-125384.72383509345</v>
      </c>
      <c r="G38" s="494"/>
      <c r="H38" s="494"/>
      <c r="I38" s="494"/>
      <c r="J38" s="494"/>
      <c r="K38" s="494"/>
      <c r="L38" s="494"/>
      <c r="M38" s="494"/>
      <c r="N38" s="494"/>
      <c r="O38" s="406"/>
      <c r="P38" s="494"/>
    </row>
    <row r="39" spans="2:16" ht="15">
      <c r="C39" s="642" t="s">
        <v>536</v>
      </c>
      <c r="D39" s="494"/>
      <c r="F39" s="672">
        <f>TCOS!L201</f>
        <v>19761.96101247249</v>
      </c>
      <c r="G39" s="494"/>
      <c r="H39" s="494"/>
      <c r="I39" s="494"/>
      <c r="J39" s="494"/>
      <c r="K39" s="494"/>
      <c r="L39" s="494"/>
      <c r="M39" s="494"/>
      <c r="N39" s="494"/>
      <c r="O39" s="406"/>
      <c r="P39" s="494"/>
    </row>
    <row r="40" spans="2:16" ht="15">
      <c r="C40" s="663" t="s">
        <v>267</v>
      </c>
      <c r="D40" s="494"/>
      <c r="F40" s="671">
        <f>F36+F37+F38+F39</f>
        <v>826051.0815883989</v>
      </c>
      <c r="G40" s="494"/>
      <c r="H40" s="494"/>
      <c r="I40" s="494"/>
      <c r="J40" s="494"/>
      <c r="K40" s="494"/>
      <c r="L40" s="494"/>
      <c r="M40" s="494"/>
      <c r="N40" s="494"/>
      <c r="O40" s="364"/>
      <c r="P40" s="494"/>
    </row>
    <row r="41" spans="2:16" ht="12.75" customHeight="1">
      <c r="C41" s="414"/>
      <c r="D41" s="494"/>
      <c r="E41" s="494"/>
      <c r="F41" s="494"/>
      <c r="G41" s="494"/>
      <c r="H41" s="494"/>
      <c r="I41" s="494"/>
      <c r="J41" s="494"/>
      <c r="K41" s="494"/>
      <c r="L41" s="494"/>
      <c r="M41" s="494"/>
      <c r="N41" s="494"/>
      <c r="O41" s="364"/>
      <c r="P41" s="494"/>
    </row>
    <row r="42" spans="2:16" ht="18.75">
      <c r="B42" s="618" t="s">
        <v>174</v>
      </c>
      <c r="C42" s="617" t="str">
        <f>"Calculate Net Plant Carrying Charge Rate (Fixed Charge Rate or FCR) with hypothetical "&amp;F17&amp;""</f>
        <v xml:space="preserve">Calculate Net Plant Carrying Charge Rate (Fixed Charge Rate or FCR) with hypothetical </v>
      </c>
      <c r="D42" s="494"/>
      <c r="E42" s="494"/>
      <c r="F42" s="494"/>
      <c r="G42" s="494"/>
      <c r="H42" s="494"/>
      <c r="I42" s="494"/>
      <c r="J42" s="494"/>
      <c r="K42" s="494"/>
      <c r="L42" s="494"/>
      <c r="M42" s="494"/>
      <c r="N42" s="494"/>
      <c r="O42" s="364"/>
      <c r="P42" s="494"/>
    </row>
    <row r="43" spans="2:16" ht="18.75" customHeight="1">
      <c r="C43" s="617" t="str">
        <f>"basis point ROE increase."</f>
        <v>basis point ROE increase.</v>
      </c>
      <c r="D43" s="494"/>
      <c r="E43" s="494"/>
      <c r="F43" s="494"/>
      <c r="G43" s="494"/>
      <c r="H43" s="494"/>
      <c r="I43" s="494"/>
      <c r="J43" s="494"/>
      <c r="K43" s="494"/>
      <c r="L43" s="494"/>
      <c r="M43" s="494"/>
      <c r="N43" s="494"/>
      <c r="O43" s="364"/>
      <c r="P43" s="494"/>
    </row>
    <row r="44" spans="2:16" ht="12.75" customHeight="1">
      <c r="C44" s="617"/>
      <c r="D44" s="494"/>
      <c r="E44" s="494"/>
      <c r="F44" s="494"/>
      <c r="G44" s="494"/>
      <c r="H44" s="494"/>
      <c r="I44" s="494"/>
      <c r="J44" s="494"/>
      <c r="K44" s="494"/>
      <c r="L44" s="494"/>
      <c r="M44" s="494"/>
      <c r="N44" s="494"/>
      <c r="O44" s="364"/>
      <c r="P44" s="494"/>
    </row>
    <row r="45" spans="2:16" ht="15.75">
      <c r="C45" s="619" t="s">
        <v>467</v>
      </c>
      <c r="D45" s="494"/>
      <c r="E45" s="494"/>
      <c r="F45" s="493"/>
      <c r="G45" s="494"/>
      <c r="H45" s="494"/>
      <c r="I45" s="494"/>
      <c r="J45" s="494"/>
      <c r="K45" s="494"/>
      <c r="L45" s="494"/>
      <c r="M45" s="494"/>
      <c r="N45" s="494"/>
      <c r="O45" s="364"/>
      <c r="P45" s="494"/>
    </row>
    <row r="46" spans="2:16">
      <c r="B46" s="599"/>
      <c r="C46" s="620"/>
      <c r="D46" s="673"/>
      <c r="E46" s="673"/>
      <c r="F46" s="673"/>
      <c r="G46" s="673"/>
      <c r="H46" s="673"/>
      <c r="I46" s="673"/>
      <c r="J46" s="673"/>
      <c r="K46" s="673"/>
      <c r="L46" s="673"/>
      <c r="M46" s="673"/>
      <c r="N46" s="673"/>
      <c r="O46" s="671"/>
      <c r="P46" s="673"/>
    </row>
    <row r="47" spans="2:16" ht="12.75" customHeight="1">
      <c r="B47" s="599"/>
      <c r="C47" s="658" t="str">
        <f>"   Annual Revenue Requirement  (TCOS, ln "&amp;TCOS!B13&amp;")"</f>
        <v xml:space="preserve">   Annual Revenue Requirement  (TCOS, ln 1)</v>
      </c>
      <c r="D47" s="673"/>
      <c r="E47" s="673"/>
      <c r="G47" s="671">
        <f>TCOS!L13</f>
        <v>8070188.2808096418</v>
      </c>
      <c r="H47" s="673"/>
      <c r="I47" s="673"/>
      <c r="J47" s="673"/>
      <c r="K47" s="673"/>
      <c r="L47" s="673"/>
      <c r="M47" s="673"/>
      <c r="N47" s="673"/>
      <c r="O47" s="671"/>
      <c r="P47" s="673"/>
    </row>
    <row r="48" spans="2:16" ht="12.75" customHeight="1">
      <c r="B48" s="599"/>
      <c r="C48" s="658" t="str">
        <f>"   Lease Payments (TCOS, Ln "&amp;TCOS!B168&amp;")"</f>
        <v xml:space="preserve">   Lease Payments (TCOS, Ln 95)</v>
      </c>
      <c r="D48" s="673"/>
      <c r="E48" s="673"/>
      <c r="G48" s="671">
        <f>TCOS!L168</f>
        <v>0</v>
      </c>
      <c r="H48" s="673"/>
      <c r="I48" s="673"/>
      <c r="J48" s="673"/>
      <c r="K48" s="673"/>
      <c r="L48" s="673"/>
      <c r="M48" s="673"/>
      <c r="N48" s="673"/>
      <c r="O48" s="671"/>
      <c r="P48" s="673"/>
    </row>
    <row r="49" spans="2:16">
      <c r="B49" s="599"/>
      <c r="C49" s="658" t="str">
        <f>"   Return  (TCOS, ln "&amp;TCOS!B205&amp;")"</f>
        <v xml:space="preserve">   Return  (TCOS, ln 126)</v>
      </c>
      <c r="D49" s="673"/>
      <c r="E49" s="673"/>
      <c r="G49" s="674">
        <f>TCOS!L205</f>
        <v>3494033.2204292757</v>
      </c>
      <c r="H49" s="675"/>
      <c r="I49" s="675"/>
      <c r="J49" s="675"/>
      <c r="K49" s="675"/>
      <c r="L49" s="675"/>
      <c r="M49" s="675"/>
      <c r="N49" s="675"/>
      <c r="O49" s="671"/>
      <c r="P49" s="675"/>
    </row>
    <row r="50" spans="2:16">
      <c r="B50" s="599"/>
      <c r="C50" s="658" t="str">
        <f>"   Income Taxes  (TCOS, ln "&amp;TCOS!B203&amp;")"</f>
        <v xml:space="preserve">   Income Taxes  (TCOS, ln 125)</v>
      </c>
      <c r="D50" s="673"/>
      <c r="E50" s="673"/>
      <c r="G50" s="676">
        <f>TCOS!L203</f>
        <v>826051.0815883989</v>
      </c>
      <c r="H50" s="673"/>
      <c r="I50" s="677"/>
      <c r="J50" s="677"/>
      <c r="K50" s="677"/>
      <c r="L50" s="677"/>
      <c r="M50" s="677"/>
      <c r="N50" s="677"/>
      <c r="O50" s="673"/>
      <c r="P50" s="677"/>
    </row>
    <row r="51" spans="2:16">
      <c r="B51" s="599"/>
      <c r="C51" s="678" t="s">
        <v>593</v>
      </c>
      <c r="D51" s="673"/>
      <c r="E51" s="673"/>
      <c r="G51" s="674">
        <f>G47-G49-G50-G48</f>
        <v>3750103.978791967</v>
      </c>
      <c r="H51" s="673"/>
      <c r="I51" s="679"/>
      <c r="J51" s="679"/>
      <c r="K51" s="679"/>
      <c r="L51" s="679"/>
      <c r="M51" s="679"/>
      <c r="N51" s="679"/>
      <c r="O51" s="679"/>
      <c r="P51" s="679"/>
    </row>
    <row r="52" spans="2:16">
      <c r="B52" s="599"/>
      <c r="C52" s="620"/>
      <c r="D52" s="673"/>
      <c r="E52" s="673"/>
      <c r="F52" s="671"/>
      <c r="G52" s="680"/>
      <c r="H52" s="681"/>
      <c r="I52" s="681"/>
      <c r="J52" s="681"/>
      <c r="K52" s="681"/>
      <c r="L52" s="681"/>
      <c r="M52" s="681"/>
      <c r="N52" s="681"/>
      <c r="O52" s="681"/>
      <c r="P52" s="681"/>
    </row>
    <row r="53" spans="2:16" ht="15.75">
      <c r="B53" s="599"/>
      <c r="C53" s="619" t="str">
        <f>"B.   Determine Annual Revenue Requirement with hypothetical "&amp;F17&amp;" basis point increase in ROE."</f>
        <v>B.   Determine Annual Revenue Requirement with hypothetical  basis point increase in ROE.</v>
      </c>
      <c r="D53" s="682"/>
      <c r="E53" s="682"/>
      <c r="F53" s="671"/>
      <c r="G53" s="680"/>
      <c r="H53" s="681"/>
      <c r="I53" s="681"/>
      <c r="J53" s="681"/>
      <c r="K53" s="681"/>
      <c r="L53" s="681"/>
      <c r="M53" s="681"/>
      <c r="N53" s="681"/>
      <c r="O53" s="681"/>
      <c r="P53" s="681"/>
    </row>
    <row r="54" spans="2:16">
      <c r="B54" s="599"/>
      <c r="C54" s="620"/>
      <c r="D54" s="682"/>
      <c r="E54" s="682"/>
      <c r="F54" s="671"/>
      <c r="G54" s="680"/>
      <c r="H54" s="681"/>
      <c r="I54" s="681"/>
      <c r="J54" s="681"/>
      <c r="K54" s="681"/>
      <c r="L54" s="681"/>
      <c r="M54" s="681"/>
      <c r="N54" s="681"/>
      <c r="O54" s="681"/>
      <c r="P54" s="681"/>
    </row>
    <row r="55" spans="2:16">
      <c r="B55" s="599"/>
      <c r="C55" s="620" t="str">
        <f>C51</f>
        <v xml:space="preserve">   Annual Revenue Requirement, Less Lease Payments, Return and Taxes</v>
      </c>
      <c r="D55" s="682"/>
      <c r="E55" s="682"/>
      <c r="G55" s="671">
        <f>G51</f>
        <v>3750103.978791967</v>
      </c>
      <c r="H55" s="673"/>
      <c r="I55" s="673"/>
      <c r="J55" s="673"/>
      <c r="K55" s="673"/>
      <c r="L55" s="673"/>
      <c r="M55" s="673"/>
      <c r="N55" s="673"/>
      <c r="O55" s="683"/>
      <c r="P55" s="673"/>
    </row>
    <row r="56" spans="2:16">
      <c r="B56" s="599"/>
      <c r="C56" s="624" t="s">
        <v>301</v>
      </c>
      <c r="D56" s="684"/>
      <c r="E56" s="678"/>
      <c r="G56" s="685">
        <f>F30</f>
        <v>3494033.2204292757</v>
      </c>
      <c r="H56" s="686"/>
      <c r="I56" s="678"/>
      <c r="J56" s="678"/>
      <c r="K56" s="678"/>
      <c r="L56" s="678"/>
      <c r="M56" s="678"/>
      <c r="N56" s="678"/>
      <c r="O56" s="678"/>
      <c r="P56" s="678"/>
    </row>
    <row r="57" spans="2:16" ht="12.75" customHeight="1">
      <c r="B57" s="599"/>
      <c r="C57" s="642" t="s">
        <v>268</v>
      </c>
      <c r="D57" s="673"/>
      <c r="E57" s="673"/>
      <c r="G57" s="676">
        <f>F40</f>
        <v>826051.0815883989</v>
      </c>
      <c r="H57" s="669"/>
      <c r="I57" s="563"/>
      <c r="J57" s="611"/>
      <c r="K57" s="563"/>
      <c r="L57" s="563"/>
      <c r="M57" s="563"/>
      <c r="N57" s="563"/>
      <c r="O57" s="563"/>
      <c r="P57" s="611"/>
    </row>
    <row r="58" spans="2:16">
      <c r="B58" s="599"/>
      <c r="C58" s="678" t="str">
        <f>"   Annual Revenue Requirement, with "&amp;F17&amp;" Basis Point ROE increase"</f>
        <v xml:space="preserve">   Annual Revenue Requirement, with  Basis Point ROE increase</v>
      </c>
      <c r="D58" s="586"/>
      <c r="E58" s="563"/>
      <c r="G58" s="670">
        <f>SUM(G55:G57)</f>
        <v>8070188.2808096409</v>
      </c>
      <c r="H58" s="669"/>
      <c r="I58" s="563"/>
      <c r="J58" s="611"/>
      <c r="K58" s="563"/>
      <c r="L58" s="563"/>
      <c r="M58" s="563"/>
      <c r="N58" s="563"/>
      <c r="O58" s="563"/>
      <c r="P58" s="611"/>
    </row>
    <row r="59" spans="2:16">
      <c r="B59" s="599"/>
      <c r="C59" s="658" t="str">
        <f>"   Depreciation  (TCOS, ln "&amp;TCOS!B174&amp;")"</f>
        <v xml:space="preserve">   Depreciation  (TCOS, ln 100)</v>
      </c>
      <c r="D59" s="586"/>
      <c r="E59" s="563"/>
      <c r="G59" s="687">
        <f>TCOS!L174</f>
        <v>1494962</v>
      </c>
      <c r="H59" s="669"/>
      <c r="I59" s="563"/>
      <c r="J59" s="611"/>
      <c r="K59" s="563"/>
      <c r="L59" s="563"/>
      <c r="M59" s="563"/>
      <c r="N59" s="563"/>
      <c r="O59" s="563"/>
      <c r="P59" s="611"/>
    </row>
    <row r="60" spans="2:16">
      <c r="B60" s="599"/>
      <c r="C60" s="678" t="str">
        <f>"   Annual Rev. Req, w/"&amp;F17&amp;" Basis Point ROE increase, less Depreciation"</f>
        <v xml:space="preserve">   Annual Rev. Req, w/ Basis Point ROE increase, less Depreciation</v>
      </c>
      <c r="D60" s="586"/>
      <c r="E60" s="563"/>
      <c r="G60" s="670">
        <f>G58-G59</f>
        <v>6575226.2808096409</v>
      </c>
      <c r="H60" s="669"/>
      <c r="I60" s="563"/>
      <c r="J60" s="611"/>
      <c r="K60" s="563"/>
      <c r="L60" s="563"/>
      <c r="M60" s="563"/>
      <c r="N60" s="563"/>
      <c r="O60" s="563"/>
      <c r="P60" s="611"/>
    </row>
    <row r="61" spans="2:16">
      <c r="B61" s="599"/>
      <c r="C61" s="563"/>
      <c r="D61" s="586"/>
      <c r="E61" s="563"/>
      <c r="F61" s="563"/>
      <c r="G61" s="563"/>
      <c r="H61" s="669"/>
      <c r="I61" s="563"/>
      <c r="J61" s="611"/>
      <c r="K61" s="563"/>
      <c r="L61" s="563"/>
      <c r="M61" s="563"/>
      <c r="N61" s="563"/>
      <c r="O61" s="563"/>
      <c r="P61" s="611"/>
    </row>
    <row r="62" spans="2:16" ht="15.75">
      <c r="B62" s="599"/>
      <c r="C62" s="619" t="str">
        <f>"C.   Determine FCR with hypothetical "&amp;F17&amp;" basis point ROE increase."</f>
        <v>C.   Determine FCR with hypothetical  basis point ROE increase.</v>
      </c>
      <c r="D62" s="586"/>
      <c r="E62" s="563"/>
      <c r="F62" s="563"/>
      <c r="G62" s="563"/>
      <c r="H62" s="669"/>
      <c r="I62" s="563"/>
      <c r="J62" s="611"/>
      <c r="K62" s="563"/>
      <c r="L62" s="563"/>
      <c r="M62" s="563"/>
      <c r="N62" s="563"/>
      <c r="O62" s="563"/>
      <c r="P62" s="611"/>
    </row>
    <row r="63" spans="2:16">
      <c r="B63" s="599"/>
      <c r="C63" s="563"/>
      <c r="D63" s="586"/>
      <c r="E63" s="563"/>
      <c r="F63" s="563"/>
      <c r="G63" s="563"/>
      <c r="H63" s="669"/>
      <c r="I63" s="563"/>
      <c r="J63" s="611"/>
      <c r="K63" s="563"/>
      <c r="L63" s="563"/>
      <c r="M63" s="563"/>
      <c r="N63" s="563"/>
      <c r="O63" s="563"/>
      <c r="P63" s="611"/>
    </row>
    <row r="64" spans="2:16">
      <c r="B64" s="599"/>
      <c r="C64" s="658" t="str">
        <f>"   Net Transmission Plant  (TCOS, ln "&amp;TCOS!B91&amp;")"</f>
        <v xml:space="preserve">   Net Transmission Plant  (TCOS, ln 42)</v>
      </c>
      <c r="D64" s="586"/>
      <c r="E64" s="563"/>
      <c r="G64" s="670">
        <f>TCOS!L91</f>
        <v>50487753.893076926</v>
      </c>
      <c r="H64" s="688"/>
      <c r="I64" s="563"/>
      <c r="J64" s="611"/>
      <c r="K64" s="563"/>
      <c r="L64" s="563"/>
      <c r="M64" s="563"/>
      <c r="N64" s="563"/>
      <c r="O64" s="563"/>
      <c r="P64" s="611"/>
    </row>
    <row r="65" spans="2:16">
      <c r="B65" s="599"/>
      <c r="C65" s="678" t="str">
        <f>"   Annual Revenue Requirement, with "&amp;F17&amp;" Basis Point ROE increase"</f>
        <v xml:space="preserve">   Annual Revenue Requirement, with  Basis Point ROE increase</v>
      </c>
      <c r="D65" s="586"/>
      <c r="E65" s="563"/>
      <c r="G65" s="670">
        <f>G58</f>
        <v>8070188.2808096409</v>
      </c>
      <c r="H65" s="669"/>
      <c r="I65" s="563"/>
      <c r="J65" s="611"/>
      <c r="K65" s="563"/>
      <c r="L65" s="563"/>
      <c r="M65" s="563"/>
      <c r="N65" s="563"/>
      <c r="O65" s="563"/>
      <c r="P65" s="611"/>
    </row>
    <row r="66" spans="2:16">
      <c r="B66" s="599"/>
      <c r="C66" s="678" t="str">
        <f>"   FCR with "&amp;F17&amp;" Basis Point increase in ROE"</f>
        <v xml:space="preserve">   FCR with  Basis Point increase in ROE</v>
      </c>
      <c r="D66" s="586"/>
      <c r="E66" s="563"/>
      <c r="G66" s="668">
        <f>G65/G64</f>
        <v>0.15984447036207439</v>
      </c>
      <c r="H66" s="669"/>
      <c r="I66" s="563"/>
      <c r="J66" s="611"/>
      <c r="K66" s="563"/>
      <c r="L66" s="563"/>
      <c r="M66" s="563"/>
      <c r="N66" s="563"/>
      <c r="O66" s="563"/>
      <c r="P66" s="611"/>
    </row>
    <row r="67" spans="2:16">
      <c r="B67" s="599"/>
      <c r="C67" s="386"/>
      <c r="D67" s="586"/>
      <c r="E67" s="563"/>
      <c r="G67" s="599"/>
      <c r="H67" s="669"/>
      <c r="I67" s="563"/>
      <c r="J67" s="611"/>
      <c r="K67" s="563"/>
      <c r="L67" s="563"/>
      <c r="M67" s="563"/>
      <c r="N67" s="563"/>
      <c r="O67" s="563"/>
      <c r="P67" s="611"/>
    </row>
    <row r="68" spans="2:16">
      <c r="B68" s="599"/>
      <c r="C68" s="678" t="str">
        <f>"   Annual Rev. Req, w / "&amp;F17&amp;" Basis Point ROE increase, less Dep."</f>
        <v xml:space="preserve">   Annual Rev. Req, w /  Basis Point ROE increase, less Dep.</v>
      </c>
      <c r="D68" s="586"/>
      <c r="E68" s="563"/>
      <c r="G68" s="670">
        <f>G60</f>
        <v>6575226.2808096409</v>
      </c>
      <c r="H68" s="669"/>
      <c r="I68" s="563"/>
      <c r="J68" s="611"/>
      <c r="K68" s="563"/>
      <c r="L68" s="563"/>
      <c r="M68" s="563"/>
      <c r="N68" s="563"/>
      <c r="O68" s="563"/>
      <c r="P68" s="611"/>
    </row>
    <row r="69" spans="2:16">
      <c r="B69" s="599"/>
      <c r="C69" s="678" t="str">
        <f>"   FCR with "&amp;F17&amp;" Basis Point ROE increase, less Depreciation"</f>
        <v xml:space="preserve">   FCR with  Basis Point ROE increase, less Depreciation</v>
      </c>
      <c r="D69" s="586"/>
      <c r="E69" s="563"/>
      <c r="G69" s="668">
        <f>G68/G64</f>
        <v>0.13023408200599831</v>
      </c>
      <c r="H69" s="669"/>
      <c r="I69" s="563"/>
      <c r="J69" s="611"/>
      <c r="K69" s="563"/>
      <c r="L69" s="563"/>
      <c r="M69" s="563"/>
      <c r="N69" s="563"/>
      <c r="O69" s="563"/>
      <c r="P69" s="611"/>
    </row>
    <row r="70" spans="2:16">
      <c r="B70" s="599"/>
      <c r="C70" s="658" t="str">
        <f>"   FCR less Depreciation  (TCOS, ln "&amp;TCOS!B34&amp;")"</f>
        <v xml:space="preserve">   FCR less Depreciation  (TCOS, ln 10)</v>
      </c>
      <c r="D70" s="586"/>
      <c r="E70" s="563"/>
      <c r="G70" s="689">
        <f>TCOS!L34</f>
        <v>0.13023408200599834</v>
      </c>
      <c r="H70" s="669"/>
      <c r="I70" s="563"/>
      <c r="J70" s="611"/>
      <c r="K70" s="563"/>
      <c r="L70" s="563"/>
      <c r="M70" s="563"/>
      <c r="N70" s="563"/>
      <c r="O70" s="563"/>
      <c r="P70" s="611"/>
    </row>
    <row r="71" spans="2:16">
      <c r="B71" s="599"/>
      <c r="C71" s="678" t="str">
        <f>"   Incremental FCR with "&amp;F17&amp;" Basis Point ROE increase, less Depreciation"</f>
        <v xml:space="preserve">   Incremental FCR with  Basis Point ROE increase, less Depreciation</v>
      </c>
      <c r="D71" s="586"/>
      <c r="E71" s="563"/>
      <c r="G71" s="668">
        <f>G69-G70</f>
        <v>0</v>
      </c>
      <c r="H71" s="669"/>
      <c r="I71" s="563"/>
      <c r="J71" s="611"/>
      <c r="K71" s="563"/>
      <c r="L71" s="563"/>
      <c r="M71" s="563"/>
      <c r="N71" s="563"/>
      <c r="O71" s="563"/>
      <c r="P71" s="611"/>
    </row>
    <row r="72" spans="2:16">
      <c r="B72" s="599"/>
      <c r="C72" s="678"/>
      <c r="D72" s="586"/>
      <c r="E72" s="563"/>
      <c r="F72" s="668"/>
      <c r="G72" s="563"/>
      <c r="H72" s="669"/>
      <c r="I72" s="563"/>
      <c r="J72" s="611"/>
      <c r="K72" s="563"/>
      <c r="L72" s="563"/>
      <c r="M72" s="563"/>
      <c r="N72" s="563"/>
      <c r="O72" s="563"/>
      <c r="P72" s="611"/>
    </row>
    <row r="73" spans="2:16" ht="18.75">
      <c r="B73" s="618" t="s">
        <v>175</v>
      </c>
      <c r="C73" s="617" t="s">
        <v>269</v>
      </c>
      <c r="D73" s="586"/>
      <c r="E73" s="563"/>
      <c r="F73" s="668"/>
      <c r="G73" s="563"/>
      <c r="H73" s="669"/>
      <c r="I73" s="563"/>
      <c r="J73" s="611"/>
      <c r="K73" s="563"/>
      <c r="L73" s="563"/>
      <c r="M73" s="563"/>
      <c r="N73" s="563"/>
      <c r="O73" s="563"/>
      <c r="P73" s="611"/>
    </row>
    <row r="74" spans="2:16">
      <c r="B74" s="599"/>
      <c r="C74" s="678"/>
      <c r="D74" s="586"/>
      <c r="E74" s="563"/>
      <c r="F74" s="668"/>
      <c r="G74" s="563"/>
      <c r="H74" s="669"/>
      <c r="I74" s="563"/>
      <c r="J74" s="611"/>
      <c r="K74" s="563"/>
      <c r="L74" s="563"/>
      <c r="M74" s="563"/>
      <c r="N74" s="563"/>
      <c r="O74" s="563"/>
      <c r="P74" s="611"/>
    </row>
    <row r="75" spans="2:16">
      <c r="B75" s="599"/>
      <c r="C75" s="678" t="str">
        <f>+"Average Transmission Plant Balance for "&amp;TCOS!L4&amp;" (TCOS, ln "&amp;TCOS!B68&amp;")"</f>
        <v>Average Transmission Plant Balance for 2024 (TCOS, ln 21)</v>
      </c>
      <c r="D75" s="586"/>
      <c r="G75" s="669">
        <f>TCOS!L68</f>
        <v>62389916.401538461</v>
      </c>
      <c r="I75" s="563"/>
      <c r="J75" s="611"/>
      <c r="K75" s="692"/>
      <c r="L75" s="563"/>
      <c r="M75" s="563"/>
      <c r="N75" s="563"/>
      <c r="O75" s="563"/>
      <c r="P75" s="611"/>
    </row>
    <row r="76" spans="2:16">
      <c r="B76" s="599"/>
      <c r="C76" s="690" t="str">
        <f>"Annual Depreciation and Amortization Expense  (TCOS, ln "&amp;TCOS!B174&amp;")"</f>
        <v>Annual Depreciation and Amortization Expense  (TCOS, ln 100)</v>
      </c>
      <c r="D76" s="586"/>
      <c r="E76" s="563"/>
      <c r="G76" s="691">
        <f>TCOS!L174</f>
        <v>1494962</v>
      </c>
      <c r="H76" s="669"/>
      <c r="I76" s="563"/>
      <c r="J76" s="611"/>
      <c r="K76" s="563"/>
      <c r="L76" s="563"/>
      <c r="M76" s="563"/>
      <c r="N76" s="563"/>
      <c r="O76" s="563"/>
      <c r="P76" s="611"/>
    </row>
    <row r="77" spans="2:16">
      <c r="B77" s="599"/>
      <c r="C77" s="678" t="s">
        <v>270</v>
      </c>
      <c r="D77" s="586"/>
      <c r="E77" s="563"/>
      <c r="G77" s="668">
        <f>+G76/G75</f>
        <v>2.3961596460211575E-2</v>
      </c>
      <c r="H77" s="693"/>
      <c r="I77" s="563"/>
      <c r="J77" s="611"/>
      <c r="K77" s="563"/>
      <c r="L77" s="563"/>
      <c r="M77" s="563"/>
      <c r="N77" s="563"/>
      <c r="O77" s="563"/>
      <c r="P77" s="611"/>
    </row>
    <row r="78" spans="2:16">
      <c r="B78" s="599"/>
      <c r="C78" s="678" t="s">
        <v>271</v>
      </c>
      <c r="D78" s="586"/>
      <c r="E78" s="563"/>
      <c r="G78" s="693">
        <f>1/G77</f>
        <v>41.733446336119883</v>
      </c>
      <c r="H78" s="669"/>
      <c r="I78" s="563"/>
      <c r="J78" s="611"/>
      <c r="K78" s="563"/>
      <c r="L78" s="563"/>
      <c r="M78" s="563"/>
      <c r="N78" s="563"/>
      <c r="O78" s="563"/>
      <c r="P78" s="611"/>
    </row>
    <row r="79" spans="2:16">
      <c r="B79" s="599"/>
      <c r="C79" s="678" t="s">
        <v>272</v>
      </c>
      <c r="D79" s="586"/>
      <c r="E79" s="563"/>
      <c r="G79" s="694">
        <f>ROUND(G78,0)</f>
        <v>42</v>
      </c>
      <c r="H79" s="669"/>
      <c r="I79" s="563"/>
      <c r="J79" s="611"/>
      <c r="K79" s="563"/>
      <c r="L79" s="563"/>
      <c r="M79" s="563"/>
      <c r="N79" s="563"/>
      <c r="O79" s="563"/>
      <c r="P79" s="611"/>
    </row>
    <row r="80" spans="2:16">
      <c r="B80" s="599"/>
      <c r="C80" s="678"/>
      <c r="D80" s="586"/>
      <c r="E80" s="563"/>
      <c r="G80" s="694"/>
      <c r="H80" s="669"/>
      <c r="I80" s="563"/>
      <c r="J80" s="611"/>
      <c r="K80" s="563"/>
      <c r="L80" s="563"/>
      <c r="M80" s="563"/>
      <c r="N80" s="563"/>
      <c r="O80" s="563"/>
      <c r="P80" s="611"/>
    </row>
    <row r="81" spans="1:16">
      <c r="C81" s="695"/>
      <c r="D81" s="696"/>
      <c r="E81" s="696"/>
      <c r="F81" s="696"/>
      <c r="G81" s="692"/>
      <c r="H81" s="692"/>
      <c r="I81" s="697"/>
      <c r="J81" s="697"/>
      <c r="K81" s="697"/>
      <c r="L81" s="697"/>
      <c r="M81" s="697"/>
      <c r="N81" s="697"/>
      <c r="O81" s="563"/>
      <c r="P81" s="697"/>
    </row>
    <row r="82" spans="1:16" ht="20.25">
      <c r="A82" s="698" t="s">
        <v>771</v>
      </c>
      <c r="B82" s="563"/>
      <c r="C82" s="678"/>
      <c r="D82" s="586"/>
      <c r="E82" s="563"/>
      <c r="F82" s="668"/>
      <c r="G82" s="563"/>
      <c r="H82" s="669"/>
      <c r="K82" s="699"/>
      <c r="L82" s="699"/>
      <c r="M82" s="699"/>
      <c r="N82" s="614" t="str">
        <f>"Page "&amp;SUM(P$8:P82)&amp;" of "</f>
        <v xml:space="preserve">Page 2 of </v>
      </c>
      <c r="O82" s="615">
        <f>COUNT(P$8:P$58715)</f>
        <v>2</v>
      </c>
      <c r="P82" s="690">
        <v>1</v>
      </c>
    </row>
    <row r="83" spans="1:16">
      <c r="B83" s="563"/>
      <c r="C83" s="563"/>
      <c r="D83" s="586"/>
      <c r="E83" s="563"/>
      <c r="F83" s="563"/>
      <c r="G83" s="563"/>
      <c r="H83" s="669"/>
      <c r="I83" s="563"/>
      <c r="J83" s="611"/>
      <c r="K83" s="563"/>
      <c r="L83" s="563"/>
      <c r="M83" s="563"/>
      <c r="N83" s="563"/>
      <c r="O83" s="563"/>
      <c r="P83" s="611"/>
    </row>
    <row r="84" spans="1:16" ht="18">
      <c r="B84" s="618" t="s">
        <v>176</v>
      </c>
      <c r="C84" s="700" t="s">
        <v>292</v>
      </c>
      <c r="D84" s="586"/>
      <c r="E84" s="563"/>
      <c r="F84" s="563"/>
      <c r="G84" s="563"/>
      <c r="H84" s="669"/>
      <c r="I84" s="669"/>
      <c r="J84" s="692"/>
      <c r="K84" s="669"/>
      <c r="L84" s="669"/>
      <c r="M84" s="669"/>
      <c r="N84" s="669"/>
      <c r="O84" s="563"/>
      <c r="P84" s="692"/>
    </row>
    <row r="85" spans="1:16" ht="15" customHeight="1">
      <c r="B85" s="618"/>
      <c r="C85" s="617"/>
      <c r="D85" s="586"/>
      <c r="E85" s="563"/>
      <c r="F85" s="563"/>
      <c r="G85" s="563"/>
      <c r="H85" s="669"/>
      <c r="I85" s="669"/>
      <c r="J85" s="692"/>
      <c r="K85" s="669"/>
      <c r="L85" s="669"/>
      <c r="M85" s="669"/>
      <c r="N85" s="669"/>
      <c r="O85" s="563"/>
      <c r="P85" s="692"/>
    </row>
    <row r="86" spans="1:16" ht="18.75">
      <c r="B86" s="618"/>
      <c r="C86" s="617" t="s">
        <v>293</v>
      </c>
      <c r="D86" s="586"/>
      <c r="E86" s="563"/>
      <c r="F86" s="563"/>
      <c r="G86" s="563"/>
      <c r="H86" s="669"/>
      <c r="I86" s="669"/>
      <c r="J86" s="692"/>
      <c r="K86" s="669"/>
      <c r="L86" s="669"/>
      <c r="M86" s="669"/>
      <c r="N86" s="669"/>
      <c r="O86" s="563"/>
      <c r="P86" s="692"/>
    </row>
    <row r="87" spans="1:16" ht="15.75" thickBot="1">
      <c r="B87" s="348"/>
      <c r="C87" s="414"/>
      <c r="D87" s="586"/>
      <c r="E87" s="563"/>
      <c r="F87" s="563"/>
      <c r="G87" s="563"/>
      <c r="H87" s="669"/>
      <c r="I87" s="669"/>
      <c r="J87" s="692"/>
      <c r="K87" s="669"/>
      <c r="L87" s="669"/>
      <c r="M87" s="669"/>
      <c r="N87" s="669"/>
      <c r="O87" s="563"/>
      <c r="P87" s="692"/>
    </row>
    <row r="88" spans="1:16" ht="15.75">
      <c r="B88" s="348"/>
      <c r="C88" s="619" t="s">
        <v>294</v>
      </c>
      <c r="D88" s="586"/>
      <c r="E88" s="563"/>
      <c r="F88" s="563"/>
      <c r="G88" s="895"/>
      <c r="H88" s="563" t="s">
        <v>273</v>
      </c>
      <c r="I88" s="563"/>
      <c r="J88" s="611"/>
      <c r="K88" s="701" t="s">
        <v>298</v>
      </c>
      <c r="L88" s="702"/>
      <c r="M88" s="703"/>
      <c r="N88" s="704">
        <f>VLOOKUP(I94,C101:O160,5)</f>
        <v>0</v>
      </c>
      <c r="O88" s="563"/>
      <c r="P88" s="611"/>
    </row>
    <row r="89" spans="1:16" ht="15.75">
      <c r="B89" s="348"/>
      <c r="C89" s="619"/>
      <c r="D89" s="586"/>
      <c r="E89" s="563"/>
      <c r="F89" s="563"/>
      <c r="G89" s="563"/>
      <c r="H89" s="705"/>
      <c r="I89" s="705"/>
      <c r="J89" s="706"/>
      <c r="K89" s="707" t="s">
        <v>299</v>
      </c>
      <c r="L89" s="708"/>
      <c r="M89" s="611"/>
      <c r="N89" s="709">
        <f>VLOOKUP(I94,C101:O160,6)</f>
        <v>0</v>
      </c>
      <c r="O89" s="563"/>
      <c r="P89" s="706"/>
    </row>
    <row r="90" spans="1:16" ht="13.5" thickBot="1">
      <c r="B90" s="348"/>
      <c r="C90" s="710" t="s">
        <v>295</v>
      </c>
      <c r="D90" s="1590" t="s">
        <v>116</v>
      </c>
      <c r="E90" s="1590"/>
      <c r="F90" s="1590"/>
      <c r="G90" s="1590"/>
      <c r="H90" s="669"/>
      <c r="I90" s="669"/>
      <c r="J90" s="692"/>
      <c r="K90" s="711" t="s">
        <v>452</v>
      </c>
      <c r="L90" s="712"/>
      <c r="M90" s="712"/>
      <c r="N90" s="713">
        <f>+N89-N88</f>
        <v>0</v>
      </c>
      <c r="O90" s="563"/>
      <c r="P90" s="692"/>
    </row>
    <row r="91" spans="1:16">
      <c r="B91" s="348"/>
      <c r="C91" s="714"/>
      <c r="D91" s="715"/>
      <c r="E91" s="694"/>
      <c r="F91" s="694"/>
      <c r="G91" s="716"/>
      <c r="H91" s="669"/>
      <c r="I91" s="669"/>
      <c r="J91" s="692"/>
      <c r="K91" s="669"/>
      <c r="L91" s="669"/>
      <c r="M91" s="669"/>
      <c r="N91" s="669"/>
      <c r="O91" s="563"/>
      <c r="P91" s="692"/>
    </row>
    <row r="92" spans="1:16" ht="13.5" thickBot="1">
      <c r="B92" s="348"/>
      <c r="C92" s="717"/>
      <c r="D92" s="718"/>
      <c r="E92" s="716"/>
      <c r="F92" s="716"/>
      <c r="G92" s="716"/>
      <c r="H92" s="716"/>
      <c r="I92" s="716"/>
      <c r="J92" s="719"/>
      <c r="K92" s="716"/>
      <c r="L92" s="716"/>
      <c r="M92" s="716"/>
      <c r="N92" s="716"/>
      <c r="O92" s="599"/>
      <c r="P92" s="719"/>
    </row>
    <row r="93" spans="1:16" ht="13.5" thickBot="1">
      <c r="B93" s="720"/>
      <c r="C93" s="721" t="s">
        <v>296</v>
      </c>
      <c r="D93" s="722"/>
      <c r="E93" s="722"/>
      <c r="F93" s="722"/>
      <c r="G93" s="722"/>
      <c r="H93" s="722"/>
      <c r="I93" s="723"/>
      <c r="J93" s="724"/>
      <c r="K93" s="563"/>
      <c r="L93" s="563"/>
      <c r="M93" s="563"/>
      <c r="N93" s="563"/>
      <c r="O93" s="725"/>
      <c r="P93" s="726"/>
    </row>
    <row r="94" spans="1:16" ht="15">
      <c r="B94" s="720"/>
      <c r="C94" s="727" t="s">
        <v>274</v>
      </c>
      <c r="D94" s="896">
        <v>0</v>
      </c>
      <c r="E94" s="678" t="s">
        <v>275</v>
      </c>
      <c r="G94" s="728"/>
      <c r="H94" s="728"/>
      <c r="I94" s="729">
        <f>TCOS!$L$4</f>
        <v>2024</v>
      </c>
      <c r="J94" s="609"/>
      <c r="K94" s="1591" t="s">
        <v>461</v>
      </c>
      <c r="L94" s="1591"/>
      <c r="M94" s="1591"/>
      <c r="N94" s="1591"/>
      <c r="O94" s="1591"/>
      <c r="P94" s="609"/>
    </row>
    <row r="95" spans="1:16">
      <c r="B95" s="720"/>
      <c r="C95" s="727" t="s">
        <v>277</v>
      </c>
      <c r="D95" s="897">
        <v>0</v>
      </c>
      <c r="E95" s="727" t="s">
        <v>278</v>
      </c>
      <c r="F95" s="728"/>
      <c r="H95" s="348"/>
      <c r="I95" s="900">
        <f>IF(G88="",0,$F$17)</f>
        <v>0</v>
      </c>
      <c r="J95" s="730"/>
      <c r="K95" s="692" t="s">
        <v>461</v>
      </c>
      <c r="P95" s="730"/>
    </row>
    <row r="96" spans="1:16">
      <c r="B96" s="720"/>
      <c r="C96" s="727" t="s">
        <v>279</v>
      </c>
      <c r="D96" s="898">
        <v>0</v>
      </c>
      <c r="E96" s="727" t="s">
        <v>280</v>
      </c>
      <c r="F96" s="728"/>
      <c r="H96" s="348"/>
      <c r="I96" s="731">
        <f>$G$70</f>
        <v>0.13023408200599834</v>
      </c>
      <c r="J96" s="732"/>
      <c r="K96" s="348" t="str">
        <f>"          INPUT PROJECTED ARR (WITH &amp; WITHOUT INCENTIVES) FROM EACH PRIOR YEAR"</f>
        <v xml:space="preserve">          INPUT PROJECTED ARR (WITH &amp; WITHOUT INCENTIVES) FROM EACH PRIOR YEAR</v>
      </c>
      <c r="P96" s="732"/>
    </row>
    <row r="97" spans="1:16">
      <c r="B97" s="720"/>
      <c r="C97" s="727" t="s">
        <v>281</v>
      </c>
      <c r="D97" s="733">
        <f>G$79</f>
        <v>42</v>
      </c>
      <c r="E97" s="727" t="s">
        <v>282</v>
      </c>
      <c r="F97" s="728"/>
      <c r="H97" s="348"/>
      <c r="I97" s="731">
        <f>IF(G88="",I96,$G$69)</f>
        <v>0.13023408200599834</v>
      </c>
      <c r="J97" s="734"/>
      <c r="K97" s="348" t="s">
        <v>359</v>
      </c>
      <c r="P97" s="734"/>
    </row>
    <row r="98" spans="1:16" ht="13.5" thickBot="1">
      <c r="B98" s="720"/>
      <c r="C98" s="727" t="s">
        <v>283</v>
      </c>
      <c r="D98" s="899" t="s">
        <v>116</v>
      </c>
      <c r="E98" s="735" t="s">
        <v>284</v>
      </c>
      <c r="F98" s="736"/>
      <c r="G98" s="737"/>
      <c r="H98" s="737"/>
      <c r="I98" s="713">
        <f>IF(D94=0,0,D94/D97)</f>
        <v>0</v>
      </c>
      <c r="J98" s="692"/>
      <c r="K98" s="692" t="s">
        <v>365</v>
      </c>
      <c r="L98" s="692"/>
      <c r="M98" s="692"/>
      <c r="N98" s="692"/>
      <c r="O98" s="611"/>
      <c r="P98" s="692"/>
    </row>
    <row r="99" spans="1:16" ht="51">
      <c r="A99" s="548"/>
      <c r="B99" s="548"/>
      <c r="C99" s="738" t="s">
        <v>274</v>
      </c>
      <c r="D99" s="739" t="s">
        <v>285</v>
      </c>
      <c r="E99" s="740" t="s">
        <v>286</v>
      </c>
      <c r="F99" s="739" t="s">
        <v>287</v>
      </c>
      <c r="G99" s="740" t="s">
        <v>358</v>
      </c>
      <c r="H99" s="741" t="s">
        <v>358</v>
      </c>
      <c r="I99" s="738" t="s">
        <v>297</v>
      </c>
      <c r="J99" s="742"/>
      <c r="K99" s="740" t="s">
        <v>367</v>
      </c>
      <c r="L99" s="743"/>
      <c r="M99" s="740" t="s">
        <v>367</v>
      </c>
      <c r="N99" s="743"/>
      <c r="O99" s="743"/>
      <c r="P99" s="744"/>
    </row>
    <row r="100" spans="1:16" ht="13.5" thickBot="1">
      <c r="B100" s="348"/>
      <c r="C100" s="745" t="s">
        <v>179</v>
      </c>
      <c r="D100" s="746" t="s">
        <v>180</v>
      </c>
      <c r="E100" s="745" t="s">
        <v>38</v>
      </c>
      <c r="F100" s="746" t="s">
        <v>180</v>
      </c>
      <c r="G100" s="747" t="s">
        <v>300</v>
      </c>
      <c r="H100" s="748" t="s">
        <v>302</v>
      </c>
      <c r="I100" s="749" t="s">
        <v>391</v>
      </c>
      <c r="J100" s="750"/>
      <c r="K100" s="747" t="s">
        <v>289</v>
      </c>
      <c r="L100" s="751"/>
      <c r="M100" s="747" t="s">
        <v>302</v>
      </c>
      <c r="N100" s="751"/>
      <c r="O100" s="751"/>
      <c r="P100" s="609"/>
    </row>
    <row r="101" spans="1:16">
      <c r="B101" s="348"/>
      <c r="C101" s="752">
        <f>IF(D95= "","-",D95)</f>
        <v>0</v>
      </c>
      <c r="D101" s="696">
        <f>+D94</f>
        <v>0</v>
      </c>
      <c r="E101" s="753">
        <f>+I98/12*(12-D96)</f>
        <v>0</v>
      </c>
      <c r="F101" s="696">
        <f t="shared" ref="F101:F160" si="0">+D101-E101</f>
        <v>0</v>
      </c>
      <c r="G101" s="930">
        <f>+$I$96*((D101+F101)/2)+E101</f>
        <v>0</v>
      </c>
      <c r="H101" s="931">
        <f>+$I$97*((D101+F101)/2)+E101</f>
        <v>0</v>
      </c>
      <c r="I101" s="756">
        <f>+H101-G101</f>
        <v>0</v>
      </c>
      <c r="J101" s="756"/>
      <c r="K101" s="1285"/>
      <c r="L101" s="758"/>
      <c r="M101" s="1285"/>
      <c r="N101" s="758"/>
      <c r="O101" s="758"/>
      <c r="P101" s="697"/>
    </row>
    <row r="102" spans="1:16">
      <c r="B102" s="348"/>
      <c r="C102" s="752">
        <f>IF(D95="","-",+C101+1)</f>
        <v>1</v>
      </c>
      <c r="D102" s="696">
        <f t="shared" ref="D102:D160" si="1">F101</f>
        <v>0</v>
      </c>
      <c r="E102" s="759">
        <f>IF(D102&gt;$I$98,$I$98,D102)</f>
        <v>0</v>
      </c>
      <c r="F102" s="696">
        <f t="shared" si="0"/>
        <v>0</v>
      </c>
      <c r="G102" s="753">
        <f t="shared" ref="G102:G160" si="2">+$I$96*((D102+F102)/2)+E102</f>
        <v>0</v>
      </c>
      <c r="H102" s="760">
        <f t="shared" ref="H102:H160" si="3">+$I$97*((D102+F102)/2)+E102</f>
        <v>0</v>
      </c>
      <c r="I102" s="756">
        <f t="shared" ref="I102:I160" si="4">+H102-G102</f>
        <v>0</v>
      </c>
      <c r="J102" s="756"/>
      <c r="K102" s="1285"/>
      <c r="L102" s="762"/>
      <c r="M102" s="1285"/>
      <c r="N102" s="762"/>
      <c r="O102" s="762"/>
      <c r="P102" s="697"/>
    </row>
    <row r="103" spans="1:16">
      <c r="B103" s="348"/>
      <c r="C103" s="752">
        <f>IF(D95="","-",+C102+1)</f>
        <v>2</v>
      </c>
      <c r="D103" s="696">
        <f t="shared" si="1"/>
        <v>0</v>
      </c>
      <c r="E103" s="759">
        <f t="shared" ref="E103:E160" si="5">IF(D103&gt;$I$98,$I$98,D103)</f>
        <v>0</v>
      </c>
      <c r="F103" s="696">
        <f t="shared" si="0"/>
        <v>0</v>
      </c>
      <c r="G103" s="753">
        <f t="shared" si="2"/>
        <v>0</v>
      </c>
      <c r="H103" s="760">
        <f t="shared" si="3"/>
        <v>0</v>
      </c>
      <c r="I103" s="756">
        <f t="shared" si="4"/>
        <v>0</v>
      </c>
      <c r="J103" s="756"/>
      <c r="K103" s="1285"/>
      <c r="L103" s="762"/>
      <c r="M103" s="1285"/>
      <c r="N103" s="762"/>
      <c r="O103" s="762"/>
      <c r="P103" s="697"/>
    </row>
    <row r="104" spans="1:16">
      <c r="B104" s="348"/>
      <c r="C104" s="752">
        <f>IF(D95="","-",+C103+1)</f>
        <v>3</v>
      </c>
      <c r="D104" s="696">
        <f t="shared" si="1"/>
        <v>0</v>
      </c>
      <c r="E104" s="759">
        <f t="shared" si="5"/>
        <v>0</v>
      </c>
      <c r="F104" s="696">
        <f t="shared" si="0"/>
        <v>0</v>
      </c>
      <c r="G104" s="753">
        <f t="shared" si="2"/>
        <v>0</v>
      </c>
      <c r="H104" s="760">
        <f t="shared" si="3"/>
        <v>0</v>
      </c>
      <c r="I104" s="756">
        <f t="shared" si="4"/>
        <v>0</v>
      </c>
      <c r="J104" s="756"/>
      <c r="K104" s="1285"/>
      <c r="L104" s="762"/>
      <c r="M104" s="1285"/>
      <c r="N104" s="762"/>
      <c r="O104" s="762"/>
      <c r="P104" s="697"/>
    </row>
    <row r="105" spans="1:16">
      <c r="B105" s="348"/>
      <c r="C105" s="752">
        <f>IF(D95="","-",+C104+1)</f>
        <v>4</v>
      </c>
      <c r="D105" s="696">
        <f t="shared" si="1"/>
        <v>0</v>
      </c>
      <c r="E105" s="759">
        <f t="shared" si="5"/>
        <v>0</v>
      </c>
      <c r="F105" s="696">
        <f t="shared" si="0"/>
        <v>0</v>
      </c>
      <c r="G105" s="753">
        <f t="shared" si="2"/>
        <v>0</v>
      </c>
      <c r="H105" s="760">
        <f t="shared" si="3"/>
        <v>0</v>
      </c>
      <c r="I105" s="756">
        <f t="shared" si="4"/>
        <v>0</v>
      </c>
      <c r="J105" s="756"/>
      <c r="K105" s="1285"/>
      <c r="L105" s="762"/>
      <c r="M105" s="1285"/>
      <c r="N105" s="762"/>
      <c r="O105" s="762"/>
      <c r="P105" s="697"/>
    </row>
    <row r="106" spans="1:16">
      <c r="B106" s="348"/>
      <c r="C106" s="752">
        <f>IF(D95="","-",+C105+1)</f>
        <v>5</v>
      </c>
      <c r="D106" s="696">
        <f t="shared" si="1"/>
        <v>0</v>
      </c>
      <c r="E106" s="759">
        <f t="shared" si="5"/>
        <v>0</v>
      </c>
      <c r="F106" s="696">
        <f t="shared" si="0"/>
        <v>0</v>
      </c>
      <c r="G106" s="753">
        <f t="shared" si="2"/>
        <v>0</v>
      </c>
      <c r="H106" s="760">
        <f t="shared" si="3"/>
        <v>0</v>
      </c>
      <c r="I106" s="756">
        <f t="shared" si="4"/>
        <v>0</v>
      </c>
      <c r="J106" s="756"/>
      <c r="K106" s="901"/>
      <c r="L106" s="762"/>
      <c r="M106" s="901"/>
      <c r="N106" s="762"/>
      <c r="O106" s="762"/>
      <c r="P106" s="697"/>
    </row>
    <row r="107" spans="1:16">
      <c r="B107" s="348"/>
      <c r="C107" s="752">
        <f>IF(D95="","-",+C106+1)</f>
        <v>6</v>
      </c>
      <c r="D107" s="696">
        <f>F106</f>
        <v>0</v>
      </c>
      <c r="E107" s="759">
        <f t="shared" si="5"/>
        <v>0</v>
      </c>
      <c r="F107" s="696">
        <f t="shared" si="0"/>
        <v>0</v>
      </c>
      <c r="G107" s="753">
        <f t="shared" si="2"/>
        <v>0</v>
      </c>
      <c r="H107" s="760">
        <f t="shared" si="3"/>
        <v>0</v>
      </c>
      <c r="I107" s="756">
        <f t="shared" si="4"/>
        <v>0</v>
      </c>
      <c r="J107" s="756"/>
      <c r="K107" s="901"/>
      <c r="L107" s="762"/>
      <c r="M107" s="901"/>
      <c r="N107" s="762"/>
      <c r="O107" s="762"/>
      <c r="P107" s="697"/>
    </row>
    <row r="108" spans="1:16">
      <c r="B108" s="348"/>
      <c r="C108" s="752">
        <f>IF(D95="","-",+C107+1)</f>
        <v>7</v>
      </c>
      <c r="D108" s="696">
        <f t="shared" si="1"/>
        <v>0</v>
      </c>
      <c r="E108" s="759">
        <f t="shared" si="5"/>
        <v>0</v>
      </c>
      <c r="F108" s="696">
        <f t="shared" si="0"/>
        <v>0</v>
      </c>
      <c r="G108" s="753">
        <f t="shared" si="2"/>
        <v>0</v>
      </c>
      <c r="H108" s="760">
        <f t="shared" si="3"/>
        <v>0</v>
      </c>
      <c r="I108" s="756">
        <f t="shared" si="4"/>
        <v>0</v>
      </c>
      <c r="J108" s="756"/>
      <c r="K108" s="901"/>
      <c r="L108" s="762"/>
      <c r="M108" s="901"/>
      <c r="N108" s="762"/>
      <c r="O108" s="762"/>
      <c r="P108" s="697"/>
    </row>
    <row r="109" spans="1:16">
      <c r="B109" s="348"/>
      <c r="C109" s="752">
        <f>IF(D95="","-",+C108+1)</f>
        <v>8</v>
      </c>
      <c r="D109" s="696">
        <f t="shared" si="1"/>
        <v>0</v>
      </c>
      <c r="E109" s="759">
        <f t="shared" si="5"/>
        <v>0</v>
      </c>
      <c r="F109" s="696">
        <f t="shared" si="0"/>
        <v>0</v>
      </c>
      <c r="G109" s="753">
        <f t="shared" si="2"/>
        <v>0</v>
      </c>
      <c r="H109" s="760">
        <f t="shared" si="3"/>
        <v>0</v>
      </c>
      <c r="I109" s="756">
        <f t="shared" si="4"/>
        <v>0</v>
      </c>
      <c r="J109" s="756"/>
      <c r="K109" s="901"/>
      <c r="L109" s="762"/>
      <c r="M109" s="901"/>
      <c r="N109" s="762"/>
      <c r="O109" s="762"/>
      <c r="P109" s="697"/>
    </row>
    <row r="110" spans="1:16">
      <c r="B110" s="348"/>
      <c r="C110" s="752">
        <f>IF(D95="","-",+C109+1)</f>
        <v>9</v>
      </c>
      <c r="D110" s="696">
        <f t="shared" si="1"/>
        <v>0</v>
      </c>
      <c r="E110" s="759">
        <f t="shared" si="5"/>
        <v>0</v>
      </c>
      <c r="F110" s="696">
        <f t="shared" si="0"/>
        <v>0</v>
      </c>
      <c r="G110" s="753">
        <f t="shared" si="2"/>
        <v>0</v>
      </c>
      <c r="H110" s="760">
        <f t="shared" si="3"/>
        <v>0</v>
      </c>
      <c r="I110" s="756">
        <f t="shared" si="4"/>
        <v>0</v>
      </c>
      <c r="J110" s="756"/>
      <c r="K110" s="901"/>
      <c r="L110" s="762"/>
      <c r="M110" s="901"/>
      <c r="N110" s="762"/>
      <c r="O110" s="762"/>
      <c r="P110" s="697"/>
    </row>
    <row r="111" spans="1:16">
      <c r="B111" s="348"/>
      <c r="C111" s="752">
        <f>IF(D95="","-",+C110+1)</f>
        <v>10</v>
      </c>
      <c r="D111" s="696">
        <f t="shared" si="1"/>
        <v>0</v>
      </c>
      <c r="E111" s="759">
        <f t="shared" si="5"/>
        <v>0</v>
      </c>
      <c r="F111" s="696">
        <f t="shared" si="0"/>
        <v>0</v>
      </c>
      <c r="G111" s="753">
        <f t="shared" si="2"/>
        <v>0</v>
      </c>
      <c r="H111" s="760">
        <f t="shared" si="3"/>
        <v>0</v>
      </c>
      <c r="I111" s="756">
        <f t="shared" si="4"/>
        <v>0</v>
      </c>
      <c r="J111" s="756"/>
      <c r="K111" s="901"/>
      <c r="L111" s="762"/>
      <c r="M111" s="901"/>
      <c r="N111" s="762"/>
      <c r="O111" s="762"/>
      <c r="P111" s="697"/>
    </row>
    <row r="112" spans="1:16">
      <c r="B112" s="348"/>
      <c r="C112" s="752">
        <f>IF(D95="","-",+C111+1)</f>
        <v>11</v>
      </c>
      <c r="D112" s="696">
        <f t="shared" si="1"/>
        <v>0</v>
      </c>
      <c r="E112" s="759">
        <f t="shared" si="5"/>
        <v>0</v>
      </c>
      <c r="F112" s="696">
        <f t="shared" si="0"/>
        <v>0</v>
      </c>
      <c r="G112" s="753">
        <f t="shared" si="2"/>
        <v>0</v>
      </c>
      <c r="H112" s="760">
        <f t="shared" si="3"/>
        <v>0</v>
      </c>
      <c r="I112" s="756">
        <f t="shared" si="4"/>
        <v>0</v>
      </c>
      <c r="J112" s="756"/>
      <c r="K112" s="901"/>
      <c r="L112" s="762"/>
      <c r="M112" s="901"/>
      <c r="N112" s="762"/>
      <c r="O112" s="762"/>
      <c r="P112" s="697"/>
    </row>
    <row r="113" spans="2:16">
      <c r="B113" s="348"/>
      <c r="C113" s="752">
        <f>IF(D95="","-",+C112+1)</f>
        <v>12</v>
      </c>
      <c r="D113" s="696">
        <f t="shared" si="1"/>
        <v>0</v>
      </c>
      <c r="E113" s="759">
        <f t="shared" si="5"/>
        <v>0</v>
      </c>
      <c r="F113" s="696">
        <f t="shared" si="0"/>
        <v>0</v>
      </c>
      <c r="G113" s="753">
        <f t="shared" si="2"/>
        <v>0</v>
      </c>
      <c r="H113" s="760">
        <f t="shared" si="3"/>
        <v>0</v>
      </c>
      <c r="I113" s="756">
        <f t="shared" si="4"/>
        <v>0</v>
      </c>
      <c r="J113" s="756"/>
      <c r="K113" s="901"/>
      <c r="L113" s="762"/>
      <c r="M113" s="901"/>
      <c r="N113" s="763"/>
      <c r="O113" s="762"/>
      <c r="P113" s="697"/>
    </row>
    <row r="114" spans="2:16">
      <c r="B114" s="348"/>
      <c r="C114" s="752">
        <f>IF(D95="","-",+C113+1)</f>
        <v>13</v>
      </c>
      <c r="D114" s="696">
        <f t="shared" si="1"/>
        <v>0</v>
      </c>
      <c r="E114" s="759">
        <f t="shared" si="5"/>
        <v>0</v>
      </c>
      <c r="F114" s="696">
        <f t="shared" si="0"/>
        <v>0</v>
      </c>
      <c r="G114" s="753">
        <f t="shared" si="2"/>
        <v>0</v>
      </c>
      <c r="H114" s="760">
        <f t="shared" si="3"/>
        <v>0</v>
      </c>
      <c r="I114" s="756">
        <f t="shared" si="4"/>
        <v>0</v>
      </c>
      <c r="J114" s="756"/>
      <c r="K114" s="901"/>
      <c r="L114" s="762"/>
      <c r="M114" s="901"/>
      <c r="N114" s="762"/>
      <c r="O114" s="762"/>
      <c r="P114" s="697"/>
    </row>
    <row r="115" spans="2:16">
      <c r="B115" s="348"/>
      <c r="C115" s="752">
        <f>IF(D95="","-",+C114+1)</f>
        <v>14</v>
      </c>
      <c r="D115" s="696">
        <f t="shared" si="1"/>
        <v>0</v>
      </c>
      <c r="E115" s="759">
        <f t="shared" si="5"/>
        <v>0</v>
      </c>
      <c r="F115" s="696">
        <f t="shared" si="0"/>
        <v>0</v>
      </c>
      <c r="G115" s="753">
        <f t="shared" si="2"/>
        <v>0</v>
      </c>
      <c r="H115" s="760">
        <f t="shared" si="3"/>
        <v>0</v>
      </c>
      <c r="I115" s="756">
        <f t="shared" si="4"/>
        <v>0</v>
      </c>
      <c r="J115" s="756"/>
      <c r="K115" s="901"/>
      <c r="L115" s="762"/>
      <c r="M115" s="901"/>
      <c r="N115" s="762"/>
      <c r="O115" s="762"/>
      <c r="P115" s="697"/>
    </row>
    <row r="116" spans="2:16">
      <c r="B116" s="348"/>
      <c r="C116" s="752">
        <f>IF(D95="","-",+C115+1)</f>
        <v>15</v>
      </c>
      <c r="D116" s="696">
        <f t="shared" si="1"/>
        <v>0</v>
      </c>
      <c r="E116" s="759">
        <f t="shared" si="5"/>
        <v>0</v>
      </c>
      <c r="F116" s="696">
        <f t="shared" si="0"/>
        <v>0</v>
      </c>
      <c r="G116" s="753">
        <f t="shared" si="2"/>
        <v>0</v>
      </c>
      <c r="H116" s="760">
        <f t="shared" si="3"/>
        <v>0</v>
      </c>
      <c r="I116" s="756">
        <f t="shared" si="4"/>
        <v>0</v>
      </c>
      <c r="J116" s="756"/>
      <c r="K116" s="901"/>
      <c r="L116" s="762"/>
      <c r="M116" s="901"/>
      <c r="N116" s="762"/>
      <c r="O116" s="762"/>
      <c r="P116" s="697"/>
    </row>
    <row r="117" spans="2:16">
      <c r="B117" s="348"/>
      <c r="C117" s="752">
        <f>IF(D95="","-",+C116+1)</f>
        <v>16</v>
      </c>
      <c r="D117" s="696">
        <f t="shared" si="1"/>
        <v>0</v>
      </c>
      <c r="E117" s="759">
        <f t="shared" si="5"/>
        <v>0</v>
      </c>
      <c r="F117" s="696">
        <f t="shared" si="0"/>
        <v>0</v>
      </c>
      <c r="G117" s="753">
        <f t="shared" si="2"/>
        <v>0</v>
      </c>
      <c r="H117" s="760">
        <f t="shared" si="3"/>
        <v>0</v>
      </c>
      <c r="I117" s="756">
        <f t="shared" si="4"/>
        <v>0</v>
      </c>
      <c r="J117" s="756"/>
      <c r="K117" s="901"/>
      <c r="L117" s="762"/>
      <c r="M117" s="901"/>
      <c r="N117" s="762"/>
      <c r="O117" s="762"/>
      <c r="P117" s="697"/>
    </row>
    <row r="118" spans="2:16">
      <c r="B118" s="348"/>
      <c r="C118" s="752">
        <f>IF(D95="","-",+C117+1)</f>
        <v>17</v>
      </c>
      <c r="D118" s="696">
        <f t="shared" si="1"/>
        <v>0</v>
      </c>
      <c r="E118" s="759">
        <f t="shared" si="5"/>
        <v>0</v>
      </c>
      <c r="F118" s="696">
        <f t="shared" si="0"/>
        <v>0</v>
      </c>
      <c r="G118" s="753">
        <f t="shared" si="2"/>
        <v>0</v>
      </c>
      <c r="H118" s="760">
        <f t="shared" si="3"/>
        <v>0</v>
      </c>
      <c r="I118" s="756">
        <f t="shared" si="4"/>
        <v>0</v>
      </c>
      <c r="J118" s="756"/>
      <c r="K118" s="901"/>
      <c r="L118" s="762"/>
      <c r="M118" s="901"/>
      <c r="N118" s="762"/>
      <c r="O118" s="762"/>
      <c r="P118" s="697"/>
    </row>
    <row r="119" spans="2:16">
      <c r="B119" s="348"/>
      <c r="C119" s="752">
        <f>IF(D95="","-",+C118+1)</f>
        <v>18</v>
      </c>
      <c r="D119" s="696">
        <f t="shared" si="1"/>
        <v>0</v>
      </c>
      <c r="E119" s="759">
        <f t="shared" si="5"/>
        <v>0</v>
      </c>
      <c r="F119" s="696">
        <f t="shared" si="0"/>
        <v>0</v>
      </c>
      <c r="G119" s="753">
        <f t="shared" si="2"/>
        <v>0</v>
      </c>
      <c r="H119" s="760">
        <f t="shared" si="3"/>
        <v>0</v>
      </c>
      <c r="I119" s="756">
        <f t="shared" si="4"/>
        <v>0</v>
      </c>
      <c r="J119" s="756"/>
      <c r="K119" s="901"/>
      <c r="L119" s="762"/>
      <c r="M119" s="901"/>
      <c r="N119" s="762"/>
      <c r="O119" s="762"/>
      <c r="P119" s="697"/>
    </row>
    <row r="120" spans="2:16">
      <c r="B120" s="348"/>
      <c r="C120" s="752">
        <f>IF(D95="","-",+C119+1)</f>
        <v>19</v>
      </c>
      <c r="D120" s="696">
        <f t="shared" si="1"/>
        <v>0</v>
      </c>
      <c r="E120" s="759">
        <f t="shared" si="5"/>
        <v>0</v>
      </c>
      <c r="F120" s="696">
        <f t="shared" si="0"/>
        <v>0</v>
      </c>
      <c r="G120" s="753">
        <f t="shared" si="2"/>
        <v>0</v>
      </c>
      <c r="H120" s="760">
        <f t="shared" si="3"/>
        <v>0</v>
      </c>
      <c r="I120" s="756">
        <f t="shared" si="4"/>
        <v>0</v>
      </c>
      <c r="J120" s="756"/>
      <c r="K120" s="901"/>
      <c r="L120" s="762"/>
      <c r="M120" s="901"/>
      <c r="N120" s="762"/>
      <c r="O120" s="762"/>
      <c r="P120" s="697"/>
    </row>
    <row r="121" spans="2:16">
      <c r="B121" s="348"/>
      <c r="C121" s="752">
        <f>IF(D95="","-",+C120+1)</f>
        <v>20</v>
      </c>
      <c r="D121" s="696">
        <f t="shared" si="1"/>
        <v>0</v>
      </c>
      <c r="E121" s="759">
        <f t="shared" si="5"/>
        <v>0</v>
      </c>
      <c r="F121" s="696">
        <f t="shared" si="0"/>
        <v>0</v>
      </c>
      <c r="G121" s="753">
        <f t="shared" si="2"/>
        <v>0</v>
      </c>
      <c r="H121" s="760">
        <f t="shared" si="3"/>
        <v>0</v>
      </c>
      <c r="I121" s="756">
        <f t="shared" si="4"/>
        <v>0</v>
      </c>
      <c r="J121" s="756"/>
      <c r="K121" s="901"/>
      <c r="L121" s="762"/>
      <c r="M121" s="901"/>
      <c r="N121" s="762"/>
      <c r="O121" s="762"/>
      <c r="P121" s="697"/>
    </row>
    <row r="122" spans="2:16">
      <c r="B122" s="348"/>
      <c r="C122" s="752">
        <f>IF(D95="","-",+C121+1)</f>
        <v>21</v>
      </c>
      <c r="D122" s="696">
        <f t="shared" si="1"/>
        <v>0</v>
      </c>
      <c r="E122" s="759">
        <f t="shared" si="5"/>
        <v>0</v>
      </c>
      <c r="F122" s="696">
        <f t="shared" si="0"/>
        <v>0</v>
      </c>
      <c r="G122" s="753">
        <f t="shared" si="2"/>
        <v>0</v>
      </c>
      <c r="H122" s="760">
        <f t="shared" si="3"/>
        <v>0</v>
      </c>
      <c r="I122" s="756">
        <f t="shared" si="4"/>
        <v>0</v>
      </c>
      <c r="J122" s="756"/>
      <c r="K122" s="901"/>
      <c r="L122" s="762"/>
      <c r="M122" s="901"/>
      <c r="N122" s="762"/>
      <c r="O122" s="762"/>
      <c r="P122" s="697"/>
    </row>
    <row r="123" spans="2:16">
      <c r="B123" s="348"/>
      <c r="C123" s="752">
        <f>IF(D95="","-",+C122+1)</f>
        <v>22</v>
      </c>
      <c r="D123" s="696">
        <f t="shared" si="1"/>
        <v>0</v>
      </c>
      <c r="E123" s="759">
        <f t="shared" si="5"/>
        <v>0</v>
      </c>
      <c r="F123" s="696">
        <f t="shared" si="0"/>
        <v>0</v>
      </c>
      <c r="G123" s="753">
        <f t="shared" si="2"/>
        <v>0</v>
      </c>
      <c r="H123" s="760">
        <f t="shared" si="3"/>
        <v>0</v>
      </c>
      <c r="I123" s="756">
        <f t="shared" si="4"/>
        <v>0</v>
      </c>
      <c r="J123" s="756"/>
      <c r="K123" s="901"/>
      <c r="L123" s="762"/>
      <c r="M123" s="901"/>
      <c r="N123" s="762"/>
      <c r="O123" s="762"/>
      <c r="P123" s="697"/>
    </row>
    <row r="124" spans="2:16">
      <c r="B124" s="348"/>
      <c r="C124" s="752">
        <f>IF(D95="","-",+C123+1)</f>
        <v>23</v>
      </c>
      <c r="D124" s="696">
        <f t="shared" si="1"/>
        <v>0</v>
      </c>
      <c r="E124" s="759">
        <f t="shared" si="5"/>
        <v>0</v>
      </c>
      <c r="F124" s="696">
        <f t="shared" si="0"/>
        <v>0</v>
      </c>
      <c r="G124" s="753">
        <f t="shared" si="2"/>
        <v>0</v>
      </c>
      <c r="H124" s="760">
        <f t="shared" si="3"/>
        <v>0</v>
      </c>
      <c r="I124" s="756">
        <f t="shared" si="4"/>
        <v>0</v>
      </c>
      <c r="J124" s="756"/>
      <c r="K124" s="901"/>
      <c r="L124" s="762"/>
      <c r="M124" s="901"/>
      <c r="N124" s="762"/>
      <c r="O124" s="762"/>
      <c r="P124" s="697"/>
    </row>
    <row r="125" spans="2:16">
      <c r="B125" s="348"/>
      <c r="C125" s="752">
        <f>IF(D95="","-",+C124+1)</f>
        <v>24</v>
      </c>
      <c r="D125" s="696">
        <f t="shared" si="1"/>
        <v>0</v>
      </c>
      <c r="E125" s="759">
        <f t="shared" si="5"/>
        <v>0</v>
      </c>
      <c r="F125" s="696">
        <f t="shared" si="0"/>
        <v>0</v>
      </c>
      <c r="G125" s="753">
        <f t="shared" si="2"/>
        <v>0</v>
      </c>
      <c r="H125" s="760">
        <f t="shared" si="3"/>
        <v>0</v>
      </c>
      <c r="I125" s="756">
        <f t="shared" si="4"/>
        <v>0</v>
      </c>
      <c r="J125" s="756"/>
      <c r="K125" s="901"/>
      <c r="L125" s="762"/>
      <c r="M125" s="901"/>
      <c r="N125" s="762"/>
      <c r="O125" s="762"/>
      <c r="P125" s="697"/>
    </row>
    <row r="126" spans="2:16">
      <c r="B126" s="348"/>
      <c r="C126" s="752">
        <f>IF(D95="","-",+C125+1)</f>
        <v>25</v>
      </c>
      <c r="D126" s="696">
        <f t="shared" si="1"/>
        <v>0</v>
      </c>
      <c r="E126" s="759">
        <f t="shared" si="5"/>
        <v>0</v>
      </c>
      <c r="F126" s="696">
        <f t="shared" si="0"/>
        <v>0</v>
      </c>
      <c r="G126" s="753">
        <f t="shared" si="2"/>
        <v>0</v>
      </c>
      <c r="H126" s="760">
        <f t="shared" si="3"/>
        <v>0</v>
      </c>
      <c r="I126" s="756">
        <f t="shared" si="4"/>
        <v>0</v>
      </c>
      <c r="J126" s="756"/>
      <c r="K126" s="901"/>
      <c r="L126" s="762"/>
      <c r="M126" s="901"/>
      <c r="N126" s="762"/>
      <c r="O126" s="762"/>
      <c r="P126" s="697"/>
    </row>
    <row r="127" spans="2:16">
      <c r="B127" s="348"/>
      <c r="C127" s="752">
        <f>IF(D95="","-",+C126+1)</f>
        <v>26</v>
      </c>
      <c r="D127" s="696">
        <f t="shared" si="1"/>
        <v>0</v>
      </c>
      <c r="E127" s="759">
        <f t="shared" si="5"/>
        <v>0</v>
      </c>
      <c r="F127" s="696">
        <f t="shared" si="0"/>
        <v>0</v>
      </c>
      <c r="G127" s="753">
        <f t="shared" si="2"/>
        <v>0</v>
      </c>
      <c r="H127" s="760">
        <f t="shared" si="3"/>
        <v>0</v>
      </c>
      <c r="I127" s="756">
        <f t="shared" si="4"/>
        <v>0</v>
      </c>
      <c r="J127" s="756"/>
      <c r="K127" s="901"/>
      <c r="L127" s="762"/>
      <c r="M127" s="901"/>
      <c r="N127" s="762"/>
      <c r="O127" s="762"/>
      <c r="P127" s="697"/>
    </row>
    <row r="128" spans="2:16">
      <c r="B128" s="348"/>
      <c r="C128" s="752">
        <f>IF(D95="","-",+C127+1)</f>
        <v>27</v>
      </c>
      <c r="D128" s="696">
        <f t="shared" si="1"/>
        <v>0</v>
      </c>
      <c r="E128" s="759">
        <f t="shared" si="5"/>
        <v>0</v>
      </c>
      <c r="F128" s="696">
        <f t="shared" si="0"/>
        <v>0</v>
      </c>
      <c r="G128" s="753">
        <f t="shared" si="2"/>
        <v>0</v>
      </c>
      <c r="H128" s="760">
        <f t="shared" si="3"/>
        <v>0</v>
      </c>
      <c r="I128" s="756">
        <f t="shared" si="4"/>
        <v>0</v>
      </c>
      <c r="J128" s="756"/>
      <c r="K128" s="901"/>
      <c r="L128" s="762"/>
      <c r="M128" s="901"/>
      <c r="N128" s="762"/>
      <c r="O128" s="762"/>
      <c r="P128" s="697"/>
    </row>
    <row r="129" spans="2:16">
      <c r="B129" s="348"/>
      <c r="C129" s="752">
        <f>IF(D95="","-",+C128+1)</f>
        <v>28</v>
      </c>
      <c r="D129" s="696">
        <f t="shared" si="1"/>
        <v>0</v>
      </c>
      <c r="E129" s="759">
        <f t="shared" si="5"/>
        <v>0</v>
      </c>
      <c r="F129" s="696">
        <f t="shared" si="0"/>
        <v>0</v>
      </c>
      <c r="G129" s="754">
        <f t="shared" si="2"/>
        <v>0</v>
      </c>
      <c r="H129" s="760">
        <f t="shared" si="3"/>
        <v>0</v>
      </c>
      <c r="I129" s="756">
        <f t="shared" si="4"/>
        <v>0</v>
      </c>
      <c r="J129" s="756"/>
      <c r="K129" s="901"/>
      <c r="L129" s="762"/>
      <c r="M129" s="901"/>
      <c r="N129" s="762"/>
      <c r="O129" s="762"/>
      <c r="P129" s="697"/>
    </row>
    <row r="130" spans="2:16">
      <c r="B130" s="348"/>
      <c r="C130" s="752">
        <f>IF(D95="","-",+C129+1)</f>
        <v>29</v>
      </c>
      <c r="D130" s="696">
        <f t="shared" si="1"/>
        <v>0</v>
      </c>
      <c r="E130" s="759">
        <f t="shared" si="5"/>
        <v>0</v>
      </c>
      <c r="F130" s="696">
        <f t="shared" si="0"/>
        <v>0</v>
      </c>
      <c r="G130" s="753">
        <f t="shared" si="2"/>
        <v>0</v>
      </c>
      <c r="H130" s="760">
        <f t="shared" si="3"/>
        <v>0</v>
      </c>
      <c r="I130" s="756">
        <f t="shared" si="4"/>
        <v>0</v>
      </c>
      <c r="J130" s="756"/>
      <c r="K130" s="901"/>
      <c r="L130" s="762"/>
      <c r="M130" s="901"/>
      <c r="N130" s="762"/>
      <c r="O130" s="762"/>
      <c r="P130" s="697"/>
    </row>
    <row r="131" spans="2:16">
      <c r="B131" s="348"/>
      <c r="C131" s="752">
        <f>IF(D95="","-",+C130+1)</f>
        <v>30</v>
      </c>
      <c r="D131" s="696">
        <f t="shared" si="1"/>
        <v>0</v>
      </c>
      <c r="E131" s="759">
        <f t="shared" si="5"/>
        <v>0</v>
      </c>
      <c r="F131" s="696">
        <f t="shared" si="0"/>
        <v>0</v>
      </c>
      <c r="G131" s="753">
        <f t="shared" si="2"/>
        <v>0</v>
      </c>
      <c r="H131" s="760">
        <f t="shared" si="3"/>
        <v>0</v>
      </c>
      <c r="I131" s="756">
        <f t="shared" si="4"/>
        <v>0</v>
      </c>
      <c r="J131" s="756"/>
      <c r="K131" s="901"/>
      <c r="L131" s="762"/>
      <c r="M131" s="901"/>
      <c r="N131" s="762"/>
      <c r="O131" s="762"/>
      <c r="P131" s="697"/>
    </row>
    <row r="132" spans="2:16">
      <c r="B132" s="348"/>
      <c r="C132" s="752">
        <f>IF(D95="","-",+C131+1)</f>
        <v>31</v>
      </c>
      <c r="D132" s="696">
        <f t="shared" si="1"/>
        <v>0</v>
      </c>
      <c r="E132" s="759">
        <f t="shared" si="5"/>
        <v>0</v>
      </c>
      <c r="F132" s="696">
        <f t="shared" si="0"/>
        <v>0</v>
      </c>
      <c r="G132" s="753">
        <f t="shared" si="2"/>
        <v>0</v>
      </c>
      <c r="H132" s="760">
        <f t="shared" si="3"/>
        <v>0</v>
      </c>
      <c r="I132" s="756">
        <f t="shared" si="4"/>
        <v>0</v>
      </c>
      <c r="J132" s="756"/>
      <c r="K132" s="901"/>
      <c r="L132" s="762"/>
      <c r="M132" s="901"/>
      <c r="N132" s="762"/>
      <c r="O132" s="762"/>
      <c r="P132" s="697"/>
    </row>
    <row r="133" spans="2:16">
      <c r="B133" s="348"/>
      <c r="C133" s="752">
        <f>IF(D95="","-",+C132+1)</f>
        <v>32</v>
      </c>
      <c r="D133" s="696">
        <f t="shared" si="1"/>
        <v>0</v>
      </c>
      <c r="E133" s="759">
        <f t="shared" si="5"/>
        <v>0</v>
      </c>
      <c r="F133" s="696">
        <f t="shared" si="0"/>
        <v>0</v>
      </c>
      <c r="G133" s="753">
        <f t="shared" si="2"/>
        <v>0</v>
      </c>
      <c r="H133" s="760">
        <f t="shared" si="3"/>
        <v>0</v>
      </c>
      <c r="I133" s="756">
        <f t="shared" si="4"/>
        <v>0</v>
      </c>
      <c r="J133" s="756"/>
      <c r="K133" s="901"/>
      <c r="L133" s="762"/>
      <c r="M133" s="901"/>
      <c r="N133" s="762"/>
      <c r="O133" s="762"/>
      <c r="P133" s="697"/>
    </row>
    <row r="134" spans="2:16">
      <c r="B134" s="348"/>
      <c r="C134" s="752">
        <f>IF(D95="","-",+C133+1)</f>
        <v>33</v>
      </c>
      <c r="D134" s="696">
        <f t="shared" si="1"/>
        <v>0</v>
      </c>
      <c r="E134" s="759">
        <f t="shared" si="5"/>
        <v>0</v>
      </c>
      <c r="F134" s="696">
        <f t="shared" si="0"/>
        <v>0</v>
      </c>
      <c r="G134" s="753">
        <f t="shared" si="2"/>
        <v>0</v>
      </c>
      <c r="H134" s="760">
        <f t="shared" si="3"/>
        <v>0</v>
      </c>
      <c r="I134" s="756">
        <f t="shared" si="4"/>
        <v>0</v>
      </c>
      <c r="J134" s="756"/>
      <c r="K134" s="901"/>
      <c r="L134" s="762"/>
      <c r="M134" s="901"/>
      <c r="N134" s="762"/>
      <c r="O134" s="762"/>
      <c r="P134" s="697"/>
    </row>
    <row r="135" spans="2:16">
      <c r="B135" s="348"/>
      <c r="C135" s="752">
        <f>IF(D95="","-",+C134+1)</f>
        <v>34</v>
      </c>
      <c r="D135" s="696">
        <f t="shared" si="1"/>
        <v>0</v>
      </c>
      <c r="E135" s="759">
        <f t="shared" si="5"/>
        <v>0</v>
      </c>
      <c r="F135" s="696">
        <f t="shared" si="0"/>
        <v>0</v>
      </c>
      <c r="G135" s="753">
        <f t="shared" si="2"/>
        <v>0</v>
      </c>
      <c r="H135" s="760">
        <f t="shared" si="3"/>
        <v>0</v>
      </c>
      <c r="I135" s="756">
        <f t="shared" si="4"/>
        <v>0</v>
      </c>
      <c r="J135" s="756"/>
      <c r="K135" s="901"/>
      <c r="L135" s="762"/>
      <c r="M135" s="901"/>
      <c r="N135" s="762"/>
      <c r="O135" s="762"/>
      <c r="P135" s="697"/>
    </row>
    <row r="136" spans="2:16">
      <c r="B136" s="348"/>
      <c r="C136" s="752">
        <f>IF(D95="","-",+C135+1)</f>
        <v>35</v>
      </c>
      <c r="D136" s="696">
        <f t="shared" si="1"/>
        <v>0</v>
      </c>
      <c r="E136" s="759">
        <f t="shared" si="5"/>
        <v>0</v>
      </c>
      <c r="F136" s="696">
        <f t="shared" si="0"/>
        <v>0</v>
      </c>
      <c r="G136" s="753">
        <f t="shared" si="2"/>
        <v>0</v>
      </c>
      <c r="H136" s="760">
        <f t="shared" si="3"/>
        <v>0</v>
      </c>
      <c r="I136" s="756">
        <f t="shared" si="4"/>
        <v>0</v>
      </c>
      <c r="J136" s="756"/>
      <c r="K136" s="901"/>
      <c r="L136" s="762"/>
      <c r="M136" s="901"/>
      <c r="N136" s="762"/>
      <c r="O136" s="762"/>
      <c r="P136" s="697"/>
    </row>
    <row r="137" spans="2:16">
      <c r="B137" s="348"/>
      <c r="C137" s="752">
        <f>IF(D95="","-",+C136+1)</f>
        <v>36</v>
      </c>
      <c r="D137" s="696">
        <f t="shared" si="1"/>
        <v>0</v>
      </c>
      <c r="E137" s="759">
        <f t="shared" si="5"/>
        <v>0</v>
      </c>
      <c r="F137" s="696">
        <f t="shared" si="0"/>
        <v>0</v>
      </c>
      <c r="G137" s="753">
        <f t="shared" si="2"/>
        <v>0</v>
      </c>
      <c r="H137" s="760">
        <f t="shared" si="3"/>
        <v>0</v>
      </c>
      <c r="I137" s="756">
        <f t="shared" si="4"/>
        <v>0</v>
      </c>
      <c r="J137" s="756"/>
      <c r="K137" s="901"/>
      <c r="L137" s="762"/>
      <c r="M137" s="901"/>
      <c r="N137" s="762"/>
      <c r="O137" s="762"/>
      <c r="P137" s="697"/>
    </row>
    <row r="138" spans="2:16">
      <c r="B138" s="348"/>
      <c r="C138" s="752">
        <f>IF(D95="","-",+C137+1)</f>
        <v>37</v>
      </c>
      <c r="D138" s="696">
        <f t="shared" si="1"/>
        <v>0</v>
      </c>
      <c r="E138" s="759">
        <f t="shared" si="5"/>
        <v>0</v>
      </c>
      <c r="F138" s="696">
        <f t="shared" si="0"/>
        <v>0</v>
      </c>
      <c r="G138" s="753">
        <f t="shared" si="2"/>
        <v>0</v>
      </c>
      <c r="H138" s="760">
        <f t="shared" si="3"/>
        <v>0</v>
      </c>
      <c r="I138" s="756">
        <f t="shared" si="4"/>
        <v>0</v>
      </c>
      <c r="J138" s="756"/>
      <c r="K138" s="901"/>
      <c r="L138" s="762"/>
      <c r="M138" s="901"/>
      <c r="N138" s="762"/>
      <c r="O138" s="762"/>
      <c r="P138" s="697"/>
    </row>
    <row r="139" spans="2:16">
      <c r="B139" s="348"/>
      <c r="C139" s="752">
        <f>IF(D95="","-",+C138+1)</f>
        <v>38</v>
      </c>
      <c r="D139" s="696">
        <f t="shared" si="1"/>
        <v>0</v>
      </c>
      <c r="E139" s="759">
        <f t="shared" si="5"/>
        <v>0</v>
      </c>
      <c r="F139" s="696">
        <f t="shared" si="0"/>
        <v>0</v>
      </c>
      <c r="G139" s="753">
        <f t="shared" si="2"/>
        <v>0</v>
      </c>
      <c r="H139" s="760">
        <f t="shared" si="3"/>
        <v>0</v>
      </c>
      <c r="I139" s="756">
        <f t="shared" si="4"/>
        <v>0</v>
      </c>
      <c r="J139" s="756"/>
      <c r="K139" s="901"/>
      <c r="L139" s="762"/>
      <c r="M139" s="901"/>
      <c r="N139" s="762"/>
      <c r="O139" s="762"/>
      <c r="P139" s="697"/>
    </row>
    <row r="140" spans="2:16">
      <c r="B140" s="348"/>
      <c r="C140" s="752">
        <f>IF(D95="","-",+C139+1)</f>
        <v>39</v>
      </c>
      <c r="D140" s="696">
        <f t="shared" si="1"/>
        <v>0</v>
      </c>
      <c r="E140" s="759">
        <f t="shared" si="5"/>
        <v>0</v>
      </c>
      <c r="F140" s="696">
        <f t="shared" si="0"/>
        <v>0</v>
      </c>
      <c r="G140" s="753">
        <f t="shared" si="2"/>
        <v>0</v>
      </c>
      <c r="H140" s="760">
        <f t="shared" si="3"/>
        <v>0</v>
      </c>
      <c r="I140" s="756">
        <f t="shared" si="4"/>
        <v>0</v>
      </c>
      <c r="J140" s="756"/>
      <c r="K140" s="901"/>
      <c r="L140" s="762"/>
      <c r="M140" s="901"/>
      <c r="N140" s="762"/>
      <c r="O140" s="762"/>
      <c r="P140" s="697"/>
    </row>
    <row r="141" spans="2:16">
      <c r="B141" s="348"/>
      <c r="C141" s="752">
        <f>IF(D95="","-",+C140+1)</f>
        <v>40</v>
      </c>
      <c r="D141" s="696">
        <f t="shared" si="1"/>
        <v>0</v>
      </c>
      <c r="E141" s="759">
        <f t="shared" si="5"/>
        <v>0</v>
      </c>
      <c r="F141" s="696">
        <f t="shared" si="0"/>
        <v>0</v>
      </c>
      <c r="G141" s="753">
        <f t="shared" si="2"/>
        <v>0</v>
      </c>
      <c r="H141" s="760">
        <f t="shared" si="3"/>
        <v>0</v>
      </c>
      <c r="I141" s="756">
        <f t="shared" si="4"/>
        <v>0</v>
      </c>
      <c r="J141" s="756"/>
      <c r="K141" s="901"/>
      <c r="L141" s="762"/>
      <c r="M141" s="901"/>
      <c r="N141" s="762"/>
      <c r="O141" s="762"/>
      <c r="P141" s="697"/>
    </row>
    <row r="142" spans="2:16">
      <c r="B142" s="348"/>
      <c r="C142" s="752">
        <f>IF(D95="","-",+C141+1)</f>
        <v>41</v>
      </c>
      <c r="D142" s="696">
        <f t="shared" si="1"/>
        <v>0</v>
      </c>
      <c r="E142" s="759">
        <f t="shared" si="5"/>
        <v>0</v>
      </c>
      <c r="F142" s="696">
        <f t="shared" si="0"/>
        <v>0</v>
      </c>
      <c r="G142" s="753">
        <f t="shared" si="2"/>
        <v>0</v>
      </c>
      <c r="H142" s="760">
        <f t="shared" si="3"/>
        <v>0</v>
      </c>
      <c r="I142" s="756">
        <f t="shared" si="4"/>
        <v>0</v>
      </c>
      <c r="J142" s="756"/>
      <c r="K142" s="901"/>
      <c r="L142" s="762"/>
      <c r="M142" s="901"/>
      <c r="N142" s="762"/>
      <c r="O142" s="762"/>
      <c r="P142" s="697"/>
    </row>
    <row r="143" spans="2:16">
      <c r="B143" s="348"/>
      <c r="C143" s="752">
        <f>IF(D95="","-",+C142+1)</f>
        <v>42</v>
      </c>
      <c r="D143" s="696">
        <f t="shared" si="1"/>
        <v>0</v>
      </c>
      <c r="E143" s="759">
        <f t="shared" si="5"/>
        <v>0</v>
      </c>
      <c r="F143" s="696">
        <f t="shared" si="0"/>
        <v>0</v>
      </c>
      <c r="G143" s="753">
        <f t="shared" si="2"/>
        <v>0</v>
      </c>
      <c r="H143" s="760">
        <f t="shared" si="3"/>
        <v>0</v>
      </c>
      <c r="I143" s="756">
        <f t="shared" si="4"/>
        <v>0</v>
      </c>
      <c r="J143" s="756"/>
      <c r="K143" s="901"/>
      <c r="L143" s="762"/>
      <c r="M143" s="901"/>
      <c r="N143" s="762"/>
      <c r="O143" s="762"/>
      <c r="P143" s="697"/>
    </row>
    <row r="144" spans="2:16">
      <c r="B144" s="348"/>
      <c r="C144" s="752">
        <f>IF(D95="","-",+C143+1)</f>
        <v>43</v>
      </c>
      <c r="D144" s="696">
        <f t="shared" si="1"/>
        <v>0</v>
      </c>
      <c r="E144" s="759">
        <f t="shared" si="5"/>
        <v>0</v>
      </c>
      <c r="F144" s="696">
        <f t="shared" si="0"/>
        <v>0</v>
      </c>
      <c r="G144" s="753">
        <f t="shared" si="2"/>
        <v>0</v>
      </c>
      <c r="H144" s="760">
        <f t="shared" si="3"/>
        <v>0</v>
      </c>
      <c r="I144" s="756">
        <f t="shared" si="4"/>
        <v>0</v>
      </c>
      <c r="J144" s="756"/>
      <c r="K144" s="901"/>
      <c r="L144" s="762"/>
      <c r="M144" s="901"/>
      <c r="N144" s="762"/>
      <c r="O144" s="762"/>
      <c r="P144" s="697"/>
    </row>
    <row r="145" spans="2:16">
      <c r="B145" s="348"/>
      <c r="C145" s="752">
        <f>IF(D95="","-",+C144+1)</f>
        <v>44</v>
      </c>
      <c r="D145" s="696">
        <f t="shared" si="1"/>
        <v>0</v>
      </c>
      <c r="E145" s="759">
        <f t="shared" si="5"/>
        <v>0</v>
      </c>
      <c r="F145" s="696">
        <f t="shared" si="0"/>
        <v>0</v>
      </c>
      <c r="G145" s="753">
        <f t="shared" si="2"/>
        <v>0</v>
      </c>
      <c r="H145" s="760">
        <f t="shared" si="3"/>
        <v>0</v>
      </c>
      <c r="I145" s="756">
        <f t="shared" si="4"/>
        <v>0</v>
      </c>
      <c r="J145" s="756"/>
      <c r="K145" s="901"/>
      <c r="L145" s="762"/>
      <c r="M145" s="901"/>
      <c r="N145" s="762"/>
      <c r="O145" s="762"/>
      <c r="P145" s="697"/>
    </row>
    <row r="146" spans="2:16">
      <c r="B146" s="348"/>
      <c r="C146" s="752">
        <f>IF(D95="","-",+C145+1)</f>
        <v>45</v>
      </c>
      <c r="D146" s="696">
        <f t="shared" si="1"/>
        <v>0</v>
      </c>
      <c r="E146" s="759">
        <f t="shared" si="5"/>
        <v>0</v>
      </c>
      <c r="F146" s="696">
        <f t="shared" si="0"/>
        <v>0</v>
      </c>
      <c r="G146" s="753">
        <f t="shared" si="2"/>
        <v>0</v>
      </c>
      <c r="H146" s="760">
        <f t="shared" si="3"/>
        <v>0</v>
      </c>
      <c r="I146" s="756">
        <f t="shared" si="4"/>
        <v>0</v>
      </c>
      <c r="J146" s="756"/>
      <c r="K146" s="901"/>
      <c r="L146" s="762"/>
      <c r="M146" s="901"/>
      <c r="N146" s="762"/>
      <c r="O146" s="762"/>
      <c r="P146" s="697"/>
    </row>
    <row r="147" spans="2:16">
      <c r="B147" s="348"/>
      <c r="C147" s="752">
        <f>IF(D95="","-",+C146+1)</f>
        <v>46</v>
      </c>
      <c r="D147" s="696">
        <f t="shared" si="1"/>
        <v>0</v>
      </c>
      <c r="E147" s="759">
        <f t="shared" si="5"/>
        <v>0</v>
      </c>
      <c r="F147" s="696">
        <f t="shared" si="0"/>
        <v>0</v>
      </c>
      <c r="G147" s="753">
        <f t="shared" si="2"/>
        <v>0</v>
      </c>
      <c r="H147" s="760">
        <f t="shared" si="3"/>
        <v>0</v>
      </c>
      <c r="I147" s="756">
        <f t="shared" si="4"/>
        <v>0</v>
      </c>
      <c r="J147" s="756"/>
      <c r="K147" s="901"/>
      <c r="L147" s="762"/>
      <c r="M147" s="901"/>
      <c r="N147" s="762"/>
      <c r="O147" s="762"/>
      <c r="P147" s="697"/>
    </row>
    <row r="148" spans="2:16">
      <c r="B148" s="348"/>
      <c r="C148" s="752">
        <f>IF(D95="","-",+C147+1)</f>
        <v>47</v>
      </c>
      <c r="D148" s="696">
        <f t="shared" si="1"/>
        <v>0</v>
      </c>
      <c r="E148" s="759">
        <f t="shared" si="5"/>
        <v>0</v>
      </c>
      <c r="F148" s="696">
        <f t="shared" si="0"/>
        <v>0</v>
      </c>
      <c r="G148" s="753">
        <f t="shared" si="2"/>
        <v>0</v>
      </c>
      <c r="H148" s="760">
        <f t="shared" si="3"/>
        <v>0</v>
      </c>
      <c r="I148" s="756">
        <f t="shared" si="4"/>
        <v>0</v>
      </c>
      <c r="J148" s="756"/>
      <c r="K148" s="901"/>
      <c r="L148" s="762"/>
      <c r="M148" s="901"/>
      <c r="N148" s="762"/>
      <c r="O148" s="762"/>
      <c r="P148" s="697"/>
    </row>
    <row r="149" spans="2:16">
      <c r="B149" s="348"/>
      <c r="C149" s="752">
        <f>IF(D95="","-",+C148+1)</f>
        <v>48</v>
      </c>
      <c r="D149" s="696">
        <f t="shared" si="1"/>
        <v>0</v>
      </c>
      <c r="E149" s="759">
        <f t="shared" si="5"/>
        <v>0</v>
      </c>
      <c r="F149" s="696">
        <f t="shared" si="0"/>
        <v>0</v>
      </c>
      <c r="G149" s="753">
        <f t="shared" si="2"/>
        <v>0</v>
      </c>
      <c r="H149" s="760">
        <f t="shared" si="3"/>
        <v>0</v>
      </c>
      <c r="I149" s="756">
        <f t="shared" si="4"/>
        <v>0</v>
      </c>
      <c r="J149" s="756"/>
      <c r="K149" s="901"/>
      <c r="L149" s="762"/>
      <c r="M149" s="901"/>
      <c r="N149" s="762"/>
      <c r="O149" s="762"/>
      <c r="P149" s="697"/>
    </row>
    <row r="150" spans="2:16">
      <c r="B150" s="348"/>
      <c r="C150" s="752">
        <f>IF(D95="","-",+C149+1)</f>
        <v>49</v>
      </c>
      <c r="D150" s="696">
        <f t="shared" si="1"/>
        <v>0</v>
      </c>
      <c r="E150" s="759">
        <f t="shared" si="5"/>
        <v>0</v>
      </c>
      <c r="F150" s="696">
        <f t="shared" si="0"/>
        <v>0</v>
      </c>
      <c r="G150" s="753">
        <f t="shared" si="2"/>
        <v>0</v>
      </c>
      <c r="H150" s="760">
        <f t="shared" si="3"/>
        <v>0</v>
      </c>
      <c r="I150" s="756">
        <f t="shared" si="4"/>
        <v>0</v>
      </c>
      <c r="J150" s="756"/>
      <c r="K150" s="901"/>
      <c r="L150" s="762"/>
      <c r="M150" s="901"/>
      <c r="N150" s="762"/>
      <c r="O150" s="762"/>
      <c r="P150" s="697"/>
    </row>
    <row r="151" spans="2:16">
      <c r="B151" s="348"/>
      <c r="C151" s="752">
        <f>IF(D95="","-",+C150+1)</f>
        <v>50</v>
      </c>
      <c r="D151" s="696">
        <f t="shared" si="1"/>
        <v>0</v>
      </c>
      <c r="E151" s="759">
        <f t="shared" si="5"/>
        <v>0</v>
      </c>
      <c r="F151" s="696">
        <f t="shared" si="0"/>
        <v>0</v>
      </c>
      <c r="G151" s="753">
        <f t="shared" si="2"/>
        <v>0</v>
      </c>
      <c r="H151" s="760">
        <f t="shared" si="3"/>
        <v>0</v>
      </c>
      <c r="I151" s="756">
        <f t="shared" si="4"/>
        <v>0</v>
      </c>
      <c r="J151" s="756"/>
      <c r="K151" s="901"/>
      <c r="L151" s="762"/>
      <c r="M151" s="901"/>
      <c r="N151" s="762"/>
      <c r="O151" s="762"/>
      <c r="P151" s="697"/>
    </row>
    <row r="152" spans="2:16">
      <c r="B152" s="348"/>
      <c r="C152" s="752">
        <f>IF(D95="","-",+C151+1)</f>
        <v>51</v>
      </c>
      <c r="D152" s="696">
        <f t="shared" si="1"/>
        <v>0</v>
      </c>
      <c r="E152" s="759">
        <f t="shared" si="5"/>
        <v>0</v>
      </c>
      <c r="F152" s="696">
        <f t="shared" si="0"/>
        <v>0</v>
      </c>
      <c r="G152" s="753">
        <f t="shared" si="2"/>
        <v>0</v>
      </c>
      <c r="H152" s="760">
        <f t="shared" si="3"/>
        <v>0</v>
      </c>
      <c r="I152" s="756">
        <f t="shared" si="4"/>
        <v>0</v>
      </c>
      <c r="J152" s="756"/>
      <c r="K152" s="901"/>
      <c r="L152" s="762"/>
      <c r="M152" s="901"/>
      <c r="N152" s="762"/>
      <c r="O152" s="762"/>
      <c r="P152" s="697"/>
    </row>
    <row r="153" spans="2:16">
      <c r="B153" s="348"/>
      <c r="C153" s="752">
        <f>IF(D95="","-",+C152+1)</f>
        <v>52</v>
      </c>
      <c r="D153" s="696">
        <f t="shared" si="1"/>
        <v>0</v>
      </c>
      <c r="E153" s="759">
        <f t="shared" si="5"/>
        <v>0</v>
      </c>
      <c r="F153" s="696">
        <f t="shared" si="0"/>
        <v>0</v>
      </c>
      <c r="G153" s="753">
        <f t="shared" si="2"/>
        <v>0</v>
      </c>
      <c r="H153" s="760">
        <f t="shared" si="3"/>
        <v>0</v>
      </c>
      <c r="I153" s="756">
        <f t="shared" si="4"/>
        <v>0</v>
      </c>
      <c r="J153" s="756"/>
      <c r="K153" s="901"/>
      <c r="L153" s="762"/>
      <c r="M153" s="901"/>
      <c r="N153" s="762"/>
      <c r="O153" s="762"/>
      <c r="P153" s="697"/>
    </row>
    <row r="154" spans="2:16">
      <c r="B154" s="348"/>
      <c r="C154" s="752">
        <f>IF(D95="","-",+C153+1)</f>
        <v>53</v>
      </c>
      <c r="D154" s="696">
        <f t="shared" si="1"/>
        <v>0</v>
      </c>
      <c r="E154" s="759">
        <f t="shared" si="5"/>
        <v>0</v>
      </c>
      <c r="F154" s="696">
        <f t="shared" si="0"/>
        <v>0</v>
      </c>
      <c r="G154" s="753">
        <f t="shared" si="2"/>
        <v>0</v>
      </c>
      <c r="H154" s="760">
        <f t="shared" si="3"/>
        <v>0</v>
      </c>
      <c r="I154" s="756">
        <f t="shared" si="4"/>
        <v>0</v>
      </c>
      <c r="J154" s="756"/>
      <c r="K154" s="901"/>
      <c r="L154" s="762"/>
      <c r="M154" s="901"/>
      <c r="N154" s="762"/>
      <c r="O154" s="762"/>
      <c r="P154" s="697"/>
    </row>
    <row r="155" spans="2:16">
      <c r="B155" s="348"/>
      <c r="C155" s="752">
        <f>IF(D95="","-",+C154+1)</f>
        <v>54</v>
      </c>
      <c r="D155" s="696">
        <f t="shared" si="1"/>
        <v>0</v>
      </c>
      <c r="E155" s="759">
        <f t="shared" si="5"/>
        <v>0</v>
      </c>
      <c r="F155" s="696">
        <f t="shared" si="0"/>
        <v>0</v>
      </c>
      <c r="G155" s="753">
        <f t="shared" si="2"/>
        <v>0</v>
      </c>
      <c r="H155" s="760">
        <f t="shared" si="3"/>
        <v>0</v>
      </c>
      <c r="I155" s="756">
        <f t="shared" si="4"/>
        <v>0</v>
      </c>
      <c r="J155" s="756"/>
      <c r="K155" s="901"/>
      <c r="L155" s="762"/>
      <c r="M155" s="901"/>
      <c r="N155" s="762"/>
      <c r="O155" s="762"/>
      <c r="P155" s="697"/>
    </row>
    <row r="156" spans="2:16">
      <c r="B156" s="348"/>
      <c r="C156" s="752">
        <f>IF(D95="","-",+C155+1)</f>
        <v>55</v>
      </c>
      <c r="D156" s="696">
        <f t="shared" si="1"/>
        <v>0</v>
      </c>
      <c r="E156" s="759">
        <f t="shared" si="5"/>
        <v>0</v>
      </c>
      <c r="F156" s="696">
        <f t="shared" si="0"/>
        <v>0</v>
      </c>
      <c r="G156" s="753">
        <f t="shared" si="2"/>
        <v>0</v>
      </c>
      <c r="H156" s="760">
        <f t="shared" si="3"/>
        <v>0</v>
      </c>
      <c r="I156" s="756">
        <f t="shared" si="4"/>
        <v>0</v>
      </c>
      <c r="J156" s="756"/>
      <c r="K156" s="901"/>
      <c r="L156" s="762"/>
      <c r="M156" s="901"/>
      <c r="N156" s="762"/>
      <c r="O156" s="762"/>
      <c r="P156" s="697"/>
    </row>
    <row r="157" spans="2:16">
      <c r="B157" s="348"/>
      <c r="C157" s="752">
        <f>IF(D95="","-",+C156+1)</f>
        <v>56</v>
      </c>
      <c r="D157" s="696">
        <f t="shared" si="1"/>
        <v>0</v>
      </c>
      <c r="E157" s="759">
        <f t="shared" si="5"/>
        <v>0</v>
      </c>
      <c r="F157" s="696">
        <f t="shared" si="0"/>
        <v>0</v>
      </c>
      <c r="G157" s="753">
        <f t="shared" si="2"/>
        <v>0</v>
      </c>
      <c r="H157" s="760">
        <f t="shared" si="3"/>
        <v>0</v>
      </c>
      <c r="I157" s="756">
        <f t="shared" si="4"/>
        <v>0</v>
      </c>
      <c r="J157" s="756"/>
      <c r="K157" s="901"/>
      <c r="L157" s="762"/>
      <c r="M157" s="901"/>
      <c r="N157" s="762"/>
      <c r="O157" s="762"/>
      <c r="P157" s="697"/>
    </row>
    <row r="158" spans="2:16">
      <c r="B158" s="348"/>
      <c r="C158" s="752">
        <f>IF(D95="","-",+C157+1)</f>
        <v>57</v>
      </c>
      <c r="D158" s="696">
        <f t="shared" si="1"/>
        <v>0</v>
      </c>
      <c r="E158" s="759">
        <f t="shared" si="5"/>
        <v>0</v>
      </c>
      <c r="F158" s="696">
        <f t="shared" si="0"/>
        <v>0</v>
      </c>
      <c r="G158" s="753">
        <f t="shared" si="2"/>
        <v>0</v>
      </c>
      <c r="H158" s="760">
        <f t="shared" si="3"/>
        <v>0</v>
      </c>
      <c r="I158" s="756">
        <f t="shared" si="4"/>
        <v>0</v>
      </c>
      <c r="J158" s="756"/>
      <c r="K158" s="901"/>
      <c r="L158" s="762"/>
      <c r="M158" s="901"/>
      <c r="N158" s="762"/>
      <c r="O158" s="762"/>
      <c r="P158" s="697"/>
    </row>
    <row r="159" spans="2:16">
      <c r="B159" s="348"/>
      <c r="C159" s="752">
        <f>IF(D95="","-",+C158+1)</f>
        <v>58</v>
      </c>
      <c r="D159" s="696">
        <f t="shared" si="1"/>
        <v>0</v>
      </c>
      <c r="E159" s="759">
        <f t="shared" si="5"/>
        <v>0</v>
      </c>
      <c r="F159" s="696">
        <f t="shared" si="0"/>
        <v>0</v>
      </c>
      <c r="G159" s="753">
        <f t="shared" si="2"/>
        <v>0</v>
      </c>
      <c r="H159" s="760">
        <f t="shared" si="3"/>
        <v>0</v>
      </c>
      <c r="I159" s="756">
        <f t="shared" si="4"/>
        <v>0</v>
      </c>
      <c r="J159" s="756"/>
      <c r="K159" s="901"/>
      <c r="L159" s="762"/>
      <c r="M159" s="901"/>
      <c r="N159" s="762"/>
      <c r="O159" s="762"/>
      <c r="P159" s="697"/>
    </row>
    <row r="160" spans="2:16" ht="13.5" thickBot="1">
      <c r="B160" s="348"/>
      <c r="C160" s="764">
        <f>IF(D95="","-",+C159+1)</f>
        <v>59</v>
      </c>
      <c r="D160" s="765">
        <f t="shared" si="1"/>
        <v>0</v>
      </c>
      <c r="E160" s="766">
        <f t="shared" si="5"/>
        <v>0</v>
      </c>
      <c r="F160" s="765">
        <f t="shared" si="0"/>
        <v>0</v>
      </c>
      <c r="G160" s="767">
        <f t="shared" si="2"/>
        <v>0</v>
      </c>
      <c r="H160" s="767">
        <f t="shared" si="3"/>
        <v>0</v>
      </c>
      <c r="I160" s="768">
        <f t="shared" si="4"/>
        <v>0</v>
      </c>
      <c r="J160" s="756"/>
      <c r="K160" s="902"/>
      <c r="L160" s="770"/>
      <c r="M160" s="902"/>
      <c r="N160" s="770"/>
      <c r="O160" s="770"/>
      <c r="P160" s="697"/>
    </row>
    <row r="161" spans="2:16">
      <c r="B161" s="348"/>
      <c r="C161" s="696" t="s">
        <v>290</v>
      </c>
      <c r="D161" s="692"/>
      <c r="E161" s="692">
        <f>SUM(E101:E160)</f>
        <v>0</v>
      </c>
      <c r="F161" s="692"/>
      <c r="G161" s="692">
        <f>SUM(G101:G160)</f>
        <v>0</v>
      </c>
      <c r="H161" s="692">
        <f>SUM(H101:H160)</f>
        <v>0</v>
      </c>
      <c r="I161" s="692">
        <f>SUM(I101:I160)</f>
        <v>0</v>
      </c>
      <c r="J161" s="692"/>
      <c r="K161" s="692"/>
      <c r="L161" s="692"/>
      <c r="M161" s="692"/>
      <c r="N161" s="692"/>
      <c r="O161" s="563"/>
      <c r="P161" s="692"/>
    </row>
    <row r="162" spans="2:16">
      <c r="B162" s="348"/>
      <c r="D162" s="586"/>
      <c r="E162" s="563"/>
      <c r="F162" s="563"/>
      <c r="G162" s="563"/>
      <c r="H162" s="669"/>
      <c r="I162" s="669"/>
      <c r="J162" s="692"/>
      <c r="K162" s="669"/>
      <c r="L162" s="669"/>
      <c r="M162" s="669"/>
      <c r="N162" s="669"/>
      <c r="O162" s="563"/>
      <c r="P162" s="692"/>
    </row>
    <row r="163" spans="2:16">
      <c r="B163" s="348"/>
      <c r="C163" s="563" t="s">
        <v>603</v>
      </c>
      <c r="D163" s="586"/>
      <c r="E163" s="563"/>
      <c r="F163" s="563"/>
      <c r="G163" s="563"/>
      <c r="H163" s="669"/>
      <c r="I163" s="669"/>
      <c r="J163" s="692"/>
      <c r="K163" s="669"/>
      <c r="L163" s="669"/>
      <c r="M163" s="669"/>
      <c r="N163" s="669"/>
      <c r="O163" s="563"/>
      <c r="P163" s="692"/>
    </row>
    <row r="164" spans="2:16">
      <c r="B164" s="348"/>
      <c r="D164" s="586"/>
      <c r="E164" s="563"/>
      <c r="F164" s="563"/>
      <c r="G164" s="563" t="s">
        <v>116</v>
      </c>
      <c r="H164" s="669"/>
      <c r="I164" s="669"/>
      <c r="J164" s="692"/>
      <c r="K164" s="669"/>
      <c r="L164" s="669"/>
      <c r="M164" s="669"/>
      <c r="N164" s="669"/>
      <c r="O164" s="563"/>
      <c r="P164" s="692"/>
    </row>
    <row r="165" spans="2:16">
      <c r="B165" s="348"/>
      <c r="C165" s="599" t="s">
        <v>604</v>
      </c>
      <c r="D165" s="696"/>
      <c r="E165" s="696"/>
      <c r="F165" s="696"/>
      <c r="G165" s="692"/>
      <c r="H165" s="692"/>
      <c r="I165" s="697"/>
      <c r="J165" s="697"/>
      <c r="K165" s="697"/>
      <c r="L165" s="697"/>
      <c r="M165" s="697"/>
      <c r="N165" s="697"/>
      <c r="O165" s="563"/>
      <c r="P165" s="697"/>
    </row>
    <row r="166" spans="2:16">
      <c r="B166" s="348"/>
      <c r="C166" s="599" t="s">
        <v>478</v>
      </c>
      <c r="D166" s="696"/>
      <c r="E166" s="696"/>
      <c r="F166" s="696"/>
      <c r="G166" s="692"/>
      <c r="H166" s="692"/>
      <c r="I166" s="697"/>
      <c r="J166" s="697"/>
      <c r="K166" s="697"/>
      <c r="L166" s="697"/>
      <c r="M166" s="697"/>
      <c r="N166" s="697"/>
      <c r="O166" s="563"/>
      <c r="P166" s="697"/>
    </row>
    <row r="167" spans="2:16">
      <c r="B167" s="348"/>
      <c r="C167" s="599" t="s">
        <v>291</v>
      </c>
      <c r="D167" s="696"/>
      <c r="E167" s="696"/>
      <c r="F167" s="696"/>
      <c r="G167" s="692"/>
      <c r="H167" s="692"/>
      <c r="I167" s="697"/>
      <c r="J167" s="697"/>
      <c r="K167" s="697"/>
      <c r="L167" s="697"/>
      <c r="M167" s="697"/>
      <c r="N167" s="697"/>
      <c r="O167" s="563"/>
      <c r="P167" s="697"/>
    </row>
    <row r="168" spans="2:16">
      <c r="B168" s="348"/>
      <c r="C168" s="695"/>
      <c r="D168" s="696"/>
      <c r="E168" s="696"/>
      <c r="F168" s="696"/>
      <c r="G168" s="692"/>
      <c r="H168" s="692"/>
      <c r="I168" s="697"/>
      <c r="J168" s="697"/>
      <c r="K168" s="697"/>
      <c r="L168" s="697"/>
      <c r="M168" s="697"/>
      <c r="N168" s="697"/>
      <c r="O168" s="563"/>
      <c r="P168" s="697"/>
    </row>
    <row r="169" spans="2:16">
      <c r="B169" s="348"/>
      <c r="C169" s="1592" t="s">
        <v>462</v>
      </c>
      <c r="D169" s="1592"/>
      <c r="E169" s="1592"/>
      <c r="F169" s="1592"/>
      <c r="G169" s="1592"/>
      <c r="H169" s="1592"/>
      <c r="I169" s="1592"/>
      <c r="J169" s="1592"/>
      <c r="K169" s="1592"/>
      <c r="L169" s="1592"/>
      <c r="M169" s="1592"/>
      <c r="N169" s="1592"/>
      <c r="O169" s="1592"/>
    </row>
    <row r="170" spans="2:16">
      <c r="B170" s="348"/>
      <c r="C170" s="1592"/>
      <c r="D170" s="1592"/>
      <c r="E170" s="1592"/>
      <c r="F170" s="1592"/>
      <c r="G170" s="1592"/>
      <c r="H170" s="1592"/>
      <c r="I170" s="1592"/>
      <c r="J170" s="1592"/>
      <c r="K170" s="1592"/>
      <c r="L170" s="1592"/>
      <c r="M170" s="1592"/>
      <c r="N170" s="1592"/>
      <c r="O170" s="1592"/>
    </row>
    <row r="171" spans="2:16">
      <c r="B171" s="348"/>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17"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Q169"/>
  <sheetViews>
    <sheetView view="pageBreakPreview" topLeftCell="A68" zoomScale="85" zoomScaleNormal="100" zoomScaleSheetLayoutView="85" workbookViewId="0">
      <selection activeCell="J96" sqref="J96"/>
    </sheetView>
  </sheetViews>
  <sheetFormatPr defaultColWidth="8.85546875" defaultRowHeight="12.75"/>
  <cols>
    <col min="1" max="1" width="4.5703125" style="348" customWidth="1"/>
    <col min="2" max="2" width="6.5703125" style="430" customWidth="1"/>
    <col min="3" max="3" width="32.42578125" style="348" customWidth="1"/>
    <col min="4" max="4" width="17.5703125" style="442" customWidth="1"/>
    <col min="5" max="8" width="17.5703125" style="348" customWidth="1"/>
    <col min="9" max="9" width="17.5703125" style="612" customWidth="1"/>
    <col min="10" max="10" width="17.5703125" style="348" bestFit="1" customWidth="1"/>
    <col min="11" max="11" width="2.140625" style="332" customWidth="1"/>
    <col min="12" max="12" width="17.5703125" style="563" customWidth="1"/>
    <col min="13" max="13" width="31.85546875" style="563" customWidth="1"/>
    <col min="14" max="15" width="17.5703125" style="563" customWidth="1"/>
    <col min="16" max="16" width="16.5703125" style="563" customWidth="1"/>
    <col min="17" max="17" width="2.140625" style="563" customWidth="1"/>
    <col min="18" max="16384" width="8.85546875" style="348"/>
  </cols>
  <sheetData>
    <row r="1" spans="1:17" ht="15.75">
      <c r="A1" s="933" t="s">
        <v>630</v>
      </c>
    </row>
    <row r="2" spans="1:17" ht="15.75">
      <c r="A2" s="933" t="s">
        <v>631</v>
      </c>
    </row>
    <row r="3" spans="1:17" ht="15">
      <c r="A3" s="1576" t="s">
        <v>389</v>
      </c>
      <c r="B3" s="1576"/>
      <c r="C3" s="1576"/>
      <c r="D3" s="1576"/>
      <c r="E3" s="1576"/>
      <c r="F3" s="1576"/>
      <c r="G3" s="1576"/>
      <c r="H3" s="1576"/>
      <c r="I3" s="1576"/>
      <c r="J3" s="1576"/>
      <c r="K3" s="1576"/>
      <c r="L3" s="1576"/>
      <c r="M3" s="1576"/>
      <c r="N3" s="1576"/>
      <c r="O3" s="1576"/>
      <c r="P3" s="1576"/>
      <c r="Q3" s="611"/>
    </row>
    <row r="4" spans="1:17" ht="15">
      <c r="A4" s="1577" t="str">
        <f>"Cost of Service Formula Rate Using "&amp;TCOS!L4&amp;" FF1 Balances"</f>
        <v>Cost of Service Formula Rate Using 2024 FF1 Balances</v>
      </c>
      <c r="B4" s="1577"/>
      <c r="C4" s="1577"/>
      <c r="D4" s="1577"/>
      <c r="E4" s="1577"/>
      <c r="F4" s="1577"/>
      <c r="G4" s="1577"/>
      <c r="H4" s="1577"/>
      <c r="I4" s="1577"/>
      <c r="J4" s="1577"/>
      <c r="K4" s="1577"/>
      <c r="L4" s="1577"/>
      <c r="M4" s="1577"/>
      <c r="N4" s="1577"/>
      <c r="O4" s="1577"/>
      <c r="P4" s="1577"/>
      <c r="Q4" s="611"/>
    </row>
    <row r="5" spans="1:17" ht="15">
      <c r="A5" s="1577" t="s">
        <v>471</v>
      </c>
      <c r="B5" s="1577"/>
      <c r="C5" s="1577"/>
      <c r="D5" s="1577"/>
      <c r="E5" s="1577"/>
      <c r="F5" s="1577"/>
      <c r="G5" s="1577"/>
      <c r="H5" s="1577"/>
      <c r="I5" s="1577"/>
      <c r="J5" s="1577"/>
      <c r="K5" s="1577"/>
      <c r="L5" s="1577"/>
      <c r="M5" s="1577"/>
      <c r="N5" s="1577"/>
      <c r="O5" s="1577"/>
      <c r="P5" s="1577"/>
      <c r="Q5" s="611"/>
    </row>
    <row r="6" spans="1:17" ht="15">
      <c r="A6" s="1578" t="str">
        <f>TCOS!F9</f>
        <v>KINGSPORT POWER COMPANY</v>
      </c>
      <c r="B6" s="1578"/>
      <c r="C6" s="1578"/>
      <c r="D6" s="1578"/>
      <c r="E6" s="1578"/>
      <c r="F6" s="1578"/>
      <c r="G6" s="1578"/>
      <c r="H6" s="1578"/>
      <c r="I6" s="1578"/>
      <c r="J6" s="1578"/>
      <c r="K6" s="1578"/>
      <c r="L6" s="1578"/>
      <c r="M6" s="1578"/>
      <c r="N6" s="1578"/>
      <c r="O6" s="1578"/>
      <c r="P6" s="1578"/>
      <c r="Q6" s="611"/>
    </row>
    <row r="7" spans="1:17">
      <c r="Q7" s="611"/>
    </row>
    <row r="8" spans="1:17" ht="20.25">
      <c r="A8" s="613"/>
      <c r="C8" s="430"/>
      <c r="O8" s="614" t="str">
        <f>"Page "&amp;Q8&amp;" of "</f>
        <v xml:space="preserve">Page 1 of </v>
      </c>
      <c r="P8" s="615">
        <f>COUNT(Q$8:Q$58122)</f>
        <v>2</v>
      </c>
      <c r="Q8" s="616">
        <v>1</v>
      </c>
    </row>
    <row r="9" spans="1:17" ht="18">
      <c r="C9" s="617"/>
      <c r="F9" s="563" t="s">
        <v>116</v>
      </c>
      <c r="Q9" s="611"/>
    </row>
    <row r="10" spans="1:17">
      <c r="Q10" s="611"/>
    </row>
    <row r="11" spans="1:17" ht="18">
      <c r="B11" s="618" t="s">
        <v>173</v>
      </c>
      <c r="C11" s="1599" t="str">
        <f>"Calculate Return and Income Taxes with "&amp;F17&amp;" basis point ROE increase for Projects Qualified for Regional Billing."</f>
        <v>Calculate Return and Income Taxes with 0 basis point ROE increase for Projects Qualified for Regional Billing.</v>
      </c>
      <c r="D11" s="1600"/>
      <c r="E11" s="1600"/>
      <c r="F11" s="1600"/>
      <c r="G11" s="1600"/>
      <c r="H11" s="1600"/>
      <c r="I11" s="1600"/>
      <c r="Q11" s="611"/>
    </row>
    <row r="12" spans="1:17" ht="18.75" customHeight="1">
      <c r="C12" s="1600"/>
      <c r="D12" s="1600"/>
      <c r="E12" s="1600"/>
      <c r="F12" s="1600"/>
      <c r="G12" s="1600"/>
      <c r="H12" s="1600"/>
      <c r="I12" s="1600"/>
      <c r="Q12" s="611"/>
    </row>
    <row r="13" spans="1:17" ht="15.75" customHeight="1">
      <c r="C13" s="548"/>
      <c r="D13" s="548"/>
      <c r="E13" s="548"/>
      <c r="F13" s="548"/>
      <c r="G13" s="548"/>
      <c r="H13" s="548"/>
      <c r="I13" s="548"/>
      <c r="Q13" s="611"/>
    </row>
    <row r="14" spans="1:17" ht="15.75">
      <c r="C14" s="619" t="str">
        <f>"A.   Determine 'R' with hypothetical "&amp;F17&amp;" basis point increase in ROE for Identified Projects"</f>
        <v>A.   Determine 'R' with hypothetical 0 basis point increase in ROE for Identified Projects</v>
      </c>
      <c r="D14" s="397"/>
      <c r="Q14" s="611"/>
    </row>
    <row r="15" spans="1:17">
      <c r="C15" s="386"/>
      <c r="D15" s="397"/>
      <c r="Q15" s="611"/>
    </row>
    <row r="16" spans="1:17">
      <c r="C16" s="620" t="str">
        <f>"   ROE w/o incentives  (TCOS, ln "&amp;TCOS!B257&amp;")"</f>
        <v xml:space="preserve">   ROE w/o incentives  (TCOS, ln 156)</v>
      </c>
      <c r="D16" s="397"/>
      <c r="E16" s="621"/>
      <c r="F16" s="772">
        <f>TCOS!J257</f>
        <v>0.10349999999999999</v>
      </c>
      <c r="G16" s="772"/>
      <c r="H16" s="621"/>
      <c r="I16" s="623"/>
      <c r="J16" s="623"/>
      <c r="K16" s="624"/>
      <c r="L16" s="623"/>
      <c r="M16" s="623"/>
      <c r="N16" s="623"/>
      <c r="O16" s="623"/>
      <c r="P16" s="623"/>
      <c r="Q16" s="624"/>
    </row>
    <row r="17" spans="3:17" ht="13.5" thickBot="1">
      <c r="C17" s="642" t="s">
        <v>254</v>
      </c>
      <c r="D17" s="397"/>
      <c r="E17" s="621"/>
      <c r="F17" s="893">
        <v>0</v>
      </c>
      <c r="G17" s="621"/>
      <c r="H17" s="621"/>
      <c r="I17" s="623"/>
      <c r="J17" s="623"/>
      <c r="K17" s="624"/>
      <c r="L17" s="623"/>
      <c r="M17" s="623"/>
      <c r="N17" s="623"/>
      <c r="O17" s="623"/>
      <c r="P17" s="623"/>
      <c r="Q17" s="624"/>
    </row>
    <row r="18" spans="3:17">
      <c r="C18" s="642" t="str">
        <f>"   ROE with additional "&amp;F17&amp;" basis point incentive"</f>
        <v xml:space="preserve">   ROE with additional 0 basis point incentive</v>
      </c>
      <c r="D18" s="621"/>
      <c r="E18" s="621"/>
      <c r="F18" s="626">
        <f>IF((F16+(F17/10000)&gt;0.125),"ERROR",F16+(F17/10000))</f>
        <v>0.10349999999999999</v>
      </c>
      <c r="G18" s="627"/>
      <c r="H18" s="621"/>
      <c r="I18" s="623"/>
      <c r="J18" s="623"/>
      <c r="K18" s="624"/>
      <c r="L18" s="773" t="s">
        <v>456</v>
      </c>
      <c r="M18" s="774"/>
      <c r="N18" s="774"/>
      <c r="O18" s="774"/>
      <c r="P18" s="775"/>
      <c r="Q18" s="624"/>
    </row>
    <row r="19" spans="3:17">
      <c r="C19" s="62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97"/>
      <c r="E19" s="621"/>
      <c r="F19" s="628"/>
      <c r="G19" s="628"/>
      <c r="H19" s="621"/>
      <c r="I19" s="623"/>
      <c r="J19" s="623"/>
      <c r="K19" s="624"/>
      <c r="L19" s="776"/>
      <c r="M19" s="624"/>
      <c r="N19" s="624" t="s">
        <v>256</v>
      </c>
      <c r="O19" s="624" t="s">
        <v>257</v>
      </c>
      <c r="P19" s="777" t="s">
        <v>258</v>
      </c>
      <c r="Q19" s="624"/>
    </row>
    <row r="20" spans="3:17">
      <c r="C20" s="624"/>
      <c r="D20" s="629" t="s">
        <v>148</v>
      </c>
      <c r="E20" s="629" t="s">
        <v>147</v>
      </c>
      <c r="F20" s="630" t="s">
        <v>255</v>
      </c>
      <c r="G20" s="630"/>
      <c r="H20" s="621"/>
      <c r="I20" s="623"/>
      <c r="J20" s="623"/>
      <c r="K20" s="624"/>
      <c r="L20" s="776" t="s">
        <v>454</v>
      </c>
      <c r="M20" s="778">
        <f>+TCOS!L4</f>
        <v>2024</v>
      </c>
      <c r="N20" s="611"/>
      <c r="O20" s="611"/>
      <c r="P20" s="779"/>
      <c r="Q20" s="624"/>
    </row>
    <row r="21" spans="3:17">
      <c r="C21" s="631" t="s">
        <v>259</v>
      </c>
      <c r="D21" s="780">
        <f>TCOS!H255</f>
        <v>0.47750991292642092</v>
      </c>
      <c r="E21" s="633">
        <f>TCOS!J255</f>
        <v>3.6999047619047619E-2</v>
      </c>
      <c r="F21" s="634">
        <f>E21*D21</f>
        <v>1.7667412006931931E-2</v>
      </c>
      <c r="G21" s="634"/>
      <c r="H21" s="621"/>
      <c r="I21" s="623"/>
      <c r="J21" s="635"/>
      <c r="K21" s="636"/>
      <c r="L21" s="781"/>
      <c r="M21" s="782" t="s">
        <v>455</v>
      </c>
      <c r="N21" s="903">
        <f>M90</f>
        <v>0</v>
      </c>
      <c r="O21" s="903">
        <f>N90</f>
        <v>0</v>
      </c>
      <c r="P21" s="783">
        <f>+O21-N21</f>
        <v>0</v>
      </c>
      <c r="Q21" s="636"/>
    </row>
    <row r="22" spans="3:17" ht="13.5" thickBot="1">
      <c r="C22" s="631" t="s">
        <v>260</v>
      </c>
      <c r="D22" s="780">
        <f>TCOS!H256</f>
        <v>0</v>
      </c>
      <c r="E22" s="633">
        <f>TCOS!J256</f>
        <v>0</v>
      </c>
      <c r="F22" s="634">
        <f>E22*D22</f>
        <v>0</v>
      </c>
      <c r="G22" s="634"/>
      <c r="H22" s="637"/>
      <c r="I22" s="637"/>
      <c r="J22" s="638"/>
      <c r="K22" s="639"/>
      <c r="L22" s="781"/>
      <c r="M22" s="782" t="s">
        <v>261</v>
      </c>
      <c r="N22" s="904">
        <f>M91</f>
        <v>0</v>
      </c>
      <c r="O22" s="904">
        <f>N91</f>
        <v>0</v>
      </c>
      <c r="P22" s="784">
        <f>+O22-N22</f>
        <v>0</v>
      </c>
      <c r="Q22" s="639"/>
    </row>
    <row r="23" spans="3:17">
      <c r="C23" s="640" t="s">
        <v>246</v>
      </c>
      <c r="D23" s="780">
        <f>TCOS!H257</f>
        <v>0.52249008707357913</v>
      </c>
      <c r="E23" s="633">
        <f>+F18</f>
        <v>0.10349999999999999</v>
      </c>
      <c r="F23" s="641">
        <f>E23*D23</f>
        <v>5.4077724012115434E-2</v>
      </c>
      <c r="G23" s="641"/>
      <c r="H23" s="637"/>
      <c r="I23" s="637"/>
      <c r="J23" s="638"/>
      <c r="K23" s="639"/>
      <c r="L23" s="781"/>
      <c r="M23" s="782" t="str">
        <f>"True-up of ARR For "&amp;TCOS!L4&amp;""</f>
        <v>True-up of ARR For 2024</v>
      </c>
      <c r="N23" s="696">
        <f>+N22-N21</f>
        <v>0</v>
      </c>
      <c r="O23" s="696">
        <f>+O22-O21</f>
        <v>0</v>
      </c>
      <c r="P23" s="785">
        <f>+P22-P21</f>
        <v>0</v>
      </c>
      <c r="Q23" s="639"/>
    </row>
    <row r="24" spans="3:17">
      <c r="C24" s="642"/>
      <c r="D24" s="348"/>
      <c r="E24" s="643" t="s">
        <v>262</v>
      </c>
      <c r="F24" s="634">
        <f>SUM(F21:F23)</f>
        <v>7.1745136019047362E-2</v>
      </c>
      <c r="G24" s="634"/>
      <c r="H24" s="637"/>
      <c r="I24" s="637"/>
      <c r="J24" s="638"/>
      <c r="K24" s="639"/>
      <c r="L24" s="781"/>
      <c r="M24" s="611"/>
      <c r="N24" s="611"/>
      <c r="O24" s="611"/>
      <c r="P24" s="779"/>
      <c r="Q24" s="639"/>
    </row>
    <row r="25" spans="3:17" ht="13.5" thickBot="1">
      <c r="C25" s="386"/>
      <c r="D25" s="648"/>
      <c r="E25" s="648"/>
      <c r="F25" s="637"/>
      <c r="G25" s="637"/>
      <c r="H25" s="637"/>
      <c r="I25" s="637"/>
      <c r="J25" s="637"/>
      <c r="K25" s="649"/>
      <c r="L25" s="786"/>
      <c r="M25" s="787"/>
      <c r="N25" s="788"/>
      <c r="O25" s="788"/>
      <c r="P25" s="784"/>
      <c r="Q25" s="649"/>
    </row>
    <row r="26" spans="3:17" ht="15.75">
      <c r="C26" s="619" t="str">
        <f>"B.   Determine Return using 'R' with hypothetical "&amp;F17&amp;" basis point ROE increase for Identified Projects."</f>
        <v>B.   Determine Return using 'R' with hypothetical 0 basis point ROE increase for Identified Projects.</v>
      </c>
      <c r="D26" s="648"/>
      <c r="E26" s="648"/>
      <c r="F26" s="653"/>
      <c r="G26" s="653"/>
      <c r="H26" s="637"/>
      <c r="I26" s="621"/>
      <c r="J26" s="637"/>
      <c r="K26" s="649"/>
      <c r="L26" s="637"/>
      <c r="M26" s="637"/>
      <c r="N26" s="637"/>
      <c r="O26" s="637"/>
      <c r="P26" s="637"/>
      <c r="Q26" s="649"/>
    </row>
    <row r="27" spans="3:17">
      <c r="C27" s="624"/>
      <c r="D27" s="648"/>
      <c r="E27" s="648"/>
      <c r="F27" s="649"/>
      <c r="G27" s="649"/>
      <c r="H27" s="649"/>
      <c r="I27" s="649"/>
      <c r="J27" s="649"/>
      <c r="K27" s="649"/>
      <c r="L27" s="649"/>
      <c r="M27" s="649"/>
      <c r="N27" s="649"/>
      <c r="O27" s="649"/>
      <c r="P27" s="649"/>
      <c r="Q27" s="649"/>
    </row>
    <row r="28" spans="3:17">
      <c r="C28" s="658" t="str">
        <f>"   Rate Base  (TCOS, ln "&amp;TCOS!B125&amp;")"</f>
        <v xml:space="preserve">   Rate Base  (TCOS, ln 68)</v>
      </c>
      <c r="D28" s="621"/>
      <c r="E28" s="659">
        <f>TCOS!L125</f>
        <v>48700628.562494569</v>
      </c>
      <c r="F28" s="789"/>
      <c r="G28" s="789"/>
      <c r="H28" s="649"/>
      <c r="I28" s="649"/>
      <c r="J28" s="649"/>
      <c r="K28" s="649"/>
      <c r="L28" s="649"/>
      <c r="M28" s="649"/>
      <c r="N28" s="649"/>
      <c r="O28" s="649"/>
      <c r="P28" s="789"/>
      <c r="Q28" s="649"/>
    </row>
    <row r="29" spans="3:17">
      <c r="C29" s="624" t="s">
        <v>476</v>
      </c>
      <c r="D29" s="661"/>
      <c r="E29" s="634">
        <f>F24</f>
        <v>7.1745136019047362E-2</v>
      </c>
      <c r="F29" s="649"/>
      <c r="G29" s="649"/>
      <c r="H29" s="649"/>
      <c r="I29" s="649"/>
      <c r="J29" s="649"/>
      <c r="K29" s="649"/>
      <c r="L29" s="649"/>
      <c r="M29" s="649"/>
      <c r="N29" s="649"/>
      <c r="O29" s="649"/>
      <c r="P29" s="649"/>
      <c r="Q29" s="649"/>
    </row>
    <row r="30" spans="3:17">
      <c r="C30" s="662" t="s">
        <v>264</v>
      </c>
      <c r="D30" s="662"/>
      <c r="E30" s="638">
        <f>E28*E29</f>
        <v>3494033.2204292757</v>
      </c>
      <c r="F30" s="649"/>
      <c r="G30" s="649"/>
      <c r="H30" s="649"/>
      <c r="I30" s="649"/>
      <c r="J30" s="639"/>
      <c r="K30" s="639"/>
      <c r="L30" s="639"/>
      <c r="M30" s="639"/>
      <c r="N30" s="639"/>
      <c r="O30" s="639"/>
      <c r="P30" s="649"/>
      <c r="Q30" s="639"/>
    </row>
    <row r="31" spans="3:17">
      <c r="C31" s="663"/>
      <c r="D31" s="623"/>
      <c r="E31" s="623"/>
      <c r="F31" s="649"/>
      <c r="G31" s="649"/>
      <c r="H31" s="649"/>
      <c r="I31" s="649"/>
      <c r="J31" s="639"/>
      <c r="K31" s="639"/>
      <c r="L31" s="639"/>
      <c r="M31" s="639"/>
      <c r="N31" s="639"/>
      <c r="O31" s="639"/>
      <c r="P31" s="649"/>
      <c r="Q31" s="639"/>
    </row>
    <row r="32" spans="3:17" ht="15.75">
      <c r="C32" s="619" t="str">
        <f>"C.   Determine Income Taxes using Return with hypothetical "&amp;F17&amp;" basis point ROE increase for Identified Projects."</f>
        <v>C.   Determine Income Taxes using Return with hypothetical 0 basis point ROE increase for Identified Projects.</v>
      </c>
      <c r="D32" s="664"/>
      <c r="E32" s="664"/>
      <c r="F32" s="665"/>
      <c r="G32" s="665"/>
      <c r="H32" s="665"/>
      <c r="I32" s="665"/>
      <c r="J32" s="666"/>
      <c r="K32" s="666"/>
      <c r="L32" s="666"/>
      <c r="M32" s="666"/>
      <c r="N32" s="666"/>
      <c r="O32" s="666"/>
      <c r="P32" s="665"/>
      <c r="Q32" s="666"/>
    </row>
    <row r="33" spans="2:17">
      <c r="C33" s="642"/>
      <c r="D33" s="623"/>
      <c r="E33" s="623"/>
      <c r="F33" s="649"/>
      <c r="G33" s="649"/>
      <c r="H33" s="649"/>
      <c r="I33" s="649"/>
      <c r="J33" s="639"/>
      <c r="K33" s="639"/>
      <c r="L33" s="639"/>
      <c r="M33" s="639"/>
      <c r="N33" s="639"/>
      <c r="O33" s="639"/>
      <c r="P33" s="649"/>
      <c r="Q33" s="639"/>
    </row>
    <row r="34" spans="2:17">
      <c r="C34" s="624" t="s">
        <v>265</v>
      </c>
      <c r="D34" s="643"/>
      <c r="E34" s="667">
        <f>E30</f>
        <v>3494033.2204292757</v>
      </c>
      <c r="F34" s="649"/>
      <c r="G34" s="649"/>
      <c r="H34" s="649"/>
      <c r="I34" s="649"/>
      <c r="J34" s="649"/>
      <c r="K34" s="649"/>
      <c r="L34" s="649"/>
      <c r="M34" s="649"/>
      <c r="N34" s="649"/>
      <c r="O34" s="649"/>
      <c r="P34" s="649"/>
      <c r="Q34" s="649"/>
    </row>
    <row r="35" spans="2:17">
      <c r="C35" s="658" t="str">
        <f>"   Effective Tax Rate  (TCOS, ln "&amp;TCOS!B190&amp;")"</f>
        <v xml:space="preserve">   Effective Tax Rate  (TCOS, ln 114)</v>
      </c>
      <c r="D35" s="586"/>
      <c r="E35" s="668">
        <f>TCOS!G190</f>
        <v>0.26664710540346687</v>
      </c>
      <c r="F35" s="563"/>
      <c r="G35" s="563"/>
      <c r="H35" s="563"/>
      <c r="I35" s="669"/>
      <c r="J35" s="563"/>
      <c r="K35" s="611"/>
      <c r="Q35" s="611"/>
    </row>
    <row r="36" spans="2:17">
      <c r="C36" s="663" t="s">
        <v>266</v>
      </c>
      <c r="D36" s="586"/>
      <c r="E36" s="670">
        <f>E34*E35</f>
        <v>931673.84441101982</v>
      </c>
      <c r="F36" s="563"/>
      <c r="G36" s="563"/>
      <c r="H36" s="563"/>
      <c r="I36" s="669"/>
      <c r="J36" s="563"/>
      <c r="K36" s="611"/>
      <c r="Q36" s="611"/>
    </row>
    <row r="37" spans="2:17" ht="15">
      <c r="C37" s="642" t="s">
        <v>304</v>
      </c>
      <c r="D37" s="494"/>
      <c r="E37" s="671">
        <f>TCOS!L199</f>
        <v>0</v>
      </c>
      <c r="F37" s="494"/>
      <c r="G37" s="494"/>
      <c r="H37" s="494"/>
      <c r="I37" s="494"/>
      <c r="J37" s="494"/>
      <c r="K37" s="494"/>
      <c r="L37" s="494"/>
      <c r="M37" s="494"/>
      <c r="N37" s="494"/>
      <c r="O37" s="494"/>
      <c r="P37" s="406"/>
      <c r="Q37" s="494"/>
    </row>
    <row r="38" spans="2:17" ht="15">
      <c r="C38" s="642" t="s">
        <v>535</v>
      </c>
      <c r="D38" s="494"/>
      <c r="E38" s="671">
        <f>TCOS!L200</f>
        <v>-125384.72383509345</v>
      </c>
      <c r="F38" s="494"/>
      <c r="G38" s="494"/>
      <c r="H38" s="494"/>
      <c r="I38" s="494"/>
      <c r="J38" s="494"/>
      <c r="K38" s="494"/>
      <c r="L38" s="494"/>
      <c r="M38" s="494"/>
      <c r="N38" s="494"/>
      <c r="O38" s="494"/>
      <c r="P38" s="406"/>
      <c r="Q38" s="494"/>
    </row>
    <row r="39" spans="2:17" ht="15">
      <c r="C39" s="642" t="s">
        <v>536</v>
      </c>
      <c r="D39" s="494"/>
      <c r="E39" s="672">
        <f>TCOS!L201</f>
        <v>19761.96101247249</v>
      </c>
      <c r="F39" s="494"/>
      <c r="G39" s="494"/>
      <c r="H39" s="494"/>
      <c r="I39" s="494"/>
      <c r="J39" s="494"/>
      <c r="K39" s="494"/>
      <c r="L39" s="494"/>
      <c r="M39" s="494"/>
      <c r="N39" s="494"/>
      <c r="O39" s="494"/>
      <c r="P39" s="406"/>
      <c r="Q39" s="494"/>
    </row>
    <row r="40" spans="2:17" ht="15">
      <c r="C40" s="663" t="s">
        <v>267</v>
      </c>
      <c r="D40" s="494"/>
      <c r="E40" s="671">
        <f>E36+E37+E38+E39</f>
        <v>826051.0815883989</v>
      </c>
      <c r="F40" s="494"/>
      <c r="G40" s="494"/>
      <c r="H40" s="494"/>
      <c r="I40" s="494"/>
      <c r="J40" s="494"/>
      <c r="K40" s="494"/>
      <c r="L40" s="494"/>
      <c r="M40" s="494"/>
      <c r="N40" s="494"/>
      <c r="O40" s="494"/>
      <c r="P40" s="364"/>
      <c r="Q40" s="494"/>
    </row>
    <row r="41" spans="2:17" ht="12.75" customHeight="1">
      <c r="C41" s="414"/>
      <c r="D41" s="494"/>
      <c r="E41" s="494"/>
      <c r="F41" s="494"/>
      <c r="G41" s="494"/>
      <c r="H41" s="494"/>
      <c r="I41" s="494"/>
      <c r="J41" s="494"/>
      <c r="K41" s="494"/>
      <c r="L41" s="494"/>
      <c r="M41" s="494"/>
      <c r="N41" s="494"/>
      <c r="O41" s="494"/>
      <c r="P41" s="364"/>
      <c r="Q41" s="494"/>
    </row>
    <row r="42" spans="2:17" ht="18.75">
      <c r="B42" s="618" t="s">
        <v>174</v>
      </c>
      <c r="C42" s="617" t="str">
        <f>"Calculate Net Plant Carrying Charge Rate (Fixed Charge Rate or FCR) with hypothetical "&amp;F17&amp;""</f>
        <v>Calculate Net Plant Carrying Charge Rate (Fixed Charge Rate or FCR) with hypothetical 0</v>
      </c>
      <c r="D42" s="494"/>
      <c r="E42" s="494"/>
      <c r="F42" s="494"/>
      <c r="G42" s="494"/>
      <c r="H42" s="494"/>
      <c r="I42" s="494"/>
      <c r="J42" s="494"/>
      <c r="K42" s="494"/>
      <c r="L42" s="494"/>
      <c r="M42" s="494"/>
      <c r="N42" s="494"/>
      <c r="O42" s="494"/>
      <c r="P42" s="364"/>
      <c r="Q42" s="494"/>
    </row>
    <row r="43" spans="2:17" ht="18.75" customHeight="1">
      <c r="C43" s="617" t="str">
        <f>"basis point ROE increase."</f>
        <v>basis point ROE increase.</v>
      </c>
      <c r="D43" s="494"/>
      <c r="E43" s="494"/>
      <c r="F43" s="494"/>
      <c r="G43" s="494"/>
      <c r="H43" s="494"/>
      <c r="I43" s="494"/>
      <c r="J43" s="494"/>
      <c r="K43" s="494"/>
      <c r="L43" s="494"/>
      <c r="M43" s="494"/>
      <c r="N43" s="494"/>
      <c r="O43" s="494"/>
      <c r="P43" s="364"/>
      <c r="Q43" s="494"/>
    </row>
    <row r="44" spans="2:17" ht="12.75" customHeight="1">
      <c r="C44" s="617"/>
      <c r="D44" s="494"/>
      <c r="E44" s="494"/>
      <c r="F44" s="494"/>
      <c r="G44" s="494"/>
      <c r="H44" s="494"/>
      <c r="I44" s="494"/>
      <c r="J44" s="494"/>
      <c r="K44" s="494"/>
      <c r="L44" s="494"/>
      <c r="M44" s="494"/>
      <c r="N44" s="494"/>
      <c r="O44" s="494"/>
      <c r="P44" s="364"/>
      <c r="Q44" s="494"/>
    </row>
    <row r="45" spans="2:17" ht="15.75">
      <c r="C45" s="619" t="s">
        <v>467</v>
      </c>
      <c r="D45" s="494"/>
      <c r="E45" s="494"/>
      <c r="F45" s="493"/>
      <c r="G45" s="493"/>
      <c r="H45" s="494"/>
      <c r="I45" s="494"/>
      <c r="J45" s="494"/>
      <c r="K45" s="494"/>
      <c r="L45" s="494"/>
      <c r="M45" s="494"/>
      <c r="N45" s="494"/>
      <c r="O45" s="494"/>
      <c r="P45" s="364"/>
      <c r="Q45" s="494"/>
    </row>
    <row r="46" spans="2:17">
      <c r="B46" s="599"/>
      <c r="C46" s="620"/>
      <c r="D46" s="673"/>
      <c r="E46" s="673"/>
      <c r="F46" s="673"/>
      <c r="G46" s="673"/>
      <c r="H46" s="673"/>
      <c r="I46" s="673"/>
      <c r="J46" s="673"/>
      <c r="K46" s="673"/>
      <c r="L46" s="673"/>
      <c r="M46" s="673"/>
      <c r="N46" s="673"/>
      <c r="O46" s="673"/>
      <c r="P46" s="671"/>
      <c r="Q46" s="673"/>
    </row>
    <row r="47" spans="2:17" ht="12.75" customHeight="1">
      <c r="B47" s="599"/>
      <c r="C47" s="658" t="str">
        <f>"   Annual Revenue Requirement  (TCOS, ln "&amp;TCOS!B13&amp;")"</f>
        <v xml:space="preserve">   Annual Revenue Requirement  (TCOS, ln 1)</v>
      </c>
      <c r="D47" s="673"/>
      <c r="E47" s="673"/>
      <c r="F47" s="671">
        <f>TCOS!L13</f>
        <v>8070188.2808096418</v>
      </c>
      <c r="G47" s="671"/>
      <c r="H47" s="790" t="s">
        <v>116</v>
      </c>
      <c r="I47" s="673"/>
      <c r="J47" s="673"/>
      <c r="K47" s="673"/>
      <c r="L47" s="673"/>
      <c r="M47" s="673"/>
      <c r="N47" s="673"/>
      <c r="O47" s="673"/>
      <c r="P47" s="671"/>
      <c r="Q47" s="673"/>
    </row>
    <row r="48" spans="2:17" ht="12.75" customHeight="1">
      <c r="B48" s="599"/>
      <c r="C48" s="658" t="str">
        <f>"   Lease Payments (TCOS, Ln "&amp;TCOS!B168&amp;")"</f>
        <v xml:space="preserve">   Lease Payments (TCOS, Ln 95)</v>
      </c>
      <c r="D48" s="673"/>
      <c r="E48" s="673"/>
      <c r="F48" s="671">
        <f>TCOS!L168</f>
        <v>0</v>
      </c>
      <c r="G48" s="671"/>
      <c r="H48" s="790"/>
      <c r="I48" s="673"/>
      <c r="J48" s="673"/>
      <c r="K48" s="673"/>
      <c r="L48" s="673"/>
      <c r="M48" s="673"/>
      <c r="N48" s="673"/>
      <c r="O48" s="673"/>
      <c r="P48" s="671"/>
      <c r="Q48" s="673"/>
    </row>
    <row r="49" spans="2:17">
      <c r="B49" s="599"/>
      <c r="C49" s="658" t="str">
        <f>"   Return  (TCOS, ln "&amp;TCOS!B205&amp;")"</f>
        <v xml:space="preserve">   Return  (TCOS, ln 126)</v>
      </c>
      <c r="D49" s="673"/>
      <c r="E49" s="673"/>
      <c r="F49" s="674">
        <f>TCOS!L205</f>
        <v>3494033.2204292757</v>
      </c>
      <c r="G49" s="674"/>
      <c r="H49" s="675"/>
      <c r="I49" s="675"/>
      <c r="J49" s="675"/>
      <c r="K49" s="675"/>
      <c r="L49" s="675"/>
      <c r="M49" s="675"/>
      <c r="N49" s="675"/>
      <c r="O49" s="675"/>
      <c r="P49" s="671"/>
      <c r="Q49" s="675"/>
    </row>
    <row r="50" spans="2:17">
      <c r="B50" s="599"/>
      <c r="C50" s="658" t="str">
        <f>"   Income Taxes  (TCOS, ln "&amp;TCOS!B203&amp;")"</f>
        <v xml:space="preserve">   Income Taxes  (TCOS, ln 125)</v>
      </c>
      <c r="D50" s="673"/>
      <c r="E50" s="673"/>
      <c r="F50" s="676">
        <f>TCOS!L203</f>
        <v>826051.0815883989</v>
      </c>
      <c r="G50" s="676"/>
      <c r="H50" s="673"/>
      <c r="I50" s="673"/>
      <c r="J50" s="677"/>
      <c r="K50" s="677"/>
      <c r="L50" s="677"/>
      <c r="M50" s="677"/>
      <c r="N50" s="677"/>
      <c r="O50" s="677"/>
      <c r="P50" s="673"/>
      <c r="Q50" s="677"/>
    </row>
    <row r="51" spans="2:17">
      <c r="B51" s="599"/>
      <c r="C51" s="1601" t="s">
        <v>593</v>
      </c>
      <c r="D51" s="1600"/>
      <c r="E51" s="673"/>
      <c r="F51" s="674">
        <f>F47-F49-F50-F48</f>
        <v>3750103.978791967</v>
      </c>
      <c r="G51" s="674"/>
      <c r="H51" s="679"/>
      <c r="I51" s="673"/>
      <c r="J51" s="679"/>
      <c r="K51" s="679"/>
      <c r="L51" s="679"/>
      <c r="M51" s="679"/>
      <c r="N51" s="679"/>
      <c r="O51" s="679"/>
      <c r="P51" s="679"/>
      <c r="Q51" s="679"/>
    </row>
    <row r="52" spans="2:17">
      <c r="B52" s="599"/>
      <c r="C52" s="1600"/>
      <c r="D52" s="1600"/>
      <c r="E52" s="673"/>
      <c r="F52" s="671"/>
      <c r="G52" s="671"/>
      <c r="H52" s="680"/>
      <c r="I52" s="681"/>
      <c r="J52" s="681"/>
      <c r="K52" s="681"/>
      <c r="L52" s="681"/>
      <c r="M52" s="681"/>
      <c r="N52" s="681"/>
      <c r="O52" s="681"/>
      <c r="P52" s="681"/>
      <c r="Q52" s="681"/>
    </row>
    <row r="53" spans="2:17" ht="15.75">
      <c r="B53" s="599"/>
      <c r="C53" s="619" t="str">
        <f>"B.   Determine Annual Revenue Requirement with hypothetical "&amp;F17&amp;" basis point increase in ROE."</f>
        <v>B.   Determine Annual Revenue Requirement with hypothetical 0 basis point increase in ROE.</v>
      </c>
      <c r="D53" s="682"/>
      <c r="E53" s="682"/>
      <c r="F53" s="671"/>
      <c r="G53" s="671"/>
      <c r="H53" s="680"/>
      <c r="I53" s="681"/>
      <c r="J53" s="681"/>
      <c r="K53" s="681"/>
      <c r="L53" s="681"/>
      <c r="M53" s="681"/>
      <c r="N53" s="681"/>
      <c r="O53" s="681"/>
      <c r="P53" s="681"/>
      <c r="Q53" s="681"/>
    </row>
    <row r="54" spans="2:17">
      <c r="B54" s="599"/>
      <c r="C54" s="620"/>
      <c r="D54" s="682"/>
      <c r="E54" s="682"/>
      <c r="F54" s="671"/>
      <c r="G54" s="671"/>
      <c r="H54" s="680"/>
      <c r="I54" s="681"/>
      <c r="J54" s="681"/>
      <c r="K54" s="681"/>
      <c r="L54" s="681"/>
      <c r="M54" s="681"/>
      <c r="N54" s="681"/>
      <c r="O54" s="681"/>
      <c r="P54" s="681"/>
      <c r="Q54" s="681"/>
    </row>
    <row r="55" spans="2:17">
      <c r="B55" s="599"/>
      <c r="C55" s="620" t="str">
        <f>C51</f>
        <v xml:space="preserve">   Annual Revenue Requirement, Less Lease Payments, Return and Taxes</v>
      </c>
      <c r="D55" s="682"/>
      <c r="E55" s="682"/>
      <c r="F55" s="671">
        <f>F51</f>
        <v>3750103.978791967</v>
      </c>
      <c r="G55" s="671"/>
      <c r="H55" s="673"/>
      <c r="I55" s="673"/>
      <c r="J55" s="673"/>
      <c r="K55" s="673"/>
      <c r="L55" s="673"/>
      <c r="M55" s="673"/>
      <c r="N55" s="673"/>
      <c r="O55" s="673"/>
      <c r="P55" s="683"/>
      <c r="Q55" s="673"/>
    </row>
    <row r="56" spans="2:17">
      <c r="B56" s="599"/>
      <c r="C56" s="624" t="s">
        <v>301</v>
      </c>
      <c r="D56" s="684"/>
      <c r="E56" s="678"/>
      <c r="F56" s="685">
        <f>E30</f>
        <v>3494033.2204292757</v>
      </c>
      <c r="G56" s="685"/>
      <c r="H56" s="678"/>
      <c r="I56" s="686"/>
      <c r="J56" s="678"/>
      <c r="K56" s="678"/>
      <c r="L56" s="678"/>
      <c r="M56" s="678"/>
      <c r="N56" s="678"/>
      <c r="O56" s="678"/>
      <c r="P56" s="678"/>
      <c r="Q56" s="678"/>
    </row>
    <row r="57" spans="2:17" ht="12.75" customHeight="1">
      <c r="B57" s="599"/>
      <c r="C57" s="642" t="s">
        <v>268</v>
      </c>
      <c r="D57" s="673"/>
      <c r="E57" s="673"/>
      <c r="F57" s="676">
        <f>E40</f>
        <v>826051.0815883989</v>
      </c>
      <c r="G57" s="676"/>
      <c r="H57" s="563"/>
      <c r="I57" s="669"/>
      <c r="J57" s="563"/>
      <c r="K57" s="611"/>
      <c r="Q57" s="611"/>
    </row>
    <row r="58" spans="2:17">
      <c r="B58" s="599"/>
      <c r="C58" s="678" t="str">
        <f>"   Annual Revenue Requirement, with "&amp;F17&amp;" Basis Point ROE increase"</f>
        <v xml:space="preserve">   Annual Revenue Requirement, with 0 Basis Point ROE increase</v>
      </c>
      <c r="D58" s="586"/>
      <c r="E58" s="563"/>
      <c r="F58" s="670">
        <f>SUM(F55:F57)</f>
        <v>8070188.2808096409</v>
      </c>
      <c r="G58" s="670"/>
      <c r="H58" s="563"/>
      <c r="I58" s="669"/>
      <c r="J58" s="563"/>
      <c r="K58" s="611"/>
      <c r="Q58" s="611"/>
    </row>
    <row r="59" spans="2:17">
      <c r="B59" s="599"/>
      <c r="C59" s="658" t="str">
        <f>"   Depreciation  (TCOS, ln "&amp;TCOS!B174&amp;")"</f>
        <v xml:space="preserve">   Depreciation  (TCOS, ln 100)</v>
      </c>
      <c r="D59" s="586"/>
      <c r="E59" s="563"/>
      <c r="F59" s="687">
        <f>TCOS!L174</f>
        <v>1494962</v>
      </c>
      <c r="G59" s="687"/>
      <c r="H59" s="670"/>
      <c r="I59" s="669"/>
      <c r="J59" s="563"/>
      <c r="K59" s="611"/>
      <c r="Q59" s="611"/>
    </row>
    <row r="60" spans="2:17">
      <c r="B60" s="599"/>
      <c r="C60" s="1601" t="str">
        <f>"   Annual Rev. Req, w/ "&amp;F17&amp;" Basis Point ROE increase, less Depreciation"</f>
        <v xml:space="preserve">   Annual Rev. Req, w/ 0 Basis Point ROE increase, less Depreciation</v>
      </c>
      <c r="D60" s="1600"/>
      <c r="E60" s="563"/>
      <c r="F60" s="670">
        <f>F58-F59</f>
        <v>6575226.2808096409</v>
      </c>
      <c r="G60" s="670"/>
      <c r="H60" s="563"/>
      <c r="I60" s="669"/>
      <c r="J60" s="563"/>
      <c r="K60" s="611"/>
      <c r="Q60" s="611"/>
    </row>
    <row r="61" spans="2:17">
      <c r="B61" s="599"/>
      <c r="C61" s="1600"/>
      <c r="D61" s="1600"/>
      <c r="E61" s="563"/>
      <c r="F61" s="563"/>
      <c r="G61" s="563"/>
      <c r="H61" s="563"/>
      <c r="I61" s="669"/>
      <c r="J61" s="563"/>
      <c r="K61" s="611"/>
      <c r="Q61" s="611"/>
    </row>
    <row r="62" spans="2:17" ht="15.75">
      <c r="B62" s="599"/>
      <c r="C62" s="619" t="str">
        <f>"C.   Determine FCR with hypothetical "&amp;F17&amp;" basis point ROE increase."</f>
        <v>C.   Determine FCR with hypothetical 0 basis point ROE increase.</v>
      </c>
      <c r="D62" s="586"/>
      <c r="E62" s="563"/>
      <c r="F62" s="563"/>
      <c r="G62" s="563"/>
      <c r="H62" s="563"/>
      <c r="I62" s="669"/>
      <c r="J62" s="563"/>
      <c r="K62" s="611"/>
      <c r="Q62" s="611"/>
    </row>
    <row r="63" spans="2:17">
      <c r="B63" s="599"/>
      <c r="C63" s="563"/>
      <c r="D63" s="586"/>
      <c r="E63" s="563"/>
      <c r="F63" s="563"/>
      <c r="G63" s="563"/>
      <c r="H63" s="563"/>
      <c r="I63" s="669"/>
      <c r="J63" s="563"/>
      <c r="K63" s="611"/>
      <c r="Q63" s="611"/>
    </row>
    <row r="64" spans="2:17">
      <c r="B64" s="599"/>
      <c r="C64" s="658" t="str">
        <f>"   Net Transmission Plant  (TCOS, ln "&amp;TCOS!B91&amp;")"</f>
        <v xml:space="preserve">   Net Transmission Plant  (TCOS, ln 42)</v>
      </c>
      <c r="D64" s="586"/>
      <c r="E64" s="563"/>
      <c r="F64" s="670">
        <f>TCOS!L91</f>
        <v>50487753.893076926</v>
      </c>
      <c r="G64" s="670"/>
      <c r="H64" s="670"/>
      <c r="I64" s="688"/>
      <c r="J64" s="563"/>
      <c r="K64" s="611"/>
      <c r="Q64" s="611"/>
    </row>
    <row r="65" spans="2:17">
      <c r="B65" s="599"/>
      <c r="C65" s="678" t="str">
        <f>"   Annual Revenue Requirement, with "&amp;F17&amp;" Basis Point ROE increase"</f>
        <v xml:space="preserve">   Annual Revenue Requirement, with 0 Basis Point ROE increase</v>
      </c>
      <c r="D65" s="586"/>
      <c r="E65" s="563"/>
      <c r="F65" s="670">
        <f>F58</f>
        <v>8070188.2808096409</v>
      </c>
      <c r="G65" s="670"/>
      <c r="H65" s="563"/>
      <c r="I65" s="669"/>
      <c r="J65" s="563"/>
      <c r="K65" s="611"/>
      <c r="Q65" s="611"/>
    </row>
    <row r="66" spans="2:17">
      <c r="B66" s="599"/>
      <c r="C66" s="678" t="str">
        <f>"   FCR with "&amp;F17&amp;" Basis Point increase in ROE"</f>
        <v xml:space="preserve">   FCR with 0 Basis Point increase in ROE</v>
      </c>
      <c r="D66" s="586"/>
      <c r="E66" s="563"/>
      <c r="F66" s="668">
        <f>F65/F64</f>
        <v>0.15984447036207439</v>
      </c>
      <c r="G66" s="668"/>
      <c r="H66" s="668"/>
      <c r="I66" s="669"/>
      <c r="J66" s="563"/>
      <c r="K66" s="611"/>
      <c r="Q66" s="611"/>
    </row>
    <row r="67" spans="2:17">
      <c r="B67" s="599"/>
      <c r="C67" s="386"/>
      <c r="D67" s="586"/>
      <c r="E67" s="563"/>
      <c r="F67" s="599"/>
      <c r="G67" s="599"/>
      <c r="H67" s="563"/>
      <c r="I67" s="669"/>
      <c r="J67" s="563"/>
      <c r="K67" s="611"/>
      <c r="Q67" s="611"/>
    </row>
    <row r="68" spans="2:17">
      <c r="B68" s="599"/>
      <c r="C68" s="678" t="str">
        <f>"   Annual Rev. Req, w / "&amp;F17&amp;" Basis Point ROE increase, less Dep."</f>
        <v xml:space="preserve">   Annual Rev. Req, w / 0 Basis Point ROE increase, less Dep.</v>
      </c>
      <c r="D68" s="586"/>
      <c r="E68" s="563"/>
      <c r="F68" s="670">
        <f>F60</f>
        <v>6575226.2808096409</v>
      </c>
      <c r="G68" s="670"/>
      <c r="H68" s="563"/>
      <c r="I68" s="669"/>
      <c r="J68" s="563"/>
      <c r="K68" s="611"/>
      <c r="Q68" s="611"/>
    </row>
    <row r="69" spans="2:17">
      <c r="B69" s="599"/>
      <c r="C69" s="678" t="str">
        <f>"   FCR with "&amp;F17&amp;" Basis Point ROE increase, less Depreciation"</f>
        <v xml:space="preserve">   FCR with 0 Basis Point ROE increase, less Depreciation</v>
      </c>
      <c r="D69" s="586"/>
      <c r="E69" s="563"/>
      <c r="F69" s="668">
        <f>F68/F64</f>
        <v>0.13023408200599831</v>
      </c>
      <c r="G69" s="668"/>
      <c r="H69" s="563"/>
      <c r="I69" s="669"/>
      <c r="J69" s="563"/>
      <c r="K69" s="611"/>
      <c r="Q69" s="611"/>
    </row>
    <row r="70" spans="2:17">
      <c r="B70" s="599"/>
      <c r="C70" s="658" t="str">
        <f>"   FCR less Depreciation  (TCOS, ln "&amp;TCOS!B34&amp;")"</f>
        <v xml:space="preserve">   FCR less Depreciation  (TCOS, ln 10)</v>
      </c>
      <c r="D70" s="586"/>
      <c r="E70" s="563"/>
      <c r="F70" s="689">
        <f>TCOS!L34</f>
        <v>0.13023408200599834</v>
      </c>
      <c r="G70" s="689"/>
      <c r="H70" s="563"/>
      <c r="I70" s="669"/>
      <c r="J70" s="563"/>
      <c r="K70" s="611"/>
      <c r="Q70" s="611"/>
    </row>
    <row r="71" spans="2:17">
      <c r="B71" s="599"/>
      <c r="C71" s="1601" t="str">
        <f>"   Incremental FCR with "&amp;F17&amp;" Basis Point ROE increase, less Depreciation"</f>
        <v xml:space="preserve">   Incremental FCR with 0 Basis Point ROE increase, less Depreciation</v>
      </c>
      <c r="D71" s="1600"/>
      <c r="E71" s="563"/>
      <c r="F71" s="668">
        <f>F69-F70</f>
        <v>0</v>
      </c>
      <c r="G71" s="668"/>
      <c r="H71" s="563"/>
      <c r="I71" s="669"/>
      <c r="J71" s="563"/>
      <c r="K71" s="611"/>
      <c r="Q71" s="611"/>
    </row>
    <row r="72" spans="2:17">
      <c r="B72" s="599"/>
      <c r="C72" s="1600"/>
      <c r="D72" s="1600"/>
      <c r="E72" s="563"/>
      <c r="F72" s="668"/>
      <c r="G72" s="668"/>
      <c r="H72" s="563"/>
      <c r="I72" s="669"/>
      <c r="J72" s="563"/>
      <c r="K72" s="611"/>
      <c r="Q72" s="611"/>
    </row>
    <row r="73" spans="2:17" ht="18.75">
      <c r="B73" s="618" t="s">
        <v>175</v>
      </c>
      <c r="C73" s="617" t="s">
        <v>269</v>
      </c>
      <c r="D73" s="586"/>
      <c r="E73" s="563"/>
      <c r="F73" s="668"/>
      <c r="G73" s="668"/>
      <c r="H73" s="563"/>
      <c r="I73" s="669"/>
      <c r="J73" s="563"/>
      <c r="K73" s="611"/>
      <c r="Q73" s="611"/>
    </row>
    <row r="74" spans="2:17">
      <c r="B74" s="599"/>
      <c r="C74" s="678"/>
      <c r="D74" s="586"/>
      <c r="E74" s="563"/>
      <c r="F74" s="668"/>
      <c r="G74" s="668"/>
      <c r="H74" s="563"/>
      <c r="I74" s="669"/>
      <c r="J74" s="563"/>
      <c r="K74" s="611"/>
      <c r="Q74" s="611"/>
    </row>
    <row r="75" spans="2:17">
      <c r="B75" s="599"/>
      <c r="C75" s="678" t="str">
        <f>+"Average Transmission Plant Balance for "&amp;TCOS!L4&amp;" (TCOS, ln "&amp;TCOS!B68&amp;")"</f>
        <v>Average Transmission Plant Balance for 2024 (TCOS, ln 21)</v>
      </c>
      <c r="D75" s="586"/>
      <c r="H75" s="669">
        <f>TCOS!L68</f>
        <v>62389916.401538461</v>
      </c>
      <c r="J75" s="563"/>
      <c r="K75" s="611"/>
      <c r="Q75" s="611"/>
    </row>
    <row r="76" spans="2:17">
      <c r="B76" s="599"/>
      <c r="C76" s="690" t="str">
        <f>"Annual Depreciation and Amortization Expense (TCOS, ln "&amp;TCOS!B174&amp;")"</f>
        <v>Annual Depreciation and Amortization Expense (TCOS, ln 100)</v>
      </c>
      <c r="D76" s="586"/>
      <c r="E76" s="563"/>
      <c r="H76" s="691">
        <f>TCOS!L174</f>
        <v>1494962</v>
      </c>
      <c r="I76" s="669"/>
      <c r="J76" s="563"/>
      <c r="K76" s="611"/>
      <c r="Q76" s="611"/>
    </row>
    <row r="77" spans="2:17">
      <c r="B77" s="599"/>
      <c r="C77" s="678" t="s">
        <v>270</v>
      </c>
      <c r="D77" s="586"/>
      <c r="E77" s="563"/>
      <c r="H77" s="668">
        <f>+H76/H75</f>
        <v>2.3961596460211575E-2</v>
      </c>
      <c r="I77" s="693"/>
      <c r="J77" s="563"/>
      <c r="K77" s="611"/>
      <c r="Q77" s="611"/>
    </row>
    <row r="78" spans="2:17">
      <c r="B78" s="599"/>
      <c r="C78" s="678" t="s">
        <v>271</v>
      </c>
      <c r="D78" s="586"/>
      <c r="E78" s="563"/>
      <c r="H78" s="693">
        <f>1/H77</f>
        <v>41.733446336119883</v>
      </c>
      <c r="I78" s="669"/>
      <c r="J78" s="563"/>
      <c r="K78" s="611"/>
      <c r="Q78" s="611"/>
    </row>
    <row r="79" spans="2:17">
      <c r="B79" s="599"/>
      <c r="C79" s="678" t="s">
        <v>272</v>
      </c>
      <c r="D79" s="586"/>
      <c r="E79" s="563"/>
      <c r="H79" s="694">
        <f>ROUND(H78,0)</f>
        <v>42</v>
      </c>
      <c r="I79" s="669"/>
      <c r="J79" s="563"/>
      <c r="K79" s="611"/>
      <c r="Q79" s="611"/>
    </row>
    <row r="80" spans="2:17">
      <c r="B80" s="599"/>
      <c r="C80" s="678"/>
      <c r="D80" s="586"/>
      <c r="E80" s="563"/>
      <c r="H80" s="694"/>
      <c r="I80" s="669"/>
      <c r="J80" s="563"/>
      <c r="K80" s="611"/>
      <c r="Q80" s="611"/>
    </row>
    <row r="81" spans="1:17">
      <c r="C81" s="695"/>
      <c r="D81" s="696"/>
      <c r="E81" s="696"/>
      <c r="F81" s="696"/>
      <c r="G81" s="696"/>
      <c r="H81" s="692"/>
      <c r="I81" s="692"/>
      <c r="J81" s="697"/>
      <c r="K81" s="697"/>
      <c r="L81" s="697"/>
      <c r="M81" s="697"/>
      <c r="N81" s="697"/>
      <c r="O81" s="697"/>
      <c r="Q81" s="697"/>
    </row>
    <row r="82" spans="1:17">
      <c r="B82" s="348"/>
      <c r="C82" s="695"/>
      <c r="D82" s="696"/>
      <c r="E82" s="696"/>
      <c r="F82" s="696"/>
      <c r="G82" s="696"/>
      <c r="H82" s="692"/>
      <c r="I82" s="692"/>
      <c r="J82" s="697"/>
      <c r="K82" s="697"/>
      <c r="L82" s="697"/>
      <c r="M82" s="697"/>
      <c r="N82" s="697"/>
      <c r="O82" s="697"/>
      <c r="Q82" s="697"/>
    </row>
    <row r="83" spans="1:17" ht="20.25">
      <c r="A83" s="698" t="s">
        <v>772</v>
      </c>
      <c r="B83" s="563"/>
      <c r="C83" s="678"/>
      <c r="D83" s="586"/>
      <c r="E83" s="563"/>
      <c r="F83" s="668"/>
      <c r="G83" s="668"/>
      <c r="H83" s="563"/>
      <c r="I83" s="669"/>
      <c r="L83" s="699"/>
      <c r="M83" s="699"/>
      <c r="N83" s="699"/>
      <c r="O83" s="614" t="str">
        <f>"Page "&amp;SUM(Q$3:Q83)&amp;" of "</f>
        <v xml:space="preserve">Page 2 of </v>
      </c>
      <c r="P83" s="615">
        <f>COUNT(Q$8:Q$58122)</f>
        <v>2</v>
      </c>
      <c r="Q83" s="791">
        <v>1</v>
      </c>
    </row>
    <row r="84" spans="1:17">
      <c r="B84" s="563"/>
      <c r="C84" s="563"/>
      <c r="D84" s="586"/>
      <c r="E84" s="563"/>
      <c r="F84" s="563"/>
      <c r="G84" s="563"/>
      <c r="H84" s="563"/>
      <c r="I84" s="669"/>
      <c r="J84" s="563"/>
      <c r="K84" s="611"/>
      <c r="Q84" s="611"/>
    </row>
    <row r="85" spans="1:17" ht="18">
      <c r="B85" s="618" t="s">
        <v>176</v>
      </c>
      <c r="C85" s="700" t="s">
        <v>292</v>
      </c>
      <c r="D85" s="586"/>
      <c r="E85" s="563"/>
      <c r="F85" s="563"/>
      <c r="G85" s="563"/>
      <c r="H85" s="563"/>
      <c r="I85" s="669"/>
      <c r="J85" s="669"/>
      <c r="K85" s="692"/>
      <c r="L85" s="669"/>
      <c r="M85" s="669"/>
      <c r="N85" s="669"/>
      <c r="O85" s="669"/>
      <c r="Q85" s="692"/>
    </row>
    <row r="86" spans="1:17" ht="18.75">
      <c r="B86" s="618"/>
      <c r="C86" s="617"/>
      <c r="D86" s="586"/>
      <c r="E86" s="563"/>
      <c r="F86" s="563"/>
      <c r="G86" s="563"/>
      <c r="H86" s="563"/>
      <c r="I86" s="669"/>
      <c r="J86" s="669"/>
      <c r="K86" s="692"/>
      <c r="L86" s="669"/>
      <c r="M86" s="669"/>
      <c r="N86" s="669"/>
      <c r="O86" s="669"/>
      <c r="Q86" s="692"/>
    </row>
    <row r="87" spans="1:17" ht="18.75">
      <c r="B87" s="618"/>
      <c r="C87" s="617" t="s">
        <v>293</v>
      </c>
      <c r="D87" s="586"/>
      <c r="E87" s="563"/>
      <c r="F87" s="563"/>
      <c r="G87" s="563"/>
      <c r="H87" s="563"/>
      <c r="I87" s="669"/>
      <c r="J87" s="669"/>
      <c r="K87" s="692"/>
      <c r="L87" s="669"/>
      <c r="M87" s="669"/>
      <c r="N87" s="669"/>
      <c r="O87" s="669"/>
      <c r="Q87" s="692"/>
    </row>
    <row r="88" spans="1:17" ht="15.75" thickBot="1">
      <c r="B88" s="348"/>
      <c r="C88" s="414"/>
      <c r="D88" s="586"/>
      <c r="E88" s="563"/>
      <c r="F88" s="563"/>
      <c r="G88" s="563"/>
      <c r="H88" s="563"/>
      <c r="I88" s="669"/>
      <c r="J88" s="669"/>
      <c r="K88" s="692"/>
      <c r="L88" s="669"/>
      <c r="M88" s="669"/>
      <c r="N88" s="669"/>
      <c r="O88" s="669"/>
      <c r="Q88" s="692"/>
    </row>
    <row r="89" spans="1:17" ht="15.75">
      <c r="B89" s="348"/>
      <c r="C89" s="619" t="s">
        <v>294</v>
      </c>
      <c r="D89" s="586"/>
      <c r="E89" s="563"/>
      <c r="F89" s="563"/>
      <c r="G89" s="563"/>
      <c r="H89" s="895"/>
      <c r="I89" s="563" t="s">
        <v>273</v>
      </c>
      <c r="J89" s="563"/>
      <c r="K89" s="611"/>
      <c r="L89" s="792">
        <f>+J95</f>
        <v>2024</v>
      </c>
      <c r="M89" s="774" t="s">
        <v>256</v>
      </c>
      <c r="N89" s="774" t="s">
        <v>257</v>
      </c>
      <c r="O89" s="775" t="s">
        <v>258</v>
      </c>
      <c r="Q89" s="611"/>
    </row>
    <row r="90" spans="1:17" ht="15.75">
      <c r="B90" s="348"/>
      <c r="C90" s="619"/>
      <c r="D90" s="586"/>
      <c r="E90" s="563"/>
      <c r="F90" s="563"/>
      <c r="H90" s="563"/>
      <c r="I90" s="705"/>
      <c r="J90" s="705"/>
      <c r="K90" s="706"/>
      <c r="L90" s="793" t="s">
        <v>457</v>
      </c>
      <c r="M90" s="794">
        <f>VLOOKUP(J95,C102:P161,10)</f>
        <v>0</v>
      </c>
      <c r="N90" s="794">
        <f>VLOOKUP(J95,C102:P161,12)</f>
        <v>0</v>
      </c>
      <c r="O90" s="795">
        <f>+N90-M90</f>
        <v>0</v>
      </c>
      <c r="Q90" s="706"/>
    </row>
    <row r="91" spans="1:17">
      <c r="B91" s="348"/>
      <c r="C91" s="710" t="s">
        <v>295</v>
      </c>
      <c r="D91" s="905"/>
      <c r="E91" s="905"/>
      <c r="F91" s="905"/>
      <c r="G91" s="905"/>
      <c r="H91" s="905"/>
      <c r="I91" s="669"/>
      <c r="J91" s="669"/>
      <c r="K91" s="692"/>
      <c r="L91" s="793" t="s">
        <v>458</v>
      </c>
      <c r="M91" s="796">
        <f>VLOOKUP(J95,C102:P161,6)</f>
        <v>0</v>
      </c>
      <c r="N91" s="796">
        <f>VLOOKUP(J95,C102:P161,7)</f>
        <v>0</v>
      </c>
      <c r="O91" s="797">
        <f>+N91-M91</f>
        <v>0</v>
      </c>
      <c r="Q91" s="692"/>
    </row>
    <row r="92" spans="1:17" ht="13.5" thickBot="1">
      <c r="B92" s="348"/>
      <c r="C92" s="714"/>
      <c r="D92" s="715"/>
      <c r="E92" s="694"/>
      <c r="F92" s="694"/>
      <c r="G92" s="694"/>
      <c r="H92" s="716"/>
      <c r="I92" s="669"/>
      <c r="J92" s="669"/>
      <c r="K92" s="692"/>
      <c r="L92" s="735" t="s">
        <v>459</v>
      </c>
      <c r="M92" s="798">
        <f>+M91-M90</f>
        <v>0</v>
      </c>
      <c r="N92" s="798">
        <f>+N91-N90</f>
        <v>0</v>
      </c>
      <c r="O92" s="799">
        <f>+O91-O90</f>
        <v>0</v>
      </c>
      <c r="Q92" s="692"/>
    </row>
    <row r="93" spans="1:17" ht="13.5" thickBot="1">
      <c r="B93" s="348"/>
      <c r="C93" s="717"/>
      <c r="D93" s="718"/>
      <c r="E93" s="716"/>
      <c r="F93" s="716"/>
      <c r="G93" s="716"/>
      <c r="H93" s="716"/>
      <c r="I93" s="716"/>
      <c r="J93" s="716"/>
      <c r="K93" s="719"/>
      <c r="L93" s="716"/>
      <c r="M93" s="716"/>
      <c r="N93" s="716"/>
      <c r="O93" s="716"/>
      <c r="P93" s="599"/>
      <c r="Q93" s="719"/>
    </row>
    <row r="94" spans="1:17" ht="13.5" thickBot="1">
      <c r="B94" s="348"/>
      <c r="C94" s="721" t="s">
        <v>296</v>
      </c>
      <c r="D94" s="722"/>
      <c r="E94" s="722"/>
      <c r="F94" s="722"/>
      <c r="G94" s="722"/>
      <c r="H94" s="722"/>
      <c r="I94" s="722"/>
      <c r="J94" s="722"/>
      <c r="K94" s="724"/>
      <c r="P94" s="725"/>
      <c r="Q94" s="724"/>
    </row>
    <row r="95" spans="1:17" ht="15">
      <c r="A95" s="771"/>
      <c r="B95" s="348"/>
      <c r="C95" s="727" t="s">
        <v>274</v>
      </c>
      <c r="D95" s="896">
        <v>0</v>
      </c>
      <c r="E95" s="678" t="s">
        <v>275</v>
      </c>
      <c r="H95" s="728"/>
      <c r="I95" s="728"/>
      <c r="J95" s="729">
        <v>2024</v>
      </c>
      <c r="K95" s="609"/>
      <c r="L95" s="1591" t="s">
        <v>276</v>
      </c>
      <c r="M95" s="1591"/>
      <c r="N95" s="1591"/>
      <c r="O95" s="1591"/>
      <c r="P95" s="611"/>
      <c r="Q95" s="609"/>
    </row>
    <row r="96" spans="1:17">
      <c r="A96" s="771"/>
      <c r="B96" s="348"/>
      <c r="C96" s="727" t="s">
        <v>277</v>
      </c>
      <c r="D96" s="906">
        <v>0</v>
      </c>
      <c r="E96" s="727" t="s">
        <v>278</v>
      </c>
      <c r="F96" s="728"/>
      <c r="G96" s="728"/>
      <c r="I96" s="348"/>
      <c r="J96" s="900">
        <v>0</v>
      </c>
      <c r="K96" s="730"/>
      <c r="L96" s="692" t="s">
        <v>477</v>
      </c>
      <c r="P96" s="611"/>
      <c r="Q96" s="730"/>
    </row>
    <row r="97" spans="1:17">
      <c r="A97" s="771"/>
      <c r="B97" s="348"/>
      <c r="C97" s="727" t="s">
        <v>279</v>
      </c>
      <c r="D97" s="898">
        <v>0</v>
      </c>
      <c r="E97" s="727" t="s">
        <v>280</v>
      </c>
      <c r="F97" s="728"/>
      <c r="G97" s="728"/>
      <c r="I97" s="348"/>
      <c r="J97" s="731">
        <f>$F$70</f>
        <v>0.13023408200599834</v>
      </c>
      <c r="K97" s="732"/>
      <c r="L97" s="563" t="str">
        <f>"          INPUT TRUE-UP ARR (WITH &amp; WITHOUT INCENTIVES) FROM EACH PRIOR YEAR"</f>
        <v xml:space="preserve">          INPUT TRUE-UP ARR (WITH &amp; WITHOUT INCENTIVES) FROM EACH PRIOR YEAR</v>
      </c>
      <c r="P97" s="611"/>
      <c r="Q97" s="732"/>
    </row>
    <row r="98" spans="1:17">
      <c r="A98" s="771"/>
      <c r="B98" s="348"/>
      <c r="C98" s="727" t="s">
        <v>281</v>
      </c>
      <c r="D98" s="733">
        <f>H79</f>
        <v>42</v>
      </c>
      <c r="E98" s="727" t="s">
        <v>282</v>
      </c>
      <c r="F98" s="728"/>
      <c r="G98" s="728"/>
      <c r="I98" s="348"/>
      <c r="J98" s="731">
        <f>IF(H89="",J97,$F$69)</f>
        <v>0.13023408200599834</v>
      </c>
      <c r="K98" s="734"/>
      <c r="L98" s="563" t="s">
        <v>364</v>
      </c>
      <c r="M98" s="734"/>
      <c r="N98" s="734"/>
      <c r="O98" s="734"/>
      <c r="P98" s="611"/>
      <c r="Q98" s="734"/>
    </row>
    <row r="99" spans="1:17" ht="13.5" thickBot="1">
      <c r="A99" s="771"/>
      <c r="B99" s="348"/>
      <c r="C99" s="727" t="s">
        <v>283</v>
      </c>
      <c r="D99" s="899">
        <v>0</v>
      </c>
      <c r="E99" s="735" t="s">
        <v>284</v>
      </c>
      <c r="F99" s="736"/>
      <c r="G99" s="736"/>
      <c r="H99" s="737"/>
      <c r="I99" s="737"/>
      <c r="J99" s="713">
        <f>IF(D95=0,0,D95/D98)</f>
        <v>0</v>
      </c>
      <c r="K99" s="692"/>
      <c r="L99" s="692" t="s">
        <v>365</v>
      </c>
      <c r="M99" s="692"/>
      <c r="N99" s="692"/>
      <c r="O99" s="692"/>
      <c r="P99" s="611"/>
      <c r="Q99" s="692"/>
    </row>
    <row r="100" spans="1:17" ht="38.25">
      <c r="A100" s="548"/>
      <c r="B100" s="548"/>
      <c r="C100" s="738" t="s">
        <v>274</v>
      </c>
      <c r="D100" s="739" t="s">
        <v>285</v>
      </c>
      <c r="E100" s="740" t="s">
        <v>286</v>
      </c>
      <c r="F100" s="739" t="s">
        <v>287</v>
      </c>
      <c r="G100" s="739" t="s">
        <v>460</v>
      </c>
      <c r="H100" s="740" t="s">
        <v>358</v>
      </c>
      <c r="I100" s="741" t="s">
        <v>358</v>
      </c>
      <c r="J100" s="738" t="s">
        <v>297</v>
      </c>
      <c r="K100" s="742"/>
      <c r="L100" s="740" t="s">
        <v>360</v>
      </c>
      <c r="M100" s="740" t="s">
        <v>366</v>
      </c>
      <c r="N100" s="740" t="s">
        <v>360</v>
      </c>
      <c r="O100" s="740" t="s">
        <v>368</v>
      </c>
      <c r="P100" s="740" t="s">
        <v>288</v>
      </c>
      <c r="Q100" s="744"/>
    </row>
    <row r="101" spans="1:17" ht="13.5" thickBot="1">
      <c r="B101" s="348"/>
      <c r="C101" s="745" t="s">
        <v>179</v>
      </c>
      <c r="D101" s="746" t="s">
        <v>180</v>
      </c>
      <c r="E101" s="745" t="s">
        <v>38</v>
      </c>
      <c r="F101" s="746" t="s">
        <v>180</v>
      </c>
      <c r="G101" s="746" t="s">
        <v>180</v>
      </c>
      <c r="H101" s="747" t="s">
        <v>300</v>
      </c>
      <c r="I101" s="748" t="s">
        <v>302</v>
      </c>
      <c r="J101" s="749" t="s">
        <v>391</v>
      </c>
      <c r="K101" s="750"/>
      <c r="L101" s="747" t="s">
        <v>289</v>
      </c>
      <c r="M101" s="747" t="s">
        <v>289</v>
      </c>
      <c r="N101" s="747" t="s">
        <v>469</v>
      </c>
      <c r="O101" s="747" t="s">
        <v>469</v>
      </c>
      <c r="P101" s="747" t="s">
        <v>469</v>
      </c>
      <c r="Q101" s="609"/>
    </row>
    <row r="102" spans="1:17">
      <c r="B102" s="348"/>
      <c r="C102" s="752">
        <f>IF(D96= "","-",D96)</f>
        <v>0</v>
      </c>
      <c r="D102" s="696">
        <f>+D95</f>
        <v>0</v>
      </c>
      <c r="E102" s="753">
        <f>+J99/12*(12-D97)</f>
        <v>0</v>
      </c>
      <c r="F102" s="800">
        <f t="shared" ref="F102:F133" si="0">+D102-E102</f>
        <v>0</v>
      </c>
      <c r="G102" s="696">
        <f t="shared" ref="G102:G133" si="1">+(D102+F102)/2</f>
        <v>0</v>
      </c>
      <c r="H102" s="754">
        <f>+J97*G102+E102</f>
        <v>0</v>
      </c>
      <c r="I102" s="755">
        <f>+J98*G102+E102</f>
        <v>0</v>
      </c>
      <c r="J102" s="756">
        <f t="shared" ref="J102:J133" si="2">+I102-H102</f>
        <v>0</v>
      </c>
      <c r="K102" s="756"/>
      <c r="L102" s="757"/>
      <c r="M102" s="801">
        <f t="shared" ref="M102:M133" si="3">IF(L102&lt;&gt;0,+H102-L102,0)</f>
        <v>0</v>
      </c>
      <c r="N102" s="757"/>
      <c r="O102" s="801">
        <f t="shared" ref="O102:O133" si="4">IF(N102&lt;&gt;0,+I102-N102,0)</f>
        <v>0</v>
      </c>
      <c r="P102" s="801">
        <f t="shared" ref="P102:P133" si="5">+O102-M102</f>
        <v>0</v>
      </c>
      <c r="Q102" s="697"/>
    </row>
    <row r="103" spans="1:17">
      <c r="B103" s="348"/>
      <c r="C103" s="752">
        <f>IF(D96="","-",+C102+1)</f>
        <v>1</v>
      </c>
      <c r="D103" s="696">
        <f t="shared" ref="D103:D134" si="6">F102</f>
        <v>0</v>
      </c>
      <c r="E103" s="759">
        <f t="shared" ref="E103:E134" si="7">IF(D103&gt;$J$99,$J$99,D103)</f>
        <v>0</v>
      </c>
      <c r="F103" s="759">
        <f t="shared" si="0"/>
        <v>0</v>
      </c>
      <c r="G103" s="696">
        <f t="shared" si="1"/>
        <v>0</v>
      </c>
      <c r="H103" s="753">
        <f>+J97*G103+E103</f>
        <v>0</v>
      </c>
      <c r="I103" s="760">
        <f>+J98*G103+E103</f>
        <v>0</v>
      </c>
      <c r="J103" s="756">
        <f t="shared" si="2"/>
        <v>0</v>
      </c>
      <c r="K103" s="756"/>
      <c r="L103" s="761"/>
      <c r="M103" s="756">
        <f t="shared" si="3"/>
        <v>0</v>
      </c>
      <c r="N103" s="761"/>
      <c r="O103" s="756">
        <f t="shared" si="4"/>
        <v>0</v>
      </c>
      <c r="P103" s="756">
        <f t="shared" si="5"/>
        <v>0</v>
      </c>
      <c r="Q103" s="697"/>
    </row>
    <row r="104" spans="1:17">
      <c r="B104" s="348"/>
      <c r="C104" s="752">
        <f>IF(D96="","-",+C103+1)</f>
        <v>2</v>
      </c>
      <c r="D104" s="696">
        <f t="shared" si="6"/>
        <v>0</v>
      </c>
      <c r="E104" s="759">
        <f t="shared" si="7"/>
        <v>0</v>
      </c>
      <c r="F104" s="759">
        <f t="shared" si="0"/>
        <v>0</v>
      </c>
      <c r="G104" s="696">
        <f t="shared" si="1"/>
        <v>0</v>
      </c>
      <c r="H104" s="753">
        <f>+J97*G104+E104</f>
        <v>0</v>
      </c>
      <c r="I104" s="760">
        <f>+J98*G104+E104</f>
        <v>0</v>
      </c>
      <c r="J104" s="756">
        <f t="shared" si="2"/>
        <v>0</v>
      </c>
      <c r="K104" s="756"/>
      <c r="L104" s="761"/>
      <c r="M104" s="756">
        <f t="shared" si="3"/>
        <v>0</v>
      </c>
      <c r="N104" s="761"/>
      <c r="O104" s="756">
        <f t="shared" si="4"/>
        <v>0</v>
      </c>
      <c r="P104" s="756">
        <f t="shared" si="5"/>
        <v>0</v>
      </c>
      <c r="Q104" s="697"/>
    </row>
    <row r="105" spans="1:17">
      <c r="B105" s="348"/>
      <c r="C105" s="752">
        <f>IF(D96="","-",+C104+1)</f>
        <v>3</v>
      </c>
      <c r="D105" s="696">
        <f t="shared" si="6"/>
        <v>0</v>
      </c>
      <c r="E105" s="759">
        <f t="shared" si="7"/>
        <v>0</v>
      </c>
      <c r="F105" s="759">
        <f t="shared" si="0"/>
        <v>0</v>
      </c>
      <c r="G105" s="696">
        <f t="shared" si="1"/>
        <v>0</v>
      </c>
      <c r="H105" s="753">
        <f>+J97*G105+E105</f>
        <v>0</v>
      </c>
      <c r="I105" s="760">
        <f>+J98*G105+E105</f>
        <v>0</v>
      </c>
      <c r="J105" s="756">
        <f t="shared" si="2"/>
        <v>0</v>
      </c>
      <c r="K105" s="756"/>
      <c r="L105" s="761"/>
      <c r="M105" s="756">
        <f t="shared" si="3"/>
        <v>0</v>
      </c>
      <c r="N105" s="761"/>
      <c r="O105" s="756">
        <f t="shared" si="4"/>
        <v>0</v>
      </c>
      <c r="P105" s="756">
        <f t="shared" si="5"/>
        <v>0</v>
      </c>
      <c r="Q105" s="697"/>
    </row>
    <row r="106" spans="1:17">
      <c r="B106" s="348"/>
      <c r="C106" s="752">
        <f>IF(D96="","-",+C105+1)</f>
        <v>4</v>
      </c>
      <c r="D106" s="696">
        <f t="shared" si="6"/>
        <v>0</v>
      </c>
      <c r="E106" s="759">
        <f t="shared" si="7"/>
        <v>0</v>
      </c>
      <c r="F106" s="759">
        <f t="shared" si="0"/>
        <v>0</v>
      </c>
      <c r="G106" s="696">
        <f t="shared" si="1"/>
        <v>0</v>
      </c>
      <c r="H106" s="753">
        <f>+J97*G106+E106</f>
        <v>0</v>
      </c>
      <c r="I106" s="760">
        <f>+J98*G106+E106</f>
        <v>0</v>
      </c>
      <c r="J106" s="756">
        <f t="shared" si="2"/>
        <v>0</v>
      </c>
      <c r="K106" s="756"/>
      <c r="L106" s="761"/>
      <c r="M106" s="756">
        <f t="shared" si="3"/>
        <v>0</v>
      </c>
      <c r="N106" s="761"/>
      <c r="O106" s="756">
        <f t="shared" si="4"/>
        <v>0</v>
      </c>
      <c r="P106" s="756">
        <f t="shared" si="5"/>
        <v>0</v>
      </c>
      <c r="Q106" s="697"/>
    </row>
    <row r="107" spans="1:17">
      <c r="B107" s="348"/>
      <c r="C107" s="752">
        <f>IF(D96="","-",+C106+1)</f>
        <v>5</v>
      </c>
      <c r="D107" s="696">
        <f t="shared" si="6"/>
        <v>0</v>
      </c>
      <c r="E107" s="759">
        <f t="shared" si="7"/>
        <v>0</v>
      </c>
      <c r="F107" s="759">
        <f t="shared" si="0"/>
        <v>0</v>
      </c>
      <c r="G107" s="696">
        <f t="shared" si="1"/>
        <v>0</v>
      </c>
      <c r="H107" s="753">
        <f>+J97*G107+E107</f>
        <v>0</v>
      </c>
      <c r="I107" s="760">
        <f>+J98*G107+E107</f>
        <v>0</v>
      </c>
      <c r="J107" s="756">
        <f t="shared" si="2"/>
        <v>0</v>
      </c>
      <c r="K107" s="756"/>
      <c r="L107" s="761"/>
      <c r="M107" s="756">
        <f t="shared" si="3"/>
        <v>0</v>
      </c>
      <c r="N107" s="761"/>
      <c r="O107" s="756">
        <f t="shared" si="4"/>
        <v>0</v>
      </c>
      <c r="P107" s="756">
        <f t="shared" si="5"/>
        <v>0</v>
      </c>
      <c r="Q107" s="697"/>
    </row>
    <row r="108" spans="1:17">
      <c r="B108" s="348"/>
      <c r="C108" s="752">
        <f>IF(D96="","-",+C107+1)</f>
        <v>6</v>
      </c>
      <c r="D108" s="696">
        <f t="shared" si="6"/>
        <v>0</v>
      </c>
      <c r="E108" s="759">
        <f t="shared" si="7"/>
        <v>0</v>
      </c>
      <c r="F108" s="759">
        <f t="shared" si="0"/>
        <v>0</v>
      </c>
      <c r="G108" s="696">
        <f t="shared" si="1"/>
        <v>0</v>
      </c>
      <c r="H108" s="753">
        <f>+J97*G108+E108</f>
        <v>0</v>
      </c>
      <c r="I108" s="760">
        <f>+J98*G108+E108</f>
        <v>0</v>
      </c>
      <c r="J108" s="756">
        <f t="shared" si="2"/>
        <v>0</v>
      </c>
      <c r="K108" s="756"/>
      <c r="L108" s="761"/>
      <c r="M108" s="756">
        <f t="shared" si="3"/>
        <v>0</v>
      </c>
      <c r="N108" s="761"/>
      <c r="O108" s="756">
        <f t="shared" si="4"/>
        <v>0</v>
      </c>
      <c r="P108" s="756">
        <f t="shared" si="5"/>
        <v>0</v>
      </c>
      <c r="Q108" s="697"/>
    </row>
    <row r="109" spans="1:17">
      <c r="B109" s="348"/>
      <c r="C109" s="752">
        <f>IF(D96="","-",+C108+1)</f>
        <v>7</v>
      </c>
      <c r="D109" s="696">
        <f t="shared" si="6"/>
        <v>0</v>
      </c>
      <c r="E109" s="759">
        <f t="shared" si="7"/>
        <v>0</v>
      </c>
      <c r="F109" s="759">
        <f t="shared" si="0"/>
        <v>0</v>
      </c>
      <c r="G109" s="696">
        <f t="shared" si="1"/>
        <v>0</v>
      </c>
      <c r="H109" s="753">
        <f>+J97*G109+E109</f>
        <v>0</v>
      </c>
      <c r="I109" s="760">
        <f>+J98*G109+E109</f>
        <v>0</v>
      </c>
      <c r="J109" s="756">
        <f t="shared" si="2"/>
        <v>0</v>
      </c>
      <c r="K109" s="756"/>
      <c r="L109" s="761"/>
      <c r="M109" s="756">
        <f t="shared" si="3"/>
        <v>0</v>
      </c>
      <c r="N109" s="761"/>
      <c r="O109" s="756">
        <f t="shared" si="4"/>
        <v>0</v>
      </c>
      <c r="P109" s="756">
        <f t="shared" si="5"/>
        <v>0</v>
      </c>
      <c r="Q109" s="697"/>
    </row>
    <row r="110" spans="1:17">
      <c r="B110" s="348"/>
      <c r="C110" s="752">
        <f>IF(D96="","-",+C109+1)</f>
        <v>8</v>
      </c>
      <c r="D110" s="696">
        <f t="shared" si="6"/>
        <v>0</v>
      </c>
      <c r="E110" s="759">
        <f t="shared" si="7"/>
        <v>0</v>
      </c>
      <c r="F110" s="759">
        <f t="shared" si="0"/>
        <v>0</v>
      </c>
      <c r="G110" s="696">
        <f t="shared" si="1"/>
        <v>0</v>
      </c>
      <c r="H110" s="753">
        <f>+J97*G110+E110</f>
        <v>0</v>
      </c>
      <c r="I110" s="760">
        <f>+J98*G110+E110</f>
        <v>0</v>
      </c>
      <c r="J110" s="756">
        <f t="shared" si="2"/>
        <v>0</v>
      </c>
      <c r="K110" s="756"/>
      <c r="L110" s="761"/>
      <c r="M110" s="756">
        <f t="shared" si="3"/>
        <v>0</v>
      </c>
      <c r="N110" s="761"/>
      <c r="O110" s="756">
        <f t="shared" si="4"/>
        <v>0</v>
      </c>
      <c r="P110" s="756">
        <f t="shared" si="5"/>
        <v>0</v>
      </c>
      <c r="Q110" s="697"/>
    </row>
    <row r="111" spans="1:17">
      <c r="B111" s="348"/>
      <c r="C111" s="752">
        <f>IF(D96="","-",+C110+1)</f>
        <v>9</v>
      </c>
      <c r="D111" s="696">
        <f t="shared" si="6"/>
        <v>0</v>
      </c>
      <c r="E111" s="759">
        <f t="shared" si="7"/>
        <v>0</v>
      </c>
      <c r="F111" s="759">
        <f t="shared" si="0"/>
        <v>0</v>
      </c>
      <c r="G111" s="696">
        <f t="shared" si="1"/>
        <v>0</v>
      </c>
      <c r="H111" s="753">
        <f>+J97*G111+E111</f>
        <v>0</v>
      </c>
      <c r="I111" s="760">
        <f>+J98*G111+E111</f>
        <v>0</v>
      </c>
      <c r="J111" s="756">
        <f t="shared" si="2"/>
        <v>0</v>
      </c>
      <c r="K111" s="756"/>
      <c r="L111" s="761"/>
      <c r="M111" s="756">
        <f t="shared" si="3"/>
        <v>0</v>
      </c>
      <c r="N111" s="761"/>
      <c r="O111" s="756">
        <f t="shared" si="4"/>
        <v>0</v>
      </c>
      <c r="P111" s="756">
        <f t="shared" si="5"/>
        <v>0</v>
      </c>
      <c r="Q111" s="697"/>
    </row>
    <row r="112" spans="1:17">
      <c r="B112" s="348"/>
      <c r="C112" s="752">
        <f>IF(D96="","-",+C111+1)</f>
        <v>10</v>
      </c>
      <c r="D112" s="696">
        <f t="shared" si="6"/>
        <v>0</v>
      </c>
      <c r="E112" s="759">
        <f t="shared" si="7"/>
        <v>0</v>
      </c>
      <c r="F112" s="759">
        <f t="shared" si="0"/>
        <v>0</v>
      </c>
      <c r="G112" s="696">
        <f t="shared" si="1"/>
        <v>0</v>
      </c>
      <c r="H112" s="753">
        <f>+J97*G112+E112</f>
        <v>0</v>
      </c>
      <c r="I112" s="760">
        <f>+J98*G112+E112</f>
        <v>0</v>
      </c>
      <c r="J112" s="756">
        <f t="shared" si="2"/>
        <v>0</v>
      </c>
      <c r="K112" s="756"/>
      <c r="L112" s="761"/>
      <c r="M112" s="756">
        <f t="shared" si="3"/>
        <v>0</v>
      </c>
      <c r="N112" s="761"/>
      <c r="O112" s="756">
        <f t="shared" si="4"/>
        <v>0</v>
      </c>
      <c r="P112" s="756">
        <f t="shared" si="5"/>
        <v>0</v>
      </c>
      <c r="Q112" s="697"/>
    </row>
    <row r="113" spans="2:17">
      <c r="B113" s="348"/>
      <c r="C113" s="752">
        <f>IF(D96="","-",+C112+1)</f>
        <v>11</v>
      </c>
      <c r="D113" s="696">
        <f t="shared" si="6"/>
        <v>0</v>
      </c>
      <c r="E113" s="759">
        <f t="shared" si="7"/>
        <v>0</v>
      </c>
      <c r="F113" s="759">
        <f t="shared" si="0"/>
        <v>0</v>
      </c>
      <c r="G113" s="696">
        <f t="shared" si="1"/>
        <v>0</v>
      </c>
      <c r="H113" s="753">
        <f>+J97*G113+E113</f>
        <v>0</v>
      </c>
      <c r="I113" s="760">
        <f>+J98*G113+E113</f>
        <v>0</v>
      </c>
      <c r="J113" s="756">
        <f t="shared" si="2"/>
        <v>0</v>
      </c>
      <c r="K113" s="756"/>
      <c r="L113" s="761"/>
      <c r="M113" s="756">
        <f t="shared" si="3"/>
        <v>0</v>
      </c>
      <c r="N113" s="761"/>
      <c r="O113" s="756">
        <f t="shared" si="4"/>
        <v>0</v>
      </c>
      <c r="P113" s="756">
        <f t="shared" si="5"/>
        <v>0</v>
      </c>
      <c r="Q113" s="697"/>
    </row>
    <row r="114" spans="2:17">
      <c r="B114" s="348"/>
      <c r="C114" s="752">
        <f>IF(D96="","-",+C113+1)</f>
        <v>12</v>
      </c>
      <c r="D114" s="696">
        <f t="shared" si="6"/>
        <v>0</v>
      </c>
      <c r="E114" s="759">
        <f t="shared" si="7"/>
        <v>0</v>
      </c>
      <c r="F114" s="759">
        <f t="shared" si="0"/>
        <v>0</v>
      </c>
      <c r="G114" s="696">
        <f t="shared" si="1"/>
        <v>0</v>
      </c>
      <c r="H114" s="753">
        <f>+J97*G114+E114</f>
        <v>0</v>
      </c>
      <c r="I114" s="760">
        <f>+J98*G114+E114</f>
        <v>0</v>
      </c>
      <c r="J114" s="756">
        <f t="shared" si="2"/>
        <v>0</v>
      </c>
      <c r="K114" s="756"/>
      <c r="L114" s="761"/>
      <c r="M114" s="756">
        <f t="shared" si="3"/>
        <v>0</v>
      </c>
      <c r="N114" s="761"/>
      <c r="O114" s="756">
        <f t="shared" si="4"/>
        <v>0</v>
      </c>
      <c r="P114" s="756">
        <f t="shared" si="5"/>
        <v>0</v>
      </c>
      <c r="Q114" s="697"/>
    </row>
    <row r="115" spans="2:17">
      <c r="B115" s="348"/>
      <c r="C115" s="752">
        <f>IF(D96="","-",+C114+1)</f>
        <v>13</v>
      </c>
      <c r="D115" s="696">
        <f t="shared" si="6"/>
        <v>0</v>
      </c>
      <c r="E115" s="759">
        <f t="shared" si="7"/>
        <v>0</v>
      </c>
      <c r="F115" s="759">
        <f t="shared" si="0"/>
        <v>0</v>
      </c>
      <c r="G115" s="696">
        <f t="shared" si="1"/>
        <v>0</v>
      </c>
      <c r="H115" s="753">
        <f>+J97*G115+E115</f>
        <v>0</v>
      </c>
      <c r="I115" s="760">
        <f>+J98*G115+E115</f>
        <v>0</v>
      </c>
      <c r="J115" s="756">
        <f t="shared" si="2"/>
        <v>0</v>
      </c>
      <c r="K115" s="756"/>
      <c r="L115" s="761"/>
      <c r="M115" s="756">
        <f t="shared" si="3"/>
        <v>0</v>
      </c>
      <c r="N115" s="761"/>
      <c r="O115" s="756">
        <f t="shared" si="4"/>
        <v>0</v>
      </c>
      <c r="P115" s="756">
        <f t="shared" si="5"/>
        <v>0</v>
      </c>
      <c r="Q115" s="697"/>
    </row>
    <row r="116" spans="2:17">
      <c r="B116" s="348"/>
      <c r="C116" s="752">
        <f>IF(D96="","-",+C115+1)</f>
        <v>14</v>
      </c>
      <c r="D116" s="696">
        <f t="shared" si="6"/>
        <v>0</v>
      </c>
      <c r="E116" s="759">
        <f t="shared" si="7"/>
        <v>0</v>
      </c>
      <c r="F116" s="759">
        <f t="shared" si="0"/>
        <v>0</v>
      </c>
      <c r="G116" s="696">
        <f t="shared" si="1"/>
        <v>0</v>
      </c>
      <c r="H116" s="753">
        <f>+J97*G116+E116</f>
        <v>0</v>
      </c>
      <c r="I116" s="760">
        <f>+J98*G116+E116</f>
        <v>0</v>
      </c>
      <c r="J116" s="756">
        <f t="shared" si="2"/>
        <v>0</v>
      </c>
      <c r="K116" s="756"/>
      <c r="L116" s="761"/>
      <c r="M116" s="756">
        <f t="shared" si="3"/>
        <v>0</v>
      </c>
      <c r="N116" s="761"/>
      <c r="O116" s="756">
        <f t="shared" si="4"/>
        <v>0</v>
      </c>
      <c r="P116" s="756">
        <f t="shared" si="5"/>
        <v>0</v>
      </c>
      <c r="Q116" s="697"/>
    </row>
    <row r="117" spans="2:17">
      <c r="B117" s="348"/>
      <c r="C117" s="752">
        <f>IF(D96="","-",+C116+1)</f>
        <v>15</v>
      </c>
      <c r="D117" s="696">
        <f t="shared" si="6"/>
        <v>0</v>
      </c>
      <c r="E117" s="759">
        <f t="shared" si="7"/>
        <v>0</v>
      </c>
      <c r="F117" s="759">
        <f t="shared" si="0"/>
        <v>0</v>
      </c>
      <c r="G117" s="696">
        <f t="shared" si="1"/>
        <v>0</v>
      </c>
      <c r="H117" s="753">
        <f>+J97*G117+E117</f>
        <v>0</v>
      </c>
      <c r="I117" s="760">
        <f>+J98*G117+E117</f>
        <v>0</v>
      </c>
      <c r="J117" s="756">
        <f t="shared" si="2"/>
        <v>0</v>
      </c>
      <c r="K117" s="756"/>
      <c r="L117" s="761"/>
      <c r="M117" s="756">
        <f t="shared" si="3"/>
        <v>0</v>
      </c>
      <c r="N117" s="761"/>
      <c r="O117" s="756">
        <f t="shared" si="4"/>
        <v>0</v>
      </c>
      <c r="P117" s="756">
        <f t="shared" si="5"/>
        <v>0</v>
      </c>
      <c r="Q117" s="697"/>
    </row>
    <row r="118" spans="2:17">
      <c r="B118" s="348"/>
      <c r="C118" s="752">
        <f>IF(D96="","-",+C117+1)</f>
        <v>16</v>
      </c>
      <c r="D118" s="696">
        <f t="shared" si="6"/>
        <v>0</v>
      </c>
      <c r="E118" s="759">
        <f t="shared" si="7"/>
        <v>0</v>
      </c>
      <c r="F118" s="759">
        <f t="shared" si="0"/>
        <v>0</v>
      </c>
      <c r="G118" s="696">
        <f t="shared" si="1"/>
        <v>0</v>
      </c>
      <c r="H118" s="753">
        <f>+J97*G118+E118</f>
        <v>0</v>
      </c>
      <c r="I118" s="760">
        <f>+J98*G118+E118</f>
        <v>0</v>
      </c>
      <c r="J118" s="756">
        <f t="shared" si="2"/>
        <v>0</v>
      </c>
      <c r="K118" s="756"/>
      <c r="L118" s="761"/>
      <c r="M118" s="756">
        <f t="shared" si="3"/>
        <v>0</v>
      </c>
      <c r="N118" s="761"/>
      <c r="O118" s="756">
        <f t="shared" si="4"/>
        <v>0</v>
      </c>
      <c r="P118" s="756">
        <f t="shared" si="5"/>
        <v>0</v>
      </c>
      <c r="Q118" s="697"/>
    </row>
    <row r="119" spans="2:17">
      <c r="B119" s="348"/>
      <c r="C119" s="752">
        <f>IF(D96="","-",+C118+1)</f>
        <v>17</v>
      </c>
      <c r="D119" s="696">
        <f t="shared" si="6"/>
        <v>0</v>
      </c>
      <c r="E119" s="759">
        <f t="shared" si="7"/>
        <v>0</v>
      </c>
      <c r="F119" s="759">
        <f t="shared" si="0"/>
        <v>0</v>
      </c>
      <c r="G119" s="696">
        <f t="shared" si="1"/>
        <v>0</v>
      </c>
      <c r="H119" s="753">
        <f>+J97*G119+E119</f>
        <v>0</v>
      </c>
      <c r="I119" s="760">
        <f>+J98*G119+E119</f>
        <v>0</v>
      </c>
      <c r="J119" s="756">
        <f t="shared" si="2"/>
        <v>0</v>
      </c>
      <c r="K119" s="756"/>
      <c r="L119" s="761"/>
      <c r="M119" s="756">
        <f t="shared" si="3"/>
        <v>0</v>
      </c>
      <c r="N119" s="761"/>
      <c r="O119" s="756">
        <f t="shared" si="4"/>
        <v>0</v>
      </c>
      <c r="P119" s="756">
        <f t="shared" si="5"/>
        <v>0</v>
      </c>
      <c r="Q119" s="697"/>
    </row>
    <row r="120" spans="2:17">
      <c r="B120" s="348"/>
      <c r="C120" s="752">
        <f>IF(D96="","-",+C119+1)</f>
        <v>18</v>
      </c>
      <c r="D120" s="696">
        <f t="shared" si="6"/>
        <v>0</v>
      </c>
      <c r="E120" s="759">
        <f t="shared" si="7"/>
        <v>0</v>
      </c>
      <c r="F120" s="759">
        <f t="shared" si="0"/>
        <v>0</v>
      </c>
      <c r="G120" s="696">
        <f t="shared" si="1"/>
        <v>0</v>
      </c>
      <c r="H120" s="753">
        <f>+J97*G120+E120</f>
        <v>0</v>
      </c>
      <c r="I120" s="760">
        <f>+J98*G120+E120</f>
        <v>0</v>
      </c>
      <c r="J120" s="756">
        <f t="shared" si="2"/>
        <v>0</v>
      </c>
      <c r="K120" s="756"/>
      <c r="L120" s="761"/>
      <c r="M120" s="756">
        <f t="shared" si="3"/>
        <v>0</v>
      </c>
      <c r="N120" s="761"/>
      <c r="O120" s="756">
        <f t="shared" si="4"/>
        <v>0</v>
      </c>
      <c r="P120" s="756">
        <f t="shared" si="5"/>
        <v>0</v>
      </c>
      <c r="Q120" s="697"/>
    </row>
    <row r="121" spans="2:17">
      <c r="B121" s="348"/>
      <c r="C121" s="752">
        <f>IF(D96="","-",+C120+1)</f>
        <v>19</v>
      </c>
      <c r="D121" s="696">
        <f t="shared" si="6"/>
        <v>0</v>
      </c>
      <c r="E121" s="759">
        <f t="shared" si="7"/>
        <v>0</v>
      </c>
      <c r="F121" s="759">
        <f t="shared" si="0"/>
        <v>0</v>
      </c>
      <c r="G121" s="696">
        <f t="shared" si="1"/>
        <v>0</v>
      </c>
      <c r="H121" s="753">
        <f>+J97*G121+E121</f>
        <v>0</v>
      </c>
      <c r="I121" s="760">
        <f>+J98*G121+E121</f>
        <v>0</v>
      </c>
      <c r="J121" s="756">
        <f t="shared" si="2"/>
        <v>0</v>
      </c>
      <c r="K121" s="756"/>
      <c r="L121" s="761"/>
      <c r="M121" s="756">
        <f t="shared" si="3"/>
        <v>0</v>
      </c>
      <c r="N121" s="761"/>
      <c r="O121" s="756">
        <f t="shared" si="4"/>
        <v>0</v>
      </c>
      <c r="P121" s="756">
        <f t="shared" si="5"/>
        <v>0</v>
      </c>
      <c r="Q121" s="697"/>
    </row>
    <row r="122" spans="2:17">
      <c r="B122" s="348"/>
      <c r="C122" s="752">
        <f>IF(D96="","-",+C121+1)</f>
        <v>20</v>
      </c>
      <c r="D122" s="696">
        <f t="shared" si="6"/>
        <v>0</v>
      </c>
      <c r="E122" s="759">
        <f t="shared" si="7"/>
        <v>0</v>
      </c>
      <c r="F122" s="759">
        <f t="shared" si="0"/>
        <v>0</v>
      </c>
      <c r="G122" s="696">
        <f t="shared" si="1"/>
        <v>0</v>
      </c>
      <c r="H122" s="753">
        <f>+J97*G122+E122</f>
        <v>0</v>
      </c>
      <c r="I122" s="760">
        <f>+J98*G122+E122</f>
        <v>0</v>
      </c>
      <c r="J122" s="756">
        <f t="shared" si="2"/>
        <v>0</v>
      </c>
      <c r="K122" s="756"/>
      <c r="L122" s="761"/>
      <c r="M122" s="756">
        <f t="shared" si="3"/>
        <v>0</v>
      </c>
      <c r="N122" s="761"/>
      <c r="O122" s="756">
        <f t="shared" si="4"/>
        <v>0</v>
      </c>
      <c r="P122" s="756">
        <f t="shared" si="5"/>
        <v>0</v>
      </c>
      <c r="Q122" s="697"/>
    </row>
    <row r="123" spans="2:17">
      <c r="B123" s="348"/>
      <c r="C123" s="752">
        <f>IF(D96="","-",+C122+1)</f>
        <v>21</v>
      </c>
      <c r="D123" s="696">
        <f t="shared" si="6"/>
        <v>0</v>
      </c>
      <c r="E123" s="759">
        <f t="shared" si="7"/>
        <v>0</v>
      </c>
      <c r="F123" s="759">
        <f t="shared" si="0"/>
        <v>0</v>
      </c>
      <c r="G123" s="696">
        <f t="shared" si="1"/>
        <v>0</v>
      </c>
      <c r="H123" s="753">
        <f>+J97*G123+E123</f>
        <v>0</v>
      </c>
      <c r="I123" s="760">
        <f>+J98*G123+E123</f>
        <v>0</v>
      </c>
      <c r="J123" s="756">
        <f t="shared" si="2"/>
        <v>0</v>
      </c>
      <c r="K123" s="756"/>
      <c r="L123" s="761"/>
      <c r="M123" s="756">
        <f t="shared" si="3"/>
        <v>0</v>
      </c>
      <c r="N123" s="761"/>
      <c r="O123" s="756">
        <f t="shared" si="4"/>
        <v>0</v>
      </c>
      <c r="P123" s="756">
        <f t="shared" si="5"/>
        <v>0</v>
      </c>
      <c r="Q123" s="697"/>
    </row>
    <row r="124" spans="2:17">
      <c r="B124" s="348"/>
      <c r="C124" s="752">
        <f>IF(D96="","-",+C123+1)</f>
        <v>22</v>
      </c>
      <c r="D124" s="696">
        <f t="shared" si="6"/>
        <v>0</v>
      </c>
      <c r="E124" s="759">
        <f t="shared" si="7"/>
        <v>0</v>
      </c>
      <c r="F124" s="759">
        <f t="shared" si="0"/>
        <v>0</v>
      </c>
      <c r="G124" s="696">
        <f t="shared" si="1"/>
        <v>0</v>
      </c>
      <c r="H124" s="753">
        <f>+J97*G124+E124</f>
        <v>0</v>
      </c>
      <c r="I124" s="760">
        <f>+J98*G124+E124</f>
        <v>0</v>
      </c>
      <c r="J124" s="756">
        <f t="shared" si="2"/>
        <v>0</v>
      </c>
      <c r="K124" s="756"/>
      <c r="L124" s="761"/>
      <c r="M124" s="756">
        <f t="shared" si="3"/>
        <v>0</v>
      </c>
      <c r="N124" s="761"/>
      <c r="O124" s="756">
        <f t="shared" si="4"/>
        <v>0</v>
      </c>
      <c r="P124" s="756">
        <f t="shared" si="5"/>
        <v>0</v>
      </c>
      <c r="Q124" s="697"/>
    </row>
    <row r="125" spans="2:17">
      <c r="B125" s="348"/>
      <c r="C125" s="752">
        <f>IF(D96="","-",+C124+1)</f>
        <v>23</v>
      </c>
      <c r="D125" s="696">
        <f t="shared" si="6"/>
        <v>0</v>
      </c>
      <c r="E125" s="759">
        <f t="shared" si="7"/>
        <v>0</v>
      </c>
      <c r="F125" s="759">
        <f t="shared" si="0"/>
        <v>0</v>
      </c>
      <c r="G125" s="696">
        <f t="shared" si="1"/>
        <v>0</v>
      </c>
      <c r="H125" s="753">
        <f>+J97*G125+E125</f>
        <v>0</v>
      </c>
      <c r="I125" s="760">
        <f>+J98*G125+E125</f>
        <v>0</v>
      </c>
      <c r="J125" s="756">
        <f t="shared" si="2"/>
        <v>0</v>
      </c>
      <c r="K125" s="756"/>
      <c r="L125" s="761"/>
      <c r="M125" s="756">
        <f t="shared" si="3"/>
        <v>0</v>
      </c>
      <c r="N125" s="761"/>
      <c r="O125" s="756">
        <f t="shared" si="4"/>
        <v>0</v>
      </c>
      <c r="P125" s="756">
        <f t="shared" si="5"/>
        <v>0</v>
      </c>
      <c r="Q125" s="697"/>
    </row>
    <row r="126" spans="2:17">
      <c r="B126" s="348"/>
      <c r="C126" s="752">
        <f>IF(D96="","-",+C125+1)</f>
        <v>24</v>
      </c>
      <c r="D126" s="696">
        <f t="shared" si="6"/>
        <v>0</v>
      </c>
      <c r="E126" s="759">
        <f t="shared" si="7"/>
        <v>0</v>
      </c>
      <c r="F126" s="759">
        <f t="shared" si="0"/>
        <v>0</v>
      </c>
      <c r="G126" s="696">
        <f t="shared" si="1"/>
        <v>0</v>
      </c>
      <c r="H126" s="753">
        <f>+J97*G126+E126</f>
        <v>0</v>
      </c>
      <c r="I126" s="760">
        <f>+J98*G126+E126</f>
        <v>0</v>
      </c>
      <c r="J126" s="756">
        <f t="shared" si="2"/>
        <v>0</v>
      </c>
      <c r="K126" s="756"/>
      <c r="L126" s="761"/>
      <c r="M126" s="756">
        <f t="shared" si="3"/>
        <v>0</v>
      </c>
      <c r="N126" s="761"/>
      <c r="O126" s="756">
        <f t="shared" si="4"/>
        <v>0</v>
      </c>
      <c r="P126" s="756">
        <f t="shared" si="5"/>
        <v>0</v>
      </c>
      <c r="Q126" s="697"/>
    </row>
    <row r="127" spans="2:17">
      <c r="B127" s="348"/>
      <c r="C127" s="752">
        <f>IF(D96="","-",+C126+1)</f>
        <v>25</v>
      </c>
      <c r="D127" s="696">
        <f t="shared" si="6"/>
        <v>0</v>
      </c>
      <c r="E127" s="759">
        <f t="shared" si="7"/>
        <v>0</v>
      </c>
      <c r="F127" s="759">
        <f t="shared" si="0"/>
        <v>0</v>
      </c>
      <c r="G127" s="696">
        <f t="shared" si="1"/>
        <v>0</v>
      </c>
      <c r="H127" s="753">
        <f>+J97*G127+E127</f>
        <v>0</v>
      </c>
      <c r="I127" s="760">
        <f>+J98*G127+E127</f>
        <v>0</v>
      </c>
      <c r="J127" s="756">
        <f t="shared" si="2"/>
        <v>0</v>
      </c>
      <c r="K127" s="756"/>
      <c r="L127" s="761"/>
      <c r="M127" s="756">
        <f t="shared" si="3"/>
        <v>0</v>
      </c>
      <c r="N127" s="761"/>
      <c r="O127" s="756">
        <f t="shared" si="4"/>
        <v>0</v>
      </c>
      <c r="P127" s="756">
        <f t="shared" si="5"/>
        <v>0</v>
      </c>
      <c r="Q127" s="697"/>
    </row>
    <row r="128" spans="2:17">
      <c r="B128" s="348"/>
      <c r="C128" s="752">
        <f>IF(D96="","-",+C127+1)</f>
        <v>26</v>
      </c>
      <c r="D128" s="696">
        <f t="shared" si="6"/>
        <v>0</v>
      </c>
      <c r="E128" s="759">
        <f t="shared" si="7"/>
        <v>0</v>
      </c>
      <c r="F128" s="759">
        <f t="shared" si="0"/>
        <v>0</v>
      </c>
      <c r="G128" s="696">
        <f t="shared" si="1"/>
        <v>0</v>
      </c>
      <c r="H128" s="753">
        <f>+J97*G128+E128</f>
        <v>0</v>
      </c>
      <c r="I128" s="760">
        <f>+J98*G128+E128</f>
        <v>0</v>
      </c>
      <c r="J128" s="756">
        <f t="shared" si="2"/>
        <v>0</v>
      </c>
      <c r="K128" s="756"/>
      <c r="L128" s="761"/>
      <c r="M128" s="756">
        <f t="shared" si="3"/>
        <v>0</v>
      </c>
      <c r="N128" s="761"/>
      <c r="O128" s="756">
        <f t="shared" si="4"/>
        <v>0</v>
      </c>
      <c r="P128" s="756">
        <f t="shared" si="5"/>
        <v>0</v>
      </c>
      <c r="Q128" s="697"/>
    </row>
    <row r="129" spans="2:17">
      <c r="B129" s="348"/>
      <c r="C129" s="752">
        <f>IF(D96="","-",+C128+1)</f>
        <v>27</v>
      </c>
      <c r="D129" s="696">
        <f t="shared" si="6"/>
        <v>0</v>
      </c>
      <c r="E129" s="759">
        <f t="shared" si="7"/>
        <v>0</v>
      </c>
      <c r="F129" s="759">
        <f t="shared" si="0"/>
        <v>0</v>
      </c>
      <c r="G129" s="696">
        <f t="shared" si="1"/>
        <v>0</v>
      </c>
      <c r="H129" s="753">
        <f>+J97*G129+E129</f>
        <v>0</v>
      </c>
      <c r="I129" s="760">
        <f>+J98*G129+E129</f>
        <v>0</v>
      </c>
      <c r="J129" s="756">
        <f t="shared" si="2"/>
        <v>0</v>
      </c>
      <c r="K129" s="756"/>
      <c r="L129" s="761"/>
      <c r="M129" s="756">
        <f t="shared" si="3"/>
        <v>0</v>
      </c>
      <c r="N129" s="761"/>
      <c r="O129" s="756">
        <f t="shared" si="4"/>
        <v>0</v>
      </c>
      <c r="P129" s="756">
        <f t="shared" si="5"/>
        <v>0</v>
      </c>
      <c r="Q129" s="697"/>
    </row>
    <row r="130" spans="2:17">
      <c r="B130" s="348"/>
      <c r="C130" s="752">
        <f>IF(D96="","-",+C129+1)</f>
        <v>28</v>
      </c>
      <c r="D130" s="696">
        <f t="shared" si="6"/>
        <v>0</v>
      </c>
      <c r="E130" s="759">
        <f t="shared" si="7"/>
        <v>0</v>
      </c>
      <c r="F130" s="759">
        <f t="shared" si="0"/>
        <v>0</v>
      </c>
      <c r="G130" s="696">
        <f t="shared" si="1"/>
        <v>0</v>
      </c>
      <c r="H130" s="753">
        <f>+J97*G130+E130</f>
        <v>0</v>
      </c>
      <c r="I130" s="760">
        <f>+J98*G130+E130</f>
        <v>0</v>
      </c>
      <c r="J130" s="756">
        <f t="shared" si="2"/>
        <v>0</v>
      </c>
      <c r="K130" s="756"/>
      <c r="L130" s="761"/>
      <c r="M130" s="756">
        <f t="shared" si="3"/>
        <v>0</v>
      </c>
      <c r="N130" s="761"/>
      <c r="O130" s="756">
        <f t="shared" si="4"/>
        <v>0</v>
      </c>
      <c r="P130" s="756">
        <f t="shared" si="5"/>
        <v>0</v>
      </c>
      <c r="Q130" s="697"/>
    </row>
    <row r="131" spans="2:17">
      <c r="B131" s="348"/>
      <c r="C131" s="752">
        <f>IF(D96="","-",+C130+1)</f>
        <v>29</v>
      </c>
      <c r="D131" s="696">
        <f t="shared" si="6"/>
        <v>0</v>
      </c>
      <c r="E131" s="759">
        <f t="shared" si="7"/>
        <v>0</v>
      </c>
      <c r="F131" s="759">
        <f t="shared" si="0"/>
        <v>0</v>
      </c>
      <c r="G131" s="696">
        <f t="shared" si="1"/>
        <v>0</v>
      </c>
      <c r="H131" s="753">
        <f>+J97*G131+E131</f>
        <v>0</v>
      </c>
      <c r="I131" s="760">
        <f>+J98*G131+E131</f>
        <v>0</v>
      </c>
      <c r="J131" s="756">
        <f t="shared" si="2"/>
        <v>0</v>
      </c>
      <c r="K131" s="756"/>
      <c r="L131" s="761"/>
      <c r="M131" s="756">
        <f t="shared" si="3"/>
        <v>0</v>
      </c>
      <c r="N131" s="761"/>
      <c r="O131" s="756">
        <f t="shared" si="4"/>
        <v>0</v>
      </c>
      <c r="P131" s="756">
        <f t="shared" si="5"/>
        <v>0</v>
      </c>
      <c r="Q131" s="697"/>
    </row>
    <row r="132" spans="2:17">
      <c r="B132" s="348"/>
      <c r="C132" s="752">
        <f>IF(D96="","-",+C131+1)</f>
        <v>30</v>
      </c>
      <c r="D132" s="696">
        <f t="shared" si="6"/>
        <v>0</v>
      </c>
      <c r="E132" s="759">
        <f t="shared" si="7"/>
        <v>0</v>
      </c>
      <c r="F132" s="759">
        <f t="shared" si="0"/>
        <v>0</v>
      </c>
      <c r="G132" s="696">
        <f t="shared" si="1"/>
        <v>0</v>
      </c>
      <c r="H132" s="753">
        <f>+J97*G132+E132</f>
        <v>0</v>
      </c>
      <c r="I132" s="760">
        <f>+J98*G132+E132</f>
        <v>0</v>
      </c>
      <c r="J132" s="756">
        <f t="shared" si="2"/>
        <v>0</v>
      </c>
      <c r="K132" s="756"/>
      <c r="L132" s="761"/>
      <c r="M132" s="756">
        <f t="shared" si="3"/>
        <v>0</v>
      </c>
      <c r="N132" s="761"/>
      <c r="O132" s="756">
        <f t="shared" si="4"/>
        <v>0</v>
      </c>
      <c r="P132" s="756">
        <f t="shared" si="5"/>
        <v>0</v>
      </c>
      <c r="Q132" s="697"/>
    </row>
    <row r="133" spans="2:17">
      <c r="B133" s="348"/>
      <c r="C133" s="752">
        <f>IF(D96="","-",+C132+1)</f>
        <v>31</v>
      </c>
      <c r="D133" s="696">
        <f t="shared" si="6"/>
        <v>0</v>
      </c>
      <c r="E133" s="759">
        <f t="shared" si="7"/>
        <v>0</v>
      </c>
      <c r="F133" s="759">
        <f t="shared" si="0"/>
        <v>0</v>
      </c>
      <c r="G133" s="696">
        <f t="shared" si="1"/>
        <v>0</v>
      </c>
      <c r="H133" s="753">
        <f>+J97*G133+E133</f>
        <v>0</v>
      </c>
      <c r="I133" s="760">
        <f>+J98*G133+E133</f>
        <v>0</v>
      </c>
      <c r="J133" s="756">
        <f t="shared" si="2"/>
        <v>0</v>
      </c>
      <c r="K133" s="756"/>
      <c r="L133" s="761"/>
      <c r="M133" s="756">
        <f t="shared" si="3"/>
        <v>0</v>
      </c>
      <c r="N133" s="761"/>
      <c r="O133" s="756">
        <f t="shared" si="4"/>
        <v>0</v>
      </c>
      <c r="P133" s="756">
        <f t="shared" si="5"/>
        <v>0</v>
      </c>
      <c r="Q133" s="697"/>
    </row>
    <row r="134" spans="2:17">
      <c r="B134" s="348"/>
      <c r="C134" s="752">
        <f>IF(D96="","-",+C133+1)</f>
        <v>32</v>
      </c>
      <c r="D134" s="696">
        <f t="shared" si="6"/>
        <v>0</v>
      </c>
      <c r="E134" s="759">
        <f t="shared" si="7"/>
        <v>0</v>
      </c>
      <c r="F134" s="759">
        <f t="shared" ref="F134:F161" si="8">+D134-E134</f>
        <v>0</v>
      </c>
      <c r="G134" s="696">
        <f t="shared" ref="G134:G161" si="9">+(D134+F134)/2</f>
        <v>0</v>
      </c>
      <c r="H134" s="753">
        <f>+J97*G134+E134</f>
        <v>0</v>
      </c>
      <c r="I134" s="760">
        <f>+J98*G134+E134</f>
        <v>0</v>
      </c>
      <c r="J134" s="756">
        <f t="shared" ref="J134:J161" si="10">+I134-H134</f>
        <v>0</v>
      </c>
      <c r="K134" s="756"/>
      <c r="L134" s="761"/>
      <c r="M134" s="756">
        <f t="shared" ref="M134:M161" si="11">IF(L134&lt;&gt;0,+H134-L134,0)</f>
        <v>0</v>
      </c>
      <c r="N134" s="761"/>
      <c r="O134" s="756">
        <f t="shared" ref="O134:O161" si="12">IF(N134&lt;&gt;0,+I134-N134,0)</f>
        <v>0</v>
      </c>
      <c r="P134" s="756">
        <f t="shared" ref="P134:P161" si="13">+O134-M134</f>
        <v>0</v>
      </c>
      <c r="Q134" s="697"/>
    </row>
    <row r="135" spans="2:17">
      <c r="B135" s="348"/>
      <c r="C135" s="752">
        <f>IF(D96="","-",+C134+1)</f>
        <v>33</v>
      </c>
      <c r="D135" s="696">
        <f t="shared" ref="D135:D161" si="14">F134</f>
        <v>0</v>
      </c>
      <c r="E135" s="759">
        <f t="shared" ref="E135:E161" si="15">IF(D135&gt;$J$99,$J$99,D135)</f>
        <v>0</v>
      </c>
      <c r="F135" s="759">
        <f t="shared" si="8"/>
        <v>0</v>
      </c>
      <c r="G135" s="696">
        <f t="shared" si="9"/>
        <v>0</v>
      </c>
      <c r="H135" s="753">
        <f>+J97*G135+E135</f>
        <v>0</v>
      </c>
      <c r="I135" s="760">
        <f>+J98*G135+E135</f>
        <v>0</v>
      </c>
      <c r="J135" s="756">
        <f t="shared" si="10"/>
        <v>0</v>
      </c>
      <c r="K135" s="756"/>
      <c r="L135" s="761"/>
      <c r="M135" s="756">
        <f t="shared" si="11"/>
        <v>0</v>
      </c>
      <c r="N135" s="761"/>
      <c r="O135" s="756">
        <f t="shared" si="12"/>
        <v>0</v>
      </c>
      <c r="P135" s="756">
        <f t="shared" si="13"/>
        <v>0</v>
      </c>
      <c r="Q135" s="697"/>
    </row>
    <row r="136" spans="2:17">
      <c r="B136" s="348"/>
      <c r="C136" s="752">
        <f>IF(D96="","-",+C135+1)</f>
        <v>34</v>
      </c>
      <c r="D136" s="696">
        <f t="shared" si="14"/>
        <v>0</v>
      </c>
      <c r="E136" s="759">
        <f t="shared" si="15"/>
        <v>0</v>
      </c>
      <c r="F136" s="759">
        <f t="shared" si="8"/>
        <v>0</v>
      </c>
      <c r="G136" s="696">
        <f t="shared" si="9"/>
        <v>0</v>
      </c>
      <c r="H136" s="753">
        <f>+J97*G136+E136</f>
        <v>0</v>
      </c>
      <c r="I136" s="760">
        <f>+J98*G136+E136</f>
        <v>0</v>
      </c>
      <c r="J136" s="756">
        <f t="shared" si="10"/>
        <v>0</v>
      </c>
      <c r="K136" s="756"/>
      <c r="L136" s="761"/>
      <c r="M136" s="756">
        <f t="shared" si="11"/>
        <v>0</v>
      </c>
      <c r="N136" s="761"/>
      <c r="O136" s="756">
        <f t="shared" si="12"/>
        <v>0</v>
      </c>
      <c r="P136" s="756">
        <f t="shared" si="13"/>
        <v>0</v>
      </c>
      <c r="Q136" s="697"/>
    </row>
    <row r="137" spans="2:17">
      <c r="B137" s="348"/>
      <c r="C137" s="752">
        <f>IF(D96="","-",+C136+1)</f>
        <v>35</v>
      </c>
      <c r="D137" s="696">
        <f t="shared" si="14"/>
        <v>0</v>
      </c>
      <c r="E137" s="759">
        <f t="shared" si="15"/>
        <v>0</v>
      </c>
      <c r="F137" s="759">
        <f t="shared" si="8"/>
        <v>0</v>
      </c>
      <c r="G137" s="696">
        <f t="shared" si="9"/>
        <v>0</v>
      </c>
      <c r="H137" s="753">
        <f>+J97*G137+E137</f>
        <v>0</v>
      </c>
      <c r="I137" s="760">
        <f>+J98*G137+E137</f>
        <v>0</v>
      </c>
      <c r="J137" s="756">
        <f t="shared" si="10"/>
        <v>0</v>
      </c>
      <c r="K137" s="756"/>
      <c r="L137" s="761"/>
      <c r="M137" s="756">
        <f t="shared" si="11"/>
        <v>0</v>
      </c>
      <c r="N137" s="761"/>
      <c r="O137" s="756">
        <f t="shared" si="12"/>
        <v>0</v>
      </c>
      <c r="P137" s="756">
        <f t="shared" si="13"/>
        <v>0</v>
      </c>
      <c r="Q137" s="697"/>
    </row>
    <row r="138" spans="2:17">
      <c r="B138" s="348"/>
      <c r="C138" s="752">
        <f>IF(D96="","-",+C137+1)</f>
        <v>36</v>
      </c>
      <c r="D138" s="696">
        <f t="shared" si="14"/>
        <v>0</v>
      </c>
      <c r="E138" s="759">
        <f t="shared" si="15"/>
        <v>0</v>
      </c>
      <c r="F138" s="759">
        <f t="shared" si="8"/>
        <v>0</v>
      </c>
      <c r="G138" s="696">
        <f t="shared" si="9"/>
        <v>0</v>
      </c>
      <c r="H138" s="753">
        <f>+J97*G138+E138</f>
        <v>0</v>
      </c>
      <c r="I138" s="760">
        <f>+J98*G138+E138</f>
        <v>0</v>
      </c>
      <c r="J138" s="756">
        <f t="shared" si="10"/>
        <v>0</v>
      </c>
      <c r="K138" s="756"/>
      <c r="L138" s="761"/>
      <c r="M138" s="756">
        <f t="shared" si="11"/>
        <v>0</v>
      </c>
      <c r="N138" s="761"/>
      <c r="O138" s="756">
        <f t="shared" si="12"/>
        <v>0</v>
      </c>
      <c r="P138" s="756">
        <f t="shared" si="13"/>
        <v>0</v>
      </c>
      <c r="Q138" s="697"/>
    </row>
    <row r="139" spans="2:17">
      <c r="B139" s="348"/>
      <c r="C139" s="752">
        <f>IF(D96="","-",+C138+1)</f>
        <v>37</v>
      </c>
      <c r="D139" s="696">
        <f t="shared" si="14"/>
        <v>0</v>
      </c>
      <c r="E139" s="759">
        <f t="shared" si="15"/>
        <v>0</v>
      </c>
      <c r="F139" s="759">
        <f t="shared" si="8"/>
        <v>0</v>
      </c>
      <c r="G139" s="696">
        <f t="shared" si="9"/>
        <v>0</v>
      </c>
      <c r="H139" s="753">
        <f>+J97*G139+E139</f>
        <v>0</v>
      </c>
      <c r="I139" s="760">
        <f>+J98*G139+E139</f>
        <v>0</v>
      </c>
      <c r="J139" s="756">
        <f t="shared" si="10"/>
        <v>0</v>
      </c>
      <c r="K139" s="756"/>
      <c r="L139" s="761"/>
      <c r="M139" s="756">
        <f t="shared" si="11"/>
        <v>0</v>
      </c>
      <c r="N139" s="761"/>
      <c r="O139" s="756">
        <f t="shared" si="12"/>
        <v>0</v>
      </c>
      <c r="P139" s="756">
        <f t="shared" si="13"/>
        <v>0</v>
      </c>
      <c r="Q139" s="697"/>
    </row>
    <row r="140" spans="2:17">
      <c r="B140" s="348"/>
      <c r="C140" s="752">
        <f>IF(D96="","-",+C139+1)</f>
        <v>38</v>
      </c>
      <c r="D140" s="696">
        <f t="shared" si="14"/>
        <v>0</v>
      </c>
      <c r="E140" s="759">
        <f t="shared" si="15"/>
        <v>0</v>
      </c>
      <c r="F140" s="759">
        <f t="shared" si="8"/>
        <v>0</v>
      </c>
      <c r="G140" s="696">
        <f t="shared" si="9"/>
        <v>0</v>
      </c>
      <c r="H140" s="753">
        <f>+J97*G140+E140</f>
        <v>0</v>
      </c>
      <c r="I140" s="760">
        <f>+J98*G140+E140</f>
        <v>0</v>
      </c>
      <c r="J140" s="756">
        <f t="shared" si="10"/>
        <v>0</v>
      </c>
      <c r="K140" s="756"/>
      <c r="L140" s="761"/>
      <c r="M140" s="756">
        <f t="shared" si="11"/>
        <v>0</v>
      </c>
      <c r="N140" s="761"/>
      <c r="O140" s="756">
        <f t="shared" si="12"/>
        <v>0</v>
      </c>
      <c r="P140" s="756">
        <f t="shared" si="13"/>
        <v>0</v>
      </c>
      <c r="Q140" s="697"/>
    </row>
    <row r="141" spans="2:17">
      <c r="B141" s="348"/>
      <c r="C141" s="752">
        <f>IF(D96="","-",+C140+1)</f>
        <v>39</v>
      </c>
      <c r="D141" s="696">
        <f t="shared" si="14"/>
        <v>0</v>
      </c>
      <c r="E141" s="759">
        <f t="shared" si="15"/>
        <v>0</v>
      </c>
      <c r="F141" s="759">
        <f t="shared" si="8"/>
        <v>0</v>
      </c>
      <c r="G141" s="696">
        <f t="shared" si="9"/>
        <v>0</v>
      </c>
      <c r="H141" s="753">
        <f>+J97*G141+E141</f>
        <v>0</v>
      </c>
      <c r="I141" s="760">
        <f>+J98*G141+E141</f>
        <v>0</v>
      </c>
      <c r="J141" s="756">
        <f t="shared" si="10"/>
        <v>0</v>
      </c>
      <c r="K141" s="756"/>
      <c r="L141" s="761"/>
      <c r="M141" s="756">
        <f t="shared" si="11"/>
        <v>0</v>
      </c>
      <c r="N141" s="761"/>
      <c r="O141" s="756">
        <f t="shared" si="12"/>
        <v>0</v>
      </c>
      <c r="P141" s="756">
        <f t="shared" si="13"/>
        <v>0</v>
      </c>
      <c r="Q141" s="697"/>
    </row>
    <row r="142" spans="2:17">
      <c r="B142" s="348"/>
      <c r="C142" s="752">
        <f>IF(D96="","-",+C141+1)</f>
        <v>40</v>
      </c>
      <c r="D142" s="696">
        <f t="shared" si="14"/>
        <v>0</v>
      </c>
      <c r="E142" s="759">
        <f t="shared" si="15"/>
        <v>0</v>
      </c>
      <c r="F142" s="759">
        <f t="shared" si="8"/>
        <v>0</v>
      </c>
      <c r="G142" s="696">
        <f t="shared" si="9"/>
        <v>0</v>
      </c>
      <c r="H142" s="753">
        <f>+J97*G142+E142</f>
        <v>0</v>
      </c>
      <c r="I142" s="760">
        <f>+J98*G142+E142</f>
        <v>0</v>
      </c>
      <c r="J142" s="756">
        <f t="shared" si="10"/>
        <v>0</v>
      </c>
      <c r="K142" s="756"/>
      <c r="L142" s="761"/>
      <c r="M142" s="756">
        <f t="shared" si="11"/>
        <v>0</v>
      </c>
      <c r="N142" s="761"/>
      <c r="O142" s="756">
        <f t="shared" si="12"/>
        <v>0</v>
      </c>
      <c r="P142" s="756">
        <f t="shared" si="13"/>
        <v>0</v>
      </c>
      <c r="Q142" s="697"/>
    </row>
    <row r="143" spans="2:17">
      <c r="B143" s="348"/>
      <c r="C143" s="752">
        <f>IF(D96="","-",+C142+1)</f>
        <v>41</v>
      </c>
      <c r="D143" s="696">
        <f t="shared" si="14"/>
        <v>0</v>
      </c>
      <c r="E143" s="759">
        <f t="shared" si="15"/>
        <v>0</v>
      </c>
      <c r="F143" s="759">
        <f t="shared" si="8"/>
        <v>0</v>
      </c>
      <c r="G143" s="696">
        <f t="shared" si="9"/>
        <v>0</v>
      </c>
      <c r="H143" s="753">
        <f>+J97*G143+E143</f>
        <v>0</v>
      </c>
      <c r="I143" s="760">
        <f>+J98*G143+E143</f>
        <v>0</v>
      </c>
      <c r="J143" s="756">
        <f t="shared" si="10"/>
        <v>0</v>
      </c>
      <c r="K143" s="756"/>
      <c r="L143" s="761"/>
      <c r="M143" s="756">
        <f t="shared" si="11"/>
        <v>0</v>
      </c>
      <c r="N143" s="761"/>
      <c r="O143" s="756">
        <f t="shared" si="12"/>
        <v>0</v>
      </c>
      <c r="P143" s="756">
        <f t="shared" si="13"/>
        <v>0</v>
      </c>
      <c r="Q143" s="697"/>
    </row>
    <row r="144" spans="2:17">
      <c r="B144" s="348"/>
      <c r="C144" s="752">
        <f>IF(D96="","-",+C143+1)</f>
        <v>42</v>
      </c>
      <c r="D144" s="696">
        <f t="shared" si="14"/>
        <v>0</v>
      </c>
      <c r="E144" s="759">
        <f t="shared" si="15"/>
        <v>0</v>
      </c>
      <c r="F144" s="759">
        <f t="shared" si="8"/>
        <v>0</v>
      </c>
      <c r="G144" s="696">
        <f t="shared" si="9"/>
        <v>0</v>
      </c>
      <c r="H144" s="753">
        <f>+J97*G144+E144</f>
        <v>0</v>
      </c>
      <c r="I144" s="760">
        <f>+J98*G144+E144</f>
        <v>0</v>
      </c>
      <c r="J144" s="756">
        <f t="shared" si="10"/>
        <v>0</v>
      </c>
      <c r="K144" s="756"/>
      <c r="L144" s="761"/>
      <c r="M144" s="756">
        <f t="shared" si="11"/>
        <v>0</v>
      </c>
      <c r="N144" s="761"/>
      <c r="O144" s="756">
        <f t="shared" si="12"/>
        <v>0</v>
      </c>
      <c r="P144" s="756">
        <f t="shared" si="13"/>
        <v>0</v>
      </c>
      <c r="Q144" s="697"/>
    </row>
    <row r="145" spans="2:17">
      <c r="B145" s="348"/>
      <c r="C145" s="752">
        <f>IF(D96="","-",+C144+1)</f>
        <v>43</v>
      </c>
      <c r="D145" s="696">
        <f t="shared" si="14"/>
        <v>0</v>
      </c>
      <c r="E145" s="759">
        <f t="shared" si="15"/>
        <v>0</v>
      </c>
      <c r="F145" s="759">
        <f t="shared" si="8"/>
        <v>0</v>
      </c>
      <c r="G145" s="696">
        <f t="shared" si="9"/>
        <v>0</v>
      </c>
      <c r="H145" s="753">
        <f>+J97*G145+E145</f>
        <v>0</v>
      </c>
      <c r="I145" s="760">
        <f>+J98*G145+E145</f>
        <v>0</v>
      </c>
      <c r="J145" s="756">
        <f t="shared" si="10"/>
        <v>0</v>
      </c>
      <c r="K145" s="756"/>
      <c r="L145" s="761"/>
      <c r="M145" s="756">
        <f t="shared" si="11"/>
        <v>0</v>
      </c>
      <c r="N145" s="761"/>
      <c r="O145" s="756">
        <f t="shared" si="12"/>
        <v>0</v>
      </c>
      <c r="P145" s="756">
        <f t="shared" si="13"/>
        <v>0</v>
      </c>
      <c r="Q145" s="697"/>
    </row>
    <row r="146" spans="2:17">
      <c r="B146" s="348"/>
      <c r="C146" s="752">
        <f>IF(D96="","-",+C145+1)</f>
        <v>44</v>
      </c>
      <c r="D146" s="696">
        <f t="shared" si="14"/>
        <v>0</v>
      </c>
      <c r="E146" s="759">
        <f t="shared" si="15"/>
        <v>0</v>
      </c>
      <c r="F146" s="759">
        <f t="shared" si="8"/>
        <v>0</v>
      </c>
      <c r="G146" s="696">
        <f t="shared" si="9"/>
        <v>0</v>
      </c>
      <c r="H146" s="753">
        <f>+J97*G146+E146</f>
        <v>0</v>
      </c>
      <c r="I146" s="760">
        <f>+J98*G146+E146</f>
        <v>0</v>
      </c>
      <c r="J146" s="756">
        <f t="shared" si="10"/>
        <v>0</v>
      </c>
      <c r="K146" s="756"/>
      <c r="L146" s="761"/>
      <c r="M146" s="756">
        <f t="shared" si="11"/>
        <v>0</v>
      </c>
      <c r="N146" s="761"/>
      <c r="O146" s="756">
        <f t="shared" si="12"/>
        <v>0</v>
      </c>
      <c r="P146" s="756">
        <f t="shared" si="13"/>
        <v>0</v>
      </c>
      <c r="Q146" s="697"/>
    </row>
    <row r="147" spans="2:17">
      <c r="B147" s="348"/>
      <c r="C147" s="752">
        <f>IF(D96="","-",+C146+1)</f>
        <v>45</v>
      </c>
      <c r="D147" s="696">
        <f t="shared" si="14"/>
        <v>0</v>
      </c>
      <c r="E147" s="759">
        <f t="shared" si="15"/>
        <v>0</v>
      </c>
      <c r="F147" s="759">
        <f t="shared" si="8"/>
        <v>0</v>
      </c>
      <c r="G147" s="696">
        <f t="shared" si="9"/>
        <v>0</v>
      </c>
      <c r="H147" s="753">
        <f>+J97*G147+E147</f>
        <v>0</v>
      </c>
      <c r="I147" s="760">
        <f>+J98*G147+E147</f>
        <v>0</v>
      </c>
      <c r="J147" s="756">
        <f t="shared" si="10"/>
        <v>0</v>
      </c>
      <c r="K147" s="756"/>
      <c r="L147" s="761"/>
      <c r="M147" s="756">
        <f t="shared" si="11"/>
        <v>0</v>
      </c>
      <c r="N147" s="761"/>
      <c r="O147" s="756">
        <f t="shared" si="12"/>
        <v>0</v>
      </c>
      <c r="P147" s="756">
        <f t="shared" si="13"/>
        <v>0</v>
      </c>
      <c r="Q147" s="697"/>
    </row>
    <row r="148" spans="2:17">
      <c r="B148" s="348"/>
      <c r="C148" s="752">
        <f>IF(D96="","-",+C147+1)</f>
        <v>46</v>
      </c>
      <c r="D148" s="696">
        <f t="shared" si="14"/>
        <v>0</v>
      </c>
      <c r="E148" s="759">
        <f t="shared" si="15"/>
        <v>0</v>
      </c>
      <c r="F148" s="759">
        <f t="shared" si="8"/>
        <v>0</v>
      </c>
      <c r="G148" s="696">
        <f t="shared" si="9"/>
        <v>0</v>
      </c>
      <c r="H148" s="753">
        <f>+J97*G148+E148</f>
        <v>0</v>
      </c>
      <c r="I148" s="760">
        <f>+J98*G148+E148</f>
        <v>0</v>
      </c>
      <c r="J148" s="756">
        <f t="shared" si="10"/>
        <v>0</v>
      </c>
      <c r="K148" s="756"/>
      <c r="L148" s="761"/>
      <c r="M148" s="756">
        <f t="shared" si="11"/>
        <v>0</v>
      </c>
      <c r="N148" s="761"/>
      <c r="O148" s="756">
        <f t="shared" si="12"/>
        <v>0</v>
      </c>
      <c r="P148" s="756">
        <f t="shared" si="13"/>
        <v>0</v>
      </c>
      <c r="Q148" s="697"/>
    </row>
    <row r="149" spans="2:17">
      <c r="B149" s="348"/>
      <c r="C149" s="752">
        <f>IF(D96="","-",+C148+1)</f>
        <v>47</v>
      </c>
      <c r="D149" s="696">
        <f t="shared" si="14"/>
        <v>0</v>
      </c>
      <c r="E149" s="759">
        <f t="shared" si="15"/>
        <v>0</v>
      </c>
      <c r="F149" s="759">
        <f t="shared" si="8"/>
        <v>0</v>
      </c>
      <c r="G149" s="696">
        <f t="shared" si="9"/>
        <v>0</v>
      </c>
      <c r="H149" s="753">
        <f>+J97*G149+E149</f>
        <v>0</v>
      </c>
      <c r="I149" s="760">
        <f>+J98*G149+E149</f>
        <v>0</v>
      </c>
      <c r="J149" s="756">
        <f t="shared" si="10"/>
        <v>0</v>
      </c>
      <c r="K149" s="756"/>
      <c r="L149" s="761"/>
      <c r="M149" s="756">
        <f t="shared" si="11"/>
        <v>0</v>
      </c>
      <c r="N149" s="761"/>
      <c r="O149" s="756">
        <f t="shared" si="12"/>
        <v>0</v>
      </c>
      <c r="P149" s="756">
        <f t="shared" si="13"/>
        <v>0</v>
      </c>
      <c r="Q149" s="697"/>
    </row>
    <row r="150" spans="2:17">
      <c r="B150" s="348"/>
      <c r="C150" s="752">
        <f>IF(D96="","-",+C149+1)</f>
        <v>48</v>
      </c>
      <c r="D150" s="696">
        <f t="shared" si="14"/>
        <v>0</v>
      </c>
      <c r="E150" s="759">
        <f t="shared" si="15"/>
        <v>0</v>
      </c>
      <c r="F150" s="759">
        <f t="shared" si="8"/>
        <v>0</v>
      </c>
      <c r="G150" s="696">
        <f t="shared" si="9"/>
        <v>0</v>
      </c>
      <c r="H150" s="753">
        <f>+J97*G150+E150</f>
        <v>0</v>
      </c>
      <c r="I150" s="760">
        <f>+J98*G150+E150</f>
        <v>0</v>
      </c>
      <c r="J150" s="756">
        <f t="shared" si="10"/>
        <v>0</v>
      </c>
      <c r="K150" s="756"/>
      <c r="L150" s="761"/>
      <c r="M150" s="756">
        <f t="shared" si="11"/>
        <v>0</v>
      </c>
      <c r="N150" s="761"/>
      <c r="O150" s="756">
        <f t="shared" si="12"/>
        <v>0</v>
      </c>
      <c r="P150" s="756">
        <f t="shared" si="13"/>
        <v>0</v>
      </c>
      <c r="Q150" s="697"/>
    </row>
    <row r="151" spans="2:17">
      <c r="B151" s="348"/>
      <c r="C151" s="752">
        <f>IF(D96="","-",+C150+1)</f>
        <v>49</v>
      </c>
      <c r="D151" s="696">
        <f t="shared" si="14"/>
        <v>0</v>
      </c>
      <c r="E151" s="759">
        <f t="shared" si="15"/>
        <v>0</v>
      </c>
      <c r="F151" s="759">
        <f t="shared" si="8"/>
        <v>0</v>
      </c>
      <c r="G151" s="696">
        <f t="shared" si="9"/>
        <v>0</v>
      </c>
      <c r="H151" s="753">
        <f>+J97*G151+E151</f>
        <v>0</v>
      </c>
      <c r="I151" s="760">
        <f>+J98*G151+E151</f>
        <v>0</v>
      </c>
      <c r="J151" s="756">
        <f t="shared" si="10"/>
        <v>0</v>
      </c>
      <c r="K151" s="756"/>
      <c r="L151" s="761"/>
      <c r="M151" s="756">
        <f t="shared" si="11"/>
        <v>0</v>
      </c>
      <c r="N151" s="761"/>
      <c r="O151" s="756">
        <f t="shared" si="12"/>
        <v>0</v>
      </c>
      <c r="P151" s="756">
        <f t="shared" si="13"/>
        <v>0</v>
      </c>
      <c r="Q151" s="697"/>
    </row>
    <row r="152" spans="2:17">
      <c r="B152" s="348"/>
      <c r="C152" s="752">
        <f>IF(D96="","-",+C151+1)</f>
        <v>50</v>
      </c>
      <c r="D152" s="696">
        <f t="shared" si="14"/>
        <v>0</v>
      </c>
      <c r="E152" s="759">
        <f t="shared" si="15"/>
        <v>0</v>
      </c>
      <c r="F152" s="759">
        <f t="shared" si="8"/>
        <v>0</v>
      </c>
      <c r="G152" s="696">
        <f t="shared" si="9"/>
        <v>0</v>
      </c>
      <c r="H152" s="753">
        <f>+J97*G152+E152</f>
        <v>0</v>
      </c>
      <c r="I152" s="760">
        <f>+J98*G152+E152</f>
        <v>0</v>
      </c>
      <c r="J152" s="756">
        <f t="shared" si="10"/>
        <v>0</v>
      </c>
      <c r="K152" s="756"/>
      <c r="L152" s="761"/>
      <c r="M152" s="756">
        <f t="shared" si="11"/>
        <v>0</v>
      </c>
      <c r="N152" s="761"/>
      <c r="O152" s="756">
        <f t="shared" si="12"/>
        <v>0</v>
      </c>
      <c r="P152" s="756">
        <f t="shared" si="13"/>
        <v>0</v>
      </c>
      <c r="Q152" s="697"/>
    </row>
    <row r="153" spans="2:17">
      <c r="B153" s="348"/>
      <c r="C153" s="752">
        <f>IF(D96="","-",+C152+1)</f>
        <v>51</v>
      </c>
      <c r="D153" s="696">
        <f t="shared" si="14"/>
        <v>0</v>
      </c>
      <c r="E153" s="759">
        <f t="shared" si="15"/>
        <v>0</v>
      </c>
      <c r="F153" s="759">
        <f t="shared" si="8"/>
        <v>0</v>
      </c>
      <c r="G153" s="696">
        <v>0</v>
      </c>
      <c r="H153" s="753">
        <f>+J97*G153+E153</f>
        <v>0</v>
      </c>
      <c r="I153" s="760">
        <f>+J98*G153+E153</f>
        <v>0</v>
      </c>
      <c r="J153" s="756">
        <f t="shared" si="10"/>
        <v>0</v>
      </c>
      <c r="K153" s="756"/>
      <c r="L153" s="761"/>
      <c r="M153" s="756">
        <f t="shared" si="11"/>
        <v>0</v>
      </c>
      <c r="N153" s="761"/>
      <c r="O153" s="756">
        <f t="shared" si="12"/>
        <v>0</v>
      </c>
      <c r="P153" s="756">
        <f t="shared" si="13"/>
        <v>0</v>
      </c>
      <c r="Q153" s="697"/>
    </row>
    <row r="154" spans="2:17">
      <c r="B154" s="348"/>
      <c r="C154" s="752">
        <f>IF(D96="","-",+C153+1)</f>
        <v>52</v>
      </c>
      <c r="D154" s="696">
        <f t="shared" si="14"/>
        <v>0</v>
      </c>
      <c r="E154" s="759">
        <f t="shared" si="15"/>
        <v>0</v>
      </c>
      <c r="F154" s="759">
        <f t="shared" si="8"/>
        <v>0</v>
      </c>
      <c r="G154" s="696">
        <f>'WS O - PBOP'!H41</f>
        <v>0</v>
      </c>
      <c r="H154" s="753">
        <f>+J97*G154+E154</f>
        <v>0</v>
      </c>
      <c r="I154" s="760">
        <f>+J98*G154+E154</f>
        <v>0</v>
      </c>
      <c r="J154" s="756">
        <f t="shared" si="10"/>
        <v>0</v>
      </c>
      <c r="K154" s="756"/>
      <c r="L154" s="761"/>
      <c r="M154" s="756">
        <f t="shared" si="11"/>
        <v>0</v>
      </c>
      <c r="N154" s="761"/>
      <c r="O154" s="756">
        <f t="shared" si="12"/>
        <v>0</v>
      </c>
      <c r="P154" s="756">
        <f t="shared" si="13"/>
        <v>0</v>
      </c>
      <c r="Q154" s="697"/>
    </row>
    <row r="155" spans="2:17">
      <c r="B155" s="348"/>
      <c r="C155" s="752">
        <f>IF(D96="","-",+C154+1)</f>
        <v>53</v>
      </c>
      <c r="D155" s="696">
        <f t="shared" si="14"/>
        <v>0</v>
      </c>
      <c r="E155" s="759">
        <f t="shared" si="15"/>
        <v>0</v>
      </c>
      <c r="F155" s="759">
        <f t="shared" si="8"/>
        <v>0</v>
      </c>
      <c r="G155" s="696">
        <v>0</v>
      </c>
      <c r="H155" s="753">
        <f>+J97*G155+E155</f>
        <v>0</v>
      </c>
      <c r="I155" s="760">
        <f>+J98*G155+E155</f>
        <v>0</v>
      </c>
      <c r="J155" s="756">
        <f t="shared" si="10"/>
        <v>0</v>
      </c>
      <c r="K155" s="756"/>
      <c r="L155" s="761"/>
      <c r="M155" s="756">
        <f t="shared" si="11"/>
        <v>0</v>
      </c>
      <c r="N155" s="761"/>
      <c r="O155" s="756">
        <f t="shared" si="12"/>
        <v>0</v>
      </c>
      <c r="P155" s="756">
        <f t="shared" si="13"/>
        <v>0</v>
      </c>
      <c r="Q155" s="697"/>
    </row>
    <row r="156" spans="2:17">
      <c r="B156" s="348"/>
      <c r="C156" s="752">
        <f>IF(D96="","-",+C155+1)</f>
        <v>54</v>
      </c>
      <c r="D156" s="696">
        <f t="shared" si="14"/>
        <v>0</v>
      </c>
      <c r="E156" s="759">
        <f t="shared" si="15"/>
        <v>0</v>
      </c>
      <c r="F156" s="759">
        <f t="shared" si="8"/>
        <v>0</v>
      </c>
      <c r="G156" s="696">
        <f t="shared" si="9"/>
        <v>0</v>
      </c>
      <c r="H156" s="753">
        <f>+J97*G156+E156</f>
        <v>0</v>
      </c>
      <c r="I156" s="760">
        <f>+J98*G156+E156</f>
        <v>0</v>
      </c>
      <c r="J156" s="756">
        <f t="shared" si="10"/>
        <v>0</v>
      </c>
      <c r="K156" s="756"/>
      <c r="L156" s="761"/>
      <c r="M156" s="756">
        <f t="shared" si="11"/>
        <v>0</v>
      </c>
      <c r="N156" s="761"/>
      <c r="O156" s="756">
        <f t="shared" si="12"/>
        <v>0</v>
      </c>
      <c r="P156" s="756">
        <f t="shared" si="13"/>
        <v>0</v>
      </c>
      <c r="Q156" s="697"/>
    </row>
    <row r="157" spans="2:17">
      <c r="B157" s="348"/>
      <c r="C157" s="752">
        <f>IF(D96="","-",+C156+1)</f>
        <v>55</v>
      </c>
      <c r="D157" s="696">
        <f t="shared" si="14"/>
        <v>0</v>
      </c>
      <c r="E157" s="759">
        <f t="shared" si="15"/>
        <v>0</v>
      </c>
      <c r="F157" s="759">
        <f t="shared" si="8"/>
        <v>0</v>
      </c>
      <c r="G157" s="696">
        <f t="shared" si="9"/>
        <v>0</v>
      </c>
      <c r="H157" s="753">
        <f>+J97*G157+E157</f>
        <v>0</v>
      </c>
      <c r="I157" s="760">
        <f>+J98*G157+E157</f>
        <v>0</v>
      </c>
      <c r="J157" s="756">
        <f t="shared" si="10"/>
        <v>0</v>
      </c>
      <c r="K157" s="756"/>
      <c r="L157" s="761"/>
      <c r="M157" s="756">
        <f t="shared" si="11"/>
        <v>0</v>
      </c>
      <c r="N157" s="761"/>
      <c r="O157" s="756">
        <f t="shared" si="12"/>
        <v>0</v>
      </c>
      <c r="P157" s="756">
        <f t="shared" si="13"/>
        <v>0</v>
      </c>
      <c r="Q157" s="697"/>
    </row>
    <row r="158" spans="2:17">
      <c r="B158" s="348"/>
      <c r="C158" s="752">
        <f>IF(D96="","-",+C157+1)</f>
        <v>56</v>
      </c>
      <c r="D158" s="696">
        <f t="shared" si="14"/>
        <v>0</v>
      </c>
      <c r="E158" s="759">
        <f t="shared" si="15"/>
        <v>0</v>
      </c>
      <c r="F158" s="759">
        <f t="shared" si="8"/>
        <v>0</v>
      </c>
      <c r="G158" s="696">
        <f t="shared" si="9"/>
        <v>0</v>
      </c>
      <c r="H158" s="753">
        <f>+J97*G158+E158</f>
        <v>0</v>
      </c>
      <c r="I158" s="760">
        <f>+J98*G158+E158</f>
        <v>0</v>
      </c>
      <c r="J158" s="756">
        <f t="shared" si="10"/>
        <v>0</v>
      </c>
      <c r="K158" s="756"/>
      <c r="L158" s="761"/>
      <c r="M158" s="756">
        <f t="shared" si="11"/>
        <v>0</v>
      </c>
      <c r="N158" s="761"/>
      <c r="O158" s="756">
        <f t="shared" si="12"/>
        <v>0</v>
      </c>
      <c r="P158" s="756">
        <f t="shared" si="13"/>
        <v>0</v>
      </c>
      <c r="Q158" s="697"/>
    </row>
    <row r="159" spans="2:17">
      <c r="B159" s="348"/>
      <c r="C159" s="752">
        <f>IF(D96="","-",+C158+1)</f>
        <v>57</v>
      </c>
      <c r="D159" s="696">
        <f t="shared" si="14"/>
        <v>0</v>
      </c>
      <c r="E159" s="759">
        <f t="shared" si="15"/>
        <v>0</v>
      </c>
      <c r="F159" s="759">
        <f t="shared" si="8"/>
        <v>0</v>
      </c>
      <c r="G159" s="696">
        <f t="shared" si="9"/>
        <v>0</v>
      </c>
      <c r="H159" s="753">
        <f>+J97*G159+E159</f>
        <v>0</v>
      </c>
      <c r="I159" s="760">
        <f>+J98*G159+E159</f>
        <v>0</v>
      </c>
      <c r="J159" s="756">
        <f t="shared" si="10"/>
        <v>0</v>
      </c>
      <c r="K159" s="756"/>
      <c r="L159" s="761"/>
      <c r="M159" s="756">
        <f t="shared" si="11"/>
        <v>0</v>
      </c>
      <c r="N159" s="761"/>
      <c r="O159" s="756">
        <f t="shared" si="12"/>
        <v>0</v>
      </c>
      <c r="P159" s="756">
        <f t="shared" si="13"/>
        <v>0</v>
      </c>
      <c r="Q159" s="697"/>
    </row>
    <row r="160" spans="2:17">
      <c r="B160" s="348"/>
      <c r="C160" s="752">
        <f>IF(D96="","-",+C159+1)</f>
        <v>58</v>
      </c>
      <c r="D160" s="696">
        <f t="shared" si="14"/>
        <v>0</v>
      </c>
      <c r="E160" s="759">
        <f t="shared" si="15"/>
        <v>0</v>
      </c>
      <c r="F160" s="759">
        <f t="shared" si="8"/>
        <v>0</v>
      </c>
      <c r="G160" s="696">
        <f t="shared" si="9"/>
        <v>0</v>
      </c>
      <c r="H160" s="753">
        <f>+J97*G160+E160</f>
        <v>0</v>
      </c>
      <c r="I160" s="760">
        <f>+J98*G160+E160</f>
        <v>0</v>
      </c>
      <c r="J160" s="756">
        <f t="shared" si="10"/>
        <v>0</v>
      </c>
      <c r="K160" s="756"/>
      <c r="L160" s="761"/>
      <c r="M160" s="756">
        <f t="shared" si="11"/>
        <v>0</v>
      </c>
      <c r="N160" s="761"/>
      <c r="O160" s="756">
        <f t="shared" si="12"/>
        <v>0</v>
      </c>
      <c r="P160" s="756">
        <f t="shared" si="13"/>
        <v>0</v>
      </c>
      <c r="Q160" s="697"/>
    </row>
    <row r="161" spans="2:17" ht="13.5" thickBot="1">
      <c r="B161" s="348"/>
      <c r="C161" s="764">
        <f>IF(D96="","-",+C160+1)</f>
        <v>59</v>
      </c>
      <c r="D161" s="765">
        <f t="shared" si="14"/>
        <v>0</v>
      </c>
      <c r="E161" s="766">
        <f t="shared" si="15"/>
        <v>0</v>
      </c>
      <c r="F161" s="766">
        <f t="shared" si="8"/>
        <v>0</v>
      </c>
      <c r="G161" s="765">
        <f t="shared" si="9"/>
        <v>0</v>
      </c>
      <c r="H161" s="767">
        <f>+J97*G161+E161</f>
        <v>0</v>
      </c>
      <c r="I161" s="767">
        <f>+J98*G161+E161</f>
        <v>0</v>
      </c>
      <c r="J161" s="768">
        <f t="shared" si="10"/>
        <v>0</v>
      </c>
      <c r="K161" s="756"/>
      <c r="L161" s="769"/>
      <c r="M161" s="768">
        <f t="shared" si="11"/>
        <v>0</v>
      </c>
      <c r="N161" s="769"/>
      <c r="O161" s="768">
        <f t="shared" si="12"/>
        <v>0</v>
      </c>
      <c r="P161" s="768">
        <f t="shared" si="13"/>
        <v>0</v>
      </c>
      <c r="Q161" s="697"/>
    </row>
    <row r="162" spans="2:17">
      <c r="B162" s="348"/>
      <c r="C162" s="696" t="s">
        <v>290</v>
      </c>
      <c r="D162" s="692"/>
      <c r="E162" s="692">
        <f>SUM(E102:E161)</f>
        <v>0</v>
      </c>
      <c r="F162" s="692"/>
      <c r="G162" s="692"/>
      <c r="H162" s="692">
        <f>SUM(H102:H161)</f>
        <v>0</v>
      </c>
      <c r="I162" s="692">
        <f>SUM(I102:I161)</f>
        <v>0</v>
      </c>
      <c r="J162" s="692">
        <f>SUM(J102:J161)</f>
        <v>0</v>
      </c>
      <c r="K162" s="692"/>
      <c r="L162" s="692"/>
      <c r="M162" s="692"/>
      <c r="N162" s="692"/>
      <c r="O162" s="692"/>
      <c r="Q162" s="692"/>
    </row>
    <row r="163" spans="2:17">
      <c r="B163" s="348"/>
      <c r="D163" s="586"/>
      <c r="E163" s="563"/>
      <c r="F163" s="563"/>
      <c r="G163" s="563"/>
      <c r="H163" s="563"/>
      <c r="I163" s="669"/>
      <c r="J163" s="669"/>
      <c r="K163" s="692"/>
      <c r="L163" s="669"/>
      <c r="M163" s="669"/>
      <c r="N163" s="669"/>
      <c r="O163" s="669"/>
      <c r="Q163" s="692"/>
    </row>
    <row r="164" spans="2:17">
      <c r="B164" s="348"/>
      <c r="C164" s="563" t="s">
        <v>603</v>
      </c>
      <c r="D164" s="586"/>
      <c r="E164" s="563"/>
      <c r="F164" s="563"/>
      <c r="G164" s="558" t="s">
        <v>116</v>
      </c>
      <c r="H164" s="563"/>
      <c r="I164" s="669"/>
      <c r="J164" s="669"/>
      <c r="K164" s="692"/>
      <c r="L164" s="669"/>
      <c r="M164" s="669"/>
      <c r="N164" s="669"/>
      <c r="O164" s="669"/>
      <c r="Q164" s="692"/>
    </row>
    <row r="165" spans="2:17">
      <c r="B165" s="348"/>
      <c r="D165" s="586"/>
      <c r="E165" s="563"/>
      <c r="F165" s="563"/>
      <c r="G165" s="563"/>
      <c r="H165" s="563"/>
      <c r="I165" s="669"/>
      <c r="J165" s="669"/>
      <c r="K165" s="692"/>
      <c r="L165" s="669"/>
      <c r="M165" s="669"/>
      <c r="N165" s="669"/>
      <c r="O165" s="669"/>
      <c r="Q165" s="692"/>
    </row>
    <row r="166" spans="2:17">
      <c r="B166" s="348"/>
      <c r="C166" s="599" t="s">
        <v>604</v>
      </c>
      <c r="D166" s="696"/>
      <c r="E166" s="696"/>
      <c r="F166" s="696"/>
      <c r="G166" s="696"/>
      <c r="H166" s="692"/>
      <c r="I166" s="692"/>
      <c r="J166" s="697"/>
      <c r="K166" s="697"/>
      <c r="L166" s="697"/>
      <c r="M166" s="697"/>
      <c r="N166" s="697"/>
      <c r="O166" s="697"/>
      <c r="Q166" s="697"/>
    </row>
    <row r="167" spans="2:17">
      <c r="B167" s="348"/>
      <c r="C167" s="599" t="s">
        <v>478</v>
      </c>
      <c r="D167" s="696"/>
      <c r="E167" s="696"/>
      <c r="F167" s="696"/>
      <c r="G167" s="696"/>
      <c r="H167" s="692"/>
      <c r="I167" s="692"/>
      <c r="J167" s="697"/>
      <c r="K167" s="697"/>
      <c r="L167" s="697"/>
      <c r="M167" s="697"/>
      <c r="N167" s="697"/>
      <c r="O167" s="697"/>
      <c r="Q167" s="697"/>
    </row>
    <row r="168" spans="2:17">
      <c r="B168" s="348"/>
      <c r="C168" s="599" t="s">
        <v>291</v>
      </c>
      <c r="D168" s="696"/>
      <c r="E168" s="696"/>
      <c r="F168" s="696"/>
      <c r="G168" s="696"/>
      <c r="H168" s="692"/>
      <c r="I168" s="692"/>
      <c r="J168" s="697"/>
      <c r="K168" s="697"/>
      <c r="L168" s="697"/>
      <c r="M168" s="697"/>
      <c r="N168" s="697"/>
      <c r="O168" s="697"/>
      <c r="Q168" s="697"/>
    </row>
    <row r="169" spans="2:17">
      <c r="B169" s="348"/>
      <c r="Q169" s="348"/>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16"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D47"/>
  <sheetViews>
    <sheetView view="pageBreakPreview" zoomScaleNormal="100" zoomScaleSheetLayoutView="100" workbookViewId="0">
      <selection activeCell="A3" sqref="A3"/>
    </sheetView>
  </sheetViews>
  <sheetFormatPr defaultColWidth="9.140625" defaultRowHeight="12.75"/>
  <cols>
    <col min="1" max="1" width="9.140625" style="32"/>
    <col min="2" max="2" width="37.5703125" style="187" customWidth="1"/>
    <col min="3" max="3" width="31.5703125" style="184" customWidth="1"/>
    <col min="4" max="4" width="14.85546875" style="184" customWidth="1"/>
    <col min="5" max="5" width="18" style="184" customWidth="1"/>
    <col min="6" max="7" width="11.140625" style="184" bestFit="1" customWidth="1"/>
    <col min="8" max="8" width="11.140625" style="261" bestFit="1" customWidth="1"/>
    <col min="9" max="16384" width="9.140625" style="184"/>
  </cols>
  <sheetData>
    <row r="1" spans="1:30" ht="15.75">
      <c r="A1" s="933" t="s">
        <v>116</v>
      </c>
    </row>
    <row r="2" spans="1:30" ht="15.75">
      <c r="A2" s="933" t="s">
        <v>116</v>
      </c>
    </row>
    <row r="3" spans="1:30" ht="15">
      <c r="B3" s="1543" t="s">
        <v>389</v>
      </c>
      <c r="C3" s="1543"/>
      <c r="D3" s="1543"/>
      <c r="E3" s="1543"/>
      <c r="F3" s="1543"/>
      <c r="G3" s="40"/>
      <c r="H3" s="257"/>
      <c r="I3" s="40"/>
      <c r="J3" s="40"/>
      <c r="K3" s="40"/>
      <c r="L3" s="40"/>
      <c r="M3" s="40"/>
      <c r="N3" s="40"/>
      <c r="O3" s="40"/>
      <c r="P3" s="40"/>
    </row>
    <row r="4" spans="1:30" ht="15">
      <c r="B4" s="1544" t="str">
        <f>"Cost of Service Formula Rate Using "&amp;TCOS!L4&amp;" FF1 Balances"</f>
        <v>Cost of Service Formula Rate Using 2024 FF1 Balances</v>
      </c>
      <c r="C4" s="1544"/>
      <c r="D4" s="1544"/>
      <c r="E4" s="1544"/>
      <c r="F4" s="1544"/>
      <c r="G4" s="95"/>
      <c r="H4" s="258"/>
      <c r="I4" s="95"/>
      <c r="J4" s="95"/>
      <c r="K4" s="95"/>
      <c r="L4" s="95"/>
      <c r="M4" s="95"/>
      <c r="N4" s="95"/>
      <c r="O4" s="95"/>
      <c r="P4" s="95"/>
    </row>
    <row r="5" spans="1:30" ht="18">
      <c r="B5" s="1543" t="s">
        <v>550</v>
      </c>
      <c r="C5" s="1543"/>
      <c r="D5" s="1543"/>
      <c r="E5" s="1543"/>
      <c r="F5" s="1543"/>
      <c r="G5" s="154"/>
      <c r="H5" s="259"/>
      <c r="I5" s="154"/>
      <c r="J5" s="154"/>
      <c r="K5" s="154"/>
    </row>
    <row r="6" spans="1:30" ht="18">
      <c r="B6" s="1555" t="str">
        <f>+TCOS!F9</f>
        <v>KINGSPORT POWER COMPANY</v>
      </c>
      <c r="C6" s="1543"/>
      <c r="D6" s="1543"/>
      <c r="E6" s="1543"/>
      <c r="F6" s="1543"/>
      <c r="G6" s="165"/>
      <c r="H6" s="260"/>
      <c r="I6" s="165"/>
      <c r="J6" s="165"/>
      <c r="K6" s="165"/>
    </row>
    <row r="8" spans="1:30" ht="18.75" customHeight="1">
      <c r="B8" s="19"/>
      <c r="C8" s="144"/>
      <c r="D8" s="186"/>
    </row>
    <row r="9" spans="1:30">
      <c r="F9" s="184" t="s">
        <v>116</v>
      </c>
    </row>
    <row r="10" spans="1:30" ht="18">
      <c r="B10" s="8"/>
      <c r="C10" s="8"/>
      <c r="D10" s="8"/>
      <c r="E10" s="8"/>
      <c r="F10" s="8"/>
      <c r="R10" s="153"/>
      <c r="S10" s="153"/>
      <c r="T10" s="153"/>
      <c r="U10" s="153"/>
      <c r="V10" s="153"/>
      <c r="W10" s="153"/>
      <c r="X10" s="153"/>
      <c r="Y10" s="153"/>
      <c r="Z10" s="153"/>
      <c r="AA10" s="153"/>
      <c r="AB10" s="198"/>
      <c r="AC10" s="198"/>
      <c r="AD10" s="198"/>
    </row>
    <row r="11" spans="1:30">
      <c r="A11" s="907"/>
      <c r="B11" s="185"/>
      <c r="C11" s="186"/>
    </row>
    <row r="12" spans="1:30">
      <c r="A12" s="237"/>
      <c r="B12" s="12"/>
      <c r="C12" s="12"/>
      <c r="D12" s="12"/>
      <c r="E12" s="12"/>
      <c r="F12" s="12"/>
      <c r="G12" s="11"/>
    </row>
    <row r="13" spans="1:30">
      <c r="A13" s="239"/>
      <c r="B13" s="12"/>
      <c r="C13" s="12"/>
      <c r="D13" s="12"/>
      <c r="E13" s="12"/>
      <c r="F13" s="12"/>
      <c r="G13" s="11"/>
    </row>
    <row r="14" spans="1:30">
      <c r="A14" s="279"/>
      <c r="B14" s="12"/>
      <c r="C14" s="12"/>
      <c r="D14" s="12"/>
      <c r="E14" s="12"/>
      <c r="F14" s="12"/>
      <c r="H14" s="184"/>
    </row>
    <row r="15" spans="1:30">
      <c r="A15" s="279"/>
      <c r="B15" s="12"/>
      <c r="C15" s="12"/>
      <c r="D15" s="12"/>
      <c r="E15" s="12"/>
      <c r="F15" s="12"/>
      <c r="H15" s="184"/>
    </row>
    <row r="16" spans="1:30">
      <c r="A16" s="279"/>
      <c r="B16" s="12"/>
      <c r="C16" s="12"/>
      <c r="D16" s="12"/>
      <c r="E16" s="12"/>
      <c r="F16" s="12"/>
      <c r="H16" s="184"/>
    </row>
    <row r="17" spans="1:8" ht="12.75" customHeight="1">
      <c r="A17" s="279"/>
      <c r="B17" s="12"/>
      <c r="C17" s="12"/>
      <c r="D17" s="12"/>
      <c r="E17" s="12"/>
      <c r="F17" s="12"/>
      <c r="H17" s="184"/>
    </row>
    <row r="18" spans="1:8">
      <c r="A18" s="279"/>
      <c r="B18" s="12"/>
      <c r="C18" s="12"/>
      <c r="D18" s="12"/>
      <c r="E18" s="12"/>
      <c r="F18" s="12"/>
      <c r="H18" s="184"/>
    </row>
    <row r="19" spans="1:8">
      <c r="A19" s="279"/>
      <c r="B19" s="12"/>
      <c r="C19" s="12"/>
      <c r="D19" s="12"/>
      <c r="E19" s="12"/>
      <c r="F19" s="12"/>
      <c r="H19" s="184"/>
    </row>
    <row r="20" spans="1:8">
      <c r="A20" s="279"/>
      <c r="B20" s="12"/>
      <c r="C20" s="12"/>
      <c r="D20" s="12"/>
      <c r="E20" s="12"/>
      <c r="F20" s="12"/>
      <c r="H20" s="184"/>
    </row>
    <row r="21" spans="1:8">
      <c r="A21" s="279"/>
      <c r="B21" s="12"/>
      <c r="C21" s="12"/>
      <c r="D21" s="12"/>
      <c r="E21" s="12"/>
      <c r="F21" s="12"/>
      <c r="H21" s="184"/>
    </row>
    <row r="22" spans="1:8">
      <c r="A22" s="279"/>
      <c r="B22" s="12"/>
      <c r="C22" s="12"/>
      <c r="D22" s="12"/>
      <c r="E22" s="12"/>
      <c r="F22" s="12"/>
      <c r="H22" s="184"/>
    </row>
    <row r="23" spans="1:8" ht="12.75" customHeight="1">
      <c r="A23" s="279"/>
      <c r="B23" s="12"/>
      <c r="C23" s="12"/>
      <c r="D23" s="12"/>
      <c r="E23" s="12"/>
      <c r="F23" s="12"/>
      <c r="H23" s="184"/>
    </row>
    <row r="24" spans="1:8" ht="12.75" customHeight="1">
      <c r="A24" s="279"/>
      <c r="B24" s="12"/>
      <c r="C24" s="12"/>
      <c r="D24" s="12"/>
      <c r="E24" s="12"/>
      <c r="F24" s="12"/>
      <c r="H24" s="184"/>
    </row>
    <row r="25" spans="1:8" ht="12.75" customHeight="1">
      <c r="A25" s="279"/>
      <c r="B25" s="12"/>
      <c r="C25" s="12"/>
      <c r="D25" s="12"/>
      <c r="E25" s="12"/>
      <c r="F25" s="12"/>
      <c r="H25" s="184"/>
    </row>
    <row r="26" spans="1:8" ht="12.75" customHeight="1">
      <c r="A26" s="279"/>
      <c r="B26" s="12"/>
      <c r="C26" s="12"/>
      <c r="D26" s="12"/>
      <c r="E26" s="12"/>
      <c r="F26" s="12"/>
      <c r="H26" s="184"/>
    </row>
    <row r="27" spans="1:8" ht="12.75" customHeight="1">
      <c r="A27" s="279"/>
      <c r="B27" s="12"/>
      <c r="C27" s="12"/>
      <c r="D27" s="12"/>
      <c r="E27" s="12"/>
      <c r="F27" s="12"/>
      <c r="H27" s="184"/>
    </row>
    <row r="28" spans="1:8" ht="12.75" customHeight="1">
      <c r="A28" s="279"/>
      <c r="B28" s="12"/>
      <c r="C28" s="12"/>
      <c r="D28" s="12"/>
      <c r="E28" s="12"/>
      <c r="F28" s="12"/>
      <c r="H28" s="184"/>
    </row>
    <row r="29" spans="1:8" ht="12.75" customHeight="1">
      <c r="A29" s="279"/>
      <c r="B29" s="12"/>
      <c r="C29" s="12"/>
      <c r="D29" s="12"/>
      <c r="E29" s="12"/>
      <c r="F29" s="12"/>
      <c r="H29" s="184"/>
    </row>
    <row r="30" spans="1:8" ht="12.75" customHeight="1">
      <c r="A30" s="279"/>
      <c r="B30" s="12"/>
      <c r="C30" s="12"/>
      <c r="D30" s="12"/>
      <c r="E30" s="12"/>
      <c r="F30" s="12"/>
      <c r="H30" s="184"/>
    </row>
    <row r="31" spans="1:8" ht="12.75" customHeight="1">
      <c r="A31" s="279"/>
      <c r="B31" s="12"/>
      <c r="C31" s="12"/>
      <c r="D31" s="12"/>
      <c r="E31" s="12"/>
      <c r="F31" s="12"/>
      <c r="H31" s="184"/>
    </row>
    <row r="32" spans="1:8" ht="12.75" customHeight="1">
      <c r="A32" s="279"/>
      <c r="B32" s="12"/>
      <c r="C32" s="12"/>
      <c r="D32" s="12"/>
      <c r="E32" s="12"/>
      <c r="F32" s="12"/>
      <c r="H32" s="184"/>
    </row>
    <row r="33" spans="1:8" ht="12.75" customHeight="1">
      <c r="A33" s="279"/>
      <c r="B33" s="12"/>
      <c r="C33" s="12"/>
      <c r="D33" s="12"/>
      <c r="E33" s="12"/>
      <c r="F33" s="12"/>
      <c r="H33" s="184"/>
    </row>
    <row r="34" spans="1:8" ht="12.75" customHeight="1">
      <c r="A34" s="279"/>
      <c r="B34" s="12"/>
      <c r="C34" s="12"/>
      <c r="D34" s="12"/>
      <c r="E34" s="12"/>
      <c r="F34" s="12"/>
      <c r="H34" s="184"/>
    </row>
    <row r="35" spans="1:8" ht="12.75" customHeight="1">
      <c r="A35" s="279"/>
      <c r="B35" s="12"/>
      <c r="C35" s="12"/>
      <c r="D35" s="12"/>
      <c r="E35" s="12"/>
      <c r="F35" s="12"/>
      <c r="H35" s="184"/>
    </row>
    <row r="36" spans="1:8" ht="12.75" customHeight="1">
      <c r="A36" s="279"/>
      <c r="B36" s="12"/>
      <c r="C36" s="12"/>
      <c r="D36" s="12"/>
      <c r="E36" s="12"/>
      <c r="F36" s="12"/>
      <c r="H36" s="184"/>
    </row>
    <row r="37" spans="1:8" ht="12.75" customHeight="1">
      <c r="A37" s="279"/>
      <c r="B37" s="12"/>
      <c r="C37" s="12"/>
      <c r="D37" s="12"/>
      <c r="E37" s="12"/>
      <c r="F37" s="12"/>
      <c r="H37" s="184"/>
    </row>
    <row r="38" spans="1:8" ht="12.75" customHeight="1">
      <c r="A38" s="279"/>
      <c r="B38" s="12"/>
      <c r="C38" s="12"/>
      <c r="D38" s="12"/>
      <c r="E38" s="12"/>
      <c r="F38" s="12"/>
      <c r="H38" s="184"/>
    </row>
    <row r="39" spans="1:8" ht="12.75" customHeight="1">
      <c r="A39" s="279"/>
      <c r="B39" s="12"/>
      <c r="C39" s="12"/>
      <c r="D39" s="12"/>
      <c r="E39" s="12"/>
      <c r="F39" s="12"/>
      <c r="H39" s="184"/>
    </row>
    <row r="40" spans="1:8" ht="12.75" customHeight="1">
      <c r="A40" s="279"/>
      <c r="B40" s="12"/>
      <c r="C40" s="12"/>
      <c r="D40" s="12"/>
      <c r="E40" s="12"/>
      <c r="F40" s="12"/>
      <c r="H40" s="184"/>
    </row>
    <row r="41" spans="1:8" ht="12.75" customHeight="1">
      <c r="A41" s="279"/>
      <c r="B41" s="12"/>
      <c r="C41" s="12"/>
      <c r="D41" s="12"/>
      <c r="E41" s="12"/>
      <c r="F41" s="12"/>
      <c r="H41" s="184"/>
    </row>
    <row r="42" spans="1:8" ht="12.75" customHeight="1">
      <c r="A42" s="279"/>
      <c r="B42" s="12"/>
      <c r="C42" s="12"/>
      <c r="D42" s="12"/>
      <c r="E42" s="12"/>
      <c r="F42" s="12"/>
      <c r="H42" s="184"/>
    </row>
    <row r="43" spans="1:8" ht="12.6" customHeight="1">
      <c r="A43" s="279"/>
      <c r="B43" s="12"/>
      <c r="C43" s="12"/>
      <c r="D43" s="12"/>
      <c r="E43" s="12"/>
      <c r="F43" s="12"/>
      <c r="H43" s="184"/>
    </row>
    <row r="44" spans="1:8" ht="12.75" customHeight="1">
      <c r="A44" s="279"/>
      <c r="B44" s="12"/>
      <c r="C44" s="12"/>
      <c r="D44" s="12"/>
      <c r="E44" s="12"/>
      <c r="F44" s="12"/>
      <c r="H44" s="184"/>
    </row>
    <row r="45" spans="1:8">
      <c r="B45" s="12"/>
      <c r="C45" s="12"/>
      <c r="D45" s="12"/>
      <c r="E45" s="12"/>
      <c r="F45" s="12"/>
      <c r="H45" s="184"/>
    </row>
    <row r="46" spans="1:8">
      <c r="B46" s="12"/>
      <c r="C46" s="12"/>
      <c r="D46" s="12"/>
      <c r="E46" s="12"/>
      <c r="F46" s="12"/>
      <c r="H46" s="184"/>
    </row>
    <row r="47" spans="1:8">
      <c r="B47" s="12"/>
      <c r="C47" s="12"/>
      <c r="D47" s="12"/>
      <c r="E47" s="12"/>
      <c r="F47" s="12"/>
      <c r="H47" s="184"/>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L105"/>
  <sheetViews>
    <sheetView view="pageBreakPreview" topLeftCell="A29" zoomScale="85" zoomScaleNormal="90" zoomScaleSheetLayoutView="85" zoomScalePageLayoutView="85" workbookViewId="0">
      <selection activeCell="H51" sqref="H51"/>
    </sheetView>
  </sheetViews>
  <sheetFormatPr defaultColWidth="11.42578125" defaultRowHeight="12.75"/>
  <cols>
    <col min="1" max="1" width="10.42578125" style="1014" customWidth="1"/>
    <col min="2" max="2" width="52.42578125" style="995" customWidth="1"/>
    <col min="3" max="7" width="20.42578125" style="995" customWidth="1"/>
    <col min="8" max="8" width="23" style="995" customWidth="1"/>
    <col min="9" max="11" width="20.42578125" style="995" customWidth="1"/>
    <col min="12" max="12" width="20" style="995" customWidth="1"/>
    <col min="13" max="14" width="15.140625" style="995" customWidth="1"/>
    <col min="15" max="16384" width="11.42578125" style="995"/>
  </cols>
  <sheetData>
    <row r="1" spans="1:12" ht="15">
      <c r="A1" s="1543" t="s">
        <v>389</v>
      </c>
      <c r="B1" s="1543"/>
      <c r="C1" s="1543"/>
      <c r="D1" s="1543"/>
      <c r="E1" s="1543"/>
      <c r="F1" s="1543"/>
      <c r="G1" s="1543"/>
      <c r="H1" s="941"/>
    </row>
    <row r="2" spans="1:12" ht="15">
      <c r="A2" s="1544" t="str">
        <f>"Cost of Service Formula Rate Using Actual/Projected FF1 Balances"</f>
        <v>Cost of Service Formula Rate Using Actual/Projected FF1 Balances</v>
      </c>
      <c r="B2" s="1544"/>
      <c r="C2" s="1544"/>
      <c r="D2" s="1544"/>
      <c r="E2" s="1544"/>
      <c r="F2" s="1544"/>
      <c r="G2" s="1544"/>
      <c r="H2" s="996"/>
      <c r="I2" s="996"/>
      <c r="J2" s="996"/>
      <c r="L2" s="997"/>
    </row>
    <row r="3" spans="1:12" ht="15">
      <c r="A3" s="1544" t="s">
        <v>677</v>
      </c>
      <c r="B3" s="1544"/>
      <c r="C3" s="1544"/>
      <c r="D3" s="1544"/>
      <c r="E3" s="1544"/>
      <c r="F3" s="1544"/>
      <c r="G3" s="1544"/>
      <c r="H3" s="996"/>
      <c r="I3" s="996"/>
      <c r="J3" s="996"/>
    </row>
    <row r="4" spans="1:12" ht="15">
      <c r="A4" s="1551" t="str">
        <f>TCOS!F9</f>
        <v>KINGSPORT POWER COMPANY</v>
      </c>
      <c r="B4" s="1551"/>
      <c r="C4" s="1551"/>
      <c r="D4" s="1551"/>
      <c r="E4" s="1551"/>
      <c r="F4" s="1551"/>
      <c r="G4" s="1551"/>
      <c r="H4" s="996"/>
      <c r="I4" s="996"/>
      <c r="J4" s="996"/>
    </row>
    <row r="5" spans="1:12">
      <c r="A5" s="996"/>
      <c r="B5" s="998"/>
      <c r="C5" s="998"/>
      <c r="D5" s="998"/>
      <c r="E5" s="999"/>
      <c r="F5" s="1000"/>
      <c r="H5"/>
      <c r="I5"/>
      <c r="J5"/>
      <c r="K5"/>
      <c r="L5"/>
    </row>
    <row r="6" spans="1:12" ht="12.75" customHeight="1">
      <c r="A6" s="941"/>
      <c r="B6" s="978"/>
      <c r="C6" s="1545" t="s">
        <v>6</v>
      </c>
      <c r="D6" s="1546"/>
      <c r="E6" s="1546"/>
      <c r="F6" s="1546"/>
      <c r="G6" s="1547"/>
      <c r="H6" s="6"/>
      <c r="I6"/>
      <c r="J6"/>
      <c r="K6"/>
      <c r="L6"/>
    </row>
    <row r="7" spans="1:12" s="1002" customFormat="1" ht="38.25">
      <c r="A7" s="977" t="s">
        <v>652</v>
      </c>
      <c r="B7" s="976" t="s">
        <v>651</v>
      </c>
      <c r="C7" s="957" t="s">
        <v>678</v>
      </c>
      <c r="D7" s="956" t="s">
        <v>370</v>
      </c>
      <c r="E7" s="956" t="s">
        <v>679</v>
      </c>
      <c r="F7" s="956" t="s">
        <v>680</v>
      </c>
      <c r="G7" s="1001" t="s">
        <v>6</v>
      </c>
      <c r="H7" s="6"/>
      <c r="I7"/>
      <c r="J7"/>
      <c r="K7"/>
      <c r="L7"/>
    </row>
    <row r="8" spans="1:12" s="1004" customFormat="1">
      <c r="A8" s="947"/>
      <c r="B8" s="953" t="s">
        <v>646</v>
      </c>
      <c r="C8" s="954" t="s">
        <v>645</v>
      </c>
      <c r="D8" s="952" t="s">
        <v>644</v>
      </c>
      <c r="E8" s="952" t="s">
        <v>643</v>
      </c>
      <c r="F8" s="952" t="s">
        <v>642</v>
      </c>
      <c r="G8" s="1003" t="s">
        <v>681</v>
      </c>
      <c r="H8" s="6"/>
      <c r="I8"/>
      <c r="J8"/>
      <c r="K8"/>
      <c r="L8"/>
    </row>
    <row r="9" spans="1:12" s="1004" customFormat="1" ht="44.25" customHeight="1">
      <c r="A9" s="947"/>
      <c r="B9" s="953" t="s">
        <v>641</v>
      </c>
      <c r="C9" s="1005" t="s">
        <v>682</v>
      </c>
      <c r="D9" s="973" t="s">
        <v>683</v>
      </c>
      <c r="E9" s="973" t="s">
        <v>684</v>
      </c>
      <c r="F9" s="973" t="s">
        <v>911</v>
      </c>
      <c r="G9" s="1006"/>
      <c r="H9" s="6"/>
      <c r="I9"/>
      <c r="J9"/>
      <c r="K9"/>
      <c r="L9"/>
    </row>
    <row r="10" spans="1:12">
      <c r="A10" s="947">
        <v>1</v>
      </c>
      <c r="B10" s="971" t="s">
        <v>639</v>
      </c>
      <c r="C10" s="1288">
        <v>109801169.602</v>
      </c>
      <c r="D10" s="1288"/>
      <c r="E10" s="1288"/>
      <c r="F10" s="1288"/>
      <c r="G10" s="1007">
        <f t="shared" ref="G10:G22" si="0">+C10-D10-E10-F10</f>
        <v>109801169.602</v>
      </c>
      <c r="H10" s="6"/>
      <c r="I10"/>
      <c r="J10"/>
      <c r="K10"/>
      <c r="L10"/>
    </row>
    <row r="11" spans="1:12">
      <c r="A11" s="947">
        <f t="shared" ref="A11:A23" si="1">+A10+1</f>
        <v>2</v>
      </c>
      <c r="B11" s="971" t="s">
        <v>187</v>
      </c>
      <c r="C11" s="1288">
        <v>110436159.81800003</v>
      </c>
      <c r="D11" s="1288"/>
      <c r="E11" s="1288"/>
      <c r="F11" s="1288"/>
      <c r="G11" s="1007">
        <f t="shared" si="0"/>
        <v>110436159.81800003</v>
      </c>
      <c r="H11" s="6"/>
      <c r="I11"/>
      <c r="J11"/>
      <c r="K11"/>
      <c r="L11"/>
    </row>
    <row r="12" spans="1:12">
      <c r="A12" s="947">
        <f t="shared" si="1"/>
        <v>3</v>
      </c>
      <c r="B12" s="970" t="s">
        <v>562</v>
      </c>
      <c r="C12" s="1288">
        <v>111855120.80800004</v>
      </c>
      <c r="D12" s="1288"/>
      <c r="E12" s="1288"/>
      <c r="F12" s="1288"/>
      <c r="G12" s="1007">
        <f t="shared" si="0"/>
        <v>111855120.80800004</v>
      </c>
      <c r="H12" s="6"/>
      <c r="I12"/>
      <c r="J12"/>
      <c r="K12"/>
      <c r="L12"/>
    </row>
    <row r="13" spans="1:12">
      <c r="A13" s="947">
        <f t="shared" si="1"/>
        <v>4</v>
      </c>
      <c r="B13" s="970" t="s">
        <v>638</v>
      </c>
      <c r="C13" s="1288">
        <v>112823683.15700001</v>
      </c>
      <c r="D13" s="1288"/>
      <c r="E13" s="1288"/>
      <c r="F13" s="1288"/>
      <c r="G13" s="1007">
        <f t="shared" si="0"/>
        <v>112823683.15700001</v>
      </c>
      <c r="H13" s="6"/>
      <c r="I13"/>
      <c r="J13"/>
      <c r="K13"/>
      <c r="L13"/>
    </row>
    <row r="14" spans="1:12">
      <c r="A14" s="947">
        <f t="shared" si="1"/>
        <v>5</v>
      </c>
      <c r="B14" s="970" t="s">
        <v>189</v>
      </c>
      <c r="C14" s="1288">
        <v>113756172.38399997</v>
      </c>
      <c r="D14" s="1288"/>
      <c r="E14" s="1288"/>
      <c r="F14" s="1288"/>
      <c r="G14" s="1007">
        <f t="shared" si="0"/>
        <v>113756172.38399997</v>
      </c>
      <c r="H14" s="6"/>
      <c r="I14"/>
      <c r="J14"/>
      <c r="K14"/>
      <c r="L14"/>
    </row>
    <row r="15" spans="1:12">
      <c r="A15" s="947">
        <f t="shared" si="1"/>
        <v>6</v>
      </c>
      <c r="B15" s="970" t="s">
        <v>190</v>
      </c>
      <c r="C15" s="1288">
        <v>114576817.46399999</v>
      </c>
      <c r="D15" s="1288"/>
      <c r="E15" s="1288"/>
      <c r="F15" s="1288"/>
      <c r="G15" s="1007">
        <f t="shared" si="0"/>
        <v>114576817.46399999</v>
      </c>
      <c r="H15" s="6"/>
      <c r="I15"/>
      <c r="J15"/>
      <c r="K15"/>
      <c r="L15"/>
    </row>
    <row r="16" spans="1:12">
      <c r="A16" s="947">
        <f t="shared" si="1"/>
        <v>7</v>
      </c>
      <c r="B16" s="970" t="s">
        <v>384</v>
      </c>
      <c r="C16" s="1288">
        <v>116084132.07599998</v>
      </c>
      <c r="D16" s="1288"/>
      <c r="E16" s="1288"/>
      <c r="F16" s="1288"/>
      <c r="G16" s="1007">
        <f t="shared" si="0"/>
        <v>116084132.07599998</v>
      </c>
      <c r="H16" s="6"/>
      <c r="I16"/>
      <c r="J16"/>
      <c r="K16"/>
      <c r="L16"/>
    </row>
    <row r="17" spans="1:12">
      <c r="A17" s="947">
        <f t="shared" si="1"/>
        <v>8</v>
      </c>
      <c r="B17" s="970" t="s">
        <v>191</v>
      </c>
      <c r="C17" s="1288">
        <v>116670089.99499999</v>
      </c>
      <c r="D17" s="1288"/>
      <c r="E17" s="1288"/>
      <c r="F17" s="1288"/>
      <c r="G17" s="1007">
        <f t="shared" si="0"/>
        <v>116670089.99499999</v>
      </c>
      <c r="H17" s="6"/>
      <c r="I17"/>
      <c r="J17"/>
      <c r="K17"/>
      <c r="L17"/>
    </row>
    <row r="18" spans="1:12">
      <c r="A18" s="947">
        <f t="shared" si="1"/>
        <v>9</v>
      </c>
      <c r="B18" s="970" t="s">
        <v>637</v>
      </c>
      <c r="C18" s="1288">
        <v>116767331.586</v>
      </c>
      <c r="D18" s="1288"/>
      <c r="E18" s="1288"/>
      <c r="F18" s="1288"/>
      <c r="G18" s="1007">
        <f t="shared" si="0"/>
        <v>116767331.586</v>
      </c>
      <c r="H18" s="6"/>
      <c r="I18"/>
      <c r="J18"/>
      <c r="K18"/>
      <c r="L18"/>
    </row>
    <row r="19" spans="1:12">
      <c r="A19" s="947">
        <f t="shared" si="1"/>
        <v>10</v>
      </c>
      <c r="B19" s="970" t="s">
        <v>194</v>
      </c>
      <c r="C19" s="1288">
        <v>117129998.99500003</v>
      </c>
      <c r="D19" s="1288"/>
      <c r="E19" s="1288"/>
      <c r="F19" s="1288"/>
      <c r="G19" s="1007">
        <f t="shared" si="0"/>
        <v>117129998.99500003</v>
      </c>
      <c r="H19" s="6"/>
      <c r="I19"/>
      <c r="J19"/>
      <c r="K19"/>
      <c r="L19"/>
    </row>
    <row r="20" spans="1:12">
      <c r="A20" s="947">
        <f t="shared" si="1"/>
        <v>11</v>
      </c>
      <c r="B20" s="970" t="s">
        <v>563</v>
      </c>
      <c r="C20" s="1288">
        <v>117587690.82499997</v>
      </c>
      <c r="D20" s="1288"/>
      <c r="E20" s="1288"/>
      <c r="F20" s="1288"/>
      <c r="G20" s="1007">
        <f t="shared" si="0"/>
        <v>117587690.82499997</v>
      </c>
      <c r="H20" s="6"/>
      <c r="I20"/>
      <c r="J20"/>
      <c r="K20"/>
      <c r="L20"/>
    </row>
    <row r="21" spans="1:12">
      <c r="A21" s="947">
        <f t="shared" si="1"/>
        <v>12</v>
      </c>
      <c r="B21" s="970" t="s">
        <v>564</v>
      </c>
      <c r="C21" s="1288">
        <v>117717245.33400002</v>
      </c>
      <c r="D21" s="1288"/>
      <c r="E21" s="1288"/>
      <c r="F21" s="1288"/>
      <c r="G21" s="1007">
        <f t="shared" si="0"/>
        <v>117717245.33400002</v>
      </c>
      <c r="H21" s="6"/>
      <c r="I21"/>
      <c r="J21"/>
      <c r="K21"/>
      <c r="L21"/>
    </row>
    <row r="22" spans="1:12">
      <c r="A22" s="946">
        <f t="shared" si="1"/>
        <v>13</v>
      </c>
      <c r="B22" s="969" t="s">
        <v>636</v>
      </c>
      <c r="C22" s="1288">
        <v>118373787.14500004</v>
      </c>
      <c r="D22" s="1288"/>
      <c r="E22" s="1288"/>
      <c r="F22" s="1288"/>
      <c r="G22" s="1007">
        <f t="shared" si="0"/>
        <v>118373787.14500004</v>
      </c>
      <c r="H22" s="6"/>
      <c r="I22"/>
      <c r="J22"/>
      <c r="K22"/>
      <c r="L22"/>
    </row>
    <row r="23" spans="1:12" ht="13.5" thickBot="1">
      <c r="A23" s="968">
        <f t="shared" si="1"/>
        <v>14</v>
      </c>
      <c r="B23" s="967" t="s">
        <v>866</v>
      </c>
      <c r="C23" s="944">
        <f>SUM(C10:C22)/13</f>
        <v>114890723.01453847</v>
      </c>
      <c r="D23" s="943">
        <f>SUM(D10:D22)/13</f>
        <v>0</v>
      </c>
      <c r="E23" s="943">
        <f>SUM(E10:E22)/13</f>
        <v>0</v>
      </c>
      <c r="F23" s="943">
        <f>SUM(F10:F22)/13</f>
        <v>0</v>
      </c>
      <c r="G23" s="1008">
        <f>SUM(G10:G22)/13</f>
        <v>114890723.01453847</v>
      </c>
      <c r="H23" s="6"/>
      <c r="I23"/>
      <c r="J23"/>
      <c r="K23"/>
      <c r="L23"/>
    </row>
    <row r="24" spans="1:12" ht="13.5" thickTop="1">
      <c r="A24" s="941"/>
      <c r="B24" s="940"/>
      <c r="C24" s="964"/>
      <c r="D24" s="938"/>
      <c r="E24" s="938"/>
      <c r="F24" s="938"/>
      <c r="G24" s="964"/>
      <c r="H24" s="964"/>
      <c r="I24"/>
      <c r="J24"/>
      <c r="K24"/>
      <c r="L24"/>
    </row>
    <row r="25" spans="1:12" ht="12.75" customHeight="1">
      <c r="A25" s="941"/>
      <c r="B25" s="978"/>
      <c r="C25" s="1608" t="s">
        <v>685</v>
      </c>
      <c r="D25" s="1609"/>
      <c r="E25" s="1609"/>
      <c r="F25" s="1609"/>
      <c r="G25" s="1609"/>
      <c r="H25" s="1610"/>
      <c r="I25"/>
      <c r="J25"/>
      <c r="K25"/>
      <c r="L25"/>
    </row>
    <row r="26" spans="1:12" s="1002" customFormat="1" ht="38.25">
      <c r="A26" s="977" t="s">
        <v>652</v>
      </c>
      <c r="B26" s="976" t="s">
        <v>651</v>
      </c>
      <c r="C26" s="957" t="s">
        <v>697</v>
      </c>
      <c r="D26" s="956" t="s">
        <v>696</v>
      </c>
      <c r="E26" s="956" t="s">
        <v>695</v>
      </c>
      <c r="F26" s="956" t="s">
        <v>694</v>
      </c>
      <c r="G26" s="956" t="s">
        <v>686</v>
      </c>
      <c r="H26" s="1001" t="s">
        <v>632</v>
      </c>
      <c r="I26"/>
      <c r="J26"/>
      <c r="K26"/>
      <c r="L26"/>
    </row>
    <row r="27" spans="1:12" s="1004" customFormat="1">
      <c r="A27" s="947"/>
      <c r="B27" s="953" t="s">
        <v>646</v>
      </c>
      <c r="C27" s="954" t="s">
        <v>645</v>
      </c>
      <c r="D27" s="952" t="s">
        <v>644</v>
      </c>
      <c r="E27" s="952" t="s">
        <v>643</v>
      </c>
      <c r="F27" s="952" t="s">
        <v>642</v>
      </c>
      <c r="G27" s="952" t="s">
        <v>664</v>
      </c>
      <c r="H27" s="1003" t="s">
        <v>687</v>
      </c>
      <c r="I27"/>
      <c r="J27"/>
      <c r="K27"/>
      <c r="L27"/>
    </row>
    <row r="28" spans="1:12" s="1004" customFormat="1" ht="44.25" customHeight="1">
      <c r="A28" s="947"/>
      <c r="B28" s="953" t="s">
        <v>641</v>
      </c>
      <c r="C28" s="1005" t="s">
        <v>688</v>
      </c>
      <c r="D28" s="973" t="s">
        <v>689</v>
      </c>
      <c r="E28" s="973" t="s">
        <v>690</v>
      </c>
      <c r="F28" s="973" t="s">
        <v>691</v>
      </c>
      <c r="G28" s="973" t="s">
        <v>692</v>
      </c>
      <c r="H28" s="1009"/>
      <c r="I28"/>
      <c r="J28"/>
      <c r="K28"/>
      <c r="L28"/>
    </row>
    <row r="29" spans="1:12">
      <c r="A29" s="947">
        <f>+A23+1</f>
        <v>15</v>
      </c>
      <c r="B29" s="971" t="s">
        <v>639</v>
      </c>
      <c r="C29" s="1288"/>
      <c r="D29" s="1288"/>
      <c r="E29" s="1288">
        <v>105000000</v>
      </c>
      <c r="F29" s="1288"/>
      <c r="G29" s="1288"/>
      <c r="H29" s="1007">
        <f t="shared" ref="H29:H41" si="2">+C29-D29+E29+F29-G29</f>
        <v>105000000</v>
      </c>
      <c r="I29"/>
      <c r="J29"/>
      <c r="K29"/>
      <c r="L29"/>
    </row>
    <row r="30" spans="1:12">
      <c r="A30" s="947">
        <f t="shared" ref="A30:A42" si="3">+A29+1</f>
        <v>16</v>
      </c>
      <c r="B30" s="971" t="s">
        <v>187</v>
      </c>
      <c r="C30" s="1288"/>
      <c r="D30" s="1288"/>
      <c r="E30" s="1288">
        <v>105000000</v>
      </c>
      <c r="F30" s="1288"/>
      <c r="G30" s="1288"/>
      <c r="H30" s="1007">
        <f t="shared" si="2"/>
        <v>105000000</v>
      </c>
      <c r="I30"/>
      <c r="J30"/>
      <c r="K30"/>
      <c r="L30"/>
    </row>
    <row r="31" spans="1:12">
      <c r="A31" s="947">
        <f t="shared" si="3"/>
        <v>17</v>
      </c>
      <c r="B31" s="970" t="s">
        <v>562</v>
      </c>
      <c r="C31" s="1288"/>
      <c r="D31" s="1288"/>
      <c r="E31" s="1288">
        <v>105000000</v>
      </c>
      <c r="F31" s="1288"/>
      <c r="G31" s="1288"/>
      <c r="H31" s="1007">
        <f t="shared" si="2"/>
        <v>105000000</v>
      </c>
      <c r="I31"/>
      <c r="J31"/>
      <c r="K31"/>
      <c r="L31"/>
    </row>
    <row r="32" spans="1:12">
      <c r="A32" s="947">
        <f t="shared" si="3"/>
        <v>18</v>
      </c>
      <c r="B32" s="970" t="s">
        <v>638</v>
      </c>
      <c r="C32" s="1288"/>
      <c r="D32" s="1288"/>
      <c r="E32" s="1288">
        <v>105000000</v>
      </c>
      <c r="F32" s="1288"/>
      <c r="G32" s="1288"/>
      <c r="H32" s="1007">
        <f t="shared" si="2"/>
        <v>105000000</v>
      </c>
      <c r="I32"/>
      <c r="J32"/>
      <c r="K32"/>
      <c r="L32"/>
    </row>
    <row r="33" spans="1:12">
      <c r="A33" s="947">
        <f t="shared" si="3"/>
        <v>19</v>
      </c>
      <c r="B33" s="970" t="s">
        <v>189</v>
      </c>
      <c r="C33" s="1288"/>
      <c r="D33" s="1288"/>
      <c r="E33" s="1288">
        <v>105000000</v>
      </c>
      <c r="F33" s="1288"/>
      <c r="G33" s="1288"/>
      <c r="H33" s="1007">
        <f t="shared" si="2"/>
        <v>105000000</v>
      </c>
      <c r="I33"/>
      <c r="J33"/>
      <c r="K33"/>
      <c r="L33"/>
    </row>
    <row r="34" spans="1:12">
      <c r="A34" s="947">
        <f t="shared" si="3"/>
        <v>20</v>
      </c>
      <c r="B34" s="970" t="s">
        <v>190</v>
      </c>
      <c r="C34" s="1288"/>
      <c r="D34" s="1288"/>
      <c r="E34" s="1288">
        <v>105000000</v>
      </c>
      <c r="F34" s="1288"/>
      <c r="G34" s="1288"/>
      <c r="H34" s="1007">
        <f t="shared" si="2"/>
        <v>105000000</v>
      </c>
      <c r="I34"/>
      <c r="J34"/>
      <c r="K34"/>
      <c r="L34"/>
    </row>
    <row r="35" spans="1:12">
      <c r="A35" s="947">
        <f t="shared" si="3"/>
        <v>21</v>
      </c>
      <c r="B35" s="970" t="s">
        <v>384</v>
      </c>
      <c r="C35" s="1288"/>
      <c r="D35" s="1288"/>
      <c r="E35" s="1288">
        <v>105000000</v>
      </c>
      <c r="F35" s="1288"/>
      <c r="G35" s="1288"/>
      <c r="H35" s="1007">
        <f t="shared" si="2"/>
        <v>105000000</v>
      </c>
      <c r="I35"/>
      <c r="J35"/>
      <c r="K35"/>
      <c r="L35"/>
    </row>
    <row r="36" spans="1:12">
      <c r="A36" s="947">
        <f t="shared" si="3"/>
        <v>22</v>
      </c>
      <c r="B36" s="970" t="s">
        <v>191</v>
      </c>
      <c r="C36" s="1288"/>
      <c r="D36" s="1288"/>
      <c r="E36" s="1288">
        <v>105000000</v>
      </c>
      <c r="F36" s="1288"/>
      <c r="G36" s="1288"/>
      <c r="H36" s="1007">
        <f t="shared" si="2"/>
        <v>105000000</v>
      </c>
      <c r="I36"/>
      <c r="J36"/>
      <c r="K36"/>
      <c r="L36"/>
    </row>
    <row r="37" spans="1:12">
      <c r="A37" s="947">
        <f t="shared" si="3"/>
        <v>23</v>
      </c>
      <c r="B37" s="970" t="s">
        <v>637</v>
      </c>
      <c r="C37" s="1288"/>
      <c r="D37" s="1288"/>
      <c r="E37" s="1288">
        <v>105000000</v>
      </c>
      <c r="F37" s="1288"/>
      <c r="G37" s="1288"/>
      <c r="H37" s="1007">
        <f t="shared" si="2"/>
        <v>105000000</v>
      </c>
      <c r="I37"/>
      <c r="J37"/>
      <c r="K37"/>
      <c r="L37"/>
    </row>
    <row r="38" spans="1:12">
      <c r="A38" s="947">
        <f t="shared" si="3"/>
        <v>24</v>
      </c>
      <c r="B38" s="970" t="s">
        <v>194</v>
      </c>
      <c r="C38" s="1288"/>
      <c r="D38" s="1288"/>
      <c r="E38" s="1288">
        <v>105000000</v>
      </c>
      <c r="F38" s="1288"/>
      <c r="G38" s="1288"/>
      <c r="H38" s="1007">
        <f t="shared" si="2"/>
        <v>105000000</v>
      </c>
      <c r="I38"/>
      <c r="J38"/>
      <c r="K38"/>
      <c r="L38"/>
    </row>
    <row r="39" spans="1:12">
      <c r="A39" s="947">
        <f t="shared" si="3"/>
        <v>25</v>
      </c>
      <c r="B39" s="970" t="s">
        <v>563</v>
      </c>
      <c r="C39" s="1288"/>
      <c r="D39" s="1288"/>
      <c r="E39" s="1288">
        <v>105000000</v>
      </c>
      <c r="F39" s="1288"/>
      <c r="G39" s="1288"/>
      <c r="H39" s="1007">
        <f t="shared" si="2"/>
        <v>105000000</v>
      </c>
      <c r="I39"/>
      <c r="J39"/>
      <c r="K39"/>
      <c r="L39"/>
    </row>
    <row r="40" spans="1:12">
      <c r="A40" s="947">
        <f t="shared" si="3"/>
        <v>26</v>
      </c>
      <c r="B40" s="970" t="s">
        <v>564</v>
      </c>
      <c r="C40" s="1288"/>
      <c r="D40" s="1288"/>
      <c r="E40" s="1288">
        <v>105000000</v>
      </c>
      <c r="F40" s="1288"/>
      <c r="G40" s="1288"/>
      <c r="H40" s="1007">
        <f t="shared" si="2"/>
        <v>105000000</v>
      </c>
      <c r="I40"/>
      <c r="J40"/>
      <c r="K40"/>
      <c r="L40"/>
    </row>
    <row r="41" spans="1:12">
      <c r="A41" s="946">
        <f t="shared" si="3"/>
        <v>27</v>
      </c>
      <c r="B41" s="969" t="s">
        <v>636</v>
      </c>
      <c r="C41" s="1288"/>
      <c r="D41" s="1288"/>
      <c r="E41" s="1288">
        <v>105000000</v>
      </c>
      <c r="F41" s="1288"/>
      <c r="G41" s="1288"/>
      <c r="H41" s="1007">
        <f t="shared" si="2"/>
        <v>105000000</v>
      </c>
      <c r="I41"/>
      <c r="J41"/>
      <c r="K41"/>
      <c r="L41"/>
    </row>
    <row r="42" spans="1:12" ht="13.5" thickBot="1">
      <c r="A42" s="968">
        <f t="shared" si="3"/>
        <v>28</v>
      </c>
      <c r="B42" s="967" t="s">
        <v>866</v>
      </c>
      <c r="C42" s="944">
        <f t="shared" ref="C42:H42" si="4">SUM(C29:C41)/13</f>
        <v>0</v>
      </c>
      <c r="D42" s="943">
        <f t="shared" si="4"/>
        <v>0</v>
      </c>
      <c r="E42" s="943">
        <f t="shared" si="4"/>
        <v>105000000</v>
      </c>
      <c r="F42" s="943">
        <f t="shared" si="4"/>
        <v>0</v>
      </c>
      <c r="G42" s="943">
        <f t="shared" si="4"/>
        <v>0</v>
      </c>
      <c r="H42" s="1008">
        <f t="shared" si="4"/>
        <v>105000000</v>
      </c>
      <c r="I42"/>
      <c r="J42"/>
      <c r="K42"/>
      <c r="L42"/>
    </row>
    <row r="43" spans="1:12" ht="13.5" thickTop="1">
      <c r="A43" s="996"/>
      <c r="B43" s="1010"/>
      <c r="C43" s="1011"/>
      <c r="D43" s="1012"/>
      <c r="E43" s="1012"/>
      <c r="F43" s="1012"/>
      <c r="G43" s="1011"/>
      <c r="H43" s="1011"/>
      <c r="I43"/>
      <c r="J43"/>
      <c r="K43"/>
      <c r="L43"/>
    </row>
    <row r="44" spans="1:12" ht="12.75" customHeight="1">
      <c r="A44" s="1013" t="s">
        <v>693</v>
      </c>
      <c r="F44" s="606"/>
      <c r="G44" s="606"/>
      <c r="H44" s="606"/>
      <c r="I44"/>
      <c r="J44"/>
      <c r="K44"/>
    </row>
    <row r="45" spans="1:12">
      <c r="E45" s="606"/>
      <c r="F45" s="606"/>
      <c r="G45" s="606"/>
      <c r="H45" s="606"/>
      <c r="J45" s="1010"/>
    </row>
    <row r="46" spans="1:12" ht="15">
      <c r="A46" s="1015" t="s">
        <v>7</v>
      </c>
      <c r="E46" s="606"/>
      <c r="F46" s="606"/>
      <c r="G46" s="606"/>
      <c r="H46" s="941"/>
    </row>
    <row r="47" spans="1:12" ht="15">
      <c r="A47" s="1015"/>
      <c r="B47" s="1016" t="s">
        <v>646</v>
      </c>
      <c r="C47" s="1016" t="s">
        <v>645</v>
      </c>
      <c r="D47" s="1017" t="s">
        <v>644</v>
      </c>
      <c r="E47" s="1016" t="s">
        <v>643</v>
      </c>
      <c r="F47" s="1017" t="s">
        <v>642</v>
      </c>
      <c r="G47" s="1016" t="s">
        <v>664</v>
      </c>
      <c r="H47" s="1016" t="s">
        <v>665</v>
      </c>
    </row>
    <row r="48" spans="1:12">
      <c r="A48" s="679">
        <f>+A42+1</f>
        <v>29</v>
      </c>
      <c r="B48" s="1018" t="str">
        <f>"Annual Interest Expense for "&amp;TCOS!L4</f>
        <v>Annual Interest Expense for 2024</v>
      </c>
      <c r="C48" s="1019"/>
      <c r="D48" s="1020"/>
      <c r="E48" s="1021"/>
      <c r="F48" s="1021"/>
      <c r="G48" s="1021"/>
      <c r="H48" s="1021"/>
      <c r="I48" s="1021"/>
      <c r="J48" s="1021"/>
      <c r="K48" s="1021"/>
      <c r="L48" s="1021"/>
    </row>
    <row r="49" spans="1:12">
      <c r="A49" s="679">
        <f t="shared" ref="A49:A56" si="5">+A48+1</f>
        <v>30</v>
      </c>
      <c r="B49" s="1176" t="s">
        <v>766</v>
      </c>
      <c r="C49" s="1019"/>
      <c r="D49" s="1020"/>
      <c r="E49" s="1023">
        <v>3884900</v>
      </c>
      <c r="F49" s="1021"/>
      <c r="G49" s="1021"/>
      <c r="H49" s="1021"/>
      <c r="I49" s="1021"/>
      <c r="J49" s="1021"/>
      <c r="K49" s="1021"/>
      <c r="L49" s="1021"/>
    </row>
    <row r="50" spans="1:12" ht="28.5" customHeight="1">
      <c r="A50" s="679">
        <f t="shared" si="5"/>
        <v>31</v>
      </c>
      <c r="B50" s="1602" t="str">
        <f>"Less: Total Hedge Gain/Expense Accumulated from p 256-257, col. (i) of FERC Form 1  included in Ln "&amp;A49&amp;" and shown in "&amp;A74&amp;" below."</f>
        <v>Less: Total Hedge Gain/Expense Accumulated from p 256-257, col. (i) of FERC Form 1  included in Ln 30 and shown in 50 below.</v>
      </c>
      <c r="C50" s="1603"/>
      <c r="D50" s="1020"/>
      <c r="E50" s="1019">
        <f>+C74</f>
        <v>0</v>
      </c>
      <c r="F50" s="1021"/>
      <c r="G50" s="1021"/>
      <c r="H50" s="1021"/>
      <c r="I50" s="1021"/>
      <c r="J50" s="1021"/>
      <c r="K50" s="1021"/>
      <c r="L50" s="1021"/>
    </row>
    <row r="51" spans="1:12" ht="16.5" customHeight="1">
      <c r="A51" s="679">
        <f t="shared" si="5"/>
        <v>32</v>
      </c>
      <c r="B51" s="1024" t="str">
        <f>"Plus:  Allowed Hedge Recovery From Ln "&amp;A80&amp;"  below."</f>
        <v>Plus:  Allowed Hedge Recovery From Ln 55  below.</v>
      </c>
      <c r="C51" s="1177"/>
      <c r="D51" s="1020"/>
      <c r="E51" s="1025">
        <f>+E80</f>
        <v>0</v>
      </c>
      <c r="F51" s="1021"/>
      <c r="G51" s="1021"/>
      <c r="H51" s="1021"/>
      <c r="I51" s="1021"/>
      <c r="J51" s="1021"/>
      <c r="K51" s="1021"/>
      <c r="L51" s="1021"/>
    </row>
    <row r="52" spans="1:12">
      <c r="A52" s="679">
        <f t="shared" si="5"/>
        <v>33</v>
      </c>
      <c r="B52" s="1176" t="s">
        <v>767</v>
      </c>
      <c r="C52" s="1178"/>
      <c r="D52" s="1026"/>
      <c r="E52" s="1023">
        <v>0</v>
      </c>
      <c r="F52" s="1021"/>
      <c r="G52" s="1021"/>
      <c r="H52" s="1021"/>
      <c r="I52" s="1021"/>
      <c r="J52" s="1021"/>
    </row>
    <row r="53" spans="1:12">
      <c r="A53" s="679">
        <f t="shared" si="5"/>
        <v>34</v>
      </c>
      <c r="B53" s="1176" t="s">
        <v>768</v>
      </c>
      <c r="C53" s="1027"/>
      <c r="D53" s="1020"/>
      <c r="E53" s="1023">
        <v>0</v>
      </c>
      <c r="F53" s="1021"/>
      <c r="G53" s="1021"/>
      <c r="H53" s="1021"/>
      <c r="I53" s="1021"/>
      <c r="J53" s="1021"/>
    </row>
    <row r="54" spans="1:12">
      <c r="A54" s="679">
        <f t="shared" si="5"/>
        <v>35</v>
      </c>
      <c r="B54" s="1176" t="s">
        <v>769</v>
      </c>
      <c r="C54" s="1027"/>
      <c r="D54" s="1020"/>
      <c r="E54" s="1023"/>
      <c r="F54" s="1021"/>
      <c r="G54" s="1021"/>
      <c r="H54" s="1021"/>
      <c r="I54" s="1021"/>
      <c r="J54" s="1021"/>
    </row>
    <row r="55" spans="1:12" ht="13.5" thickBot="1">
      <c r="A55" s="679">
        <f t="shared" si="5"/>
        <v>36</v>
      </c>
      <c r="B55" s="1176" t="s">
        <v>770</v>
      </c>
      <c r="C55" s="1027"/>
      <c r="D55" s="1020"/>
      <c r="E55" s="1028"/>
      <c r="F55" s="1021"/>
      <c r="G55" s="1021"/>
      <c r="H55" s="1021"/>
      <c r="I55" s="1021"/>
      <c r="J55" s="1021"/>
    </row>
    <row r="56" spans="1:12">
      <c r="A56" s="679">
        <f t="shared" si="5"/>
        <v>37</v>
      </c>
      <c r="B56" s="1018" t="str">
        <f>"Total Interest Expense (Ln "&amp;A49&amp;" - "&amp;A50&amp;" + "&amp;A52&amp;" + "&amp;A53&amp;" - "&amp;A54&amp;" - "&amp;A55&amp;")"</f>
        <v>Total Interest Expense (Ln 30 - 31 + 33 + 34 - 35 - 36)</v>
      </c>
      <c r="C56" s="1029"/>
      <c r="D56" s="1030"/>
      <c r="E56" s="1031">
        <f>+E49-E50+E51+E52+E53-E54-E55</f>
        <v>3884900</v>
      </c>
      <c r="F56" s="1021"/>
      <c r="G56" s="1021"/>
      <c r="H56" s="1021"/>
      <c r="I56" s="1021"/>
      <c r="J56" s="1021"/>
    </row>
    <row r="57" spans="1:12" ht="13.5" thickBot="1">
      <c r="A57" s="679"/>
      <c r="B57" s="1022"/>
      <c r="C57" s="1027"/>
      <c r="D57" s="1020"/>
      <c r="E57" s="1031"/>
      <c r="F57" s="1021"/>
      <c r="G57" s="1021"/>
      <c r="H57" s="1021"/>
      <c r="I57" s="1021"/>
      <c r="J57" s="1021"/>
    </row>
    <row r="58" spans="1:12" ht="13.5" thickBot="1">
      <c r="A58" s="679">
        <f>+A56+1</f>
        <v>38</v>
      </c>
      <c r="B58" s="1018" t="str">
        <f>"Average Cost of Debt for "&amp;TCOS!L4&amp;" (Ln "&amp;A56&amp;"/ ln "&amp;A42&amp;" (g))"</f>
        <v>Average Cost of Debt for 2024 (Ln 37/ ln 28 (g))</v>
      </c>
      <c r="C58" s="1029"/>
      <c r="D58" s="1020"/>
      <c r="E58" s="1032">
        <f>+E56/H42</f>
        <v>3.6999047619047619E-2</v>
      </c>
      <c r="F58" s="1021"/>
      <c r="G58" s="1021"/>
      <c r="H58" s="1021"/>
      <c r="I58" s="1021"/>
      <c r="J58" s="1021"/>
    </row>
    <row r="59" spans="1:12">
      <c r="A59" s="1033"/>
      <c r="B59" s="1022"/>
      <c r="C59" s="1027"/>
      <c r="D59" s="1020"/>
      <c r="E59" s="1027"/>
      <c r="F59" s="1021"/>
      <c r="G59" s="1021"/>
      <c r="H59" s="1021"/>
      <c r="I59" s="1021"/>
      <c r="J59" s="1021"/>
    </row>
    <row r="60" spans="1:12" s="1035" customFormat="1" ht="28.5" customHeight="1">
      <c r="A60" s="802"/>
      <c r="B60" s="1604" t="s">
        <v>0</v>
      </c>
      <c r="C60" s="1604"/>
      <c r="D60" s="1604"/>
      <c r="E60" s="1604"/>
      <c r="F60" s="803"/>
      <c r="G60" s="1034"/>
    </row>
    <row r="61" spans="1:12" s="1035" customFormat="1" ht="107.25" customHeight="1">
      <c r="A61" s="804">
        <f>+A58+1</f>
        <v>39</v>
      </c>
      <c r="B61" s="1605" t="s">
        <v>314</v>
      </c>
      <c r="C61" s="1606"/>
      <c r="D61" s="1606"/>
      <c r="E61" s="1606"/>
      <c r="F61" s="606"/>
      <c r="G61" s="1034"/>
    </row>
    <row r="62" spans="1:12" s="1035" customFormat="1" ht="12" customHeight="1">
      <c r="A62" s="802"/>
      <c r="B62" s="805"/>
      <c r="C62" s="805"/>
      <c r="D62" s="805"/>
      <c r="E62" s="805"/>
      <c r="F62" s="1034"/>
      <c r="G62" s="1607" t="s">
        <v>234</v>
      </c>
      <c r="H62" s="1607"/>
    </row>
    <row r="63" spans="1:12" s="1035" customFormat="1" ht="52.5" customHeight="1">
      <c r="A63" s="620"/>
      <c r="B63" s="1037" t="s">
        <v>361</v>
      </c>
      <c r="C63" s="1036" t="str">
        <f>"Total Hedge (Gain)/Loss for "&amp;TCOS!L4</f>
        <v>Total Hedge (Gain)/Loss for 2024</v>
      </c>
      <c r="D63" s="1036" t="str">
        <f>"Less Excludable Amounts (See NOTE on Line "&amp;A61&amp;")"</f>
        <v>Less Excludable Amounts (See NOTE on Line 39)</v>
      </c>
      <c r="E63" s="1036" t="s">
        <v>1</v>
      </c>
      <c r="F63" s="1036" t="s">
        <v>233</v>
      </c>
      <c r="G63" s="1036" t="s">
        <v>285</v>
      </c>
      <c r="H63" s="1036" t="s">
        <v>287</v>
      </c>
    </row>
    <row r="64" spans="1:12" s="1035" customFormat="1" ht="12.75" customHeight="1">
      <c r="A64" s="620">
        <f>+A61+1</f>
        <v>40</v>
      </c>
      <c r="B64" s="1290"/>
      <c r="C64" s="1289"/>
      <c r="D64" s="1291"/>
      <c r="E64" s="1039">
        <f t="shared" ref="E64:E72" si="6">+C64-D64</f>
        <v>0</v>
      </c>
      <c r="F64" s="908"/>
      <c r="G64" s="1040"/>
      <c r="H64" s="1040"/>
      <c r="I64" s="348"/>
      <c r="J64" s="348"/>
    </row>
    <row r="65" spans="1:8" s="1035" customFormat="1" ht="12.75" customHeight="1">
      <c r="A65" s="620">
        <f t="shared" ref="A65:A74" si="7">+A64+1</f>
        <v>41</v>
      </c>
      <c r="B65" s="1290"/>
      <c r="C65" s="1289"/>
      <c r="D65" s="1291"/>
      <c r="E65" s="1039">
        <f t="shared" si="6"/>
        <v>0</v>
      </c>
      <c r="F65" s="908"/>
      <c r="G65" s="1040"/>
      <c r="H65" s="1040"/>
    </row>
    <row r="66" spans="1:8" s="1035" customFormat="1" ht="12.75" customHeight="1">
      <c r="A66" s="620">
        <f t="shared" si="7"/>
        <v>42</v>
      </c>
      <c r="B66" s="1038"/>
      <c r="C66" s="908"/>
      <c r="D66" s="1041"/>
      <c r="E66" s="1039">
        <f t="shared" si="6"/>
        <v>0</v>
      </c>
      <c r="F66" s="908"/>
      <c r="G66" s="1040"/>
      <c r="H66" s="1040"/>
    </row>
    <row r="67" spans="1:8" s="1035" customFormat="1" ht="12.75" customHeight="1">
      <c r="A67" s="620">
        <f t="shared" si="7"/>
        <v>43</v>
      </c>
      <c r="B67" s="1038"/>
      <c r="C67" s="908"/>
      <c r="D67" s="1041"/>
      <c r="E67" s="1039">
        <f t="shared" si="6"/>
        <v>0</v>
      </c>
      <c r="F67" s="908"/>
      <c r="G67" s="1040"/>
      <c r="H67" s="1040"/>
    </row>
    <row r="68" spans="1:8" s="1035" customFormat="1" ht="12.75" customHeight="1">
      <c r="A68" s="620">
        <f t="shared" si="7"/>
        <v>44</v>
      </c>
      <c r="B68" s="1038"/>
      <c r="C68" s="908"/>
      <c r="D68" s="1038"/>
      <c r="E68" s="1039">
        <f t="shared" si="6"/>
        <v>0</v>
      </c>
      <c r="F68" s="908"/>
      <c r="G68" s="1040"/>
      <c r="H68" s="1040"/>
    </row>
    <row r="69" spans="1:8" s="1035" customFormat="1" ht="12.75" customHeight="1">
      <c r="A69" s="620">
        <f t="shared" si="7"/>
        <v>45</v>
      </c>
      <c r="B69" s="1038"/>
      <c r="C69" s="908"/>
      <c r="D69" s="1038"/>
      <c r="E69" s="1039">
        <f t="shared" si="6"/>
        <v>0</v>
      </c>
      <c r="F69" s="908"/>
      <c r="G69" s="1040"/>
      <c r="H69" s="1040"/>
    </row>
    <row r="70" spans="1:8" s="1035" customFormat="1" ht="12.75" customHeight="1">
      <c r="A70" s="620">
        <f t="shared" si="7"/>
        <v>46</v>
      </c>
      <c r="B70" s="1038"/>
      <c r="C70" s="908"/>
      <c r="D70" s="1038"/>
      <c r="E70" s="1039">
        <f t="shared" si="6"/>
        <v>0</v>
      </c>
      <c r="F70" s="908"/>
      <c r="G70" s="1040"/>
      <c r="H70" s="1040"/>
    </row>
    <row r="71" spans="1:8" s="1035" customFormat="1" ht="12.75" customHeight="1">
      <c r="A71" s="620">
        <f t="shared" si="7"/>
        <v>47</v>
      </c>
      <c r="B71" s="1038"/>
      <c r="C71" s="908"/>
      <c r="D71" s="1042"/>
      <c r="E71" s="1039">
        <f t="shared" si="6"/>
        <v>0</v>
      </c>
      <c r="F71" s="908"/>
      <c r="G71" s="1040"/>
      <c r="H71" s="1040"/>
    </row>
    <row r="72" spans="1:8" s="1035" customFormat="1" ht="12.75" customHeight="1">
      <c r="A72" s="620">
        <f t="shared" si="7"/>
        <v>48</v>
      </c>
      <c r="B72" s="1038"/>
      <c r="C72" s="908"/>
      <c r="D72" s="1023"/>
      <c r="E72" s="1039">
        <f t="shared" si="6"/>
        <v>0</v>
      </c>
      <c r="F72" s="1043"/>
      <c r="G72" s="1043"/>
      <c r="H72" s="1043"/>
    </row>
    <row r="73" spans="1:8" s="1035" customFormat="1" ht="12.75" customHeight="1">
      <c r="A73" s="620">
        <f t="shared" si="7"/>
        <v>49</v>
      </c>
      <c r="B73" s="563"/>
      <c r="C73" s="1044"/>
      <c r="D73" s="1044"/>
      <c r="E73" s="1045"/>
      <c r="F73" s="1039">
        <f>SUM(F64:F72)</f>
        <v>0</v>
      </c>
      <c r="G73" s="1034"/>
    </row>
    <row r="74" spans="1:8" s="1035" customFormat="1" ht="12.75" customHeight="1">
      <c r="A74" s="620">
        <f t="shared" si="7"/>
        <v>50</v>
      </c>
      <c r="B74" s="1022" t="s">
        <v>8</v>
      </c>
      <c r="C74" s="1031">
        <f>SUM(C64:C72)</f>
        <v>0</v>
      </c>
      <c r="D74" s="1031">
        <f>SUM(D64:D72)</f>
        <v>0</v>
      </c>
      <c r="F74" s="1034"/>
      <c r="G74" s="1034"/>
    </row>
    <row r="75" spans="1:8" s="1035" customFormat="1" ht="21" customHeight="1">
      <c r="A75" s="620"/>
      <c r="B75" s="1022"/>
      <c r="C75" s="1031"/>
      <c r="D75" s="1031"/>
      <c r="E75" s="1031"/>
      <c r="F75" s="1034"/>
      <c r="G75" s="1034"/>
    </row>
    <row r="76" spans="1:8" s="1035" customFormat="1" ht="14.25" customHeight="1">
      <c r="A76" s="620">
        <f>+A74+1</f>
        <v>51</v>
      </c>
      <c r="B76" s="1022" t="str">
        <f>"Hedge Gain or Loss Prior to Application of Recovery Limit (Sum of Lines "&amp;A64&amp;" to "&amp;A72&amp;")"</f>
        <v>Hedge Gain or Loss Prior to Application of Recovery Limit (Sum of Lines 40 to 48)</v>
      </c>
      <c r="C76" s="1031"/>
      <c r="D76" s="1031"/>
      <c r="E76" s="1031">
        <f>SUM(E64:E72)</f>
        <v>0</v>
      </c>
      <c r="F76" s="1034"/>
      <c r="G76" s="1034"/>
    </row>
    <row r="77" spans="1:8" s="1035" customFormat="1" ht="12.75" customHeight="1">
      <c r="A77" s="620">
        <f>+A76+1</f>
        <v>52</v>
      </c>
      <c r="B77" s="1046" t="str">
        <f>"Total Average Capital Structure Balance for "&amp;TCOS!L4&amp;" (TCOS, Ln "&amp;TCOS!B258&amp;")"</f>
        <v>Total Average Capital Structure Balance for 2024 (TCOS, Ln 157)</v>
      </c>
      <c r="C77" s="1027"/>
      <c r="D77" s="1020"/>
      <c r="E77" s="1047">
        <f>TCOS!G258</f>
        <v>219890723.01453847</v>
      </c>
      <c r="F77" s="1034"/>
      <c r="G77" s="1034"/>
      <c r="H77" s="1048"/>
    </row>
    <row r="78" spans="1:8" s="1035" customFormat="1" ht="12.75" customHeight="1">
      <c r="A78" s="620">
        <f>+A77+1</f>
        <v>53</v>
      </c>
      <c r="B78" s="1022" t="s">
        <v>491</v>
      </c>
      <c r="C78" s="1027"/>
      <c r="D78" s="1020"/>
      <c r="E78" s="1049">
        <v>5.0000000000000001E-4</v>
      </c>
      <c r="F78" s="1034"/>
      <c r="G78" s="1050"/>
    </row>
    <row r="79" spans="1:8" s="1035" customFormat="1" ht="12.75" customHeight="1" thickBot="1">
      <c r="A79" s="620">
        <f>+A78+1</f>
        <v>54</v>
      </c>
      <c r="B79" s="1022" t="s">
        <v>492</v>
      </c>
      <c r="C79" s="1027"/>
      <c r="D79" s="1020"/>
      <c r="E79" s="1051">
        <f>+E77*E78</f>
        <v>109945.36150726923</v>
      </c>
      <c r="F79" s="1034"/>
      <c r="G79" s="1034"/>
    </row>
    <row r="80" spans="1:8" s="1035" customFormat="1" ht="12.75" customHeight="1" thickBot="1">
      <c r="A80" s="620">
        <f>+A79+1</f>
        <v>55</v>
      </c>
      <c r="B80" s="1018" t="str">
        <f>"Recoverable Hedge Amortization (Lesser of Ln "&amp;A76&amp;" or Ln "&amp;A79&amp;")"</f>
        <v>Recoverable Hedge Amortization (Lesser of Ln 51 or Ln 54)</v>
      </c>
      <c r="C80" s="1027"/>
      <c r="D80" s="1020"/>
      <c r="E80" s="1052">
        <f>+IF(E79&lt;E76,E79,E76)</f>
        <v>0</v>
      </c>
      <c r="F80" s="1034"/>
      <c r="G80" s="1034"/>
    </row>
    <row r="81" spans="1:7" s="1035" customFormat="1" ht="12.75" customHeight="1">
      <c r="A81" s="620"/>
      <c r="B81" s="1022"/>
      <c r="C81" s="1027"/>
      <c r="D81" s="1020"/>
      <c r="E81" s="1027"/>
      <c r="F81" s="1034"/>
      <c r="G81" s="1034"/>
    </row>
    <row r="82" spans="1:7" s="1035" customFormat="1" ht="12.75" customHeight="1">
      <c r="A82" s="1053" t="s">
        <v>9</v>
      </c>
      <c r="B82" s="1054"/>
      <c r="C82" s="1027"/>
      <c r="D82" s="1020"/>
      <c r="E82" s="1027"/>
      <c r="F82" s="1034"/>
      <c r="G82" s="1034"/>
    </row>
    <row r="83" spans="1:7" s="1035" customFormat="1" ht="12.75" customHeight="1">
      <c r="A83" s="620"/>
      <c r="B83" s="1022"/>
      <c r="C83" s="1027"/>
      <c r="D83" s="1020"/>
      <c r="E83" s="1027"/>
      <c r="F83" s="1034"/>
      <c r="G83" s="1034"/>
    </row>
    <row r="84" spans="1:7" s="1035" customFormat="1" ht="12.75" customHeight="1">
      <c r="A84" s="620"/>
      <c r="B84" s="1055" t="s">
        <v>260</v>
      </c>
      <c r="C84" s="1056"/>
      <c r="D84" s="1057"/>
      <c r="E84" s="1056" t="s">
        <v>508</v>
      </c>
      <c r="F84" s="1034"/>
      <c r="G84" s="1034"/>
    </row>
    <row r="85" spans="1:7" s="1035" customFormat="1" ht="12.75" customHeight="1">
      <c r="A85" s="620">
        <f>+A80+1</f>
        <v>56</v>
      </c>
      <c r="B85" s="1020" t="str">
        <f>""&amp;C$85*100&amp;"% Series - "&amp;C$86&amp;" - Dividend Rate (p. 250-251)"</f>
        <v>0% Series - 0 - Dividend Rate (p. 250-251)</v>
      </c>
      <c r="C85" s="1058">
        <v>0</v>
      </c>
      <c r="D85" s="1058">
        <v>0</v>
      </c>
      <c r="E85" s="1056"/>
      <c r="F85" s="1034"/>
      <c r="G85" s="1034"/>
    </row>
    <row r="86" spans="1:7" s="1035" customFormat="1" ht="12.75" customHeight="1">
      <c r="A86" s="620">
        <f>+A85+1</f>
        <v>57</v>
      </c>
      <c r="B86" s="1020" t="str">
        <f>""&amp;C$85*100&amp;"% Series - "&amp;C$86&amp;" - Par Value (p. 250-251)"</f>
        <v>0% Series - 0 - Par Value (p. 250-251)</v>
      </c>
      <c r="C86" s="1059">
        <v>0</v>
      </c>
      <c r="D86" s="1059">
        <v>0</v>
      </c>
      <c r="E86" s="1056"/>
      <c r="F86" s="1034"/>
      <c r="G86" s="1034"/>
    </row>
    <row r="87" spans="1:7" s="1035" customFormat="1" ht="12.75" customHeight="1">
      <c r="A87" s="620">
        <f>+A86+1</f>
        <v>58</v>
      </c>
      <c r="B87" s="1020" t="str">
        <f>""&amp;C$85*100&amp;"% Series - "&amp;C$86&amp;" - Shares O/S (p.250-251) "</f>
        <v xml:space="preserve">0% Series - 0 - Shares O/S (p.250-251) </v>
      </c>
      <c r="C87" s="1023">
        <v>0</v>
      </c>
      <c r="D87" s="1023">
        <v>0</v>
      </c>
      <c r="E87" s="1060"/>
      <c r="F87" s="1034"/>
      <c r="G87" s="1034"/>
    </row>
    <row r="88" spans="1:7" s="1035" customFormat="1" ht="12.75" customHeight="1">
      <c r="A88" s="620">
        <f>+A87+1</f>
        <v>59</v>
      </c>
      <c r="B88" s="1020" t="str">
        <f>""&amp;C$85*100&amp;"% Series - "&amp;C$86&amp;" - Monetary Value (Ln "&amp;A86&amp;" * Ln "&amp;A87&amp;")"</f>
        <v>0% Series - 0 - Monetary Value (Ln 57 * Ln 58)</v>
      </c>
      <c r="C88" s="1061">
        <f>+C87*C86</f>
        <v>0</v>
      </c>
      <c r="D88" s="1061">
        <f>+D87*D86</f>
        <v>0</v>
      </c>
      <c r="E88" s="1062">
        <f>IF(C88=D88=0,0,AVERAGE(C88:D88))</f>
        <v>0</v>
      </c>
      <c r="F88" s="1034"/>
      <c r="G88" s="1034"/>
    </row>
    <row r="89" spans="1:7" s="1035" customFormat="1" ht="12.75" customHeight="1">
      <c r="A89" s="620">
        <f>+A88+1</f>
        <v>60</v>
      </c>
      <c r="B89" s="1020" t="str">
        <f>""&amp;C$85*100&amp;"% Series - "&amp;C$86&amp;" -  Dividend Amount (Ln "&amp;A85&amp;" * Ln "&amp;A88&amp;")"</f>
        <v>0% Series - 0 -  Dividend Amount (Ln 56 * Ln 59)</v>
      </c>
      <c r="C89" s="1061">
        <f>+C88*C85</f>
        <v>0</v>
      </c>
      <c r="D89" s="1061">
        <f>+D88*D85</f>
        <v>0</v>
      </c>
      <c r="E89" s="1062">
        <f>IF(C89=D89=0,0,AVERAGE(C89:D89))</f>
        <v>0</v>
      </c>
      <c r="F89" s="1034"/>
      <c r="G89" s="1034"/>
    </row>
    <row r="90" spans="1:7" s="1035" customFormat="1" ht="12.75" customHeight="1">
      <c r="A90" s="620"/>
      <c r="B90" s="1020"/>
      <c r="C90" s="1061"/>
      <c r="D90" s="1050"/>
      <c r="E90" s="1063"/>
      <c r="F90" s="1034"/>
      <c r="G90" s="1034"/>
    </row>
    <row r="91" spans="1:7" s="1035" customFormat="1" ht="12.75" customHeight="1">
      <c r="A91" s="620">
        <f>+A89+1</f>
        <v>61</v>
      </c>
      <c r="B91" s="1020" t="str">
        <f>""&amp;C$91*100&amp;"% Series - "&amp;C$92&amp;" - Dividend Rate (p. 250-251)"</f>
        <v>0% Series - 0 - Dividend Rate (p. 250-251)</v>
      </c>
      <c r="C91" s="1058">
        <v>0</v>
      </c>
      <c r="D91" s="1058">
        <v>0</v>
      </c>
      <c r="E91" s="1063"/>
      <c r="F91" s="1034"/>
      <c r="G91" s="1034"/>
    </row>
    <row r="92" spans="1:7" s="1035" customFormat="1" ht="12.75" customHeight="1">
      <c r="A92" s="620">
        <f>+A91+1</f>
        <v>62</v>
      </c>
      <c r="B92" s="1020" t="str">
        <f>""&amp;C$91*100&amp;"% Series - "&amp;C$92&amp;" - Par Value (p. 250-251)"</f>
        <v>0% Series - 0 - Par Value (p. 250-251)</v>
      </c>
      <c r="C92" s="1059">
        <v>0</v>
      </c>
      <c r="D92" s="1059">
        <v>0</v>
      </c>
      <c r="E92" s="1063"/>
      <c r="F92" s="1034"/>
      <c r="G92" s="1034"/>
    </row>
    <row r="93" spans="1:7" s="1035" customFormat="1" ht="12.75" customHeight="1">
      <c r="A93" s="620">
        <f>+A92+1</f>
        <v>63</v>
      </c>
      <c r="B93" s="1020" t="str">
        <f>""&amp;C$91*100&amp;"% Series - "&amp;C$92&amp;" - Shares O/S (p.250-251) "</f>
        <v xml:space="preserve">0% Series - 0 - Shares O/S (p.250-251) </v>
      </c>
      <c r="C93" s="1023">
        <v>0</v>
      </c>
      <c r="D93" s="1023">
        <v>0</v>
      </c>
      <c r="E93" s="1063"/>
      <c r="F93" s="1034"/>
      <c r="G93" s="1034"/>
    </row>
    <row r="94" spans="1:7" s="1035" customFormat="1" ht="12.75" customHeight="1">
      <c r="A94" s="620">
        <f>+A93+1</f>
        <v>64</v>
      </c>
      <c r="B94" s="1020" t="str">
        <f>""&amp;C$91*100&amp;"% Series - "&amp;C$92&amp;" - Monetary Value (Ln "&amp;A92&amp;" * Ln "&amp;A93&amp;")"</f>
        <v>0% Series - 0 - Monetary Value (Ln 62 * Ln 63)</v>
      </c>
      <c r="C94" s="1019">
        <f>+C93*C92</f>
        <v>0</v>
      </c>
      <c r="D94" s="1019">
        <f>+D93*D92</f>
        <v>0</v>
      </c>
      <c r="E94" s="1062">
        <f>IF(C94=D94=0,0,AVERAGE(C94:D94))</f>
        <v>0</v>
      </c>
      <c r="F94" s="1034"/>
      <c r="G94" s="1034"/>
    </row>
    <row r="95" spans="1:7" s="1035" customFormat="1" ht="12.75" customHeight="1">
      <c r="A95" s="620">
        <f>+A94+1</f>
        <v>65</v>
      </c>
      <c r="B95" s="1020" t="str">
        <f>""&amp;C$91*100&amp;"% Series - "&amp;C$92&amp;" -  Dividend Amount (Ln "&amp;A91&amp;" * Ln "&amp;A94&amp;")"</f>
        <v>0% Series - 0 -  Dividend Amount (Ln 61 * Ln 64)</v>
      </c>
      <c r="C95" s="1019">
        <f>+C94*C91</f>
        <v>0</v>
      </c>
      <c r="D95" s="1019">
        <f>+D94*D91</f>
        <v>0</v>
      </c>
      <c r="E95" s="1062">
        <f>IF(C95=D95=0,0,AVERAGE(C95:D95))</f>
        <v>0</v>
      </c>
      <c r="F95" s="1034"/>
      <c r="G95" s="1034"/>
    </row>
    <row r="96" spans="1:7" s="1035" customFormat="1" ht="12.75" customHeight="1">
      <c r="A96" s="620"/>
      <c r="B96" s="1020"/>
      <c r="C96" s="1019"/>
      <c r="D96" s="1019"/>
      <c r="E96" s="1062"/>
      <c r="F96" s="1034"/>
      <c r="G96" s="1034"/>
    </row>
    <row r="97" spans="1:7" s="1035" customFormat="1" ht="12.75" customHeight="1">
      <c r="A97" s="620">
        <f>+A95+1</f>
        <v>66</v>
      </c>
      <c r="B97" s="1020" t="str">
        <f>""&amp;C$97*100&amp;"% Series - "&amp;C$98&amp;" - Dividend Rate (p. 250-251)"</f>
        <v>0% Series - 0 - Dividend Rate (p. 250-251)</v>
      </c>
      <c r="C97" s="1058">
        <v>0</v>
      </c>
      <c r="D97" s="1058">
        <v>0</v>
      </c>
      <c r="E97" s="1062"/>
      <c r="F97" s="1034"/>
      <c r="G97" s="1034"/>
    </row>
    <row r="98" spans="1:7" s="1035" customFormat="1" ht="12.75" customHeight="1">
      <c r="A98" s="620">
        <f>+A97+1</f>
        <v>67</v>
      </c>
      <c r="B98" s="1020" t="str">
        <f>""&amp;C$97*100&amp;"% Series - "&amp;C$98&amp;" - Par Value (p. 250-251)"</f>
        <v>0% Series - 0 - Par Value (p. 250-251)</v>
      </c>
      <c r="C98" s="1059">
        <v>0</v>
      </c>
      <c r="D98" s="1059">
        <v>0</v>
      </c>
      <c r="E98" s="1062"/>
      <c r="F98" s="1034"/>
      <c r="G98" s="1034"/>
    </row>
    <row r="99" spans="1:7" s="1035" customFormat="1" ht="12.75" customHeight="1">
      <c r="A99" s="620">
        <f>+A98+1</f>
        <v>68</v>
      </c>
      <c r="B99" s="1020" t="str">
        <f>""&amp;C$97*100&amp;"% Series - "&amp;C$98&amp;" - Shares O/S (p.250-251) "</f>
        <v xml:space="preserve">0% Series - 0 - Shares O/S (p.250-251) </v>
      </c>
      <c r="C99" s="1023">
        <v>0</v>
      </c>
      <c r="D99" s="1023">
        <v>0</v>
      </c>
      <c r="E99" s="1063"/>
      <c r="F99" s="1034"/>
      <c r="G99" s="1034"/>
    </row>
    <row r="100" spans="1:7" s="1035" customFormat="1" ht="12.75" customHeight="1">
      <c r="A100" s="620">
        <f>+A99+1</f>
        <v>69</v>
      </c>
      <c r="B100" s="1020" t="str">
        <f>""&amp;C$97*100&amp;"% Series - "&amp;C$98&amp;" - Monetary Value (Ln "&amp;A98&amp;" * Ln "&amp;A99&amp;")"</f>
        <v>0% Series - 0 - Monetary Value (Ln 67 * Ln 68)</v>
      </c>
      <c r="C100" s="1019">
        <f>+C99*C98</f>
        <v>0</v>
      </c>
      <c r="D100" s="1019">
        <f>+D99*D98</f>
        <v>0</v>
      </c>
      <c r="E100" s="1062">
        <f>IF(C100=D100=0,0,AVERAGE(C100:D100))</f>
        <v>0</v>
      </c>
      <c r="F100" s="1034"/>
      <c r="G100" s="1034"/>
    </row>
    <row r="101" spans="1:7" s="1035" customFormat="1" ht="12.75" customHeight="1">
      <c r="A101" s="620">
        <f>+A100+1</f>
        <v>70</v>
      </c>
      <c r="B101" s="1020" t="str">
        <f>""&amp;C$97*100&amp;"% Series - "&amp;C$98&amp;" -  Dividend Amount (Ln "&amp;A97&amp;" * Ln "&amp;A100&amp;")"</f>
        <v>0% Series - 0 -  Dividend Amount (Ln 66 * Ln 69)</v>
      </c>
      <c r="C101" s="1019">
        <f>+C100*C97</f>
        <v>0</v>
      </c>
      <c r="D101" s="1019">
        <f>+D100*D97</f>
        <v>0</v>
      </c>
      <c r="E101" s="1062">
        <f>IF(C101=D101=0,0,AVERAGE(C101:D101))</f>
        <v>0</v>
      </c>
      <c r="F101" s="1034"/>
      <c r="G101" s="1034"/>
    </row>
    <row r="102" spans="1:7" s="1035" customFormat="1" ht="12.75" customHeight="1">
      <c r="A102" s="620"/>
      <c r="B102" s="1020"/>
      <c r="C102" s="1019"/>
      <c r="D102" s="1019"/>
      <c r="E102" s="1034"/>
      <c r="F102" s="1034"/>
      <c r="G102" s="1034"/>
    </row>
    <row r="103" spans="1:7" s="1035" customFormat="1" ht="12.75" customHeight="1">
      <c r="A103" s="620">
        <f>+A101+1</f>
        <v>71</v>
      </c>
      <c r="B103" s="1030" t="str">
        <f>"Balance of Preferred Stock (Lns "&amp;A88&amp;", "&amp;A94&amp;", "&amp;A100&amp;")"</f>
        <v>Balance of Preferred Stock (Lns 59, 64, 69)</v>
      </c>
      <c r="C103" s="1019">
        <f>+C88+C94+C100</f>
        <v>0</v>
      </c>
      <c r="D103" s="1019">
        <f>+D88+D94+D100</f>
        <v>0</v>
      </c>
      <c r="E103" s="1064">
        <f>+E88+E94+E100</f>
        <v>0</v>
      </c>
      <c r="F103" s="1020" t="s">
        <v>315</v>
      </c>
      <c r="G103" s="1034"/>
    </row>
    <row r="104" spans="1:7" s="1035" customFormat="1" ht="12.75" customHeight="1" thickBot="1">
      <c r="A104" s="620">
        <f>+A103+1</f>
        <v>72</v>
      </c>
      <c r="B104" s="1030" t="str">
        <f>"Dividends on Preferred Stock (Lns "&amp;A89&amp;", "&amp;A95&amp;", "&amp;A101&amp;")"</f>
        <v>Dividends on Preferred Stock (Lns 60, 65, 70)</v>
      </c>
      <c r="C104" s="1065">
        <f>+C95+C89+C101</f>
        <v>0</v>
      </c>
      <c r="D104" s="1065">
        <f>+D95+D89+D101</f>
        <v>0</v>
      </c>
      <c r="E104" s="1066">
        <f>+E101+E95+E89</f>
        <v>0</v>
      </c>
      <c r="F104" s="1034"/>
      <c r="G104" s="1034"/>
    </row>
    <row r="105" spans="1:7" s="1035" customFormat="1" ht="12.75" customHeight="1" thickBot="1">
      <c r="A105" s="620">
        <f>+A104+1</f>
        <v>73</v>
      </c>
      <c r="B105" s="1067" t="str">
        <f>"Average Cost of Preferred Stock (Ln "&amp;A104&amp;"/"&amp;A103&amp;")"</f>
        <v>Average Cost of Preferred Stock (Ln 72/71)</v>
      </c>
      <c r="C105" s="1027">
        <f>IF(C103=0,0,C104/C103)</f>
        <v>0</v>
      </c>
      <c r="D105" s="1027">
        <f>IF(D103=0,0,D104/D103)</f>
        <v>0</v>
      </c>
      <c r="E105" s="1032">
        <f>IF(E103=0,0,+E104/E103)</f>
        <v>0</v>
      </c>
      <c r="F105" s="1034"/>
      <c r="G105" s="1034"/>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1"/>
  <sheetViews>
    <sheetView view="pageBreakPreview" topLeftCell="A26" zoomScale="70" zoomScaleNormal="100" zoomScaleSheetLayoutView="70" zoomScalePageLayoutView="50" workbookViewId="0">
      <selection activeCell="E62" sqref="E62"/>
    </sheetView>
  </sheetViews>
  <sheetFormatPr defaultColWidth="11.42578125" defaultRowHeight="12.75"/>
  <cols>
    <col min="1" max="1" width="10.42578125" style="937" customWidth="1"/>
    <col min="2" max="2" width="64.5703125" style="235" customWidth="1"/>
    <col min="3" max="3" width="26.5703125" style="235" bestFit="1" customWidth="1"/>
    <col min="4" max="11" width="20.42578125" style="235" customWidth="1"/>
    <col min="12" max="12" width="20" style="235" customWidth="1"/>
    <col min="13" max="14" width="15.140625" style="235" customWidth="1"/>
    <col min="15" max="16384" width="11.42578125" style="235"/>
  </cols>
  <sheetData>
    <row r="1" spans="1:12" ht="15">
      <c r="A1" s="1543" t="s">
        <v>389</v>
      </c>
      <c r="B1" s="1543"/>
      <c r="C1" s="1543"/>
      <c r="D1" s="1543"/>
      <c r="E1" s="1543"/>
      <c r="F1" s="1543"/>
      <c r="G1" s="1543"/>
      <c r="H1" s="941"/>
      <c r="I1" s="941"/>
    </row>
    <row r="2" spans="1:12" ht="15">
      <c r="A2" s="1544" t="str">
        <f>"Cost of Service Formula Rate Using Actual/Projected FF1 Balances"</f>
        <v>Cost of Service Formula Rate Using Actual/Projected FF1 Balances</v>
      </c>
      <c r="B2" s="1544"/>
      <c r="C2" s="1544"/>
      <c r="D2" s="1544"/>
      <c r="E2" s="1544"/>
      <c r="F2" s="1544"/>
      <c r="G2" s="1544"/>
      <c r="H2" s="941"/>
      <c r="I2" s="941"/>
      <c r="J2" s="941"/>
      <c r="L2" s="982"/>
    </row>
    <row r="3" spans="1:12" ht="15">
      <c r="A3" s="1544" t="s">
        <v>663</v>
      </c>
      <c r="B3" s="1544"/>
      <c r="C3" s="1544"/>
      <c r="D3" s="1544"/>
      <c r="E3" s="1544"/>
      <c r="F3" s="1544"/>
      <c r="G3" s="1544"/>
      <c r="H3" s="941"/>
      <c r="I3" s="941"/>
      <c r="J3" s="941"/>
    </row>
    <row r="4" spans="1:12" ht="15">
      <c r="A4" s="1551" t="str">
        <f>TCOS!F9</f>
        <v>KINGSPORT POWER COMPANY</v>
      </c>
      <c r="B4" s="1551"/>
      <c r="C4" s="1551"/>
      <c r="D4" s="1551"/>
      <c r="E4" s="1551"/>
      <c r="F4" s="1551"/>
      <c r="G4" s="1551"/>
      <c r="H4" s="941"/>
      <c r="I4" s="941"/>
      <c r="J4" s="941"/>
    </row>
    <row r="5" spans="1:12">
      <c r="A5" s="941"/>
      <c r="B5" s="978"/>
      <c r="C5" s="978"/>
      <c r="D5" s="978"/>
      <c r="E5" s="981"/>
      <c r="F5" s="980"/>
      <c r="H5" s="980"/>
      <c r="J5" s="980"/>
      <c r="L5" s="980"/>
    </row>
    <row r="6" spans="1:12" ht="12.75" customHeight="1">
      <c r="A6" s="941"/>
      <c r="B6" s="978"/>
      <c r="C6" s="1545" t="s">
        <v>662</v>
      </c>
      <c r="D6" s="1546"/>
      <c r="E6" s="1546"/>
      <c r="F6" s="1546"/>
      <c r="G6" s="1546"/>
      <c r="H6" s="1546"/>
      <c r="I6" s="1546"/>
      <c r="J6" s="1546"/>
      <c r="K6" s="1547"/>
      <c r="L6" s="6"/>
    </row>
    <row r="7" spans="1:12" s="975" customFormat="1" ht="25.5">
      <c r="A7" s="977" t="s">
        <v>652</v>
      </c>
      <c r="B7" s="976" t="s">
        <v>651</v>
      </c>
      <c r="C7" s="956" t="s">
        <v>231</v>
      </c>
      <c r="D7" s="956" t="s">
        <v>660</v>
      </c>
      <c r="E7" s="956" t="s">
        <v>117</v>
      </c>
      <c r="F7" s="956" t="s">
        <v>659</v>
      </c>
      <c r="G7" s="956" t="s">
        <v>440</v>
      </c>
      <c r="H7" s="956" t="s">
        <v>658</v>
      </c>
      <c r="I7" s="956" t="s">
        <v>336</v>
      </c>
      <c r="J7" s="956" t="s">
        <v>657</v>
      </c>
      <c r="K7" s="955" t="s">
        <v>656</v>
      </c>
      <c r="L7" s="6"/>
    </row>
    <row r="8" spans="1:12" s="948" customFormat="1">
      <c r="A8" s="947"/>
      <c r="B8" s="953" t="s">
        <v>646</v>
      </c>
      <c r="C8" s="952" t="s">
        <v>645</v>
      </c>
      <c r="D8" s="952" t="s">
        <v>644</v>
      </c>
      <c r="E8" s="952" t="s">
        <v>643</v>
      </c>
      <c r="F8" s="952" t="s">
        <v>642</v>
      </c>
      <c r="G8" s="952" t="s">
        <v>664</v>
      </c>
      <c r="H8" s="952" t="s">
        <v>665</v>
      </c>
      <c r="I8" s="952" t="s">
        <v>655</v>
      </c>
      <c r="J8" s="952" t="s">
        <v>654</v>
      </c>
      <c r="K8" s="974" t="s">
        <v>653</v>
      </c>
      <c r="L8" s="6"/>
    </row>
    <row r="9" spans="1:12" s="948" customFormat="1" ht="44.25" customHeight="1">
      <c r="A9" s="947"/>
      <c r="B9" s="953" t="s">
        <v>641</v>
      </c>
      <c r="C9" s="973" t="s">
        <v>444</v>
      </c>
      <c r="D9" s="973" t="s">
        <v>449</v>
      </c>
      <c r="E9" s="973" t="s">
        <v>445</v>
      </c>
      <c r="F9" s="973" t="s">
        <v>907</v>
      </c>
      <c r="G9" s="973" t="s">
        <v>446</v>
      </c>
      <c r="H9" s="973" t="s">
        <v>447</v>
      </c>
      <c r="I9" s="973" t="s">
        <v>666</v>
      </c>
      <c r="J9" s="973" t="s">
        <v>667</v>
      </c>
      <c r="K9" s="972" t="s">
        <v>448</v>
      </c>
      <c r="L9" s="6"/>
    </row>
    <row r="10" spans="1:12">
      <c r="A10" s="947">
        <v>1</v>
      </c>
      <c r="B10" s="971" t="s">
        <v>639</v>
      </c>
      <c r="C10" s="1278">
        <v>0</v>
      </c>
      <c r="D10" s="1280">
        <v>0</v>
      </c>
      <c r="E10" s="1280">
        <v>62082012.930000015</v>
      </c>
      <c r="F10" s="1280">
        <v>0</v>
      </c>
      <c r="G10" s="1280">
        <v>246158968.88000003</v>
      </c>
      <c r="H10" s="1280">
        <v>0</v>
      </c>
      <c r="I10" s="1280">
        <v>13792133.180000002</v>
      </c>
      <c r="J10" s="1280">
        <v>150407.18</v>
      </c>
      <c r="K10" s="1479">
        <v>8409150.6900000013</v>
      </c>
      <c r="L10" s="6"/>
    </row>
    <row r="11" spans="1:12">
      <c r="A11" s="947">
        <f>+A10+1</f>
        <v>2</v>
      </c>
      <c r="B11" s="971" t="s">
        <v>187</v>
      </c>
      <c r="C11" s="1280">
        <v>0</v>
      </c>
      <c r="D11" s="1280">
        <v>0</v>
      </c>
      <c r="E11" s="1280">
        <v>62148338.970000006</v>
      </c>
      <c r="F11" s="1280">
        <v>0</v>
      </c>
      <c r="G11" s="1280">
        <v>246903272.97999996</v>
      </c>
      <c r="H11" s="1280">
        <v>0</v>
      </c>
      <c r="I11" s="1280">
        <v>13799925.860000003</v>
      </c>
      <c r="J11" s="1280">
        <v>150407.18</v>
      </c>
      <c r="K11" s="1279">
        <v>8510308.4500000011</v>
      </c>
      <c r="L11" s="6"/>
    </row>
    <row r="12" spans="1:12">
      <c r="A12" s="947">
        <f t="shared" ref="A12:A23" si="0">+A11+1</f>
        <v>3</v>
      </c>
      <c r="B12" s="970" t="s">
        <v>562</v>
      </c>
      <c r="C12" s="1280">
        <v>0</v>
      </c>
      <c r="D12" s="1280">
        <v>0</v>
      </c>
      <c r="E12" s="1280">
        <v>62194984.870000005</v>
      </c>
      <c r="F12" s="1280">
        <v>0</v>
      </c>
      <c r="G12" s="1280">
        <v>247547286.16000003</v>
      </c>
      <c r="H12" s="1280">
        <v>0</v>
      </c>
      <c r="I12" s="1280">
        <v>13801784.890000002</v>
      </c>
      <c r="J12" s="1280">
        <v>150407.18</v>
      </c>
      <c r="K12" s="1279">
        <v>8563193.6199999992</v>
      </c>
      <c r="L12" s="6"/>
    </row>
    <row r="13" spans="1:12">
      <c r="A13" s="947">
        <f t="shared" si="0"/>
        <v>4</v>
      </c>
      <c r="B13" s="970" t="s">
        <v>638</v>
      </c>
      <c r="C13" s="1280">
        <v>0</v>
      </c>
      <c r="D13" s="1280">
        <v>0</v>
      </c>
      <c r="E13" s="1280">
        <v>62239738.760000005</v>
      </c>
      <c r="F13" s="1280">
        <v>0</v>
      </c>
      <c r="G13" s="1280">
        <v>248299814.51999998</v>
      </c>
      <c r="H13" s="1280">
        <v>0</v>
      </c>
      <c r="I13" s="1280">
        <v>13864153.890000002</v>
      </c>
      <c r="J13" s="1280">
        <v>150407.18</v>
      </c>
      <c r="K13" s="1279">
        <v>8324403.2800000003</v>
      </c>
      <c r="L13" s="6"/>
    </row>
    <row r="14" spans="1:12">
      <c r="A14" s="947">
        <f t="shared" si="0"/>
        <v>5</v>
      </c>
      <c r="B14" s="970" t="s">
        <v>189</v>
      </c>
      <c r="C14" s="1280">
        <v>0</v>
      </c>
      <c r="D14" s="1280">
        <v>0</v>
      </c>
      <c r="E14" s="1280">
        <v>62284810.539999999</v>
      </c>
      <c r="F14" s="1280">
        <v>0</v>
      </c>
      <c r="G14" s="1280">
        <v>248787566.35000002</v>
      </c>
      <c r="H14" s="1280">
        <v>0</v>
      </c>
      <c r="I14" s="1280">
        <v>13959466.100000001</v>
      </c>
      <c r="J14" s="1280">
        <v>150407.18</v>
      </c>
      <c r="K14" s="1279">
        <v>8375395.9999999991</v>
      </c>
      <c r="L14" s="6"/>
    </row>
    <row r="15" spans="1:12">
      <c r="A15" s="947">
        <f t="shared" si="0"/>
        <v>6</v>
      </c>
      <c r="B15" s="970" t="s">
        <v>190</v>
      </c>
      <c r="C15" s="1280">
        <v>0</v>
      </c>
      <c r="D15" s="1280">
        <v>0</v>
      </c>
      <c r="E15" s="1280">
        <v>62507169.809999995</v>
      </c>
      <c r="F15" s="1280">
        <v>0</v>
      </c>
      <c r="G15" s="1280">
        <v>249466374.13999996</v>
      </c>
      <c r="H15" s="1280">
        <v>0</v>
      </c>
      <c r="I15" s="1280">
        <v>13984374.15</v>
      </c>
      <c r="J15" s="1280">
        <v>150407.18</v>
      </c>
      <c r="K15" s="1279">
        <v>8445282.790000001</v>
      </c>
      <c r="L15" s="6"/>
    </row>
    <row r="16" spans="1:12">
      <c r="A16" s="947">
        <f t="shared" si="0"/>
        <v>7</v>
      </c>
      <c r="B16" s="970" t="s">
        <v>384</v>
      </c>
      <c r="C16" s="1280">
        <v>0</v>
      </c>
      <c r="D16" s="1280">
        <v>0</v>
      </c>
      <c r="E16" s="1280">
        <v>62518845.790000007</v>
      </c>
      <c r="F16" s="1280">
        <v>0</v>
      </c>
      <c r="G16" s="1280">
        <v>250365838.64999998</v>
      </c>
      <c r="H16" s="1280">
        <v>0</v>
      </c>
      <c r="I16" s="1280">
        <v>14062781.640000004</v>
      </c>
      <c r="J16" s="1280">
        <v>150407.18</v>
      </c>
      <c r="K16" s="1279">
        <v>8263106.4700000007</v>
      </c>
      <c r="L16" s="6"/>
    </row>
    <row r="17" spans="1:12">
      <c r="A17" s="947">
        <f t="shared" si="0"/>
        <v>8</v>
      </c>
      <c r="B17" s="970" t="s">
        <v>191</v>
      </c>
      <c r="C17" s="1280">
        <v>0</v>
      </c>
      <c r="D17" s="1280">
        <v>0</v>
      </c>
      <c r="E17" s="1280">
        <v>62293516.390000008</v>
      </c>
      <c r="F17" s="1280">
        <v>0</v>
      </c>
      <c r="G17" s="1280">
        <v>252756156.75999996</v>
      </c>
      <c r="H17" s="1280">
        <v>0</v>
      </c>
      <c r="I17" s="1280">
        <v>14092605.360000001</v>
      </c>
      <c r="J17" s="1280">
        <v>150407.18</v>
      </c>
      <c r="K17" s="1279">
        <v>8320317.9799999995</v>
      </c>
      <c r="L17" s="6"/>
    </row>
    <row r="18" spans="1:12">
      <c r="A18" s="947">
        <f t="shared" si="0"/>
        <v>9</v>
      </c>
      <c r="B18" s="970" t="s">
        <v>637</v>
      </c>
      <c r="C18" s="1280">
        <v>0</v>
      </c>
      <c r="D18" s="1280">
        <v>0</v>
      </c>
      <c r="E18" s="1280">
        <v>62349614.049999997</v>
      </c>
      <c r="F18" s="1280">
        <v>0</v>
      </c>
      <c r="G18" s="1280">
        <v>253690568.77999997</v>
      </c>
      <c r="H18" s="1280">
        <v>0</v>
      </c>
      <c r="I18" s="1280">
        <v>14122067.600000003</v>
      </c>
      <c r="J18" s="1280">
        <v>150407.18</v>
      </c>
      <c r="K18" s="1279">
        <v>8343073.0800000001</v>
      </c>
      <c r="L18" s="6"/>
    </row>
    <row r="19" spans="1:12">
      <c r="A19" s="947">
        <f t="shared" si="0"/>
        <v>10</v>
      </c>
      <c r="B19" s="970" t="s">
        <v>194</v>
      </c>
      <c r="C19" s="1280">
        <v>0</v>
      </c>
      <c r="D19" s="1280">
        <v>0</v>
      </c>
      <c r="E19" s="1280">
        <v>62317357.949999996</v>
      </c>
      <c r="F19" s="1280">
        <v>0</v>
      </c>
      <c r="G19" s="1280">
        <v>254627541.47</v>
      </c>
      <c r="H19" s="1280">
        <v>0</v>
      </c>
      <c r="I19" s="1280">
        <v>14123659.980000002</v>
      </c>
      <c r="J19" s="1280">
        <v>150407.18</v>
      </c>
      <c r="K19" s="1279">
        <v>8200884.7899999991</v>
      </c>
      <c r="L19" s="6"/>
    </row>
    <row r="20" spans="1:12">
      <c r="A20" s="947">
        <f t="shared" si="0"/>
        <v>11</v>
      </c>
      <c r="B20" s="970" t="s">
        <v>563</v>
      </c>
      <c r="C20" s="1280">
        <v>0</v>
      </c>
      <c r="D20" s="1280">
        <v>0</v>
      </c>
      <c r="E20" s="1280">
        <v>62464491.039999999</v>
      </c>
      <c r="F20" s="1280">
        <v>0</v>
      </c>
      <c r="G20" s="1280">
        <v>258417374.32000002</v>
      </c>
      <c r="H20" s="1280">
        <v>0</v>
      </c>
      <c r="I20" s="1280">
        <v>14094667.09</v>
      </c>
      <c r="J20" s="1280">
        <v>150407.18</v>
      </c>
      <c r="K20" s="1279">
        <v>8257082.4100000001</v>
      </c>
      <c r="L20" s="6"/>
    </row>
    <row r="21" spans="1:12">
      <c r="A21" s="947">
        <f t="shared" si="0"/>
        <v>12</v>
      </c>
      <c r="B21" s="970" t="s">
        <v>564</v>
      </c>
      <c r="C21" s="1280">
        <v>0</v>
      </c>
      <c r="D21" s="1280">
        <v>0</v>
      </c>
      <c r="E21" s="1280">
        <v>62831547.289999999</v>
      </c>
      <c r="F21" s="1280">
        <v>0</v>
      </c>
      <c r="G21" s="1280">
        <v>259514355.92999998</v>
      </c>
      <c r="H21" s="1280">
        <v>0</v>
      </c>
      <c r="I21" s="1280">
        <v>14135679.77</v>
      </c>
      <c r="J21" s="1280">
        <v>150407.18</v>
      </c>
      <c r="K21" s="1279">
        <v>8362685.2300000004</v>
      </c>
      <c r="L21" s="6"/>
    </row>
    <row r="22" spans="1:12">
      <c r="A22" s="946">
        <f t="shared" si="0"/>
        <v>13</v>
      </c>
      <c r="B22" s="969" t="s">
        <v>636</v>
      </c>
      <c r="C22" s="1280">
        <v>0</v>
      </c>
      <c r="D22" s="1280">
        <v>0</v>
      </c>
      <c r="E22" s="1280">
        <v>62841612.009999998</v>
      </c>
      <c r="F22" s="1280">
        <v>0</v>
      </c>
      <c r="G22" s="1280">
        <v>261108514.65999997</v>
      </c>
      <c r="H22" s="1280">
        <v>0</v>
      </c>
      <c r="I22" s="1280">
        <v>14140916.889999999</v>
      </c>
      <c r="J22" s="1280">
        <v>150407.18</v>
      </c>
      <c r="K22" s="1279">
        <v>8272198.4299999997</v>
      </c>
      <c r="L22" s="6"/>
    </row>
    <row r="23" spans="1:12" ht="13.5" thickBot="1">
      <c r="A23" s="1214">
        <f t="shared" si="0"/>
        <v>14</v>
      </c>
      <c r="B23" s="1215" t="s">
        <v>865</v>
      </c>
      <c r="C23" s="966">
        <f>SUM(C10:C22)/13</f>
        <v>0</v>
      </c>
      <c r="D23" s="966">
        <f>SUM(D10:D22)/13</f>
        <v>0</v>
      </c>
      <c r="E23" s="966">
        <f t="shared" ref="E23:K23" si="1">SUM(E10:E22)/13</f>
        <v>62390310.799999997</v>
      </c>
      <c r="F23" s="966">
        <f t="shared" si="1"/>
        <v>0</v>
      </c>
      <c r="G23" s="966">
        <f t="shared" si="1"/>
        <v>252126433.3538461</v>
      </c>
      <c r="H23" s="966">
        <f t="shared" si="1"/>
        <v>0</v>
      </c>
      <c r="I23" s="966">
        <f t="shared" si="1"/>
        <v>13998016.646153849</v>
      </c>
      <c r="J23" s="966">
        <f t="shared" si="1"/>
        <v>150407.17999999996</v>
      </c>
      <c r="K23" s="965">
        <f t="shared" si="1"/>
        <v>8357467.9399999995</v>
      </c>
      <c r="L23" s="6"/>
    </row>
    <row r="24" spans="1:12" ht="13.5" thickTop="1">
      <c r="A24" s="941"/>
      <c r="B24" s="940"/>
      <c r="C24" s="964"/>
      <c r="D24" s="938"/>
      <c r="E24" s="938"/>
      <c r="F24" s="938"/>
      <c r="G24" s="964"/>
      <c r="H24" s="964"/>
      <c r="I24" s="964"/>
      <c r="J24" s="979"/>
      <c r="K24" s="979"/>
      <c r="L24" s="6"/>
    </row>
    <row r="25" spans="1:12" ht="12.75" customHeight="1">
      <c r="A25" s="941"/>
      <c r="B25" s="978"/>
      <c r="C25" s="1548" t="s">
        <v>661</v>
      </c>
      <c r="D25" s="1549"/>
      <c r="E25" s="1549"/>
      <c r="F25" s="1549"/>
      <c r="G25" s="1549"/>
      <c r="H25" s="1549"/>
      <c r="I25" s="1549"/>
      <c r="J25" s="1549"/>
      <c r="K25" s="1550"/>
      <c r="L25" s="6"/>
    </row>
    <row r="26" spans="1:12" s="975" customFormat="1" ht="25.5">
      <c r="A26" s="977" t="s">
        <v>652</v>
      </c>
      <c r="B26" s="976" t="s">
        <v>651</v>
      </c>
      <c r="C26" s="956" t="s">
        <v>231</v>
      </c>
      <c r="D26" s="956" t="s">
        <v>660</v>
      </c>
      <c r="E26" s="956" t="s">
        <v>117</v>
      </c>
      <c r="F26" s="956" t="s">
        <v>659</v>
      </c>
      <c r="G26" s="956" t="s">
        <v>440</v>
      </c>
      <c r="H26" s="956" t="s">
        <v>658</v>
      </c>
      <c r="I26" s="956" t="s">
        <v>336</v>
      </c>
      <c r="J26" s="956" t="s">
        <v>657</v>
      </c>
      <c r="K26" s="955" t="s">
        <v>656</v>
      </c>
      <c r="L26" s="6"/>
    </row>
    <row r="27" spans="1:12" s="948" customFormat="1">
      <c r="A27" s="947"/>
      <c r="B27" s="953" t="s">
        <v>646</v>
      </c>
      <c r="C27" s="952" t="s">
        <v>645</v>
      </c>
      <c r="D27" s="952" t="s">
        <v>644</v>
      </c>
      <c r="E27" s="952" t="s">
        <v>643</v>
      </c>
      <c r="F27" s="952" t="s">
        <v>642</v>
      </c>
      <c r="G27" s="952" t="s">
        <v>664</v>
      </c>
      <c r="H27" s="952" t="s">
        <v>665</v>
      </c>
      <c r="I27" s="952" t="s">
        <v>655</v>
      </c>
      <c r="J27" s="952" t="s">
        <v>654</v>
      </c>
      <c r="K27" s="974" t="s">
        <v>653</v>
      </c>
      <c r="L27" s="6"/>
    </row>
    <row r="28" spans="1:12" s="948" customFormat="1" ht="44.25" customHeight="1">
      <c r="A28" s="947"/>
      <c r="B28" s="953" t="s">
        <v>641</v>
      </c>
      <c r="C28" s="973" t="s">
        <v>381</v>
      </c>
      <c r="D28" s="973" t="s">
        <v>668</v>
      </c>
      <c r="E28" s="973" t="s">
        <v>382</v>
      </c>
      <c r="F28" s="973" t="s">
        <v>669</v>
      </c>
      <c r="G28" s="973" t="s">
        <v>509</v>
      </c>
      <c r="H28" s="973" t="s">
        <v>670</v>
      </c>
      <c r="I28" s="973" t="s">
        <v>483</v>
      </c>
      <c r="J28" s="973" t="s">
        <v>671</v>
      </c>
      <c r="K28" s="972" t="s">
        <v>510</v>
      </c>
      <c r="L28" s="6"/>
    </row>
    <row r="29" spans="1:12">
      <c r="A29" s="947">
        <f>+A23+1</f>
        <v>15</v>
      </c>
      <c r="B29" s="971" t="s">
        <v>639</v>
      </c>
      <c r="C29" s="1280">
        <v>0</v>
      </c>
      <c r="D29" s="1280">
        <v>0</v>
      </c>
      <c r="E29" s="1280">
        <v>12064258.82</v>
      </c>
      <c r="F29" s="1280">
        <v>0</v>
      </c>
      <c r="G29" s="1280">
        <v>81301978.480000004</v>
      </c>
      <c r="H29" s="1280">
        <v>0</v>
      </c>
      <c r="I29" s="1280">
        <v>1886858.9799999997</v>
      </c>
      <c r="J29" s="1280">
        <v>54791.94</v>
      </c>
      <c r="K29" s="1479">
        <v>4043568.6399999997</v>
      </c>
      <c r="L29" s="6"/>
    </row>
    <row r="30" spans="1:12">
      <c r="A30" s="947">
        <f>+A29+1</f>
        <v>16</v>
      </c>
      <c r="B30" s="971" t="s">
        <v>187</v>
      </c>
      <c r="C30" s="1280">
        <v>0</v>
      </c>
      <c r="D30" s="1280">
        <v>0</v>
      </c>
      <c r="E30" s="1280">
        <v>12119408.339999996</v>
      </c>
      <c r="F30" s="1280">
        <v>0</v>
      </c>
      <c r="G30" s="1280">
        <v>81716999.710000008</v>
      </c>
      <c r="H30" s="1280">
        <v>0</v>
      </c>
      <c r="I30" s="1280">
        <v>1915030.29</v>
      </c>
      <c r="J30" s="1280">
        <v>58775.91</v>
      </c>
      <c r="K30" s="1279">
        <v>4173424.1699999995</v>
      </c>
      <c r="L30" s="6"/>
    </row>
    <row r="31" spans="1:12">
      <c r="A31" s="947">
        <f t="shared" ref="A31:A42" si="2">+A30+1</f>
        <v>17</v>
      </c>
      <c r="B31" s="970" t="s">
        <v>562</v>
      </c>
      <c r="C31" s="1280">
        <v>0</v>
      </c>
      <c r="D31" s="1280">
        <v>0</v>
      </c>
      <c r="E31" s="1280">
        <v>12190356.57</v>
      </c>
      <c r="F31" s="1280">
        <v>0</v>
      </c>
      <c r="G31" s="1280">
        <v>82208441.350000009</v>
      </c>
      <c r="H31" s="1280">
        <v>0</v>
      </c>
      <c r="I31" s="1280">
        <v>1941981.7300000002</v>
      </c>
      <c r="J31" s="1280">
        <v>62759.880000000005</v>
      </c>
      <c r="K31" s="1279">
        <v>4304894.1599999992</v>
      </c>
      <c r="L31" s="6"/>
    </row>
    <row r="32" spans="1:12">
      <c r="A32" s="947">
        <f t="shared" si="2"/>
        <v>18</v>
      </c>
      <c r="B32" s="970" t="s">
        <v>638</v>
      </c>
      <c r="C32" s="1280">
        <v>0</v>
      </c>
      <c r="D32" s="1280">
        <v>0</v>
      </c>
      <c r="E32" s="1280">
        <v>12186877.59</v>
      </c>
      <c r="F32" s="1280">
        <v>0</v>
      </c>
      <c r="G32" s="1280">
        <v>82702825.929999992</v>
      </c>
      <c r="H32" s="1280">
        <v>0</v>
      </c>
      <c r="I32" s="1280">
        <v>2004676.4000000001</v>
      </c>
      <c r="J32" s="1280">
        <v>66743.850000000006</v>
      </c>
      <c r="K32" s="1279">
        <v>4146481.1700000009</v>
      </c>
      <c r="L32" s="6"/>
    </row>
    <row r="33" spans="1:12">
      <c r="A33" s="947">
        <f t="shared" si="2"/>
        <v>19</v>
      </c>
      <c r="B33" s="970" t="s">
        <v>189</v>
      </c>
      <c r="C33" s="1280">
        <v>0</v>
      </c>
      <c r="D33" s="1280">
        <v>0</v>
      </c>
      <c r="E33" s="1280">
        <v>12261720.299999999</v>
      </c>
      <c r="F33" s="1280">
        <v>0</v>
      </c>
      <c r="G33" s="1280">
        <v>83250795.770000011</v>
      </c>
      <c r="H33" s="1280">
        <v>0</v>
      </c>
      <c r="I33" s="1280">
        <v>2042382.1500000004</v>
      </c>
      <c r="J33" s="1280">
        <v>70727.820000000007</v>
      </c>
      <c r="K33" s="1279">
        <v>4274852.68</v>
      </c>
      <c r="L33" s="6"/>
    </row>
    <row r="34" spans="1:12">
      <c r="A34" s="947">
        <f t="shared" si="2"/>
        <v>20</v>
      </c>
      <c r="B34" s="970" t="s">
        <v>190</v>
      </c>
      <c r="C34" s="1280">
        <v>0</v>
      </c>
      <c r="D34" s="1280">
        <v>0</v>
      </c>
      <c r="E34" s="1280">
        <v>12276157.279999999</v>
      </c>
      <c r="F34" s="1280">
        <v>0</v>
      </c>
      <c r="G34" s="1280">
        <v>83780260.12000002</v>
      </c>
      <c r="H34" s="1280">
        <v>0</v>
      </c>
      <c r="I34" s="1280">
        <v>2088423.9299999997</v>
      </c>
      <c r="J34" s="1280">
        <v>74711.790000000008</v>
      </c>
      <c r="K34" s="1279">
        <v>4404074.0699999994</v>
      </c>
      <c r="L34" s="6"/>
    </row>
    <row r="35" spans="1:12">
      <c r="A35" s="947">
        <f t="shared" si="2"/>
        <v>21</v>
      </c>
      <c r="B35" s="970" t="s">
        <v>384</v>
      </c>
      <c r="C35" s="1280">
        <v>0</v>
      </c>
      <c r="D35" s="1280">
        <v>0</v>
      </c>
      <c r="E35" s="1280">
        <v>12303480.109999999</v>
      </c>
      <c r="F35" s="1280">
        <v>0</v>
      </c>
      <c r="G35" s="1280">
        <v>84372774.300000012</v>
      </c>
      <c r="H35" s="1280">
        <v>0</v>
      </c>
      <c r="I35" s="1280">
        <v>1882711.1100000003</v>
      </c>
      <c r="J35" s="1280">
        <v>78695.759999999995</v>
      </c>
      <c r="K35" s="1279">
        <v>4298353.08</v>
      </c>
      <c r="L35" s="6"/>
    </row>
    <row r="36" spans="1:12">
      <c r="A36" s="947">
        <f t="shared" si="2"/>
        <v>22</v>
      </c>
      <c r="B36" s="970" t="s">
        <v>191</v>
      </c>
      <c r="C36" s="1280">
        <v>0</v>
      </c>
      <c r="D36" s="1280">
        <v>0</v>
      </c>
      <c r="E36" s="1280">
        <v>11631181.829999998</v>
      </c>
      <c r="F36" s="1280">
        <v>0</v>
      </c>
      <c r="G36" s="1280">
        <v>84754247.730000019</v>
      </c>
      <c r="H36" s="1280">
        <v>0</v>
      </c>
      <c r="I36" s="1280">
        <v>1921129.32</v>
      </c>
      <c r="J36" s="1280">
        <v>82679.73</v>
      </c>
      <c r="K36" s="1279">
        <v>4416118.2299999995</v>
      </c>
      <c r="L36" s="6"/>
    </row>
    <row r="37" spans="1:12">
      <c r="A37" s="947">
        <f t="shared" si="2"/>
        <v>23</v>
      </c>
      <c r="B37" s="970" t="s">
        <v>637</v>
      </c>
      <c r="C37" s="1280">
        <v>0</v>
      </c>
      <c r="D37" s="1280">
        <v>0</v>
      </c>
      <c r="E37" s="1280">
        <v>11722992.430000002</v>
      </c>
      <c r="F37" s="1280">
        <v>0</v>
      </c>
      <c r="G37" s="1280">
        <v>85291232.370000005</v>
      </c>
      <c r="H37" s="1280">
        <v>0</v>
      </c>
      <c r="I37" s="1280">
        <v>1954915.6</v>
      </c>
      <c r="J37" s="1280">
        <v>86663.7</v>
      </c>
      <c r="K37" s="1279">
        <v>4534836.9099999992</v>
      </c>
      <c r="L37" s="6"/>
    </row>
    <row r="38" spans="1:12">
      <c r="A38" s="947">
        <f t="shared" si="2"/>
        <v>24</v>
      </c>
      <c r="B38" s="970" t="s">
        <v>194</v>
      </c>
      <c r="C38" s="1280">
        <v>0</v>
      </c>
      <c r="D38" s="1280">
        <v>0</v>
      </c>
      <c r="E38" s="1280">
        <v>11825186.210000001</v>
      </c>
      <c r="F38" s="1280">
        <v>0</v>
      </c>
      <c r="G38" s="1280">
        <v>85808575.900000006</v>
      </c>
      <c r="H38" s="1280">
        <v>0</v>
      </c>
      <c r="I38" s="1280">
        <v>1997947.46</v>
      </c>
      <c r="J38" s="1280">
        <v>90647.67</v>
      </c>
      <c r="K38" s="1279">
        <v>4444307.0600000005</v>
      </c>
      <c r="L38" s="6"/>
    </row>
    <row r="39" spans="1:12">
      <c r="A39" s="947">
        <f t="shared" si="2"/>
        <v>25</v>
      </c>
      <c r="B39" s="970" t="s">
        <v>563</v>
      </c>
      <c r="C39" s="1280">
        <v>0</v>
      </c>
      <c r="D39" s="1280">
        <v>0</v>
      </c>
      <c r="E39" s="1280">
        <v>11925311.93</v>
      </c>
      <c r="F39" s="1280">
        <v>0</v>
      </c>
      <c r="G39" s="1280">
        <v>85951807.459999979</v>
      </c>
      <c r="H39" s="1280">
        <v>0</v>
      </c>
      <c r="I39" s="1280">
        <v>1945061.36</v>
      </c>
      <c r="J39" s="1280">
        <v>94631.64</v>
      </c>
      <c r="K39" s="1279">
        <v>4563435.54</v>
      </c>
      <c r="L39" s="6"/>
    </row>
    <row r="40" spans="1:12">
      <c r="A40" s="947">
        <f t="shared" si="2"/>
        <v>26</v>
      </c>
      <c r="B40" s="970" t="s">
        <v>564</v>
      </c>
      <c r="C40" s="1280">
        <v>0</v>
      </c>
      <c r="D40" s="1280">
        <v>0</v>
      </c>
      <c r="E40" s="1280">
        <v>11073281.030000001</v>
      </c>
      <c r="F40" s="1280">
        <v>0</v>
      </c>
      <c r="G40" s="1280">
        <v>86486127.070000008</v>
      </c>
      <c r="H40" s="1280">
        <v>0</v>
      </c>
      <c r="I40" s="1280">
        <v>1990265.5100000002</v>
      </c>
      <c r="J40" s="1280">
        <v>98615.61</v>
      </c>
      <c r="K40" s="1279">
        <v>4683500.6700000018</v>
      </c>
      <c r="L40" s="6"/>
    </row>
    <row r="41" spans="1:12">
      <c r="A41" s="946">
        <f t="shared" si="2"/>
        <v>27</v>
      </c>
      <c r="B41" s="969" t="s">
        <v>636</v>
      </c>
      <c r="C41" s="1280">
        <v>0</v>
      </c>
      <c r="D41" s="1280">
        <v>0</v>
      </c>
      <c r="E41" s="1280">
        <v>11147900.170000002</v>
      </c>
      <c r="F41" s="1280">
        <v>0</v>
      </c>
      <c r="G41" s="1280">
        <v>86168982.219999999</v>
      </c>
      <c r="H41" s="1280">
        <v>0</v>
      </c>
      <c r="I41" s="1280">
        <v>2011972.3499999999</v>
      </c>
      <c r="J41" s="1280">
        <v>102599.58</v>
      </c>
      <c r="K41" s="1279">
        <v>4374262.99</v>
      </c>
      <c r="L41" s="6"/>
    </row>
    <row r="42" spans="1:12" ht="13.5" thickBot="1">
      <c r="A42" s="968">
        <f t="shared" si="2"/>
        <v>28</v>
      </c>
      <c r="B42" s="1215" t="s">
        <v>865</v>
      </c>
      <c r="C42" s="966">
        <f>SUM(C29:C41)/13</f>
        <v>0</v>
      </c>
      <c r="D42" s="966">
        <f t="shared" ref="D42:K42" si="3">SUM(D29:D41)/13</f>
        <v>0</v>
      </c>
      <c r="E42" s="966">
        <f t="shared" si="3"/>
        <v>11902162.508461539</v>
      </c>
      <c r="F42" s="966">
        <f t="shared" si="3"/>
        <v>0</v>
      </c>
      <c r="G42" s="966">
        <f t="shared" si="3"/>
        <v>84138080.64692308</v>
      </c>
      <c r="H42" s="966">
        <f t="shared" si="3"/>
        <v>0</v>
      </c>
      <c r="I42" s="966">
        <f t="shared" si="3"/>
        <v>1967950.4761538466</v>
      </c>
      <c r="J42" s="966">
        <f t="shared" si="3"/>
        <v>78695.759999999995</v>
      </c>
      <c r="K42" s="965">
        <f t="shared" si="3"/>
        <v>4358623.7976923073</v>
      </c>
      <c r="L42" s="6"/>
    </row>
    <row r="43" spans="1:12" ht="13.5" thickTop="1">
      <c r="A43" s="941"/>
      <c r="B43" s="940"/>
      <c r="C43" s="964"/>
      <c r="D43" s="938"/>
      <c r="E43" s="938"/>
      <c r="F43" s="938"/>
      <c r="G43" s="964"/>
      <c r="H43"/>
      <c r="I43"/>
      <c r="J43"/>
      <c r="K43"/>
      <c r="L43" s="6"/>
    </row>
    <row r="44" spans="1:12">
      <c r="A44" s="941"/>
      <c r="B44" s="940"/>
      <c r="C44" s="964"/>
      <c r="D44" s="938"/>
      <c r="E44" s="938"/>
      <c r="F44" s="938"/>
      <c r="G44" s="964"/>
      <c r="H44" s="964"/>
      <c r="I44" s="964"/>
    </row>
    <row r="45" spans="1:12">
      <c r="A45" s="963"/>
      <c r="B45" s="962"/>
      <c r="C45" s="961"/>
      <c r="D45" s="960"/>
      <c r="E45" s="960"/>
      <c r="F45" s="959"/>
      <c r="G45"/>
      <c r="H45"/>
      <c r="I45"/>
      <c r="J45"/>
      <c r="K45"/>
      <c r="L45" s="6"/>
    </row>
    <row r="46" spans="1:12" ht="72" customHeight="1">
      <c r="A46" s="958" t="s">
        <v>652</v>
      </c>
      <c r="B46" s="952" t="s">
        <v>651</v>
      </c>
      <c r="C46" s="957" t="s">
        <v>650</v>
      </c>
      <c r="D46" s="956" t="s">
        <v>649</v>
      </c>
      <c r="E46" s="956" t="s">
        <v>648</v>
      </c>
      <c r="F46" s="955" t="s">
        <v>647</v>
      </c>
      <c r="G46"/>
      <c r="H46"/>
      <c r="I46"/>
      <c r="J46"/>
      <c r="K46"/>
      <c r="L46" s="6"/>
    </row>
    <row r="47" spans="1:12" s="948" customFormat="1">
      <c r="A47" s="947"/>
      <c r="B47" s="952" t="s">
        <v>646</v>
      </c>
      <c r="C47" s="954" t="s">
        <v>645</v>
      </c>
      <c r="D47" s="952" t="s">
        <v>644</v>
      </c>
      <c r="E47" s="952" t="s">
        <v>643</v>
      </c>
      <c r="F47" s="953" t="s">
        <v>642</v>
      </c>
      <c r="G47"/>
      <c r="H47"/>
      <c r="I47"/>
      <c r="J47"/>
      <c r="K47"/>
      <c r="L47" s="6"/>
    </row>
    <row r="48" spans="1:12" s="948" customFormat="1" ht="63.75">
      <c r="A48" s="947"/>
      <c r="B48" s="952" t="s">
        <v>641</v>
      </c>
      <c r="C48" s="951" t="s">
        <v>672</v>
      </c>
      <c r="D48" s="950" t="s">
        <v>673</v>
      </c>
      <c r="E48" s="950" t="s">
        <v>640</v>
      </c>
      <c r="F48" s="949" t="s">
        <v>640</v>
      </c>
      <c r="G48"/>
      <c r="H48"/>
      <c r="I48"/>
      <c r="J48"/>
      <c r="K48"/>
      <c r="L48" s="6"/>
    </row>
    <row r="49" spans="1:12">
      <c r="A49" s="947">
        <f>+A42+1</f>
        <v>29</v>
      </c>
      <c r="B49" s="971" t="s">
        <v>639</v>
      </c>
      <c r="C49" s="1280">
        <v>0</v>
      </c>
      <c r="D49" s="1280">
        <v>0</v>
      </c>
      <c r="E49" s="1280">
        <v>0</v>
      </c>
      <c r="F49" s="1479">
        <v>0</v>
      </c>
      <c r="G49"/>
      <c r="H49"/>
      <c r="I49"/>
      <c r="J49"/>
      <c r="K49"/>
      <c r="L49" s="6"/>
    </row>
    <row r="50" spans="1:12">
      <c r="A50" s="947">
        <f>+A49+1</f>
        <v>30</v>
      </c>
      <c r="B50" s="971" t="s">
        <v>187</v>
      </c>
      <c r="C50" s="1280">
        <v>0</v>
      </c>
      <c r="D50" s="1280">
        <v>0</v>
      </c>
      <c r="E50" s="1280">
        <v>0</v>
      </c>
      <c r="F50" s="1279">
        <v>0</v>
      </c>
      <c r="G50"/>
      <c r="H50"/>
      <c r="I50"/>
      <c r="J50"/>
      <c r="K50"/>
      <c r="L50" s="6"/>
    </row>
    <row r="51" spans="1:12">
      <c r="A51" s="947">
        <f t="shared" ref="A51:A62" si="4">+A50+1</f>
        <v>31</v>
      </c>
      <c r="B51" s="970" t="s">
        <v>562</v>
      </c>
      <c r="C51" s="1280">
        <v>0</v>
      </c>
      <c r="D51" s="1280">
        <v>0</v>
      </c>
      <c r="E51" s="1280">
        <v>0</v>
      </c>
      <c r="F51" s="1279">
        <v>0</v>
      </c>
      <c r="G51"/>
      <c r="H51"/>
      <c r="I51"/>
      <c r="J51"/>
      <c r="K51"/>
      <c r="L51" s="6"/>
    </row>
    <row r="52" spans="1:12">
      <c r="A52" s="947">
        <f t="shared" si="4"/>
        <v>32</v>
      </c>
      <c r="B52" s="970" t="s">
        <v>638</v>
      </c>
      <c r="C52" s="1280">
        <v>0</v>
      </c>
      <c r="D52" s="1280">
        <v>0</v>
      </c>
      <c r="E52" s="1280">
        <v>0</v>
      </c>
      <c r="F52" s="1279">
        <v>0</v>
      </c>
      <c r="G52"/>
      <c r="H52"/>
      <c r="I52"/>
      <c r="J52"/>
      <c r="K52"/>
      <c r="L52" s="6"/>
    </row>
    <row r="53" spans="1:12">
      <c r="A53" s="947">
        <f t="shared" si="4"/>
        <v>33</v>
      </c>
      <c r="B53" s="970" t="s">
        <v>189</v>
      </c>
      <c r="C53" s="1280">
        <v>0</v>
      </c>
      <c r="D53" s="1280">
        <v>0</v>
      </c>
      <c r="E53" s="1280">
        <v>0</v>
      </c>
      <c r="F53" s="1279">
        <v>0</v>
      </c>
      <c r="G53"/>
      <c r="H53"/>
      <c r="I53"/>
      <c r="J53"/>
      <c r="K53"/>
      <c r="L53" s="6"/>
    </row>
    <row r="54" spans="1:12">
      <c r="A54" s="947">
        <f t="shared" si="4"/>
        <v>34</v>
      </c>
      <c r="B54" s="970" t="s">
        <v>190</v>
      </c>
      <c r="C54" s="1280">
        <v>0</v>
      </c>
      <c r="D54" s="1280">
        <v>0</v>
      </c>
      <c r="E54" s="1280">
        <v>0</v>
      </c>
      <c r="F54" s="1279">
        <v>0</v>
      </c>
      <c r="G54"/>
      <c r="H54"/>
      <c r="I54"/>
      <c r="J54"/>
      <c r="K54"/>
      <c r="L54" s="6"/>
    </row>
    <row r="55" spans="1:12">
      <c r="A55" s="947">
        <f t="shared" si="4"/>
        <v>35</v>
      </c>
      <c r="B55" s="970" t="s">
        <v>384</v>
      </c>
      <c r="C55" s="1280">
        <v>0</v>
      </c>
      <c r="D55" s="1280">
        <v>0</v>
      </c>
      <c r="E55" s="1280">
        <v>0</v>
      </c>
      <c r="F55" s="1279">
        <v>0</v>
      </c>
      <c r="G55"/>
      <c r="H55"/>
      <c r="I55"/>
      <c r="J55"/>
      <c r="K55"/>
      <c r="L55" s="6"/>
    </row>
    <row r="56" spans="1:12">
      <c r="A56" s="947">
        <f t="shared" si="4"/>
        <v>36</v>
      </c>
      <c r="B56" s="970" t="s">
        <v>191</v>
      </c>
      <c r="C56" s="1280">
        <v>0</v>
      </c>
      <c r="D56" s="1280">
        <v>0</v>
      </c>
      <c r="E56" s="1280">
        <v>0</v>
      </c>
      <c r="F56" s="1279">
        <v>0</v>
      </c>
      <c r="G56"/>
      <c r="H56"/>
      <c r="I56"/>
      <c r="J56"/>
      <c r="K56"/>
      <c r="L56" s="6"/>
    </row>
    <row r="57" spans="1:12">
      <c r="A57" s="947">
        <f t="shared" si="4"/>
        <v>37</v>
      </c>
      <c r="B57" s="970" t="s">
        <v>637</v>
      </c>
      <c r="C57" s="1280">
        <v>0</v>
      </c>
      <c r="D57" s="1280">
        <v>0</v>
      </c>
      <c r="E57" s="1280">
        <v>0</v>
      </c>
      <c r="F57" s="1279">
        <v>0</v>
      </c>
      <c r="G57"/>
      <c r="H57"/>
      <c r="I57"/>
      <c r="J57"/>
      <c r="K57"/>
      <c r="L57" s="6"/>
    </row>
    <row r="58" spans="1:12">
      <c r="A58" s="947">
        <f t="shared" si="4"/>
        <v>38</v>
      </c>
      <c r="B58" s="970" t="s">
        <v>194</v>
      </c>
      <c r="C58" s="1280">
        <v>0</v>
      </c>
      <c r="D58" s="1280">
        <v>0</v>
      </c>
      <c r="E58" s="1280">
        <v>0</v>
      </c>
      <c r="F58" s="1279">
        <v>0</v>
      </c>
      <c r="G58"/>
      <c r="H58"/>
      <c r="I58"/>
      <c r="J58"/>
      <c r="K58"/>
      <c r="L58" s="6"/>
    </row>
    <row r="59" spans="1:12">
      <c r="A59" s="947">
        <f t="shared" si="4"/>
        <v>39</v>
      </c>
      <c r="B59" s="970" t="s">
        <v>563</v>
      </c>
      <c r="C59" s="1280">
        <v>0</v>
      </c>
      <c r="D59" s="1280">
        <v>0</v>
      </c>
      <c r="E59" s="1280">
        <v>0</v>
      </c>
      <c r="F59" s="1279">
        <v>0</v>
      </c>
      <c r="G59"/>
      <c r="H59"/>
      <c r="I59"/>
      <c r="J59"/>
      <c r="K59"/>
      <c r="L59" s="6"/>
    </row>
    <row r="60" spans="1:12">
      <c r="A60" s="947">
        <f t="shared" si="4"/>
        <v>40</v>
      </c>
      <c r="B60" s="970" t="s">
        <v>564</v>
      </c>
      <c r="C60" s="1280">
        <v>0</v>
      </c>
      <c r="D60" s="1280">
        <v>0</v>
      </c>
      <c r="E60" s="1280">
        <v>0</v>
      </c>
      <c r="F60" s="1279">
        <v>0</v>
      </c>
      <c r="G60"/>
      <c r="H60"/>
      <c r="I60"/>
      <c r="J60"/>
      <c r="K60"/>
      <c r="L60" s="6"/>
    </row>
    <row r="61" spans="1:12">
      <c r="A61" s="946">
        <f t="shared" si="4"/>
        <v>41</v>
      </c>
      <c r="B61" s="969" t="s">
        <v>636</v>
      </c>
      <c r="C61" s="1280">
        <v>0</v>
      </c>
      <c r="D61" s="1280">
        <v>0</v>
      </c>
      <c r="E61" s="1280">
        <v>5127.1799999999348</v>
      </c>
      <c r="F61" s="1279">
        <v>0</v>
      </c>
      <c r="G61"/>
      <c r="H61"/>
      <c r="I61"/>
      <c r="J61"/>
      <c r="K61"/>
      <c r="L61" s="6"/>
    </row>
    <row r="62" spans="1:12" ht="13.5" thickBot="1">
      <c r="A62" s="945">
        <f t="shared" si="4"/>
        <v>42</v>
      </c>
      <c r="B62" s="1215" t="s">
        <v>865</v>
      </c>
      <c r="C62" s="966">
        <f>SUM(C49:C61)/13</f>
        <v>0</v>
      </c>
      <c r="D62" s="943">
        <f>SUM(D49:D61)/13</f>
        <v>0</v>
      </c>
      <c r="E62" s="943">
        <f>SUM(E49:E61)/13</f>
        <v>394.3984615384565</v>
      </c>
      <c r="F62" s="942">
        <f>SUM(F49:F61)/13</f>
        <v>0</v>
      </c>
      <c r="G62"/>
      <c r="H62"/>
      <c r="I62"/>
      <c r="J62"/>
      <c r="K62"/>
      <c r="L62" s="6"/>
    </row>
    <row r="63" spans="1:12" ht="13.5" thickTop="1">
      <c r="A63" s="941"/>
      <c r="B63" s="940"/>
      <c r="G63"/>
      <c r="H63"/>
      <c r="I63"/>
      <c r="J63"/>
      <c r="K63"/>
    </row>
    <row r="64" spans="1:12">
      <c r="A64" s="941">
        <v>43</v>
      </c>
      <c r="B64" s="940" t="s">
        <v>635</v>
      </c>
      <c r="D64" s="939">
        <f>+E42-D62</f>
        <v>11902162.508461539</v>
      </c>
      <c r="I64" s="938"/>
      <c r="K64" s="6"/>
    </row>
    <row r="65" spans="1:7" customFormat="1"/>
    <row r="66" spans="1:7" customFormat="1">
      <c r="A66" s="937"/>
      <c r="B66" s="289"/>
      <c r="C66" s="290"/>
      <c r="D66" s="291"/>
      <c r="E66" s="70"/>
      <c r="F66" s="70"/>
      <c r="G66" s="84"/>
    </row>
    <row r="67" spans="1:7" customFormat="1" ht="25.5">
      <c r="A67" s="987" t="s">
        <v>3</v>
      </c>
      <c r="B67" s="289"/>
      <c r="C67" s="984" t="s">
        <v>2</v>
      </c>
      <c r="D67" s="985" t="str">
        <f>"Balance @ December 31, "&amp;TCOS!L4&amp;""</f>
        <v>Balance @ December 31, 2024</v>
      </c>
      <c r="E67" s="986" t="str">
        <f>"Balance @ December 31, "&amp;TCOS!L4-1&amp;""</f>
        <v>Balance @ December 31, 2023</v>
      </c>
      <c r="F67" s="986" t="str">
        <f>"Average Balance for "&amp;TCOS!L4&amp;""</f>
        <v>Average Balance for 2024</v>
      </c>
      <c r="G67" s="84"/>
    </row>
    <row r="68" spans="1:7" customFormat="1">
      <c r="A68" s="89"/>
      <c r="B68" s="952" t="s">
        <v>646</v>
      </c>
      <c r="C68" s="952" t="s">
        <v>645</v>
      </c>
      <c r="D68" s="952" t="s">
        <v>644</v>
      </c>
      <c r="E68" s="952" t="s">
        <v>643</v>
      </c>
      <c r="F68" s="952" t="s">
        <v>642</v>
      </c>
      <c r="G68" s="84"/>
    </row>
    <row r="69" spans="1:7" customFormat="1">
      <c r="A69" s="292">
        <f>+A64+1</f>
        <v>44</v>
      </c>
      <c r="B69" s="89" t="s">
        <v>3</v>
      </c>
      <c r="C69" s="295" t="s">
        <v>376</v>
      </c>
      <c r="D69" s="872">
        <v>0</v>
      </c>
      <c r="E69" s="872">
        <v>0</v>
      </c>
      <c r="F69" s="137">
        <f>IF(E69="",0,AVERAGE(D69:E69))</f>
        <v>0</v>
      </c>
    </row>
    <row r="70" spans="1:7" customFormat="1">
      <c r="A70" s="288"/>
      <c r="B70" s="296"/>
      <c r="C70" s="296"/>
      <c r="F70" s="84"/>
    </row>
    <row r="71" spans="1:7" customFormat="1">
      <c r="A71" s="287">
        <f>+A69+1</f>
        <v>45</v>
      </c>
      <c r="B71" s="89" t="s">
        <v>825</v>
      </c>
      <c r="C71" s="313" t="s">
        <v>68</v>
      </c>
      <c r="D71" s="872"/>
      <c r="E71" s="872"/>
      <c r="F71" s="137">
        <f>IF(E71="",0,AVERAGE(D71:E71))</f>
        <v>0</v>
      </c>
    </row>
    <row r="72" spans="1:7" customFormat="1">
      <c r="A72" s="238"/>
      <c r="B72" s="238"/>
      <c r="C72" s="238"/>
      <c r="D72" s="238"/>
    </row>
    <row r="73" spans="1:7" customFormat="1">
      <c r="A73" s="89" t="s">
        <v>238</v>
      </c>
      <c r="B73" s="238"/>
      <c r="C73" s="238"/>
      <c r="D73" s="238"/>
    </row>
    <row r="74" spans="1:7" customFormat="1">
      <c r="A74" s="293"/>
      <c r="B74" s="294" t="s">
        <v>362</v>
      </c>
      <c r="C74" s="294"/>
      <c r="D74" s="78"/>
      <c r="E74" s="78"/>
      <c r="F74" s="78"/>
    </row>
    <row r="75" spans="1:7" customFormat="1">
      <c r="A75" s="292">
        <f>+A71+1</f>
        <v>46</v>
      </c>
      <c r="B75" s="873"/>
      <c r="C75" s="873"/>
      <c r="D75" s="872"/>
      <c r="E75" s="872"/>
      <c r="F75" s="137">
        <f>IF(E75="",0,AVERAGE(D75:E75))</f>
        <v>0</v>
      </c>
    </row>
    <row r="76" spans="1:7" customFormat="1">
      <c r="A76" s="292">
        <f>+A75+1</f>
        <v>47</v>
      </c>
      <c r="B76" s="873"/>
      <c r="C76" s="873"/>
      <c r="D76" s="872"/>
      <c r="E76" s="872"/>
      <c r="F76" s="137">
        <f>IF(E76="",0,AVERAGE(D76:E76))</f>
        <v>0</v>
      </c>
    </row>
    <row r="77" spans="1:7" customFormat="1">
      <c r="A77" s="292">
        <f>+A76+1</f>
        <v>48</v>
      </c>
      <c r="B77" s="873"/>
      <c r="C77" s="873"/>
      <c r="D77" s="872"/>
      <c r="E77" s="872"/>
      <c r="F77" s="137">
        <f>IF(E77="",0,AVERAGE(D77:E77))</f>
        <v>0</v>
      </c>
    </row>
    <row r="78" spans="1:7" customFormat="1">
      <c r="A78" s="292">
        <f>+A77+1</f>
        <v>49</v>
      </c>
      <c r="B78" s="873"/>
      <c r="C78" s="873"/>
      <c r="D78" s="872"/>
      <c r="E78" s="872"/>
      <c r="F78" s="137">
        <f>IF(E78="",0,AVERAGE(D78:E78))</f>
        <v>0</v>
      </c>
    </row>
    <row r="79" spans="1:7" customFormat="1">
      <c r="A79" s="292">
        <f>+A78+1</f>
        <v>50</v>
      </c>
      <c r="B79" s="873"/>
      <c r="C79" s="873"/>
      <c r="D79" s="874"/>
      <c r="E79" s="874"/>
      <c r="F79" s="992">
        <f>IF(E79="",0,AVERAGE(D79:E79))</f>
        <v>0</v>
      </c>
    </row>
    <row r="80" spans="1:7" customFormat="1">
      <c r="A80" s="292">
        <f>+A79+1</f>
        <v>51</v>
      </c>
      <c r="B80" s="294" t="s">
        <v>499</v>
      </c>
      <c r="C80" s="294"/>
      <c r="D80" s="188">
        <f>SUM(D75:D79)</f>
        <v>0</v>
      </c>
      <c r="E80" s="188">
        <f>SUM(E75:E79)</f>
        <v>0</v>
      </c>
      <c r="F80" s="188">
        <f>SUM(F75:F79)</f>
        <v>0</v>
      </c>
    </row>
    <row r="81" spans="1:7" customFormat="1">
      <c r="A81" s="292"/>
      <c r="B81" s="294"/>
      <c r="C81" s="294"/>
      <c r="D81" s="188"/>
      <c r="E81" s="188"/>
      <c r="F81" s="188"/>
    </row>
    <row r="82" spans="1:7" customFormat="1" ht="18">
      <c r="A82" s="89" t="s">
        <v>756</v>
      </c>
      <c r="B82" s="934"/>
      <c r="C82" s="934"/>
      <c r="D82" s="934"/>
      <c r="E82" s="78"/>
      <c r="F82" s="78"/>
      <c r="G82" s="78"/>
    </row>
    <row r="83" spans="1:7" customFormat="1">
      <c r="A83" s="75"/>
      <c r="B83" s="244"/>
      <c r="C83" s="247"/>
      <c r="D83" s="8"/>
      <c r="E83" s="78"/>
      <c r="F83" s="78"/>
      <c r="G83" s="78"/>
    </row>
    <row r="84" spans="1:7" customFormat="1">
      <c r="A84" s="75">
        <f>+A80+1</f>
        <v>52</v>
      </c>
      <c r="B84" s="13" t="s">
        <v>169</v>
      </c>
      <c r="C84" s="13" t="s">
        <v>308</v>
      </c>
      <c r="D84" s="988"/>
      <c r="E84" s="21"/>
      <c r="F84" s="13"/>
      <c r="G84" s="21"/>
    </row>
    <row r="85" spans="1:7" customFormat="1" ht="14.25">
      <c r="A85" s="989" t="s">
        <v>749</v>
      </c>
      <c r="B85" s="1139" t="s">
        <v>870</v>
      </c>
      <c r="C85" s="1326" t="s">
        <v>1103</v>
      </c>
      <c r="D85" s="872">
        <v>0</v>
      </c>
      <c r="E85" s="872">
        <v>0</v>
      </c>
      <c r="F85" s="993">
        <f>IF(E85="",0,AVERAGE(D85:E85))</f>
        <v>0</v>
      </c>
      <c r="G85" s="21"/>
    </row>
    <row r="86" spans="1:7" customFormat="1" ht="14.25">
      <c r="A86" s="990" t="s">
        <v>750</v>
      </c>
      <c r="B86" s="872"/>
      <c r="C86" s="1140"/>
      <c r="D86" s="872"/>
      <c r="E86" s="872"/>
      <c r="F86" s="994">
        <f>IF(E86="",0,AVERAGE(D86:E86))</f>
        <v>0</v>
      </c>
      <c r="G86" s="21"/>
    </row>
    <row r="87" spans="1:7" customFormat="1" ht="18" customHeight="1">
      <c r="A87" s="991">
        <v>54</v>
      </c>
      <c r="B87" s="21"/>
      <c r="C87" s="5" t="s">
        <v>120</v>
      </c>
      <c r="D87" s="939">
        <f>SUM(D85:D86)</f>
        <v>0</v>
      </c>
      <c r="E87" s="939">
        <f>SUM(E85:E86)</f>
        <v>0</v>
      </c>
      <c r="F87" s="939">
        <f>SUM(F85:F86)</f>
        <v>0</v>
      </c>
      <c r="G87" s="21"/>
    </row>
    <row r="88" spans="1:7" customFormat="1">
      <c r="A88" s="292"/>
      <c r="B88" s="294"/>
      <c r="C88" s="294"/>
      <c r="D88" s="294"/>
      <c r="G88" s="21"/>
    </row>
    <row r="89" spans="1:7">
      <c r="A89" s="983" t="s">
        <v>676</v>
      </c>
      <c r="B89" s="294"/>
      <c r="C89" s="294"/>
      <c r="D89" s="294"/>
      <c r="G89" s="988"/>
    </row>
    <row r="90" spans="1:7">
      <c r="A90" s="983" t="s">
        <v>675</v>
      </c>
      <c r="B90" s="294"/>
      <c r="C90" s="294"/>
      <c r="D90" s="294"/>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33" t="s">
        <v>116</v>
      </c>
    </row>
    <row r="2" spans="1:21" ht="15.75">
      <c r="A2" s="933" t="s">
        <v>116</v>
      </c>
    </row>
    <row r="3" spans="1:21" ht="18">
      <c r="A3" s="1589" t="s">
        <v>389</v>
      </c>
      <c r="B3" s="1589"/>
      <c r="C3" s="1589"/>
      <c r="D3" s="1589"/>
      <c r="E3" s="1589"/>
      <c r="F3" s="1589"/>
      <c r="G3" s="1589"/>
      <c r="H3" s="1589"/>
      <c r="I3" s="1589"/>
      <c r="J3" s="1589"/>
      <c r="K3" s="1589"/>
      <c r="L3" s="1589"/>
      <c r="M3" s="1589"/>
      <c r="N3" s="1589"/>
      <c r="O3" s="1589"/>
    </row>
    <row r="4" spans="1:21" ht="18">
      <c r="A4" s="1588" t="str">
        <f>"Cost of Service Formula Rate Using Actual/Projected FF1 Balances"</f>
        <v>Cost of Service Formula Rate Using Actual/Projected FF1 Balances</v>
      </c>
      <c r="B4" s="1588"/>
      <c r="C4" s="1588"/>
      <c r="D4" s="1588"/>
      <c r="E4" s="1588"/>
      <c r="F4" s="1588"/>
      <c r="G4" s="1588"/>
      <c r="H4" s="1588"/>
      <c r="I4" s="1588"/>
      <c r="J4" s="1588"/>
      <c r="K4" s="1588"/>
      <c r="L4" s="1588"/>
      <c r="M4" s="1588"/>
      <c r="N4" s="1588"/>
      <c r="O4" s="1588"/>
    </row>
    <row r="5" spans="1:21" ht="18">
      <c r="A5" s="1588" t="s">
        <v>241</v>
      </c>
      <c r="B5" s="1588"/>
      <c r="C5" s="1588"/>
      <c r="D5" s="1588"/>
      <c r="E5" s="1588"/>
      <c r="F5" s="1588"/>
      <c r="G5" s="1588"/>
      <c r="H5" s="1588"/>
      <c r="I5" s="1588"/>
      <c r="J5" s="1588"/>
      <c r="K5" s="1588"/>
      <c r="L5" s="1588"/>
      <c r="M5" s="1588"/>
      <c r="N5" s="1588"/>
      <c r="O5" s="1588"/>
    </row>
    <row r="6" spans="1:21" ht="18">
      <c r="A6" s="1583" t="str">
        <f>+TCOS!F9</f>
        <v>KINGSPORT POWER COMPANY</v>
      </c>
      <c r="B6" s="1583"/>
      <c r="C6" s="1583"/>
      <c r="D6" s="1583"/>
      <c r="E6" s="1583"/>
      <c r="F6" s="1583"/>
      <c r="G6" s="1583"/>
      <c r="H6" s="1583"/>
      <c r="I6" s="1583"/>
      <c r="J6" s="1583"/>
      <c r="K6" s="1583"/>
      <c r="L6" s="1583"/>
      <c r="M6" s="1583"/>
      <c r="N6" s="1583"/>
      <c r="O6" s="1583"/>
    </row>
    <row r="7" spans="1:21" ht="12.75" customHeight="1">
      <c r="A7" s="165"/>
      <c r="B7" s="165"/>
      <c r="C7" s="165"/>
      <c r="D7" s="165"/>
      <c r="E7" s="165"/>
      <c r="F7" s="165"/>
      <c r="G7" s="165"/>
      <c r="H7" s="165"/>
      <c r="I7" s="165"/>
      <c r="J7" s="165"/>
      <c r="K7" s="165"/>
      <c r="L7" s="165"/>
    </row>
    <row r="8" spans="1:21" ht="12.75" customHeight="1">
      <c r="A8" s="1616" t="s">
        <v>392</v>
      </c>
      <c r="B8" s="1616"/>
      <c r="C8" s="1616"/>
      <c r="D8" s="1616"/>
      <c r="E8" s="1616"/>
      <c r="F8" s="1616"/>
      <c r="G8" s="1616"/>
      <c r="H8" s="1616"/>
      <c r="I8" s="1616"/>
      <c r="J8" s="1616"/>
      <c r="K8" s="1616"/>
      <c r="L8" s="1616"/>
      <c r="M8" s="1616"/>
      <c r="N8" s="1616"/>
      <c r="O8" s="1616"/>
    </row>
    <row r="9" spans="1:21" ht="12.75" customHeight="1">
      <c r="A9" s="1616"/>
      <c r="B9" s="1616"/>
      <c r="C9" s="1616"/>
      <c r="D9" s="1616"/>
      <c r="E9" s="1616"/>
      <c r="F9" s="1616"/>
      <c r="G9" s="1616"/>
      <c r="H9" s="1616"/>
      <c r="I9" s="1616"/>
      <c r="J9" s="1616"/>
      <c r="K9" s="1616"/>
      <c r="L9" s="1616"/>
      <c r="M9" s="1616"/>
      <c r="N9" s="1616"/>
      <c r="O9" s="1616"/>
    </row>
    <row r="10" spans="1:21">
      <c r="A10" s="1616"/>
      <c r="B10" s="1616"/>
      <c r="C10" s="1616"/>
      <c r="D10" s="1616"/>
      <c r="E10" s="1616"/>
      <c r="F10" s="1616"/>
      <c r="G10" s="1616"/>
      <c r="H10" s="1616"/>
      <c r="I10" s="1616"/>
      <c r="J10" s="1616"/>
      <c r="K10" s="1616"/>
      <c r="L10" s="1616"/>
      <c r="M10" s="1616"/>
      <c r="N10" s="1616"/>
      <c r="O10" s="1616"/>
    </row>
    <row r="11" spans="1:21">
      <c r="A11" s="1616"/>
      <c r="B11" s="1616"/>
      <c r="C11" s="1616"/>
      <c r="D11" s="1616"/>
      <c r="E11" s="1616"/>
      <c r="F11" s="1616"/>
      <c r="G11" s="1616"/>
      <c r="H11" s="1616"/>
      <c r="I11" s="1616"/>
      <c r="J11" s="1616"/>
      <c r="K11" s="1616"/>
      <c r="L11" s="1616"/>
      <c r="M11" s="1616"/>
      <c r="N11" s="1616"/>
      <c r="O11" s="1616"/>
    </row>
    <row r="12" spans="1:21">
      <c r="B12" s="1" t="s">
        <v>164</v>
      </c>
      <c r="C12" s="1"/>
      <c r="D12" s="1615" t="s">
        <v>165</v>
      </c>
      <c r="E12" s="1615"/>
      <c r="F12" s="1615"/>
      <c r="G12" s="1615"/>
      <c r="H12" s="1"/>
      <c r="I12" s="1" t="s">
        <v>4</v>
      </c>
      <c r="J12" s="1"/>
      <c r="K12" s="1" t="s">
        <v>167</v>
      </c>
      <c r="L12" s="1"/>
      <c r="M12" s="1" t="s">
        <v>85</v>
      </c>
      <c r="N12" s="1"/>
      <c r="O12" s="1" t="s">
        <v>86</v>
      </c>
      <c r="P12" s="1"/>
      <c r="Q12" s="1" t="s">
        <v>20</v>
      </c>
      <c r="R12" s="1"/>
      <c r="S12" s="1" t="s">
        <v>92</v>
      </c>
      <c r="T12" s="1"/>
      <c r="U12" s="102" t="s">
        <v>502</v>
      </c>
    </row>
    <row r="13" spans="1:21">
      <c r="I13" s="1612" t="s">
        <v>18</v>
      </c>
      <c r="Q13" s="1611" t="s">
        <v>19</v>
      </c>
      <c r="S13" s="1612" t="s">
        <v>21</v>
      </c>
      <c r="U13" s="301" t="s">
        <v>81</v>
      </c>
    </row>
    <row r="14" spans="1:21">
      <c r="A14" s="174" t="s">
        <v>17</v>
      </c>
      <c r="B14" s="174" t="s">
        <v>13</v>
      </c>
      <c r="C14" s="174"/>
      <c r="D14" s="216" t="s">
        <v>14</v>
      </c>
      <c r="E14" s="174"/>
      <c r="F14" s="174"/>
      <c r="G14" s="174"/>
      <c r="H14" s="174"/>
      <c r="I14" s="1614"/>
      <c r="J14" s="174"/>
      <c r="K14" s="174" t="s">
        <v>15</v>
      </c>
      <c r="L14" s="174"/>
      <c r="M14" s="174" t="s">
        <v>16</v>
      </c>
      <c r="N14" s="174"/>
      <c r="O14" s="174" t="s">
        <v>495</v>
      </c>
      <c r="Q14" s="1611"/>
      <c r="S14" s="1612"/>
      <c r="U14" s="301" t="s">
        <v>308</v>
      </c>
    </row>
    <row r="15" spans="1:21">
      <c r="A15" s="174"/>
      <c r="B15" s="174"/>
      <c r="C15" s="174"/>
      <c r="D15" s="216"/>
      <c r="E15" s="174"/>
      <c r="F15" s="174"/>
      <c r="G15" s="174"/>
      <c r="H15" s="174"/>
      <c r="I15" s="3" t="s">
        <v>493</v>
      </c>
      <c r="J15" s="174"/>
      <c r="K15" s="174"/>
      <c r="L15" s="174"/>
      <c r="M15" s="174"/>
      <c r="N15" s="174"/>
      <c r="O15" s="174"/>
      <c r="Q15" s="242"/>
      <c r="S15" s="174" t="s">
        <v>495</v>
      </c>
    </row>
    <row r="16" spans="1:21">
      <c r="I16" t="s">
        <v>494</v>
      </c>
    </row>
    <row r="17" spans="1:21">
      <c r="A17" s="1">
        <v>1</v>
      </c>
      <c r="B17" s="910"/>
      <c r="D17" s="1613"/>
      <c r="E17" s="1613"/>
      <c r="F17" s="1613"/>
      <c r="G17" s="1613"/>
      <c r="I17" s="911"/>
      <c r="K17" s="909"/>
      <c r="L17" s="138"/>
      <c r="M17" s="909"/>
      <c r="O17" s="182">
        <f>+K17-M17</f>
        <v>0</v>
      </c>
      <c r="Q17" s="229">
        <f>IF(I17="G",TCOS!L241,IF(I17="T",1,0))</f>
        <v>0</v>
      </c>
      <c r="S17" s="182">
        <f>ROUND(O17*Q17,0)</f>
        <v>0</v>
      </c>
      <c r="U17" s="912"/>
    </row>
    <row r="18" spans="1:21">
      <c r="A18" s="1"/>
      <c r="D18" s="1613"/>
      <c r="E18" s="1613"/>
      <c r="F18" s="1613"/>
      <c r="G18" s="1613"/>
      <c r="K18" s="138"/>
      <c r="L18" s="138"/>
      <c r="M18" s="138"/>
      <c r="O18" s="138"/>
      <c r="Q18" s="229"/>
      <c r="S18" s="138"/>
    </row>
    <row r="19" spans="1:21">
      <c r="A19" s="1"/>
      <c r="D19" s="1613"/>
      <c r="E19" s="1613"/>
      <c r="F19" s="1613"/>
      <c r="G19" s="1613"/>
      <c r="K19" s="138"/>
      <c r="L19" s="138"/>
      <c r="M19" s="138"/>
      <c r="O19" s="138"/>
      <c r="Q19" s="229"/>
      <c r="S19" s="138"/>
    </row>
    <row r="20" spans="1:21">
      <c r="A20" s="1"/>
      <c r="K20" s="138"/>
      <c r="L20" s="138"/>
      <c r="M20" s="138"/>
      <c r="O20" s="138"/>
      <c r="Q20" s="229"/>
      <c r="S20" s="138"/>
    </row>
    <row r="21" spans="1:21">
      <c r="A21" s="1"/>
      <c r="K21" s="138"/>
      <c r="L21" s="138"/>
      <c r="M21" s="138"/>
      <c r="O21" s="138"/>
      <c r="Q21" s="229"/>
      <c r="S21" s="138"/>
    </row>
    <row r="22" spans="1:21" ht="12" customHeight="1">
      <c r="A22" s="1">
        <f>+A17+1</f>
        <v>2</v>
      </c>
      <c r="B22" s="910"/>
      <c r="D22" s="1613"/>
      <c r="E22" s="1613"/>
      <c r="F22" s="1613"/>
      <c r="G22" s="1613"/>
      <c r="I22" s="911"/>
      <c r="K22" s="909"/>
      <c r="L22" s="138"/>
      <c r="M22" s="909"/>
      <c r="O22" s="182">
        <f>+K22-M22</f>
        <v>0</v>
      </c>
      <c r="Q22" s="229">
        <f>IF(I22="G",TCOS!L241,IF(I22="T",1,0))</f>
        <v>0</v>
      </c>
      <c r="S22" s="182">
        <f>ROUND(O22*Q22,0)</f>
        <v>0</v>
      </c>
      <c r="U22" s="912"/>
    </row>
    <row r="23" spans="1:21">
      <c r="A23" s="1"/>
      <c r="D23" s="1613"/>
      <c r="E23" s="1613"/>
      <c r="F23" s="1613"/>
      <c r="G23" s="1613"/>
      <c r="K23" s="138"/>
      <c r="L23" s="138"/>
      <c r="M23" s="138"/>
      <c r="O23" s="138"/>
      <c r="Q23" s="229"/>
      <c r="S23" s="138"/>
    </row>
    <row r="24" spans="1:21">
      <c r="A24" s="1"/>
      <c r="D24" s="1613"/>
      <c r="E24" s="1613"/>
      <c r="F24" s="1613"/>
      <c r="G24" s="1613"/>
      <c r="K24" s="138"/>
      <c r="L24" s="138"/>
      <c r="M24" s="138"/>
      <c r="O24" s="138"/>
      <c r="Q24" s="229"/>
      <c r="S24" s="138"/>
    </row>
    <row r="25" spans="1:21">
      <c r="A25" s="1"/>
      <c r="I25" s="1"/>
      <c r="K25" s="138"/>
      <c r="L25" s="138"/>
      <c r="M25" s="138"/>
      <c r="O25" s="138"/>
      <c r="Q25" s="229"/>
      <c r="S25" s="138"/>
    </row>
    <row r="26" spans="1:21">
      <c r="A26" s="1"/>
      <c r="I26" s="1"/>
      <c r="K26" s="138"/>
      <c r="L26" s="138"/>
      <c r="M26" s="138"/>
      <c r="O26" s="138"/>
      <c r="Q26" s="229"/>
      <c r="S26" s="138"/>
    </row>
    <row r="27" spans="1:21">
      <c r="A27" s="1">
        <f>+A22+1</f>
        <v>3</v>
      </c>
      <c r="B27" s="910"/>
      <c r="D27" s="1613"/>
      <c r="E27" s="1613"/>
      <c r="F27" s="1613"/>
      <c r="G27" s="1613"/>
      <c r="I27" s="911"/>
      <c r="K27" s="909"/>
      <c r="L27" s="138"/>
      <c r="M27" s="909"/>
      <c r="O27" s="182">
        <f>+K27-M27</f>
        <v>0</v>
      </c>
      <c r="Q27" s="229">
        <f>IF(I27="G",TCOS!L241,IF(I27="T",1,0))</f>
        <v>0</v>
      </c>
      <c r="S27" s="182">
        <f>ROUND(O27*Q27,0)</f>
        <v>0</v>
      </c>
      <c r="U27" s="912"/>
    </row>
    <row r="28" spans="1:21">
      <c r="A28" s="1"/>
      <c r="D28" s="1613"/>
      <c r="E28" s="1613"/>
      <c r="F28" s="1613"/>
      <c r="G28" s="1613"/>
      <c r="K28" s="138"/>
      <c r="L28" s="138"/>
      <c r="M28" s="138"/>
      <c r="O28" s="138"/>
      <c r="Q28" s="229"/>
      <c r="S28" s="138"/>
    </row>
    <row r="29" spans="1:21">
      <c r="A29" s="1"/>
      <c r="D29" s="1613"/>
      <c r="E29" s="1613"/>
      <c r="F29" s="1613"/>
      <c r="G29" s="1613"/>
      <c r="K29" s="138"/>
      <c r="L29" s="138"/>
      <c r="M29" s="138"/>
      <c r="O29" s="138"/>
      <c r="Q29" s="229"/>
    </row>
    <row r="30" spans="1:21">
      <c r="A30" s="1"/>
      <c r="O30" s="138"/>
      <c r="Q30" s="229"/>
    </row>
    <row r="31" spans="1:21">
      <c r="A31" s="1"/>
      <c r="O31" s="138"/>
      <c r="Q31" s="229"/>
    </row>
    <row r="32" spans="1:21">
      <c r="A32" s="1"/>
      <c r="O32" s="138"/>
      <c r="Q32" s="229"/>
    </row>
    <row r="33" spans="1:19" ht="13.5" thickBot="1">
      <c r="A33" s="1">
        <f>+A27+1</f>
        <v>4</v>
      </c>
      <c r="K33" t="str">
        <f>"Net (Gain) or Loss for "&amp;TCOS!L4&amp;""</f>
        <v>Net (Gain) or Loss for 2024</v>
      </c>
      <c r="O33" s="240">
        <f>SUM(O17:O27)</f>
        <v>0</v>
      </c>
      <c r="Q33" s="241"/>
      <c r="S33" s="240">
        <f>SUM(S17:S27)</f>
        <v>0</v>
      </c>
    </row>
    <row r="34" spans="1:19" ht="13.5" thickTop="1">
      <c r="A34" s="1"/>
      <c r="O34" s="138"/>
      <c r="Q34" s="241"/>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6"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Q181"/>
  <sheetViews>
    <sheetView view="pageBreakPreview" zoomScaleNormal="75" zoomScaleSheetLayoutView="100" workbookViewId="0">
      <selection activeCell="A6" sqref="A6:K6"/>
    </sheetView>
  </sheetViews>
  <sheetFormatPr defaultColWidth="9.140625" defaultRowHeight="12.75"/>
  <cols>
    <col min="1" max="1" width="8.140625" style="1217" customWidth="1"/>
    <col min="2" max="2" width="28.85546875" style="1217" customWidth="1"/>
    <col min="3" max="3" width="17.85546875" style="1217" customWidth="1"/>
    <col min="4" max="4" width="19.42578125" style="1217" customWidth="1"/>
    <col min="5" max="6" width="19.85546875" style="1217" customWidth="1"/>
    <col min="7" max="7" width="21.42578125" style="1217" customWidth="1"/>
    <col min="8" max="9" width="19.85546875" style="1217" customWidth="1"/>
    <col min="10" max="10" width="21.42578125" style="1217" customWidth="1"/>
    <col min="11" max="11" width="18.140625" style="1217" customWidth="1"/>
    <col min="12" max="12" width="22.42578125" style="1217" customWidth="1"/>
    <col min="13" max="13" width="22.140625" style="1217" customWidth="1"/>
    <col min="14" max="14" width="11.140625" style="1217" customWidth="1"/>
    <col min="15" max="15" width="11.42578125" style="1217" bestFit="1" customWidth="1"/>
    <col min="16" max="16" width="12.42578125" style="1217" customWidth="1"/>
    <col min="17" max="17" width="9.140625" style="1217"/>
    <col min="18" max="18" width="10.42578125" style="1217" bestFit="1" customWidth="1"/>
    <col min="19" max="19" width="9.140625" style="1217"/>
    <col min="20" max="20" width="12.85546875" style="1217" customWidth="1"/>
    <col min="21" max="21" width="13.5703125" style="1217" customWidth="1"/>
    <col min="22" max="16384" width="9.140625" style="1217"/>
  </cols>
  <sheetData>
    <row r="1" spans="1:17" ht="15.75">
      <c r="A1" s="1216" t="s">
        <v>116</v>
      </c>
    </row>
    <row r="2" spans="1:17" ht="15.75">
      <c r="A2" s="1216" t="s">
        <v>116</v>
      </c>
    </row>
    <row r="3" spans="1:17" ht="15.75">
      <c r="A3" s="1618" t="s">
        <v>389</v>
      </c>
      <c r="B3" s="1618"/>
      <c r="C3" s="1618"/>
      <c r="D3" s="1618"/>
      <c r="E3" s="1618"/>
      <c r="F3" s="1618"/>
      <c r="G3" s="1618"/>
      <c r="H3" s="1618"/>
      <c r="I3" s="1618"/>
      <c r="J3" s="1618"/>
      <c r="K3" s="1618"/>
      <c r="L3" s="1218"/>
      <c r="M3" s="1218"/>
      <c r="N3" s="1219"/>
      <c r="O3" s="1219"/>
      <c r="P3" s="1219"/>
      <c r="Q3" s="1219"/>
    </row>
    <row r="4" spans="1:17" ht="15.75">
      <c r="A4" s="1619" t="str">
        <f>"Cost of Service Formula Rate Using Actual/Projected FF1 Balances"</f>
        <v>Cost of Service Formula Rate Using Actual/Projected FF1 Balances</v>
      </c>
      <c r="B4" s="1620"/>
      <c r="C4" s="1620"/>
      <c r="D4" s="1620"/>
      <c r="E4" s="1620"/>
      <c r="F4" s="1620"/>
      <c r="G4" s="1620"/>
      <c r="H4" s="1620"/>
      <c r="I4" s="1620"/>
      <c r="J4" s="1620"/>
      <c r="K4" s="1620"/>
      <c r="L4" s="1220"/>
      <c r="M4" s="1222"/>
      <c r="N4" s="1223"/>
      <c r="O4" s="1223"/>
      <c r="P4" s="1223"/>
      <c r="Q4" s="1223"/>
    </row>
    <row r="5" spans="1:17" ht="15.75">
      <c r="A5" s="1621" t="s">
        <v>853</v>
      </c>
      <c r="B5" s="1621"/>
      <c r="C5" s="1621"/>
      <c r="D5" s="1621"/>
      <c r="E5" s="1621"/>
      <c r="F5" s="1621"/>
      <c r="G5" s="1621"/>
      <c r="H5" s="1621"/>
      <c r="I5" s="1621"/>
      <c r="J5" s="1621"/>
      <c r="K5" s="1621"/>
      <c r="L5" s="1220"/>
      <c r="M5" s="1224"/>
      <c r="N5" s="1224"/>
      <c r="O5" s="1224"/>
      <c r="P5" s="1224"/>
      <c r="Q5" s="1224"/>
    </row>
    <row r="6" spans="1:17" ht="15.75">
      <c r="A6" s="1622" t="str">
        <f>TCOS!F9</f>
        <v>KINGSPORT POWER COMPANY</v>
      </c>
      <c r="B6" s="1622"/>
      <c r="C6" s="1622"/>
      <c r="D6" s="1622"/>
      <c r="E6" s="1622"/>
      <c r="F6" s="1622"/>
      <c r="G6" s="1622"/>
      <c r="H6" s="1622"/>
      <c r="I6" s="1622"/>
      <c r="J6" s="1622"/>
      <c r="K6" s="1622"/>
      <c r="L6" s="1225"/>
      <c r="M6" s="1225"/>
      <c r="N6" s="1226"/>
      <c r="O6" s="1226"/>
      <c r="P6" s="1226"/>
      <c r="Q6" s="1226"/>
    </row>
    <row r="9" spans="1:17">
      <c r="B9" s="1623"/>
      <c r="C9" s="1623"/>
      <c r="D9" s="1623"/>
      <c r="E9" s="1623"/>
      <c r="F9" s="1623"/>
      <c r="G9" s="1623"/>
      <c r="H9" s="1623"/>
      <c r="I9" s="1623"/>
      <c r="J9" s="1623"/>
      <c r="K9" s="1623"/>
      <c r="L9" s="1623"/>
      <c r="M9" s="1623"/>
      <c r="N9" s="1228"/>
      <c r="O9" s="1228"/>
      <c r="P9" s="1228"/>
      <c r="Q9" s="1228"/>
    </row>
    <row r="10" spans="1:17">
      <c r="I10" s="1228"/>
      <c r="J10" s="1228"/>
      <c r="K10" s="1228"/>
      <c r="L10" s="1228"/>
      <c r="M10" s="1228"/>
      <c r="N10" s="1228"/>
      <c r="O10" s="1228"/>
      <c r="P10" s="1228"/>
      <c r="Q10" s="1228"/>
    </row>
    <row r="11" spans="1:17">
      <c r="I11" s="1228"/>
      <c r="J11" s="1228"/>
      <c r="K11" s="1228"/>
      <c r="L11" s="1228"/>
      <c r="M11" s="1228"/>
      <c r="N11" s="1228"/>
      <c r="O11" s="1228"/>
      <c r="P11" s="1228"/>
      <c r="Q11" s="1228"/>
    </row>
    <row r="12" spans="1:17">
      <c r="A12" s="1221">
        <v>1</v>
      </c>
      <c r="B12" s="1217" t="s">
        <v>827</v>
      </c>
      <c r="E12" s="1480">
        <v>52287952</v>
      </c>
      <c r="I12" s="1241"/>
      <c r="J12" s="1228"/>
      <c r="K12" s="1228"/>
      <c r="L12" s="1228"/>
      <c r="M12" s="1228"/>
      <c r="N12" s="1228"/>
      <c r="O12" s="1228"/>
      <c r="P12" s="1228"/>
      <c r="Q12" s="1228"/>
    </row>
    <row r="13" spans="1:17">
      <c r="I13" s="1241"/>
      <c r="J13" s="1228"/>
      <c r="K13" s="1228"/>
      <c r="L13" s="1228"/>
      <c r="M13" s="1228"/>
      <c r="N13" s="1228"/>
      <c r="O13" s="1228"/>
      <c r="P13" s="1228"/>
      <c r="Q13" s="1228"/>
    </row>
    <row r="14" spans="1:17">
      <c r="B14" s="1617" t="str">
        <f>"Allocation of PBOP Settlement Amount for "&amp;TCOS!L4&amp;""</f>
        <v>Allocation of PBOP Settlement Amount for 2024</v>
      </c>
      <c r="C14" s="1617"/>
      <c r="D14" s="1229"/>
      <c r="E14" s="1229"/>
      <c r="F14" s="1229"/>
      <c r="G14" s="1229"/>
      <c r="H14" s="1229"/>
      <c r="I14" s="1229"/>
      <c r="J14" s="1229"/>
      <c r="K14" s="1229"/>
      <c r="L14" s="1229"/>
      <c r="M14" s="1229"/>
      <c r="N14" s="1228"/>
      <c r="O14" s="1228"/>
      <c r="P14" s="1228"/>
      <c r="Q14" s="1228"/>
    </row>
    <row r="15" spans="1:17">
      <c r="C15" s="1623" t="s">
        <v>828</v>
      </c>
      <c r="D15" s="1623"/>
      <c r="E15" s="1623"/>
      <c r="F15" s="1227"/>
      <c r="N15" s="1228"/>
      <c r="O15" s="1228"/>
      <c r="P15" s="1228"/>
      <c r="Q15" s="1228"/>
    </row>
    <row r="16" spans="1:17">
      <c r="B16" s="1241"/>
      <c r="C16" s="1626" t="s">
        <v>829</v>
      </c>
      <c r="D16" s="1626" t="s">
        <v>830</v>
      </c>
      <c r="E16" s="1626" t="s">
        <v>831</v>
      </c>
      <c r="F16" s="1255"/>
      <c r="G16" s="1255"/>
      <c r="H16" s="1255"/>
      <c r="I16" s="1626" t="s">
        <v>832</v>
      </c>
      <c r="N16" s="1228"/>
      <c r="O16" s="1228"/>
      <c r="P16" s="1228"/>
      <c r="Q16" s="1228"/>
    </row>
    <row r="17" spans="1:17" ht="12.75" customHeight="1">
      <c r="C17" s="1624"/>
      <c r="D17" s="1624"/>
      <c r="E17" s="1624"/>
      <c r="F17" s="1626" t="str">
        <f>"Labor Allocator for "&amp;TCOS!L4&amp;""</f>
        <v>Labor Allocator for 2024</v>
      </c>
      <c r="G17" s="1258"/>
      <c r="H17" s="1627" t="s">
        <v>833</v>
      </c>
      <c r="I17" s="1626"/>
      <c r="N17" s="1228"/>
      <c r="O17" s="1228"/>
      <c r="P17" s="1228"/>
      <c r="Q17" s="1228"/>
    </row>
    <row r="18" spans="1:17">
      <c r="A18" s="1230" t="s">
        <v>834</v>
      </c>
      <c r="B18" s="1227" t="s">
        <v>185</v>
      </c>
      <c r="C18" s="1624"/>
      <c r="D18" s="1624"/>
      <c r="E18" s="1624"/>
      <c r="F18" s="1626"/>
      <c r="G18" s="1260" t="s">
        <v>835</v>
      </c>
      <c r="H18" s="1627"/>
      <c r="I18" s="1626"/>
      <c r="N18" s="1228"/>
      <c r="O18" s="1228"/>
      <c r="P18" s="1228"/>
      <c r="Q18" s="1228"/>
    </row>
    <row r="19" spans="1:17">
      <c r="B19" s="1227"/>
      <c r="C19" s="1240"/>
      <c r="D19" s="1240"/>
      <c r="E19" s="1240"/>
      <c r="F19" s="1255"/>
      <c r="G19" s="1258"/>
      <c r="H19" s="1258"/>
      <c r="I19" s="1240"/>
      <c r="N19" s="1228"/>
      <c r="O19" s="1228"/>
      <c r="P19" s="1228"/>
      <c r="Q19" s="1228"/>
    </row>
    <row r="20" spans="1:17">
      <c r="B20" s="1227"/>
      <c r="C20" s="1255" t="s">
        <v>164</v>
      </c>
      <c r="D20" s="1255" t="s">
        <v>836</v>
      </c>
      <c r="E20" s="1256" t="str">
        <f>"(C )=(B) * "&amp;E12&amp;""</f>
        <v>(C )=(B) * 52287952</v>
      </c>
      <c r="F20" s="1255" t="s">
        <v>167</v>
      </c>
      <c r="G20" s="1261" t="s">
        <v>837</v>
      </c>
      <c r="H20" s="1261" t="s">
        <v>838</v>
      </c>
      <c r="I20" s="1256" t="s">
        <v>839</v>
      </c>
      <c r="N20" s="1228"/>
      <c r="O20" s="1228"/>
      <c r="P20" s="1228"/>
      <c r="Q20" s="1228"/>
    </row>
    <row r="21" spans="1:17">
      <c r="B21" s="1227"/>
      <c r="C21" s="1255" t="str">
        <f>"(Line "&amp;A47&amp;")"</f>
        <v>(Line 14)</v>
      </c>
      <c r="D21" s="1255"/>
      <c r="E21" s="1256"/>
      <c r="F21" s="1255"/>
      <c r="G21" s="1258"/>
      <c r="H21" s="1259"/>
      <c r="I21" s="1256"/>
      <c r="N21" s="1228"/>
      <c r="O21" s="1228"/>
      <c r="P21" s="1228"/>
      <c r="Q21" s="1228"/>
    </row>
    <row r="22" spans="1:17">
      <c r="A22" s="1217">
        <v>2</v>
      </c>
      <c r="B22" s="1217" t="s">
        <v>840</v>
      </c>
      <c r="C22" s="1237">
        <f>D47</f>
        <v>-13734373.967536405</v>
      </c>
      <c r="D22" s="1262">
        <f t="shared" ref="D22:D27" si="0">+C22/C$28</f>
        <v>0.35553765030296386</v>
      </c>
      <c r="E22" s="1239">
        <f t="shared" ref="E22:E27" si="1">ROUND(D22*E$28,0)</f>
        <v>18590336</v>
      </c>
      <c r="F22" s="1416">
        <v>0.10655883713541511</v>
      </c>
      <c r="G22" s="1258">
        <f t="shared" ref="G22:G27" si="2">+C22*F22</f>
        <v>-1463518.9187635968</v>
      </c>
      <c r="H22" s="1258">
        <f t="shared" ref="H22:H27" si="3">+F22*E22</f>
        <v>1980964.5861166446</v>
      </c>
      <c r="I22" s="1239">
        <f t="shared" ref="I22:I27" si="4">+G22-H22</f>
        <v>-3444483.5048802411</v>
      </c>
      <c r="N22" s="1228"/>
      <c r="O22" s="1228"/>
      <c r="P22" s="1228"/>
      <c r="Q22" s="1228"/>
    </row>
    <row r="23" spans="1:17">
      <c r="A23" s="1217">
        <f t="shared" ref="A23:A28" si="5">+A22+1</f>
        <v>3</v>
      </c>
      <c r="B23" s="1217" t="s">
        <v>841</v>
      </c>
      <c r="C23" s="1237">
        <f>F47</f>
        <v>-9841017.7861267738</v>
      </c>
      <c r="D23" s="1262">
        <f t="shared" si="0"/>
        <v>0.25475149785052731</v>
      </c>
      <c r="E23" s="1239">
        <f t="shared" si="1"/>
        <v>13320434</v>
      </c>
      <c r="F23" s="1416">
        <v>5.4214444409729834E-2</v>
      </c>
      <c r="G23" s="1258">
        <f t="shared" si="2"/>
        <v>-533525.31170113257</v>
      </c>
      <c r="H23" s="1258">
        <f t="shared" si="3"/>
        <v>722159.92860647524</v>
      </c>
      <c r="I23" s="1239">
        <f t="shared" si="4"/>
        <v>-1255685.2403076077</v>
      </c>
      <c r="N23" s="1228"/>
      <c r="O23" s="1228"/>
      <c r="P23" s="1228"/>
      <c r="Q23" s="1228"/>
    </row>
    <row r="24" spans="1:17">
      <c r="A24" s="1217">
        <f t="shared" si="5"/>
        <v>4</v>
      </c>
      <c r="B24" s="1217" t="s">
        <v>842</v>
      </c>
      <c r="C24" s="1237">
        <f>G47</f>
        <v>-3258730.4032220743</v>
      </c>
      <c r="D24" s="1262">
        <f t="shared" si="0"/>
        <v>8.4357783854652799E-2</v>
      </c>
      <c r="E24" s="1239">
        <f t="shared" si="1"/>
        <v>4410896</v>
      </c>
      <c r="F24" s="1416">
        <v>9.7065478970577726E-2</v>
      </c>
      <c r="G24" s="1258">
        <f t="shared" si="2"/>
        <v>-316310.2274247345</v>
      </c>
      <c r="H24" s="1258">
        <f t="shared" si="3"/>
        <v>428145.73292940541</v>
      </c>
      <c r="I24" s="1239">
        <f t="shared" si="4"/>
        <v>-744455.96035413991</v>
      </c>
      <c r="N24" s="1228"/>
      <c r="O24" s="1228"/>
      <c r="P24" s="1228"/>
      <c r="Q24" s="1228"/>
    </row>
    <row r="25" spans="1:17">
      <c r="A25" s="1217">
        <f t="shared" si="5"/>
        <v>5</v>
      </c>
      <c r="B25" s="1217" t="s">
        <v>843</v>
      </c>
      <c r="C25" s="1237">
        <f>H47</f>
        <v>-325117.27616654808</v>
      </c>
      <c r="D25" s="1262">
        <f t="shared" si="0"/>
        <v>8.416214143751646E-3</v>
      </c>
      <c r="E25" s="1239">
        <f t="shared" si="1"/>
        <v>440067</v>
      </c>
      <c r="F25" s="1416">
        <v>8.2994828194949952E-2</v>
      </c>
      <c r="G25" s="1258">
        <f t="shared" si="2"/>
        <v>-26983.052478652753</v>
      </c>
      <c r="H25" s="1258">
        <f t="shared" si="3"/>
        <v>36523.285059267044</v>
      </c>
      <c r="I25" s="1239">
        <f t="shared" si="4"/>
        <v>-63506.337537919797</v>
      </c>
      <c r="N25" s="1228"/>
      <c r="O25" s="1228"/>
      <c r="P25" s="1228"/>
      <c r="Q25" s="1228"/>
    </row>
    <row r="26" spans="1:17">
      <c r="A26" s="1217">
        <f t="shared" si="5"/>
        <v>6</v>
      </c>
      <c r="B26" s="1217" t="s">
        <v>844</v>
      </c>
      <c r="C26" s="1237">
        <f>I47</f>
        <v>-10652552.026077839</v>
      </c>
      <c r="D26" s="1262">
        <f t="shared" si="0"/>
        <v>0.27575944313398881</v>
      </c>
      <c r="E26" s="1239">
        <f t="shared" si="1"/>
        <v>14418897</v>
      </c>
      <c r="F26" s="1416">
        <v>0.13520817552546904</v>
      </c>
      <c r="G26" s="1258">
        <f t="shared" si="2"/>
        <v>-1440312.1241361233</v>
      </c>
      <c r="H26" s="1258">
        <f t="shared" si="3"/>
        <v>1949552.756459659</v>
      </c>
      <c r="I26" s="1239">
        <f t="shared" si="4"/>
        <v>-3389864.8805957823</v>
      </c>
      <c r="N26" s="1228"/>
      <c r="O26" s="1228"/>
      <c r="P26" s="1228"/>
      <c r="Q26" s="1228"/>
    </row>
    <row r="27" spans="1:17" ht="13.5" thickBot="1">
      <c r="A27" s="1217">
        <f t="shared" si="5"/>
        <v>7</v>
      </c>
      <c r="B27" s="1217" t="s">
        <v>845</v>
      </c>
      <c r="C27" s="1292">
        <f>J47</f>
        <v>-818080.6678671788</v>
      </c>
      <c r="D27" s="1262">
        <f t="shared" si="0"/>
        <v>2.1177410714115621E-2</v>
      </c>
      <c r="E27" s="1263">
        <f t="shared" si="1"/>
        <v>1107323</v>
      </c>
      <c r="F27" s="1417">
        <v>2.6558869397708143E-2</v>
      </c>
      <c r="G27" s="1264">
        <f t="shared" si="2"/>
        <v>-21727.297614674255</v>
      </c>
      <c r="H27" s="1264">
        <f t="shared" si="3"/>
        <v>29409.246938078373</v>
      </c>
      <c r="I27" s="1263">
        <f t="shared" si="4"/>
        <v>-51136.544552752632</v>
      </c>
      <c r="N27" s="1228"/>
      <c r="O27" s="1228"/>
      <c r="P27" s="1228"/>
      <c r="Q27" s="1228"/>
    </row>
    <row r="28" spans="1:17">
      <c r="A28" s="1217">
        <f t="shared" si="5"/>
        <v>8</v>
      </c>
      <c r="B28" s="1227" t="str">
        <f>"Sum of Lines "&amp;A22&amp;" to "&amp;A27&amp;""</f>
        <v>Sum of Lines 2 to 7</v>
      </c>
      <c r="C28" s="1239">
        <f>SUM(C22:C27)</f>
        <v>-38629872.126996815</v>
      </c>
      <c r="E28" s="1258">
        <f>+E12</f>
        <v>52287952</v>
      </c>
      <c r="F28" s="1258"/>
      <c r="G28" s="1258">
        <f>SUM(G22:G27)</f>
        <v>-3802376.9321189141</v>
      </c>
      <c r="H28" s="1258">
        <f>SUM(H22:H27)</f>
        <v>5146755.5361095304</v>
      </c>
      <c r="I28" s="1258">
        <f>SUM(I22:I27)</f>
        <v>-8949132.4682284445</v>
      </c>
      <c r="N28" s="1228"/>
      <c r="O28" s="1228"/>
      <c r="P28" s="1228"/>
      <c r="Q28" s="1228"/>
    </row>
    <row r="29" spans="1:17">
      <c r="C29" s="1239"/>
      <c r="N29" s="1228"/>
      <c r="O29" s="1228"/>
      <c r="P29" s="1228"/>
      <c r="Q29" s="1228"/>
    </row>
    <row r="30" spans="1:17">
      <c r="I30" s="1241"/>
      <c r="N30" s="1228"/>
      <c r="O30" s="1228"/>
      <c r="P30" s="1228"/>
      <c r="Q30" s="1228"/>
    </row>
    <row r="31" spans="1:17">
      <c r="I31" s="1241"/>
      <c r="J31" s="1228"/>
      <c r="K31" s="1228"/>
      <c r="L31" s="1228"/>
      <c r="M31" s="1228"/>
      <c r="N31" s="1228"/>
      <c r="O31" s="1228"/>
      <c r="P31" s="1228"/>
      <c r="Q31" s="1228"/>
    </row>
    <row r="32" spans="1:17">
      <c r="I32" s="1241"/>
      <c r="J32" s="1228"/>
      <c r="K32" s="1228"/>
      <c r="L32" s="1228"/>
      <c r="M32" s="1228"/>
      <c r="N32" s="1228"/>
      <c r="O32" s="1228"/>
      <c r="P32" s="1228"/>
      <c r="Q32" s="1228"/>
    </row>
    <row r="33" spans="1:17">
      <c r="B33" s="1230" t="s">
        <v>854</v>
      </c>
      <c r="F33" s="1231"/>
      <c r="I33" s="1241"/>
      <c r="J33" s="1228"/>
      <c r="K33" s="1228"/>
      <c r="L33" s="1228"/>
      <c r="M33" s="1228"/>
      <c r="N33" s="1228"/>
      <c r="O33" s="1228"/>
      <c r="P33" s="1228"/>
      <c r="Q33" s="1228"/>
    </row>
    <row r="34" spans="1:17">
      <c r="E34" s="1231"/>
      <c r="I34" s="1232"/>
      <c r="J34" s="1228"/>
      <c r="K34" s="1228"/>
      <c r="L34" s="1228"/>
      <c r="M34" s="1228"/>
      <c r="N34" s="1228"/>
      <c r="O34" s="1228"/>
      <c r="P34" s="1228"/>
      <c r="Q34" s="1228"/>
    </row>
    <row r="35" spans="1:17">
      <c r="D35" s="1233" t="s">
        <v>840</v>
      </c>
      <c r="E35" s="1234"/>
      <c r="F35" s="1233" t="s">
        <v>841</v>
      </c>
      <c r="G35" s="1233" t="s">
        <v>842</v>
      </c>
      <c r="H35" s="1233" t="s">
        <v>846</v>
      </c>
      <c r="I35" s="1235" t="s">
        <v>844</v>
      </c>
      <c r="J35" s="1235" t="s">
        <v>845</v>
      </c>
      <c r="K35" s="1235" t="s">
        <v>847</v>
      </c>
      <c r="L35" s="1228"/>
      <c r="M35" s="1228"/>
      <c r="N35" s="1228"/>
      <c r="O35" s="1228"/>
      <c r="P35" s="1228"/>
      <c r="Q35" s="1228"/>
    </row>
    <row r="36" spans="1:17">
      <c r="E36" s="1236"/>
      <c r="I36" s="1228"/>
      <c r="J36" s="1228"/>
      <c r="K36" s="1228"/>
      <c r="L36" s="1228"/>
      <c r="M36" s="1228"/>
      <c r="N36" s="1228"/>
      <c r="O36" s="1228"/>
      <c r="P36" s="1228"/>
      <c r="Q36" s="1228"/>
    </row>
    <row r="37" spans="1:17">
      <c r="A37" s="1217">
        <f>+A28+1</f>
        <v>9</v>
      </c>
      <c r="B37" s="1217" t="s">
        <v>848</v>
      </c>
      <c r="D37" s="1411">
        <v>-11308947</v>
      </c>
      <c r="E37" s="1410"/>
      <c r="F37" s="1411">
        <v>-9404523</v>
      </c>
      <c r="G37" s="1411">
        <v>-2679710</v>
      </c>
      <c r="H37" s="1411">
        <v>-268644</v>
      </c>
      <c r="I37" s="1411">
        <v>-8093358</v>
      </c>
      <c r="J37" s="1411">
        <v>-630062</v>
      </c>
      <c r="K37" s="1238">
        <f>SUM(D37:J37)</f>
        <v>-32385244</v>
      </c>
      <c r="L37" s="1228" t="s">
        <v>116</v>
      </c>
      <c r="M37" s="1228"/>
      <c r="N37" s="1228"/>
      <c r="O37" s="1228"/>
      <c r="P37" s="1228"/>
      <c r="Q37" s="1228"/>
    </row>
    <row r="38" spans="1:17">
      <c r="D38" s="1239"/>
      <c r="E38" s="1236"/>
      <c r="F38" s="1239"/>
      <c r="G38" s="1239"/>
      <c r="H38" s="1239"/>
      <c r="I38" s="1239"/>
      <c r="J38" s="1239"/>
    </row>
    <row r="39" spans="1:17" ht="12.75" customHeight="1">
      <c r="A39" s="1217">
        <f>+A37+1</f>
        <v>10</v>
      </c>
      <c r="B39" s="1628" t="s">
        <v>849</v>
      </c>
      <c r="C39" s="1628"/>
      <c r="D39" s="1411">
        <v>854805.39000000805</v>
      </c>
      <c r="E39" s="1410"/>
      <c r="F39" s="1411">
        <v>1390817.4799999977</v>
      </c>
      <c r="G39" s="1411">
        <v>-45453.439999999478</v>
      </c>
      <c r="H39" s="1411">
        <v>27211.999999999767</v>
      </c>
      <c r="I39" s="1411">
        <v>224400.91000000201</v>
      </c>
      <c r="J39" s="1411">
        <v>205769.55999999959</v>
      </c>
      <c r="K39" s="1238"/>
      <c r="L39" s="1228"/>
      <c r="M39" s="1228"/>
      <c r="N39" s="1228"/>
      <c r="O39" s="1228"/>
      <c r="P39" s="1228"/>
      <c r="Q39" s="1228"/>
    </row>
    <row r="40" spans="1:17">
      <c r="B40" s="1240"/>
      <c r="C40" s="1240"/>
      <c r="D40" s="1231"/>
      <c r="E40" s="1236"/>
      <c r="F40" s="1231"/>
      <c r="G40" s="1231"/>
      <c r="H40" s="1231"/>
      <c r="I40" s="1231"/>
      <c r="J40" s="1231"/>
      <c r="K40" s="1241"/>
      <c r="L40" s="1228"/>
      <c r="M40" s="1228"/>
      <c r="N40" s="1228"/>
      <c r="O40" s="1228"/>
      <c r="P40" s="1228"/>
      <c r="Q40" s="1228"/>
    </row>
    <row r="41" spans="1:17">
      <c r="A41" s="1217">
        <f>+A39+1</f>
        <v>11</v>
      </c>
      <c r="B41" s="1217" t="s">
        <v>850</v>
      </c>
      <c r="D41" s="1411"/>
      <c r="E41" s="1410"/>
      <c r="F41" s="1411"/>
      <c r="G41" s="1411"/>
      <c r="H41" s="1411"/>
      <c r="I41" s="1411"/>
      <c r="J41" s="1411"/>
      <c r="K41" s="1238">
        <f>SUM(D41:J41)</f>
        <v>0</v>
      </c>
      <c r="L41" s="1228"/>
      <c r="M41" s="1228"/>
      <c r="N41" s="1228"/>
      <c r="O41" s="1228"/>
      <c r="P41" s="1228"/>
      <c r="Q41" s="1228"/>
    </row>
    <row r="42" spans="1:17">
      <c r="D42" s="1242"/>
      <c r="E42" s="1243"/>
      <c r="F42" s="1242"/>
      <c r="G42" s="1242"/>
      <c r="H42" s="1242"/>
      <c r="I42" s="1244"/>
      <c r="J42" s="1244"/>
      <c r="K42" s="1245"/>
      <c r="L42" s="1228"/>
      <c r="M42" s="1228"/>
      <c r="N42" s="1228"/>
      <c r="O42" s="1228"/>
      <c r="P42" s="1228"/>
      <c r="Q42" s="1228"/>
    </row>
    <row r="43" spans="1:17">
      <c r="A43" s="1217">
        <f>+A41+1</f>
        <v>12</v>
      </c>
      <c r="B43" s="1217" t="str">
        <f>"Net Company Expense (Ln "&amp;A37&amp;" + Ln "&amp;A39&amp;" + Ln  "&amp;A41&amp;")"</f>
        <v>Net Company Expense (Ln 9 + Ln 10 + Ln  11)</v>
      </c>
      <c r="D43" s="1231">
        <f t="shared" ref="D43:J43" si="6">+D37+D41+D39</f>
        <v>-10454141.609999992</v>
      </c>
      <c r="E43" s="1246"/>
      <c r="F43" s="1231">
        <f t="shared" si="6"/>
        <v>-8013705.5200000023</v>
      </c>
      <c r="G43" s="1231">
        <f t="shared" si="6"/>
        <v>-2725163.4399999995</v>
      </c>
      <c r="H43" s="1231">
        <f t="shared" si="6"/>
        <v>-241432.00000000023</v>
      </c>
      <c r="I43" s="1231">
        <f t="shared" si="6"/>
        <v>-7868957.089999998</v>
      </c>
      <c r="J43" s="1231">
        <f t="shared" si="6"/>
        <v>-424292.44000000041</v>
      </c>
      <c r="K43" s="1238">
        <f>SUM(D43:J43)</f>
        <v>-29727692.09999999</v>
      </c>
      <c r="L43" s="1228"/>
      <c r="M43" s="1228"/>
      <c r="N43" s="1228"/>
      <c r="O43" s="1228"/>
      <c r="P43" s="1228"/>
      <c r="Q43" s="1228"/>
    </row>
    <row r="44" spans="1:17">
      <c r="E44" s="1236"/>
      <c r="G44" s="1231">
        <f>+G40+G42</f>
        <v>0</v>
      </c>
      <c r="I44" s="1228"/>
      <c r="J44" s="1228"/>
      <c r="K44" s="1241"/>
      <c r="L44" s="1247"/>
      <c r="M44" s="1228"/>
      <c r="N44" s="1228"/>
      <c r="O44" s="1228"/>
      <c r="P44" s="1228"/>
      <c r="Q44" s="1228"/>
    </row>
    <row r="45" spans="1:17">
      <c r="A45" s="1217">
        <f>+A43+1</f>
        <v>13</v>
      </c>
      <c r="B45" s="1624" t="s">
        <v>851</v>
      </c>
      <c r="C45" s="1624"/>
      <c r="D45" s="1411">
        <v>-3280232.3575364132</v>
      </c>
      <c r="E45" s="1410"/>
      <c r="F45" s="1411">
        <v>-1827312.2661267724</v>
      </c>
      <c r="G45" s="1411">
        <v>-533566.96322207467</v>
      </c>
      <c r="H45" s="1411">
        <v>-83685.276166547861</v>
      </c>
      <c r="I45" s="1411">
        <v>-2783594.9360778411</v>
      </c>
      <c r="J45" s="1411">
        <v>-393788.22786717844</v>
      </c>
      <c r="K45" s="1238">
        <f>SUM(D45:J45)</f>
        <v>-8902180.0269968268</v>
      </c>
      <c r="L45" s="1248" t="s">
        <v>116</v>
      </c>
      <c r="M45" s="1228"/>
      <c r="N45" s="1228"/>
      <c r="O45" s="1228"/>
      <c r="P45" s="1228"/>
      <c r="Q45" s="1228"/>
    </row>
    <row r="46" spans="1:17">
      <c r="B46" s="1624"/>
      <c r="C46" s="1624"/>
      <c r="D46" s="1249"/>
      <c r="E46" s="1236"/>
      <c r="I46" s="1228"/>
      <c r="J46" s="1228"/>
      <c r="K46" s="1241"/>
      <c r="L46" s="1228"/>
      <c r="M46" s="1228"/>
      <c r="N46" s="1228"/>
      <c r="O46" s="1228"/>
      <c r="P46" s="1228"/>
      <c r="Q46" s="1228"/>
    </row>
    <row r="47" spans="1:17" ht="13.5" thickBot="1">
      <c r="A47" s="1217">
        <f>+A45+1</f>
        <v>14</v>
      </c>
      <c r="B47" s="1217" t="str">
        <f>"Company PBOP Expense (Ln "&amp;A43&amp;" + Ln  "&amp;A45&amp;")"</f>
        <v>Company PBOP Expense (Ln 12 + Ln  13)</v>
      </c>
      <c r="D47" s="1250">
        <f>+D45+D41+D39+D37</f>
        <v>-13734373.967536405</v>
      </c>
      <c r="E47" s="1251"/>
      <c r="F47" s="1250">
        <f>+F45+F41+F39+F37</f>
        <v>-9841017.7861267738</v>
      </c>
      <c r="G47" s="1250">
        <f>+G45+G41+G39+G37</f>
        <v>-3258730.4032220743</v>
      </c>
      <c r="H47" s="1250">
        <f>+H45+H41+H39+H37</f>
        <v>-325117.27616654808</v>
      </c>
      <c r="I47" s="1250">
        <f>+I45+I41+I39+I37</f>
        <v>-10652552.026077839</v>
      </c>
      <c r="J47" s="1250">
        <f>+J45+J41+J39+J37</f>
        <v>-818080.6678671788</v>
      </c>
      <c r="K47" s="1252">
        <f>SUM(D47:J47)</f>
        <v>-38629872.126996815</v>
      </c>
      <c r="L47" s="1228"/>
      <c r="M47" s="1228"/>
      <c r="N47" s="1228"/>
      <c r="O47" s="1228"/>
      <c r="P47" s="1228"/>
      <c r="Q47" s="1228"/>
    </row>
    <row r="48" spans="1:17" ht="13.5" thickTop="1">
      <c r="I48" s="1228"/>
      <c r="J48" s="1228"/>
      <c r="K48" s="1228"/>
      <c r="L48" s="1228"/>
      <c r="M48" s="1228"/>
      <c r="N48" s="1228"/>
      <c r="O48" s="1228"/>
      <c r="P48" s="1228"/>
      <c r="Q48" s="1228"/>
    </row>
    <row r="49" spans="1:17">
      <c r="A49" s="1625" t="s">
        <v>852</v>
      </c>
      <c r="B49" s="1625"/>
      <c r="C49" s="1625"/>
      <c r="D49" s="1625"/>
      <c r="E49" s="1625"/>
      <c r="F49" s="1625"/>
      <c r="G49" s="1625"/>
      <c r="H49" s="1625"/>
      <c r="I49" s="1625"/>
      <c r="J49" s="1625"/>
      <c r="K49" s="1625"/>
      <c r="L49" s="1253"/>
      <c r="M49" s="1228"/>
      <c r="N49" s="1228"/>
      <c r="O49" s="1228"/>
      <c r="P49" s="1228"/>
      <c r="Q49" s="1228"/>
    </row>
    <row r="50" spans="1:17">
      <c r="A50" s="1625"/>
      <c r="B50" s="1625"/>
      <c r="C50" s="1625"/>
      <c r="D50" s="1625"/>
      <c r="E50" s="1625"/>
      <c r="F50" s="1625"/>
      <c r="G50" s="1625"/>
      <c r="H50" s="1625"/>
      <c r="I50" s="1625"/>
      <c r="J50" s="1625"/>
      <c r="K50" s="1625"/>
      <c r="L50" s="1228"/>
      <c r="M50" s="1228"/>
      <c r="N50" s="1228"/>
      <c r="O50" s="1228"/>
      <c r="P50" s="1228"/>
      <c r="Q50" s="1228"/>
    </row>
    <row r="51" spans="1:17">
      <c r="A51" s="1625"/>
      <c r="B51" s="1625"/>
      <c r="C51" s="1625"/>
      <c r="D51" s="1625"/>
      <c r="E51" s="1625"/>
      <c r="F51" s="1625"/>
      <c r="G51" s="1625"/>
      <c r="H51" s="1625"/>
      <c r="I51" s="1625"/>
      <c r="J51" s="1625"/>
      <c r="K51" s="1625"/>
      <c r="L51" s="1228"/>
      <c r="M51" s="1228"/>
      <c r="N51" s="1228"/>
      <c r="O51" s="1228"/>
      <c r="P51" s="1228"/>
      <c r="Q51" s="1228"/>
    </row>
    <row r="52" spans="1:17">
      <c r="A52" s="1625"/>
      <c r="B52" s="1625"/>
      <c r="C52" s="1625"/>
      <c r="D52" s="1625"/>
      <c r="E52" s="1625"/>
      <c r="F52" s="1625"/>
      <c r="G52" s="1625"/>
      <c r="H52" s="1625"/>
      <c r="I52" s="1625"/>
      <c r="J52" s="1625"/>
      <c r="K52" s="1625"/>
      <c r="Q52" s="1228"/>
    </row>
    <row r="53" spans="1:17">
      <c r="A53" s="1625"/>
      <c r="B53" s="1625"/>
      <c r="C53" s="1625"/>
      <c r="D53" s="1625"/>
      <c r="E53" s="1625"/>
      <c r="F53" s="1625"/>
      <c r="G53" s="1625"/>
      <c r="H53" s="1625"/>
      <c r="I53" s="1625"/>
      <c r="J53" s="1625"/>
      <c r="K53" s="1625"/>
      <c r="Q53" s="1228"/>
    </row>
    <row r="54" spans="1:17">
      <c r="A54" s="1625"/>
      <c r="B54" s="1625"/>
      <c r="C54" s="1625"/>
      <c r="D54" s="1625"/>
      <c r="E54" s="1625"/>
      <c r="F54" s="1625"/>
      <c r="G54" s="1625"/>
      <c r="H54" s="1625"/>
      <c r="I54" s="1625"/>
      <c r="J54" s="1625"/>
      <c r="K54" s="1625"/>
      <c r="Q54" s="1228"/>
    </row>
    <row r="55" spans="1:17">
      <c r="A55" s="1625"/>
      <c r="B55" s="1625"/>
      <c r="C55" s="1625"/>
      <c r="D55" s="1625"/>
      <c r="E55" s="1625"/>
      <c r="F55" s="1625"/>
      <c r="G55" s="1625"/>
      <c r="H55" s="1625"/>
      <c r="I55" s="1625"/>
      <c r="J55" s="1625"/>
      <c r="K55" s="1625"/>
      <c r="Q55" s="1228"/>
    </row>
    <row r="56" spans="1:17">
      <c r="A56" s="1625"/>
      <c r="B56" s="1625"/>
      <c r="C56" s="1625"/>
      <c r="D56" s="1625"/>
      <c r="E56" s="1625"/>
      <c r="F56" s="1625"/>
      <c r="G56" s="1625"/>
      <c r="H56" s="1625"/>
      <c r="I56" s="1625"/>
      <c r="J56" s="1625"/>
      <c r="K56" s="1625"/>
      <c r="Q56" s="1228"/>
    </row>
    <row r="57" spans="1:17">
      <c r="A57" s="1625"/>
      <c r="B57" s="1625"/>
      <c r="C57" s="1625"/>
      <c r="D57" s="1625"/>
      <c r="E57" s="1625"/>
      <c r="F57" s="1625"/>
      <c r="G57" s="1625"/>
      <c r="H57" s="1625"/>
      <c r="I57" s="1625"/>
      <c r="J57" s="1625"/>
      <c r="K57" s="1625"/>
      <c r="Q57" s="1228"/>
    </row>
    <row r="58" spans="1:17">
      <c r="Q58" s="1254"/>
    </row>
    <row r="59" spans="1:17" ht="12.75" customHeight="1"/>
    <row r="60" spans="1:17" ht="12.75" customHeight="1"/>
    <row r="76" spans="13:13">
      <c r="M76" s="1239"/>
    </row>
    <row r="77" spans="13:13">
      <c r="M77" s="1255"/>
    </row>
    <row r="78" spans="13:13">
      <c r="M78" s="1240"/>
    </row>
    <row r="79" spans="13:13" ht="12.75" customHeight="1">
      <c r="M79" s="1240"/>
    </row>
    <row r="80" spans="13:13">
      <c r="M80" s="1240"/>
    </row>
    <row r="81" spans="13:13">
      <c r="M81" s="1240"/>
    </row>
    <row r="82" spans="13:13">
      <c r="M82" s="1256"/>
    </row>
    <row r="83" spans="13:13">
      <c r="M83" s="1256"/>
    </row>
    <row r="84" spans="13:13">
      <c r="M84" s="1239"/>
    </row>
    <row r="85" spans="13:13">
      <c r="M85" s="1239"/>
    </row>
    <row r="86" spans="13:13">
      <c r="M86" s="1239"/>
    </row>
    <row r="87" spans="13:13">
      <c r="M87" s="1239"/>
    </row>
    <row r="88" spans="13:13">
      <c r="M88" s="1239"/>
    </row>
    <row r="89" spans="13:13">
      <c r="M89" s="1239"/>
    </row>
    <row r="90" spans="13:13">
      <c r="M90" s="1257"/>
    </row>
    <row r="91" spans="13:13">
      <c r="M91" s="1258"/>
    </row>
    <row r="93" spans="13:13">
      <c r="M93" s="1239"/>
    </row>
    <row r="98" spans="13:13">
      <c r="M98" s="1239"/>
    </row>
    <row r="99" spans="13:13">
      <c r="M99" s="1255"/>
    </row>
    <row r="100" spans="13:13">
      <c r="M100" s="1240"/>
    </row>
    <row r="101" spans="13:13" ht="12.75" customHeight="1">
      <c r="M101" s="1240"/>
    </row>
    <row r="102" spans="13:13">
      <c r="M102" s="1240"/>
    </row>
    <row r="103" spans="13:13">
      <c r="M103" s="1240"/>
    </row>
    <row r="104" spans="13:13">
      <c r="M104" s="1256"/>
    </row>
    <row r="105" spans="13:13">
      <c r="M105" s="1256"/>
    </row>
    <row r="106" spans="13:13">
      <c r="M106" s="1239"/>
    </row>
    <row r="107" spans="13:13">
      <c r="M107" s="1239"/>
    </row>
    <row r="108" spans="13:13">
      <c r="M108" s="1239"/>
    </row>
    <row r="109" spans="13:13">
      <c r="M109" s="1239"/>
    </row>
    <row r="110" spans="13:13">
      <c r="M110" s="1239"/>
    </row>
    <row r="111" spans="13:13">
      <c r="M111" s="1239"/>
    </row>
    <row r="112" spans="13:13">
      <c r="M112" s="1257"/>
    </row>
    <row r="113" spans="13:13">
      <c r="M113" s="1258"/>
    </row>
    <row r="115" spans="13:13">
      <c r="M115" s="1239"/>
    </row>
    <row r="120" spans="13:13">
      <c r="M120" s="1239"/>
    </row>
    <row r="121" spans="13:13">
      <c r="M121" s="1255"/>
    </row>
    <row r="122" spans="13:13">
      <c r="M122" s="1240"/>
    </row>
    <row r="123" spans="13:13" ht="12.75" customHeight="1">
      <c r="M123" s="1240"/>
    </row>
    <row r="124" spans="13:13">
      <c r="M124" s="1240"/>
    </row>
    <row r="125" spans="13:13">
      <c r="M125" s="1240"/>
    </row>
    <row r="126" spans="13:13">
      <c r="M126" s="1256"/>
    </row>
    <row r="127" spans="13:13">
      <c r="M127" s="1256"/>
    </row>
    <row r="128" spans="13:13">
      <c r="M128" s="1239"/>
    </row>
    <row r="129" spans="13:13">
      <c r="M129" s="1239"/>
    </row>
    <row r="130" spans="13:13">
      <c r="M130" s="1239"/>
    </row>
    <row r="131" spans="13:13">
      <c r="M131" s="1239"/>
    </row>
    <row r="132" spans="13:13">
      <c r="M132" s="1239"/>
    </row>
    <row r="133" spans="13:13">
      <c r="M133" s="1239"/>
    </row>
    <row r="134" spans="13:13">
      <c r="M134" s="1257"/>
    </row>
    <row r="135" spans="13:13">
      <c r="M135" s="1258"/>
    </row>
    <row r="137" spans="13:13">
      <c r="M137" s="1239"/>
    </row>
    <row r="142" spans="13:13">
      <c r="M142" s="1239"/>
    </row>
    <row r="143" spans="13:13">
      <c r="M143" s="1255"/>
    </row>
    <row r="144" spans="13:13">
      <c r="M144" s="1240"/>
    </row>
    <row r="145" spans="13:13" ht="12.75" customHeight="1">
      <c r="M145" s="1240"/>
    </row>
    <row r="146" spans="13:13">
      <c r="M146" s="1240"/>
    </row>
    <row r="147" spans="13:13">
      <c r="M147" s="1240"/>
    </row>
    <row r="148" spans="13:13">
      <c r="M148" s="1256"/>
    </row>
    <row r="149" spans="13:13">
      <c r="M149" s="1256"/>
    </row>
    <row r="150" spans="13:13">
      <c r="M150" s="1239"/>
    </row>
    <row r="151" spans="13:13">
      <c r="M151" s="1239"/>
    </row>
    <row r="152" spans="13:13">
      <c r="M152" s="1239"/>
    </row>
    <row r="153" spans="13:13">
      <c r="M153" s="1239"/>
    </row>
    <row r="154" spans="13:13">
      <c r="M154" s="1239"/>
    </row>
    <row r="155" spans="13:13">
      <c r="M155" s="1239"/>
    </row>
    <row r="156" spans="13:13">
      <c r="M156" s="1257"/>
    </row>
    <row r="157" spans="13:13">
      <c r="M157" s="1258"/>
    </row>
    <row r="159" spans="13:13">
      <c r="M159" s="1239"/>
    </row>
    <row r="164" spans="13:13">
      <c r="M164" s="1239"/>
    </row>
    <row r="165" spans="13:13">
      <c r="M165" s="1255"/>
    </row>
    <row r="166" spans="13:13" ht="12.75" customHeight="1">
      <c r="M166" s="1240"/>
    </row>
    <row r="167" spans="13:13" ht="12.75" customHeight="1">
      <c r="M167" s="1240"/>
    </row>
    <row r="168" spans="13:13">
      <c r="M168" s="1240"/>
    </row>
    <row r="169" spans="13:13" ht="12.75" customHeight="1">
      <c r="M169" s="1240"/>
    </row>
    <row r="170" spans="13:13">
      <c r="M170" s="1256"/>
    </row>
    <row r="171" spans="13:13">
      <c r="M171" s="1256"/>
    </row>
    <row r="172" spans="13:13">
      <c r="M172" s="1239"/>
    </row>
    <row r="173" spans="13:13">
      <c r="M173" s="1239"/>
    </row>
    <row r="174" spans="13:13">
      <c r="M174" s="1239"/>
    </row>
    <row r="175" spans="13:13">
      <c r="M175" s="1239"/>
    </row>
    <row r="176" spans="13:13">
      <c r="M176" s="1239"/>
    </row>
    <row r="177" spans="13:13">
      <c r="M177" s="1239"/>
    </row>
    <row r="178" spans="13:13">
      <c r="M178" s="1257"/>
    </row>
    <row r="179" spans="13:13">
      <c r="M179" s="1258"/>
    </row>
    <row r="181" spans="13:13">
      <c r="M181" s="1239"/>
    </row>
  </sheetData>
  <mergeCells count="16">
    <mergeCell ref="B45:C46"/>
    <mergeCell ref="A49:K57"/>
    <mergeCell ref="C15:E15"/>
    <mergeCell ref="C16:C18"/>
    <mergeCell ref="D16:D18"/>
    <mergeCell ref="E16:E18"/>
    <mergeCell ref="I16:I18"/>
    <mergeCell ref="F17:F18"/>
    <mergeCell ref="H17:H18"/>
    <mergeCell ref="B39:C39"/>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pageSetUpPr fitToPage="1"/>
  </sheetPr>
  <dimension ref="A1:S56"/>
  <sheetViews>
    <sheetView defaultGridColor="0" view="pageBreakPreview" colorId="22" zoomScale="60" zoomScaleNormal="70" workbookViewId="0">
      <selection activeCell="A42" sqref="A42:S51"/>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33" t="s">
        <v>116</v>
      </c>
      <c r="B1" s="807"/>
      <c r="C1" s="807"/>
      <c r="D1" s="807"/>
      <c r="E1" s="807"/>
      <c r="F1" s="807"/>
      <c r="G1" s="1300"/>
      <c r="H1" s="807"/>
      <c r="I1" s="807"/>
      <c r="J1" s="807"/>
      <c r="K1" s="807"/>
      <c r="L1" s="807"/>
      <c r="M1" s="807"/>
      <c r="N1" s="807"/>
      <c r="O1" s="807"/>
      <c r="P1" s="807"/>
      <c r="Q1" s="807"/>
      <c r="R1" s="807"/>
      <c r="S1" s="807"/>
    </row>
    <row r="2" spans="1:19" ht="15.75">
      <c r="A2" s="933" t="s">
        <v>116</v>
      </c>
      <c r="B2" s="807"/>
      <c r="C2" s="807"/>
      <c r="D2" s="807"/>
      <c r="E2" s="807"/>
      <c r="F2" s="807"/>
      <c r="G2" s="1300"/>
      <c r="H2" s="807"/>
      <c r="I2" s="807"/>
      <c r="J2" s="807"/>
      <c r="K2" s="807"/>
      <c r="L2" s="807"/>
      <c r="M2" s="807"/>
      <c r="N2" s="807"/>
      <c r="O2" s="807"/>
      <c r="P2" s="807"/>
      <c r="Q2" s="807"/>
      <c r="R2" s="807"/>
      <c r="S2" s="807"/>
    </row>
    <row r="3" spans="1:19" ht="19.5">
      <c r="A3" s="1633" t="s">
        <v>393</v>
      </c>
      <c r="B3" s="1633"/>
      <c r="C3" s="1633"/>
      <c r="D3" s="1633"/>
      <c r="E3" s="1633"/>
      <c r="F3" s="1633"/>
      <c r="G3" s="1633"/>
      <c r="H3" s="1633"/>
      <c r="I3" s="1633"/>
      <c r="J3" s="1633"/>
      <c r="K3" s="1633"/>
      <c r="L3" s="1633"/>
      <c r="M3" s="1633"/>
      <c r="N3" s="1633"/>
      <c r="O3" s="1633"/>
      <c r="P3" s="806"/>
      <c r="Q3" s="806"/>
      <c r="R3" s="806"/>
      <c r="S3" s="806"/>
    </row>
    <row r="4" spans="1:19" ht="19.5">
      <c r="A4" s="1633" t="s">
        <v>394</v>
      </c>
      <c r="B4" s="1633"/>
      <c r="C4" s="1633"/>
      <c r="D4" s="1633"/>
      <c r="E4" s="1633"/>
      <c r="F4" s="1633"/>
      <c r="G4" s="1633"/>
      <c r="H4" s="1633"/>
      <c r="I4" s="1633"/>
      <c r="J4" s="1633"/>
      <c r="K4" s="1633"/>
      <c r="L4" s="1633"/>
      <c r="M4" s="1633"/>
      <c r="N4" s="1633"/>
      <c r="O4" s="1633"/>
      <c r="P4" s="806"/>
      <c r="Q4" s="806"/>
      <c r="R4" s="806"/>
      <c r="S4" s="806"/>
    </row>
    <row r="5" spans="1:19" ht="19.5">
      <c r="A5" s="1633" t="s">
        <v>395</v>
      </c>
      <c r="B5" s="1633"/>
      <c r="C5" s="1633"/>
      <c r="D5" s="1633"/>
      <c r="E5" s="1633"/>
      <c r="F5" s="1633"/>
      <c r="G5" s="1633"/>
      <c r="H5" s="1633"/>
      <c r="I5" s="1633"/>
      <c r="J5" s="1633"/>
      <c r="K5" s="1633"/>
      <c r="L5" s="1633"/>
      <c r="M5" s="1633"/>
      <c r="N5" s="1633"/>
      <c r="O5" s="1633"/>
      <c r="P5" s="806"/>
      <c r="Q5" s="806"/>
      <c r="R5" s="806"/>
      <c r="S5" s="806"/>
    </row>
    <row r="6" spans="1:19" ht="19.5">
      <c r="A6" s="1633" t="s">
        <v>396</v>
      </c>
      <c r="B6" s="1633"/>
      <c r="C6" s="1633"/>
      <c r="D6" s="1633"/>
      <c r="E6" s="1633"/>
      <c r="F6" s="1633"/>
      <c r="G6" s="1633"/>
      <c r="H6" s="1633"/>
      <c r="I6" s="1633"/>
      <c r="J6" s="1633"/>
      <c r="K6" s="1633"/>
      <c r="L6" s="1633"/>
      <c r="M6" s="1633"/>
      <c r="N6" s="1633"/>
      <c r="O6" s="1633"/>
      <c r="P6" s="806"/>
      <c r="Q6" s="806"/>
      <c r="R6" s="806"/>
      <c r="S6" s="806"/>
    </row>
    <row r="7" spans="1:19" ht="19.5">
      <c r="A7" s="1633" t="s">
        <v>1211</v>
      </c>
      <c r="B7" s="1633"/>
      <c r="C7" s="1633"/>
      <c r="D7" s="1633"/>
      <c r="E7" s="1633"/>
      <c r="F7" s="1633"/>
      <c r="G7" s="1633"/>
      <c r="H7" s="1633"/>
      <c r="I7" s="1633"/>
      <c r="J7" s="1633"/>
      <c r="K7" s="1633"/>
      <c r="L7" s="1633"/>
      <c r="M7" s="1633"/>
      <c r="N7" s="1633"/>
      <c r="O7" s="1633"/>
      <c r="P7" s="806"/>
      <c r="Q7" s="806"/>
      <c r="R7" s="806"/>
      <c r="S7" s="806"/>
    </row>
    <row r="8" spans="1:19" ht="19.5">
      <c r="A8" s="1633" t="s">
        <v>397</v>
      </c>
      <c r="B8" s="1633"/>
      <c r="C8" s="1633"/>
      <c r="D8" s="1633"/>
      <c r="E8" s="1633"/>
      <c r="F8" s="1633"/>
      <c r="G8" s="1633"/>
      <c r="H8" s="1633"/>
      <c r="I8" s="1633"/>
      <c r="J8" s="1633"/>
      <c r="K8" s="1633"/>
      <c r="L8" s="1633"/>
      <c r="M8" s="1633"/>
      <c r="N8" s="1633"/>
      <c r="O8" s="1633"/>
      <c r="P8" s="806"/>
      <c r="Q8" s="806"/>
      <c r="R8" s="806"/>
      <c r="S8" s="806"/>
    </row>
    <row r="9" spans="1:19" ht="19.5">
      <c r="A9" s="1634" t="s">
        <v>1133</v>
      </c>
      <c r="B9" s="1633"/>
      <c r="C9" s="1633"/>
      <c r="D9" s="1633"/>
      <c r="E9" s="1633"/>
      <c r="F9" s="1633"/>
      <c r="G9" s="1633"/>
      <c r="H9" s="1633"/>
      <c r="I9" s="1633"/>
      <c r="J9" s="1633"/>
      <c r="K9" s="1633"/>
      <c r="L9" s="1633"/>
      <c r="M9" s="1633"/>
      <c r="N9" s="1633"/>
      <c r="O9" s="1633"/>
      <c r="P9" s="806"/>
      <c r="Q9" s="806"/>
      <c r="R9" s="806"/>
      <c r="S9" s="806"/>
    </row>
    <row r="10" spans="1:19" ht="19.5">
      <c r="A10" s="1635"/>
      <c r="B10" s="1635"/>
      <c r="C10" s="1635"/>
      <c r="D10" s="1635"/>
      <c r="E10" s="1635"/>
      <c r="F10" s="1635"/>
      <c r="G10" s="1635"/>
      <c r="H10" s="1635"/>
      <c r="I10" s="1635"/>
      <c r="J10" s="1635"/>
      <c r="K10" s="1635"/>
      <c r="L10" s="1635"/>
      <c r="M10" s="1635"/>
      <c r="N10" s="1635"/>
      <c r="O10" s="1635"/>
      <c r="P10" s="808"/>
      <c r="Q10" s="808"/>
      <c r="R10" s="808"/>
      <c r="S10" s="808"/>
    </row>
    <row r="11" spans="1:19" ht="15">
      <c r="A11" s="807"/>
      <c r="B11" s="807"/>
      <c r="C11" s="807"/>
      <c r="D11" s="807"/>
      <c r="E11" s="807"/>
      <c r="F11" s="807"/>
      <c r="G11" s="1300"/>
      <c r="H11" s="807"/>
      <c r="I11" s="807"/>
      <c r="J11" s="807"/>
      <c r="K11" s="807"/>
      <c r="L11" s="807"/>
      <c r="M11" s="807"/>
      <c r="N11" s="807"/>
      <c r="O11" s="807"/>
      <c r="P11" s="807"/>
      <c r="Q11" s="807"/>
      <c r="R11" s="807"/>
      <c r="S11" s="807"/>
    </row>
    <row r="12" spans="1:19" ht="16.5" thickBot="1">
      <c r="A12" s="809"/>
      <c r="B12" s="809"/>
      <c r="C12" s="1636" t="s">
        <v>605</v>
      </c>
      <c r="D12" s="1636"/>
      <c r="E12" s="1636"/>
      <c r="F12" s="809"/>
      <c r="G12" s="1636" t="s">
        <v>606</v>
      </c>
      <c r="H12" s="1636"/>
      <c r="I12" s="1636"/>
      <c r="J12" s="809"/>
      <c r="K12" s="1636" t="s">
        <v>398</v>
      </c>
      <c r="L12" s="1636"/>
      <c r="M12" s="1636"/>
      <c r="N12" s="809"/>
      <c r="O12" s="1636" t="s">
        <v>607</v>
      </c>
      <c r="P12" s="1636"/>
      <c r="Q12" s="1636"/>
      <c r="R12" s="809"/>
      <c r="S12" s="1327" t="s">
        <v>399</v>
      </c>
    </row>
    <row r="13" spans="1:19" ht="15">
      <c r="A13" s="809"/>
      <c r="B13" s="809"/>
      <c r="C13" s="810" t="s">
        <v>123</v>
      </c>
      <c r="D13" s="811"/>
      <c r="E13" s="811"/>
      <c r="F13" s="811"/>
      <c r="G13" s="812" t="s">
        <v>124</v>
      </c>
      <c r="H13" s="813"/>
      <c r="I13" s="813"/>
      <c r="J13" s="813"/>
      <c r="K13" s="814" t="s">
        <v>125</v>
      </c>
      <c r="L13" s="813"/>
      <c r="M13" s="813"/>
      <c r="N13" s="813"/>
      <c r="O13" s="815" t="s">
        <v>126</v>
      </c>
      <c r="P13" s="813"/>
      <c r="Q13" s="813"/>
      <c r="R13" s="813"/>
      <c r="S13" s="813"/>
    </row>
    <row r="14" spans="1:19" ht="15">
      <c r="A14" s="809"/>
      <c r="B14" s="809"/>
      <c r="C14" s="810" t="s">
        <v>116</v>
      </c>
      <c r="D14" s="811"/>
      <c r="E14" s="810" t="s">
        <v>400</v>
      </c>
      <c r="F14" s="811"/>
      <c r="G14" s="812" t="s">
        <v>608</v>
      </c>
      <c r="H14" s="811"/>
      <c r="I14" s="810" t="s">
        <v>400</v>
      </c>
      <c r="J14" s="811"/>
      <c r="K14" s="807"/>
      <c r="L14" s="811"/>
      <c r="M14" s="810" t="s">
        <v>400</v>
      </c>
      <c r="N14" s="811"/>
      <c r="O14" s="807"/>
      <c r="P14" s="811"/>
      <c r="Q14" s="810" t="s">
        <v>400</v>
      </c>
      <c r="R14" s="811"/>
      <c r="S14" s="810" t="s">
        <v>400</v>
      </c>
    </row>
    <row r="15" spans="1:19" ht="15">
      <c r="A15" s="809"/>
      <c r="B15" s="810" t="s">
        <v>401</v>
      </c>
      <c r="C15" s="810" t="s">
        <v>609</v>
      </c>
      <c r="D15" s="810" t="s">
        <v>402</v>
      </c>
      <c r="E15" s="810" t="s">
        <v>403</v>
      </c>
      <c r="F15" s="811"/>
      <c r="G15" s="812" t="s">
        <v>404</v>
      </c>
      <c r="H15" s="810" t="s">
        <v>402</v>
      </c>
      <c r="I15" s="810" t="s">
        <v>403</v>
      </c>
      <c r="J15" s="811"/>
      <c r="K15" s="810" t="s">
        <v>81</v>
      </c>
      <c r="L15" s="810" t="s">
        <v>402</v>
      </c>
      <c r="M15" s="810" t="s">
        <v>403</v>
      </c>
      <c r="N15" s="811"/>
      <c r="O15" s="810" t="s">
        <v>81</v>
      </c>
      <c r="P15" s="810" t="s">
        <v>402</v>
      </c>
      <c r="Q15" s="810" t="s">
        <v>403</v>
      </c>
      <c r="R15" s="811"/>
      <c r="S15" s="810" t="s">
        <v>403</v>
      </c>
    </row>
    <row r="16" spans="1:19" ht="15">
      <c r="A16" s="810"/>
      <c r="B16" s="810" t="s">
        <v>405</v>
      </c>
      <c r="C16" s="810" t="s">
        <v>406</v>
      </c>
      <c r="D16" s="810" t="s">
        <v>610</v>
      </c>
      <c r="E16" s="810" t="s">
        <v>407</v>
      </c>
      <c r="F16" s="811"/>
      <c r="G16" s="812" t="s">
        <v>406</v>
      </c>
      <c r="H16" s="810" t="s">
        <v>610</v>
      </c>
      <c r="I16" s="810" t="s">
        <v>407</v>
      </c>
      <c r="J16" s="811"/>
      <c r="K16" s="810" t="s">
        <v>406</v>
      </c>
      <c r="L16" s="810" t="s">
        <v>610</v>
      </c>
      <c r="M16" s="810" t="s">
        <v>407</v>
      </c>
      <c r="N16" s="811"/>
      <c r="O16" s="810" t="s">
        <v>406</v>
      </c>
      <c r="P16" s="810" t="s">
        <v>610</v>
      </c>
      <c r="Q16" s="810" t="s">
        <v>407</v>
      </c>
      <c r="R16" s="811"/>
      <c r="S16" s="810" t="s">
        <v>407</v>
      </c>
    </row>
    <row r="17" spans="1:19" ht="15">
      <c r="A17" s="807"/>
      <c r="B17" s="807"/>
      <c r="C17" s="807"/>
      <c r="D17" s="807"/>
      <c r="E17" s="807"/>
      <c r="F17" s="807"/>
      <c r="G17" s="1300"/>
      <c r="H17" s="807"/>
      <c r="I17" s="807"/>
      <c r="J17" s="807"/>
      <c r="K17" s="807"/>
      <c r="L17" s="807"/>
      <c r="M17" s="807"/>
      <c r="N17" s="807"/>
      <c r="O17" s="807"/>
      <c r="P17" s="807"/>
      <c r="Q17" s="807"/>
      <c r="R17" s="807"/>
      <c r="S17" s="807"/>
    </row>
    <row r="18" spans="1:19" ht="15.75" thickBot="1">
      <c r="A18" s="816"/>
      <c r="B18" s="809"/>
      <c r="C18" s="1294"/>
      <c r="D18" s="809"/>
      <c r="E18" s="809"/>
      <c r="F18" s="809"/>
      <c r="G18" s="1294"/>
      <c r="H18" s="809"/>
      <c r="I18" s="809"/>
      <c r="J18" s="809"/>
      <c r="K18" s="329"/>
      <c r="L18" s="809"/>
      <c r="M18" s="809"/>
      <c r="N18" s="809"/>
      <c r="O18" s="329"/>
      <c r="P18" s="809"/>
      <c r="Q18" s="809"/>
      <c r="R18" s="809"/>
      <c r="S18" s="809"/>
    </row>
    <row r="19" spans="1:19" ht="15">
      <c r="A19" s="1313" t="s">
        <v>408</v>
      </c>
      <c r="B19" s="1485"/>
      <c r="C19" s="1486"/>
      <c r="D19" s="1487"/>
      <c r="E19" s="1488"/>
      <c r="F19" s="1485"/>
      <c r="G19" s="1486"/>
      <c r="H19" s="1489"/>
      <c r="I19" s="1488"/>
      <c r="J19" s="1485"/>
      <c r="K19" s="1485"/>
      <c r="L19" s="1489"/>
      <c r="M19" s="1488"/>
      <c r="N19" s="1485"/>
      <c r="O19" s="1485"/>
      <c r="P19" s="1487"/>
      <c r="Q19" s="1488"/>
      <c r="R19" s="1485"/>
      <c r="S19" s="1488"/>
    </row>
    <row r="20" spans="1:19" ht="15">
      <c r="A20" s="1490" t="s">
        <v>611</v>
      </c>
      <c r="B20" s="1491">
        <v>350.1</v>
      </c>
      <c r="C20" s="1492">
        <v>6.5839999999999996E-3</v>
      </c>
      <c r="D20" s="1493">
        <v>1</v>
      </c>
      <c r="E20" s="1492">
        <v>6.6E-3</v>
      </c>
      <c r="F20" s="1494"/>
      <c r="G20" s="1492"/>
      <c r="H20" s="1495"/>
      <c r="I20" s="1310"/>
      <c r="J20" s="1494"/>
      <c r="K20" s="1492"/>
      <c r="L20" s="1495"/>
      <c r="M20" s="1310"/>
      <c r="N20" s="1494"/>
      <c r="O20" s="1492"/>
      <c r="P20" s="1493"/>
      <c r="Q20" s="1310"/>
      <c r="R20" s="1494"/>
      <c r="S20" s="1492">
        <v>6.6E-3</v>
      </c>
    </row>
    <row r="21" spans="1:19" ht="15">
      <c r="A21" s="1490" t="s">
        <v>612</v>
      </c>
      <c r="B21" s="1491">
        <v>351</v>
      </c>
      <c r="C21" s="1492"/>
      <c r="D21" s="1493"/>
      <c r="E21" s="1492"/>
      <c r="F21" s="1494"/>
      <c r="G21" s="1492">
        <v>0.14219999999999999</v>
      </c>
      <c r="H21" s="1495">
        <v>1</v>
      </c>
      <c r="I21" s="1492">
        <v>0.14219999999999999</v>
      </c>
      <c r="J21" s="1494"/>
      <c r="K21" s="1492"/>
      <c r="L21" s="1495"/>
      <c r="M21" s="1310"/>
      <c r="N21" s="1494"/>
      <c r="O21" s="1492"/>
      <c r="P21" s="1493"/>
      <c r="Q21" s="1310"/>
      <c r="R21" s="1494"/>
      <c r="S21" s="1492">
        <v>0.14219999999999999</v>
      </c>
    </row>
    <row r="22" spans="1:19" ht="15">
      <c r="A22" s="1309" t="s">
        <v>409</v>
      </c>
      <c r="B22" s="1491">
        <v>352</v>
      </c>
      <c r="C22" s="1492">
        <v>2.2200000000000001E-2</v>
      </c>
      <c r="D22" s="1495">
        <v>0.51122100000000004</v>
      </c>
      <c r="E22" s="1492">
        <v>1.1299999999999999E-2</v>
      </c>
      <c r="F22" s="1494"/>
      <c r="G22" s="1492">
        <v>1.6199999999999999E-2</v>
      </c>
      <c r="H22" s="1495">
        <v>0.39937400000000001</v>
      </c>
      <c r="I22" s="1492">
        <v>6.4999999999999997E-3</v>
      </c>
      <c r="J22" s="1494"/>
      <c r="K22" s="1492">
        <v>2.1899999999999999E-2</v>
      </c>
      <c r="L22" s="1495">
        <v>3.3013000000000001E-2</v>
      </c>
      <c r="M22" s="1492">
        <v>6.9999999999999999E-4</v>
      </c>
      <c r="N22" s="1494"/>
      <c r="O22" s="1492">
        <v>2.1899999999999999E-2</v>
      </c>
      <c r="P22" s="1495">
        <v>5.6391999999999998E-2</v>
      </c>
      <c r="Q22" s="1492">
        <v>1.1999999999999999E-3</v>
      </c>
      <c r="R22" s="1494"/>
      <c r="S22" s="1492">
        <v>1.9699999999999999E-2</v>
      </c>
    </row>
    <row r="23" spans="1:19" ht="15">
      <c r="A23" s="1309" t="s">
        <v>410</v>
      </c>
      <c r="B23" s="1491">
        <v>353</v>
      </c>
      <c r="C23" s="1492">
        <v>2.75E-2</v>
      </c>
      <c r="D23" s="1495">
        <v>0.51122100000000004</v>
      </c>
      <c r="E23" s="1492">
        <v>1.41E-2</v>
      </c>
      <c r="F23" s="1494"/>
      <c r="G23" s="1492">
        <v>2.3699999999999999E-2</v>
      </c>
      <c r="H23" s="1495">
        <v>0.39937400000000001</v>
      </c>
      <c r="I23" s="1492">
        <v>9.4999999999999998E-3</v>
      </c>
      <c r="J23" s="1494"/>
      <c r="K23" s="1492">
        <v>2.1899999999999999E-2</v>
      </c>
      <c r="L23" s="1495">
        <v>3.3013000000000001E-2</v>
      </c>
      <c r="M23" s="1492">
        <v>6.9999999999999999E-4</v>
      </c>
      <c r="N23" s="1494"/>
      <c r="O23" s="1492">
        <v>2.1899999999999999E-2</v>
      </c>
      <c r="P23" s="1495">
        <v>5.6391999999999998E-2</v>
      </c>
      <c r="Q23" s="1492">
        <v>1.1999999999999999E-3</v>
      </c>
      <c r="R23" s="1494"/>
      <c r="S23" s="1492">
        <v>2.5499999999999998E-2</v>
      </c>
    </row>
    <row r="24" spans="1:19" ht="15">
      <c r="A24" s="1309" t="s">
        <v>411</v>
      </c>
      <c r="B24" s="1491">
        <v>354</v>
      </c>
      <c r="C24" s="1492">
        <v>1.6299999999999999E-2</v>
      </c>
      <c r="D24" s="1495">
        <v>0.51122100000000004</v>
      </c>
      <c r="E24" s="1492">
        <v>8.3000000000000001E-3</v>
      </c>
      <c r="F24" s="1494"/>
      <c r="G24" s="1492">
        <v>1.5900000000000001E-2</v>
      </c>
      <c r="H24" s="1495">
        <v>0.39937400000000001</v>
      </c>
      <c r="I24" s="1492">
        <v>6.4000000000000003E-3</v>
      </c>
      <c r="J24" s="1494"/>
      <c r="K24" s="1492">
        <v>2.1899999999999999E-2</v>
      </c>
      <c r="L24" s="1495">
        <v>3.3013000000000001E-2</v>
      </c>
      <c r="M24" s="1492">
        <v>6.9999999999999999E-4</v>
      </c>
      <c r="N24" s="1494"/>
      <c r="O24" s="1492">
        <v>2.1899999999999999E-2</v>
      </c>
      <c r="P24" s="1495">
        <v>5.6391999999999998E-2</v>
      </c>
      <c r="Q24" s="1492">
        <v>1.1999999999999999E-3</v>
      </c>
      <c r="R24" s="1494"/>
      <c r="S24" s="1492">
        <v>1.66E-2</v>
      </c>
    </row>
    <row r="25" spans="1:19" ht="15">
      <c r="A25" s="1309" t="s">
        <v>412</v>
      </c>
      <c r="B25" s="1491">
        <v>355</v>
      </c>
      <c r="C25" s="1492">
        <v>3.7199999999999997E-2</v>
      </c>
      <c r="D25" s="1495">
        <v>0.51122100000000004</v>
      </c>
      <c r="E25" s="1492">
        <v>1.9E-2</v>
      </c>
      <c r="F25" s="1494"/>
      <c r="G25" s="1492">
        <v>2.7099999999999999E-2</v>
      </c>
      <c r="H25" s="1495">
        <v>0.39937400000000001</v>
      </c>
      <c r="I25" s="1492">
        <v>1.0800000000000001E-2</v>
      </c>
      <c r="J25" s="1494"/>
      <c r="K25" s="1492">
        <v>2.1899999999999999E-2</v>
      </c>
      <c r="L25" s="1495">
        <v>3.3013000000000001E-2</v>
      </c>
      <c r="M25" s="1492">
        <v>6.9999999999999999E-4</v>
      </c>
      <c r="N25" s="1494"/>
      <c r="O25" s="1492">
        <v>2.1899999999999999E-2</v>
      </c>
      <c r="P25" s="1495">
        <v>5.6391999999999998E-2</v>
      </c>
      <c r="Q25" s="1492">
        <v>1.1999999999999999E-3</v>
      </c>
      <c r="R25" s="1494"/>
      <c r="S25" s="1492">
        <v>3.1699999999999999E-2</v>
      </c>
    </row>
    <row r="26" spans="1:19" ht="15">
      <c r="A26" s="1309" t="s">
        <v>613</v>
      </c>
      <c r="B26" s="1491">
        <v>356</v>
      </c>
      <c r="C26" s="1492">
        <v>1.9900000000000001E-2</v>
      </c>
      <c r="D26" s="1495">
        <v>0.51122100000000004</v>
      </c>
      <c r="E26" s="1492">
        <v>1.0200000000000001E-2</v>
      </c>
      <c r="F26" s="1494"/>
      <c r="G26" s="1492">
        <v>1.5299999999999999E-2</v>
      </c>
      <c r="H26" s="1495">
        <v>0.39937400000000001</v>
      </c>
      <c r="I26" s="1492">
        <v>6.1000000000000004E-3</v>
      </c>
      <c r="J26" s="1494"/>
      <c r="K26" s="1492">
        <v>2.1899999999999999E-2</v>
      </c>
      <c r="L26" s="1495">
        <v>3.3013000000000001E-2</v>
      </c>
      <c r="M26" s="1492">
        <v>6.9999999999999999E-4</v>
      </c>
      <c r="N26" s="1494"/>
      <c r="O26" s="1492">
        <v>2.1899999999999999E-2</v>
      </c>
      <c r="P26" s="1495">
        <v>5.6391999999999998E-2</v>
      </c>
      <c r="Q26" s="1492">
        <v>1.1999999999999999E-3</v>
      </c>
      <c r="R26" s="1494"/>
      <c r="S26" s="1492">
        <v>1.8200000000000001E-2</v>
      </c>
    </row>
    <row r="27" spans="1:19" ht="15">
      <c r="A27" s="1309" t="s">
        <v>413</v>
      </c>
      <c r="B27" s="1491">
        <v>357</v>
      </c>
      <c r="C27" s="1492">
        <v>2.4E-2</v>
      </c>
      <c r="D27" s="1495">
        <v>0.51122100000000004</v>
      </c>
      <c r="E27" s="1492">
        <v>1.23E-2</v>
      </c>
      <c r="F27" s="1494"/>
      <c r="G27" s="1492">
        <v>3.7100000000000001E-2</v>
      </c>
      <c r="H27" s="1495">
        <v>0.39937400000000001</v>
      </c>
      <c r="I27" s="1492">
        <v>1.4800000000000001E-2</v>
      </c>
      <c r="J27" s="1494"/>
      <c r="K27" s="1492">
        <v>2.1899999999999999E-2</v>
      </c>
      <c r="L27" s="1495">
        <v>3.3013000000000001E-2</v>
      </c>
      <c r="M27" s="1492">
        <v>6.9999999999999999E-4</v>
      </c>
      <c r="N27" s="1494"/>
      <c r="O27" s="1492">
        <v>2.1899999999999999E-2</v>
      </c>
      <c r="P27" s="1495">
        <v>5.6391999999999998E-2</v>
      </c>
      <c r="Q27" s="1492">
        <v>1.1999999999999999E-3</v>
      </c>
      <c r="R27" s="1494"/>
      <c r="S27" s="1492">
        <v>2.9000000000000001E-2</v>
      </c>
    </row>
    <row r="28" spans="1:19" ht="15">
      <c r="A28" s="1309" t="s">
        <v>414</v>
      </c>
      <c r="B28" s="1491">
        <v>358</v>
      </c>
      <c r="C28" s="1492">
        <v>4.6399999999999997E-2</v>
      </c>
      <c r="D28" s="1495">
        <v>0.51122100000000004</v>
      </c>
      <c r="E28" s="1492">
        <v>2.3699999999999999E-2</v>
      </c>
      <c r="F28" s="1494"/>
      <c r="G28" s="1492">
        <v>5.2400000000000002E-2</v>
      </c>
      <c r="H28" s="1495">
        <v>0.39937400000000001</v>
      </c>
      <c r="I28" s="1492">
        <v>2.0899999999999998E-2</v>
      </c>
      <c r="J28" s="1494"/>
      <c r="K28" s="1492">
        <v>2.1899999999999999E-2</v>
      </c>
      <c r="L28" s="1495">
        <v>3.3013000000000001E-2</v>
      </c>
      <c r="M28" s="1492">
        <v>6.9999999999999999E-4</v>
      </c>
      <c r="N28" s="1494"/>
      <c r="O28" s="1492">
        <v>2.1899999999999999E-2</v>
      </c>
      <c r="P28" s="1495">
        <v>5.6391999999999998E-2</v>
      </c>
      <c r="Q28" s="1492">
        <v>1.1999999999999999E-3</v>
      </c>
      <c r="R28" s="1494"/>
      <c r="S28" s="1492">
        <v>4.65E-2</v>
      </c>
    </row>
    <row r="29" spans="1:19" ht="15.75" thickBot="1">
      <c r="A29" s="1309"/>
      <c r="B29" s="1494"/>
      <c r="C29" s="1492"/>
      <c r="D29" s="1493"/>
      <c r="E29" s="1310"/>
      <c r="F29" s="1494"/>
      <c r="G29" s="1492"/>
      <c r="H29" s="1493"/>
      <c r="I29" s="1310"/>
      <c r="J29" s="1494"/>
      <c r="K29" s="1492"/>
      <c r="L29" s="1493"/>
      <c r="M29" s="1310"/>
      <c r="N29" s="1494"/>
      <c r="O29" s="1492"/>
      <c r="P29" s="1493"/>
      <c r="Q29" s="1492"/>
      <c r="R29" s="1494"/>
      <c r="S29" s="1492"/>
    </row>
    <row r="30" spans="1:19" ht="15">
      <c r="A30" s="1328" t="s">
        <v>1012</v>
      </c>
      <c r="B30" s="1329"/>
      <c r="C30" s="1496"/>
      <c r="D30" s="1497"/>
      <c r="E30" s="1498"/>
      <c r="F30" s="1329"/>
      <c r="G30" s="1496"/>
      <c r="H30" s="1497"/>
      <c r="I30" s="1498"/>
      <c r="J30" s="1329"/>
      <c r="K30" s="1329"/>
      <c r="L30" s="1497"/>
      <c r="M30" s="1498"/>
      <c r="N30" s="1329"/>
      <c r="O30" s="1329"/>
      <c r="P30" s="1497"/>
      <c r="Q30" s="1498"/>
      <c r="R30" s="1329"/>
      <c r="S30" s="1499"/>
    </row>
    <row r="31" spans="1:19" ht="15">
      <c r="A31" s="1490" t="s">
        <v>811</v>
      </c>
      <c r="B31" s="1491">
        <v>390</v>
      </c>
      <c r="C31" s="1492">
        <v>2.06E-2</v>
      </c>
      <c r="D31" s="1493">
        <v>0.523756</v>
      </c>
      <c r="E31" s="1492">
        <v>1.0800000000000001E-2</v>
      </c>
      <c r="F31" s="1494"/>
      <c r="G31" s="1492">
        <v>1.9099999999999999E-2</v>
      </c>
      <c r="H31" s="1495">
        <v>0.42593999999999999</v>
      </c>
      <c r="I31" s="1492">
        <v>8.0999999999999996E-3</v>
      </c>
      <c r="J31" s="1494"/>
      <c r="K31" s="1492">
        <v>3.4300000000000004E-2</v>
      </c>
      <c r="L31" s="1495">
        <v>1.9295E-2</v>
      </c>
      <c r="M31" s="1492">
        <v>6.9999999999999999E-4</v>
      </c>
      <c r="N31" s="1494"/>
      <c r="O31" s="1492">
        <v>3.4300000000000004E-2</v>
      </c>
      <c r="P31" s="1493">
        <v>3.1008999999999998E-2</v>
      </c>
      <c r="Q31" s="1492">
        <v>1.1000000000000001E-3</v>
      </c>
      <c r="R31" s="1494"/>
      <c r="S31" s="1492">
        <v>2.07E-2</v>
      </c>
    </row>
    <row r="32" spans="1:19" ht="15">
      <c r="A32" s="1490" t="s">
        <v>812</v>
      </c>
      <c r="B32" s="1491">
        <v>391</v>
      </c>
      <c r="C32" s="1492">
        <v>3.2500000000000001E-2</v>
      </c>
      <c r="D32" s="1493">
        <v>0.523756</v>
      </c>
      <c r="E32" s="1492">
        <v>1.7000000000000001E-2</v>
      </c>
      <c r="F32" s="1494"/>
      <c r="G32" s="1492">
        <v>3.1699999999999999E-2</v>
      </c>
      <c r="H32" s="1495">
        <v>0.42593999999999999</v>
      </c>
      <c r="I32" s="1492">
        <v>1.35E-2</v>
      </c>
      <c r="J32" s="1494"/>
      <c r="K32" s="1492">
        <v>3.4300000000000004E-2</v>
      </c>
      <c r="L32" s="1495">
        <v>1.9295E-2</v>
      </c>
      <c r="M32" s="1492">
        <v>6.9999999999999999E-4</v>
      </c>
      <c r="N32" s="1494"/>
      <c r="O32" s="1492">
        <v>3.4300000000000004E-2</v>
      </c>
      <c r="P32" s="1493">
        <v>3.1008999999999998E-2</v>
      </c>
      <c r="Q32" s="1492">
        <v>1.1000000000000001E-3</v>
      </c>
      <c r="R32" s="1494"/>
      <c r="S32" s="1492">
        <v>3.2300000000000002E-2</v>
      </c>
    </row>
    <row r="33" spans="1:19" ht="15">
      <c r="A33" s="1490" t="s">
        <v>1013</v>
      </c>
      <c r="B33" s="1491">
        <v>392</v>
      </c>
      <c r="C33" s="1492">
        <v>3.4500000000000003E-2</v>
      </c>
      <c r="D33" s="1495">
        <v>0.523756</v>
      </c>
      <c r="E33" s="1492">
        <v>1.8100000000000002E-2</v>
      </c>
      <c r="F33" s="1494"/>
      <c r="G33" s="1492">
        <v>3.4000000000000002E-2</v>
      </c>
      <c r="H33" s="1495">
        <v>0.42593999999999999</v>
      </c>
      <c r="I33" s="1492">
        <v>1.4500000000000001E-2</v>
      </c>
      <c r="J33" s="1494"/>
      <c r="K33" s="1492">
        <v>3.4300000000000004E-2</v>
      </c>
      <c r="L33" s="1495">
        <v>1.9295E-2</v>
      </c>
      <c r="M33" s="1492">
        <v>6.9999999999999999E-4</v>
      </c>
      <c r="N33" s="1494"/>
      <c r="O33" s="1492">
        <v>3.4300000000000004E-2</v>
      </c>
      <c r="P33" s="1495">
        <v>3.1008999999999998E-2</v>
      </c>
      <c r="Q33" s="1492">
        <v>1.1000000000000001E-3</v>
      </c>
      <c r="R33" s="1494"/>
      <c r="S33" s="1492">
        <v>3.44E-2</v>
      </c>
    </row>
    <row r="34" spans="1:19" ht="15">
      <c r="A34" s="1490" t="s">
        <v>813</v>
      </c>
      <c r="B34" s="1491">
        <v>393</v>
      </c>
      <c r="C34" s="1492">
        <v>1.78E-2</v>
      </c>
      <c r="D34" s="1495">
        <v>0.523756</v>
      </c>
      <c r="E34" s="1492">
        <v>9.2999999999999992E-3</v>
      </c>
      <c r="F34" s="1494"/>
      <c r="G34" s="1492">
        <v>1.7999999999999999E-2</v>
      </c>
      <c r="H34" s="1495">
        <v>0.42593999999999999</v>
      </c>
      <c r="I34" s="1492">
        <v>7.7000000000000002E-3</v>
      </c>
      <c r="J34" s="1494"/>
      <c r="K34" s="1492">
        <v>3.4300000000000004E-2</v>
      </c>
      <c r="L34" s="1495">
        <v>1.9295E-2</v>
      </c>
      <c r="M34" s="1492">
        <v>6.9999999999999999E-4</v>
      </c>
      <c r="N34" s="1494"/>
      <c r="O34" s="1492">
        <v>3.4300000000000004E-2</v>
      </c>
      <c r="P34" s="1495">
        <v>3.1008999999999998E-2</v>
      </c>
      <c r="Q34" s="1492">
        <v>1.1000000000000001E-3</v>
      </c>
      <c r="R34" s="1494"/>
      <c r="S34" s="1492">
        <v>1.8800000000000001E-2</v>
      </c>
    </row>
    <row r="35" spans="1:19" ht="15.75" customHeight="1">
      <c r="A35" s="1490" t="s">
        <v>814</v>
      </c>
      <c r="B35" s="1491">
        <v>394</v>
      </c>
      <c r="C35" s="1492">
        <v>2.5899999999999999E-2</v>
      </c>
      <c r="D35" s="1495">
        <v>0.523756</v>
      </c>
      <c r="E35" s="1492">
        <v>1.3599999999999999E-2</v>
      </c>
      <c r="F35" s="1494"/>
      <c r="G35" s="1492">
        <v>2.5700000000000001E-2</v>
      </c>
      <c r="H35" s="1495">
        <v>0.42593999999999999</v>
      </c>
      <c r="I35" s="1492">
        <v>1.09E-2</v>
      </c>
      <c r="J35" s="1494"/>
      <c r="K35" s="1492">
        <v>3.4300000000000004E-2</v>
      </c>
      <c r="L35" s="1495">
        <v>1.9295E-2</v>
      </c>
      <c r="M35" s="1492">
        <v>6.9999999999999999E-4</v>
      </c>
      <c r="N35" s="1494"/>
      <c r="O35" s="1492">
        <v>3.4300000000000004E-2</v>
      </c>
      <c r="P35" s="1495">
        <v>3.1008999999999998E-2</v>
      </c>
      <c r="Q35" s="1492">
        <v>1.1000000000000001E-3</v>
      </c>
      <c r="R35" s="1494"/>
      <c r="S35" s="1492">
        <v>2.63E-2</v>
      </c>
    </row>
    <row r="36" spans="1:19" ht="15.75" customHeight="1">
      <c r="A36" s="1490" t="s">
        <v>815</v>
      </c>
      <c r="B36" s="1491">
        <v>395</v>
      </c>
      <c r="C36" s="1492">
        <v>3.5000000000000003E-2</v>
      </c>
      <c r="D36" s="1495">
        <v>0.523756</v>
      </c>
      <c r="E36" s="1492">
        <v>1.83E-2</v>
      </c>
      <c r="F36" s="1494"/>
      <c r="G36" s="1492">
        <v>4.0099999999999997E-2</v>
      </c>
      <c r="H36" s="1495">
        <v>0.42593999999999999</v>
      </c>
      <c r="I36" s="1492">
        <v>1.7100000000000001E-2</v>
      </c>
      <c r="J36" s="1494"/>
      <c r="K36" s="1492">
        <v>3.4300000000000004E-2</v>
      </c>
      <c r="L36" s="1495">
        <v>1.9295E-2</v>
      </c>
      <c r="M36" s="1492">
        <v>6.9999999999999999E-4</v>
      </c>
      <c r="N36" s="1494"/>
      <c r="O36" s="1492">
        <v>3.4300000000000004E-2</v>
      </c>
      <c r="P36" s="1495">
        <v>3.1008999999999998E-2</v>
      </c>
      <c r="Q36" s="1492">
        <v>1.1000000000000001E-3</v>
      </c>
      <c r="R36" s="1494"/>
      <c r="S36" s="1492">
        <v>3.7199999999999997E-2</v>
      </c>
    </row>
    <row r="37" spans="1:19" ht="15.75" customHeight="1">
      <c r="A37" s="1490" t="s">
        <v>1014</v>
      </c>
      <c r="B37" s="1491">
        <v>396</v>
      </c>
      <c r="C37" s="1492">
        <v>4.1599999999999998E-2</v>
      </c>
      <c r="D37" s="1495">
        <v>0.523756</v>
      </c>
      <c r="E37" s="1492">
        <v>2.18E-2</v>
      </c>
      <c r="F37" s="1494"/>
      <c r="G37" s="1492">
        <v>3.9E-2</v>
      </c>
      <c r="H37" s="1495">
        <v>0.42593999999999999</v>
      </c>
      <c r="I37" s="1492">
        <v>1.66E-2</v>
      </c>
      <c r="J37" s="1494"/>
      <c r="K37" s="1492">
        <v>3.4300000000000004E-2</v>
      </c>
      <c r="L37" s="1495">
        <v>1.9295E-2</v>
      </c>
      <c r="M37" s="1492">
        <v>6.9999999999999999E-4</v>
      </c>
      <c r="N37" s="1494"/>
      <c r="O37" s="1492">
        <v>3.4300000000000004E-2</v>
      </c>
      <c r="P37" s="1495">
        <v>3.1008999999999998E-2</v>
      </c>
      <c r="Q37" s="1492">
        <v>1.1000000000000001E-3</v>
      </c>
      <c r="R37" s="1494"/>
      <c r="S37" s="1492">
        <v>4.02E-2</v>
      </c>
    </row>
    <row r="38" spans="1:19" ht="15">
      <c r="A38" s="1490" t="s">
        <v>816</v>
      </c>
      <c r="B38" s="1491">
        <v>397</v>
      </c>
      <c r="C38" s="1492">
        <v>5.0200000000000002E-2</v>
      </c>
      <c r="D38" s="1495">
        <v>0.523756</v>
      </c>
      <c r="E38" s="1492">
        <v>2.63E-2</v>
      </c>
      <c r="F38" s="1494"/>
      <c r="G38" s="1492">
        <v>4.9799999999999997E-2</v>
      </c>
      <c r="H38" s="1495">
        <v>0.42593999999999999</v>
      </c>
      <c r="I38" s="1492">
        <v>2.12E-2</v>
      </c>
      <c r="J38" s="1494"/>
      <c r="K38" s="1492">
        <v>3.4300000000000004E-2</v>
      </c>
      <c r="L38" s="1495">
        <v>1.9295E-2</v>
      </c>
      <c r="M38" s="1492">
        <v>6.9999999999999999E-4</v>
      </c>
      <c r="N38" s="1494"/>
      <c r="O38" s="1492">
        <v>3.4300000000000004E-2</v>
      </c>
      <c r="P38" s="1495">
        <v>3.1008999999999998E-2</v>
      </c>
      <c r="Q38" s="1492">
        <v>1.1000000000000001E-3</v>
      </c>
      <c r="R38" s="1494"/>
      <c r="S38" s="1492">
        <v>4.9299999999999997E-2</v>
      </c>
    </row>
    <row r="39" spans="1:19" ht="15">
      <c r="A39" s="1490" t="s">
        <v>817</v>
      </c>
      <c r="B39" s="1491">
        <v>398</v>
      </c>
      <c r="C39" s="1492">
        <v>2.7099999999999999E-2</v>
      </c>
      <c r="D39" s="1495">
        <v>0.523756</v>
      </c>
      <c r="E39" s="1492">
        <v>1.4200000000000001E-2</v>
      </c>
      <c r="F39" s="1494"/>
      <c r="G39" s="1492">
        <v>2.7E-2</v>
      </c>
      <c r="H39" s="1495">
        <v>0.42593999999999999</v>
      </c>
      <c r="I39" s="1492">
        <v>1.15E-2</v>
      </c>
      <c r="J39" s="1494"/>
      <c r="K39" s="1492">
        <v>3.4300000000000004E-2</v>
      </c>
      <c r="L39" s="1495">
        <v>1.9295E-2</v>
      </c>
      <c r="M39" s="1492">
        <v>6.9999999999999999E-4</v>
      </c>
      <c r="N39" s="1494"/>
      <c r="O39" s="1492">
        <v>3.4300000000000004E-2</v>
      </c>
      <c r="P39" s="1495">
        <v>3.1008999999999998E-2</v>
      </c>
      <c r="Q39" s="1492">
        <v>1.1000000000000001E-3</v>
      </c>
      <c r="R39" s="1494"/>
      <c r="S39" s="1492">
        <v>2.75E-2</v>
      </c>
    </row>
    <row r="40" spans="1:19" ht="15.75" thickBot="1">
      <c r="A40" s="1333"/>
      <c r="B40" s="1334"/>
      <c r="C40" s="1335"/>
      <c r="D40" s="1336"/>
      <c r="E40" s="1337"/>
      <c r="F40" s="1334"/>
      <c r="G40" s="1337"/>
      <c r="H40" s="1336"/>
      <c r="I40" s="1337"/>
      <c r="J40" s="1334"/>
      <c r="K40" s="1335"/>
      <c r="L40" s="1336"/>
      <c r="M40" s="1337"/>
      <c r="N40" s="1334"/>
      <c r="O40" s="1335"/>
      <c r="P40" s="1336"/>
      <c r="Q40" s="1337"/>
      <c r="R40" s="1334"/>
      <c r="S40" s="1337"/>
    </row>
    <row r="41" spans="1:19" ht="15">
      <c r="A41" s="807"/>
      <c r="B41" s="809"/>
      <c r="C41" s="1294"/>
      <c r="D41" s="807"/>
      <c r="E41" s="807"/>
      <c r="F41" s="807"/>
      <c r="G41" s="1300"/>
      <c r="H41" s="807"/>
      <c r="I41" s="807"/>
      <c r="J41" s="807"/>
      <c r="K41" s="807"/>
      <c r="L41" s="807"/>
      <c r="M41" s="807"/>
      <c r="N41" s="807"/>
      <c r="O41" s="807"/>
      <c r="P41" s="807"/>
      <c r="Q41" s="807"/>
      <c r="R41" s="807"/>
      <c r="S41" s="807"/>
    </row>
    <row r="42" spans="1:19" ht="15" customHeight="1">
      <c r="A42" s="1629" t="s">
        <v>1212</v>
      </c>
      <c r="B42" s="1629"/>
      <c r="C42" s="1629"/>
      <c r="D42" s="1629"/>
      <c r="E42" s="1428"/>
      <c r="F42" s="1500" t="s">
        <v>125</v>
      </c>
      <c r="G42" s="1501" t="s">
        <v>1113</v>
      </c>
      <c r="H42" s="1502"/>
      <c r="I42" s="1428"/>
      <c r="J42" s="1428"/>
      <c r="K42" s="1428"/>
      <c r="L42" s="1503" t="s">
        <v>615</v>
      </c>
      <c r="M42" s="1428" t="s">
        <v>1213</v>
      </c>
      <c r="N42" s="1428"/>
      <c r="O42" s="1428"/>
      <c r="P42" s="1428"/>
      <c r="Q42" s="1428"/>
      <c r="R42" s="1428"/>
      <c r="S42" s="1428"/>
    </row>
    <row r="43" spans="1:19">
      <c r="A43" s="1629"/>
      <c r="B43" s="1629"/>
      <c r="C43" s="1629"/>
      <c r="D43" s="1629"/>
      <c r="E43" s="1428"/>
      <c r="F43" s="1504"/>
      <c r="G43" s="1501"/>
      <c r="H43" s="1502"/>
      <c r="I43" s="1428"/>
      <c r="J43" s="1428"/>
      <c r="K43" s="1428"/>
      <c r="L43" s="1428"/>
      <c r="M43" s="1428" t="s">
        <v>1214</v>
      </c>
      <c r="N43" s="1428"/>
      <c r="O43" s="1428"/>
      <c r="P43" s="1428"/>
      <c r="Q43" s="1428"/>
      <c r="R43" s="1428"/>
      <c r="S43" s="1428"/>
    </row>
    <row r="44" spans="1:19" ht="15" customHeight="1">
      <c r="A44" s="1629"/>
      <c r="B44" s="1629"/>
      <c r="C44" s="1629"/>
      <c r="D44" s="1629"/>
      <c r="E44" s="1428"/>
      <c r="F44" s="1503" t="s">
        <v>614</v>
      </c>
      <c r="G44" s="1501" t="s">
        <v>1114</v>
      </c>
      <c r="H44" s="1428"/>
      <c r="I44" s="1428"/>
      <c r="J44" s="1428"/>
      <c r="K44" s="1428"/>
      <c r="L44" s="1428"/>
      <c r="M44" s="1428" t="s">
        <v>616</v>
      </c>
      <c r="N44" s="1428"/>
      <c r="O44" s="1428"/>
      <c r="P44" s="1428"/>
      <c r="Q44" s="1428"/>
      <c r="R44" s="1428"/>
      <c r="S44" s="1428"/>
    </row>
    <row r="45" spans="1:19">
      <c r="A45" s="1629"/>
      <c r="B45" s="1629"/>
      <c r="C45" s="1629"/>
      <c r="D45" s="1629"/>
      <c r="E45" s="1428"/>
      <c r="F45" s="1504"/>
      <c r="G45" s="1501"/>
      <c r="H45" s="1502"/>
      <c r="I45" s="1428"/>
      <c r="J45" s="1428"/>
      <c r="K45" s="1428"/>
      <c r="L45" s="1428"/>
      <c r="M45" s="1428"/>
      <c r="N45" s="1428"/>
      <c r="O45" s="1428"/>
      <c r="P45" s="1428"/>
      <c r="Q45" s="1428"/>
      <c r="R45" s="1428"/>
      <c r="S45" s="1428"/>
    </row>
    <row r="46" spans="1:19" ht="15.75" customHeight="1">
      <c r="A46" s="1428" t="s">
        <v>1215</v>
      </c>
      <c r="B46" s="1505"/>
      <c r="C46" s="1506"/>
      <c r="D46" s="1505"/>
      <c r="E46" s="1505"/>
      <c r="F46" s="1503"/>
      <c r="G46" s="1428"/>
      <c r="H46" s="1502"/>
      <c r="I46" s="1428"/>
      <c r="J46" s="1428"/>
      <c r="K46" s="1428"/>
      <c r="L46" s="1503" t="s">
        <v>617</v>
      </c>
      <c r="M46" s="1428" t="s">
        <v>1117</v>
      </c>
      <c r="N46" s="1428"/>
      <c r="O46" s="1428"/>
      <c r="P46" s="1428"/>
      <c r="Q46" s="1428"/>
      <c r="R46" s="1428"/>
      <c r="S46" s="1428"/>
    </row>
    <row r="47" spans="1:19" ht="15.75" customHeight="1">
      <c r="A47" s="1428"/>
      <c r="B47" s="1505"/>
      <c r="C47" s="1506"/>
      <c r="D47" s="1507"/>
      <c r="E47" s="1507"/>
      <c r="F47" s="1508"/>
      <c r="G47" s="1428"/>
      <c r="H47" s="1428"/>
      <c r="I47" s="1428"/>
      <c r="J47" s="1428"/>
      <c r="K47" s="1428"/>
      <c r="L47" s="1428"/>
      <c r="M47" s="1428" t="s">
        <v>1118</v>
      </c>
      <c r="N47" s="1428"/>
      <c r="O47" s="1428"/>
      <c r="P47" s="1428"/>
      <c r="Q47" s="1428"/>
      <c r="R47" s="1428"/>
      <c r="S47" s="1428"/>
    </row>
    <row r="48" spans="1:19" ht="15.75" customHeight="1">
      <c r="A48" s="1428" t="s">
        <v>1115</v>
      </c>
      <c r="B48" s="1505"/>
      <c r="C48" s="1506"/>
      <c r="D48" s="1505"/>
      <c r="E48" s="1505"/>
      <c r="F48" s="1428"/>
      <c r="G48" s="1501"/>
      <c r="H48" s="1428"/>
      <c r="I48" s="1428"/>
      <c r="J48" s="1428"/>
      <c r="K48" s="1428"/>
      <c r="L48" s="1428"/>
      <c r="M48" s="1428"/>
      <c r="N48" s="1428"/>
      <c r="O48" s="1509"/>
      <c r="P48" s="1428"/>
      <c r="Q48" s="1428"/>
      <c r="R48" s="1428"/>
      <c r="S48" s="1428"/>
    </row>
    <row r="49" spans="1:19" ht="15.75">
      <c r="A49" s="1428" t="s">
        <v>1116</v>
      </c>
      <c r="B49" s="1505"/>
      <c r="C49" s="1506"/>
      <c r="D49" s="1505"/>
      <c r="E49" s="1505"/>
      <c r="F49" s="1428"/>
      <c r="G49" s="1501"/>
      <c r="H49" s="1428"/>
      <c r="I49" s="1428"/>
      <c r="J49" s="1428"/>
      <c r="K49" s="1428"/>
      <c r="L49" s="1503" t="s">
        <v>1216</v>
      </c>
      <c r="M49" s="1630" t="s">
        <v>1217</v>
      </c>
      <c r="N49" s="1630"/>
      <c r="O49" s="1630"/>
      <c r="P49" s="1630"/>
      <c r="Q49" s="1630"/>
      <c r="R49" s="1630"/>
      <c r="S49" s="1630"/>
    </row>
    <row r="50" spans="1:19" ht="15.75" customHeight="1">
      <c r="A50" s="1428"/>
      <c r="B50" s="1505"/>
      <c r="C50" s="1506"/>
      <c r="D50" s="1507"/>
      <c r="E50" s="1507"/>
      <c r="F50" s="1428"/>
      <c r="G50" s="1501"/>
      <c r="H50" s="1428"/>
      <c r="I50" s="1428"/>
      <c r="J50" s="1428"/>
      <c r="K50" s="1428"/>
      <c r="L50" s="1428"/>
      <c r="M50" s="1630"/>
      <c r="N50" s="1630"/>
      <c r="O50" s="1630"/>
      <c r="P50" s="1630"/>
      <c r="Q50" s="1630"/>
      <c r="R50" s="1630"/>
      <c r="S50" s="1630"/>
    </row>
    <row r="51" spans="1:19">
      <c r="A51" s="1428"/>
      <c r="B51" s="1510"/>
      <c r="C51" s="1511"/>
      <c r="D51" s="1428"/>
      <c r="E51" s="1428"/>
      <c r="F51" s="1428"/>
      <c r="G51" s="1501"/>
      <c r="H51" s="1428"/>
      <c r="I51" s="1428"/>
      <c r="J51" s="1428"/>
      <c r="K51" s="1428"/>
      <c r="L51" s="1428"/>
      <c r="M51" s="1630"/>
      <c r="N51" s="1630"/>
      <c r="O51" s="1630"/>
      <c r="P51" s="1630"/>
      <c r="Q51" s="1630"/>
      <c r="R51" s="1630"/>
      <c r="S51" s="1630"/>
    </row>
    <row r="52" spans="1:19" ht="15">
      <c r="A52" s="818" t="s">
        <v>29</v>
      </c>
      <c r="B52" s="819"/>
      <c r="C52" s="819"/>
      <c r="D52" s="820"/>
      <c r="E52" s="807"/>
      <c r="F52" s="807"/>
      <c r="G52" s="1300"/>
      <c r="H52" s="807"/>
      <c r="I52" s="807"/>
      <c r="J52" s="807"/>
      <c r="K52" s="807"/>
      <c r="L52" s="807"/>
      <c r="M52" s="807"/>
      <c r="N52" s="807"/>
      <c r="O52" s="817"/>
      <c r="P52" s="807"/>
      <c r="Q52" s="807"/>
      <c r="R52" s="807"/>
      <c r="S52" s="807"/>
    </row>
    <row r="53" spans="1:19" ht="15">
      <c r="A53" s="1631" t="s">
        <v>618</v>
      </c>
      <c r="B53" s="1632"/>
      <c r="C53" s="1632"/>
      <c r="D53" s="1632"/>
      <c r="E53" s="1632"/>
      <c r="F53" s="1632"/>
      <c r="G53" s="1632"/>
      <c r="H53" s="1632"/>
      <c r="I53" s="1632"/>
      <c r="J53" s="1632"/>
      <c r="K53" s="1632"/>
      <c r="L53" s="1632"/>
      <c r="M53" s="1632"/>
      <c r="N53" s="1632"/>
      <c r="O53" s="807"/>
      <c r="P53" s="807"/>
      <c r="Q53" s="807"/>
      <c r="R53" s="807"/>
      <c r="S53" s="807"/>
    </row>
    <row r="54" spans="1:19" ht="15">
      <c r="A54" s="1632"/>
      <c r="B54" s="1632"/>
      <c r="C54" s="1632"/>
      <c r="D54" s="1632"/>
      <c r="E54" s="1632"/>
      <c r="F54" s="1632"/>
      <c r="G54" s="1632"/>
      <c r="H54" s="1632"/>
      <c r="I54" s="1632"/>
      <c r="J54" s="1632"/>
      <c r="K54" s="1632"/>
      <c r="L54" s="1632"/>
      <c r="M54" s="1632"/>
      <c r="N54" s="1632"/>
      <c r="O54" s="807"/>
      <c r="P54" s="807"/>
      <c r="Q54" s="807"/>
      <c r="R54" s="807"/>
      <c r="S54" s="807"/>
    </row>
    <row r="55" spans="1:19" ht="15">
      <c r="A55" s="1525" t="s">
        <v>826</v>
      </c>
      <c r="B55" s="1525"/>
      <c r="C55" s="1525"/>
      <c r="D55" s="1525"/>
      <c r="E55" s="1525"/>
      <c r="F55" s="1525"/>
      <c r="G55" s="1525"/>
      <c r="H55" s="1525"/>
      <c r="I55" s="1525"/>
      <c r="J55" s="1525"/>
      <c r="K55" s="1525"/>
      <c r="L55" s="1525"/>
      <c r="M55" s="1525"/>
      <c r="N55" s="1525"/>
      <c r="O55" s="807"/>
      <c r="P55" s="807"/>
      <c r="Q55" s="807"/>
      <c r="R55" s="807"/>
      <c r="S55" s="807"/>
    </row>
    <row r="56" spans="1:19" ht="15">
      <c r="A56" s="1525"/>
      <c r="B56" s="1525"/>
      <c r="C56" s="1525"/>
      <c r="D56" s="1525"/>
      <c r="E56" s="1525"/>
      <c r="F56" s="1525"/>
      <c r="G56" s="1525"/>
      <c r="H56" s="1525"/>
      <c r="I56" s="1525"/>
      <c r="J56" s="1525"/>
      <c r="K56" s="1525"/>
      <c r="L56" s="1525"/>
      <c r="M56" s="1525"/>
      <c r="N56" s="1525"/>
      <c r="O56" s="807"/>
      <c r="P56" s="807"/>
      <c r="Q56" s="807"/>
      <c r="R56" s="807"/>
      <c r="S56" s="807"/>
    </row>
  </sheetData>
  <mergeCells count="16">
    <mergeCell ref="A3:O3"/>
    <mergeCell ref="A6:O6"/>
    <mergeCell ref="A7:O7"/>
    <mergeCell ref="A4:O4"/>
    <mergeCell ref="A5:O5"/>
    <mergeCell ref="A42:D45"/>
    <mergeCell ref="M49:S51"/>
    <mergeCell ref="A55:N56"/>
    <mergeCell ref="A53:N54"/>
    <mergeCell ref="A8:O8"/>
    <mergeCell ref="A9:O9"/>
    <mergeCell ref="A10:O10"/>
    <mergeCell ref="C12:E12"/>
    <mergeCell ref="G12:I12"/>
    <mergeCell ref="K12:M12"/>
    <mergeCell ref="O12:Q12"/>
  </mergeCells>
  <phoneticPr fontId="7" type="noConversion"/>
  <conditionalFormatting sqref="A3 A4:S9 A10 P10:S10">
    <cfRule type="cellIs" dxfId="15" priority="59" stopIfTrue="1" operator="lessThan">
      <formula>0</formula>
    </cfRule>
  </conditionalFormatting>
  <conditionalFormatting sqref="A53">
    <cfRule type="cellIs" dxfId="14" priority="57" stopIfTrue="1" operator="lessThan">
      <formula>0</formula>
    </cfRule>
  </conditionalFormatting>
  <conditionalFormatting sqref="A46:G46 M46:N50 A47:F49 A50:E51">
    <cfRule type="cellIs" dxfId="13" priority="10" stopIfTrue="1" operator="lessThan">
      <formula>0</formula>
    </cfRule>
  </conditionalFormatting>
  <conditionalFormatting sqref="A42:N45 O42:S56">
    <cfRule type="cellIs" dxfId="12" priority="12" stopIfTrue="1" operator="lessThan">
      <formula>0</formula>
    </cfRule>
  </conditionalFormatting>
  <conditionalFormatting sqref="A52:N52">
    <cfRule type="cellIs" dxfId="11" priority="58" stopIfTrue="1" operator="lessThan">
      <formula>0</formula>
    </cfRule>
  </conditionalFormatting>
  <conditionalFormatting sqref="A12:S41">
    <cfRule type="cellIs" dxfId="10" priority="13" stopIfTrue="1" operator="lessThan">
      <formula>0</formula>
    </cfRule>
  </conditionalFormatting>
  <conditionalFormatting sqref="F50:G50">
    <cfRule type="cellIs" dxfId="9" priority="2" stopIfTrue="1" operator="lessThan">
      <formula>0</formula>
    </cfRule>
  </conditionalFormatting>
  <conditionalFormatting sqref="G46">
    <cfRule type="colorScale" priority="9">
      <colorScale>
        <cfvo type="min"/>
        <cfvo type="percentile" val="50"/>
        <cfvo type="max"/>
        <color rgb="FF5A8AC6"/>
        <color rgb="FFFCFCFF"/>
        <color rgb="FFF8696B"/>
      </colorScale>
    </cfRule>
  </conditionalFormatting>
  <conditionalFormatting sqref="G47">
    <cfRule type="colorScale" priority="7">
      <colorScale>
        <cfvo type="min"/>
        <cfvo type="percentile" val="50"/>
        <cfvo type="max"/>
        <color rgb="FF5A8AC6"/>
        <color rgb="FFFCFCFF"/>
        <color rgb="FFF8696B"/>
      </colorScale>
    </cfRule>
    <cfRule type="cellIs" dxfId="8" priority="8" stopIfTrue="1" operator="lessThan">
      <formula>0</formula>
    </cfRule>
  </conditionalFormatting>
  <conditionalFormatting sqref="G48">
    <cfRule type="colorScale" priority="5">
      <colorScale>
        <cfvo type="min"/>
        <cfvo type="percentile" val="50"/>
        <cfvo type="max"/>
        <color rgb="FF5A8AC6"/>
        <color rgb="FFFCFCFF"/>
        <color rgb="FFF8696B"/>
      </colorScale>
    </cfRule>
    <cfRule type="cellIs" dxfId="7" priority="6" stopIfTrue="1" operator="lessThan">
      <formula>0</formula>
    </cfRule>
  </conditionalFormatting>
  <conditionalFormatting sqref="G49">
    <cfRule type="colorScale" priority="3">
      <colorScale>
        <cfvo type="min"/>
        <cfvo type="percentile" val="50"/>
        <cfvo type="max"/>
        <color rgb="FF5A8AC6"/>
        <color rgb="FFFCFCFF"/>
        <color rgb="FFF8696B"/>
      </colorScale>
    </cfRule>
    <cfRule type="cellIs" dxfId="6" priority="4"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conditionalFormatting sqref="L51:N51">
    <cfRule type="cellIs" dxfId="5" priority="11" stopIfTrue="1" operator="lessThan">
      <formula>0</formula>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K59"/>
  <sheetViews>
    <sheetView view="pageBreakPreview" zoomScale="60" zoomScaleNormal="70" workbookViewId="0">
      <selection activeCell="A5" sqref="A5:K5"/>
    </sheetView>
  </sheetViews>
  <sheetFormatPr defaultColWidth="9.140625" defaultRowHeight="12.75"/>
  <cols>
    <col min="1" max="1" width="34.28515625" style="1418" customWidth="1"/>
    <col min="2" max="2" width="9.140625" style="1418"/>
    <col min="3" max="3" width="11.85546875" style="1418" customWidth="1"/>
    <col min="4" max="4" width="18.28515625" style="1418" customWidth="1"/>
    <col min="5" max="5" width="12.5703125" style="1418" customWidth="1"/>
    <col min="6" max="6" width="9.140625" style="1418"/>
    <col min="7" max="7" width="12.140625" style="1418" customWidth="1"/>
    <col min="8" max="8" width="18.85546875" style="1418" customWidth="1"/>
    <col min="9" max="9" width="15.5703125" style="1418" bestFit="1" customWidth="1"/>
    <col min="10" max="16384" width="9.140625" style="1418"/>
  </cols>
  <sheetData>
    <row r="1" spans="1:11" s="807" customFormat="1" ht="15.75">
      <c r="A1" s="933" t="s">
        <v>116</v>
      </c>
      <c r="G1" s="1300"/>
    </row>
    <row r="2" spans="1:11" s="807" customFormat="1" ht="15.75">
      <c r="A2" s="933" t="s">
        <v>116</v>
      </c>
      <c r="G2" s="1300"/>
    </row>
    <row r="3" spans="1:11" ht="19.5">
      <c r="A3" s="1638" t="s">
        <v>393</v>
      </c>
      <c r="B3" s="1638"/>
      <c r="C3" s="1638"/>
      <c r="D3" s="1638"/>
      <c r="E3" s="1638"/>
      <c r="F3" s="1638"/>
      <c r="G3" s="1638"/>
      <c r="H3" s="1638"/>
      <c r="I3" s="1638"/>
      <c r="J3" s="1638"/>
      <c r="K3" s="1638"/>
    </row>
    <row r="4" spans="1:11" ht="19.5">
      <c r="A4" s="1638" t="s">
        <v>394</v>
      </c>
      <c r="B4" s="1638"/>
      <c r="C4" s="1638"/>
      <c r="D4" s="1638"/>
      <c r="E4" s="1638"/>
      <c r="F4" s="1638"/>
      <c r="G4" s="1638"/>
      <c r="H4" s="1638"/>
      <c r="I4" s="1638"/>
      <c r="J4" s="1638"/>
      <c r="K4" s="1638"/>
    </row>
    <row r="5" spans="1:11" ht="19.5">
      <c r="A5" s="1638" t="s">
        <v>395</v>
      </c>
      <c r="B5" s="1638"/>
      <c r="C5" s="1638"/>
      <c r="D5" s="1638"/>
      <c r="E5" s="1638"/>
      <c r="F5" s="1638"/>
      <c r="G5" s="1638"/>
      <c r="H5" s="1638"/>
      <c r="I5" s="1638"/>
      <c r="J5" s="1638"/>
      <c r="K5" s="1638"/>
    </row>
    <row r="6" spans="1:11" ht="19.5">
      <c r="A6" s="1638" t="s">
        <v>396</v>
      </c>
      <c r="B6" s="1638"/>
      <c r="C6" s="1638"/>
      <c r="D6" s="1638"/>
      <c r="E6" s="1638"/>
      <c r="F6" s="1638"/>
      <c r="G6" s="1638"/>
      <c r="H6" s="1638"/>
      <c r="I6" s="1638"/>
      <c r="J6" s="1638"/>
      <c r="K6" s="1638"/>
    </row>
    <row r="7" spans="1:11" ht="19.5">
      <c r="A7" s="1638" t="s">
        <v>1121</v>
      </c>
      <c r="B7" s="1638"/>
      <c r="C7" s="1638"/>
      <c r="D7" s="1638"/>
      <c r="E7" s="1638"/>
      <c r="F7" s="1638"/>
      <c r="G7" s="1638"/>
      <c r="H7" s="1638"/>
      <c r="I7" s="1638"/>
      <c r="J7" s="1638"/>
      <c r="K7" s="1638"/>
    </row>
    <row r="8" spans="1:11" ht="19.5">
      <c r="A8" s="1638" t="s">
        <v>397</v>
      </c>
      <c r="B8" s="1638"/>
      <c r="C8" s="1638"/>
      <c r="D8" s="1638"/>
      <c r="E8" s="1638"/>
      <c r="F8" s="1638"/>
      <c r="G8" s="1638"/>
      <c r="H8" s="1638"/>
      <c r="I8" s="1638"/>
      <c r="J8" s="1638"/>
      <c r="K8" s="1638"/>
    </row>
    <row r="9" spans="1:11" ht="19.5">
      <c r="A9" s="1638" t="s">
        <v>773</v>
      </c>
      <c r="B9" s="1638"/>
      <c r="C9" s="1638"/>
      <c r="D9" s="1638"/>
      <c r="E9" s="1638"/>
      <c r="F9" s="1638"/>
      <c r="G9" s="1638"/>
      <c r="H9" s="1638"/>
      <c r="I9" s="1638"/>
      <c r="J9" s="1638"/>
      <c r="K9" s="1638"/>
    </row>
    <row r="10" spans="1:11" ht="19.5">
      <c r="A10" s="1639"/>
      <c r="B10" s="1639"/>
      <c r="C10" s="1639"/>
      <c r="D10" s="1639"/>
      <c r="E10" s="1639"/>
      <c r="F10" s="1639"/>
      <c r="G10" s="1639"/>
      <c r="H10" s="1639"/>
      <c r="I10" s="1639"/>
      <c r="J10" s="1639"/>
      <c r="K10" s="1639"/>
    </row>
    <row r="11" spans="1:11" ht="16.5" thickBot="1">
      <c r="A11" s="1303"/>
      <c r="B11" s="1303"/>
      <c r="C11" s="1640" t="s">
        <v>774</v>
      </c>
      <c r="D11" s="1640"/>
      <c r="E11" s="1640"/>
      <c r="F11" s="1303"/>
      <c r="G11" s="1640" t="s">
        <v>1119</v>
      </c>
      <c r="H11" s="1640"/>
      <c r="I11" s="1640"/>
      <c r="J11" s="1303"/>
      <c r="K11" s="1415" t="s">
        <v>399</v>
      </c>
    </row>
    <row r="12" spans="1:11" ht="15.75">
      <c r="A12" s="1304"/>
      <c r="B12" s="1303"/>
      <c r="C12" s="1305" t="s">
        <v>123</v>
      </c>
      <c r="D12" s="1306"/>
      <c r="E12" s="1306"/>
      <c r="F12" s="1306"/>
      <c r="G12" s="1307" t="s">
        <v>124</v>
      </c>
      <c r="H12" s="1308"/>
      <c r="I12" s="1308"/>
      <c r="J12" s="1308"/>
      <c r="K12" s="1308"/>
    </row>
    <row r="13" spans="1:11" ht="15">
      <c r="A13" s="1303"/>
      <c r="B13" s="1303"/>
      <c r="C13" s="1305" t="s">
        <v>116</v>
      </c>
      <c r="D13" s="1306"/>
      <c r="E13" s="1305" t="s">
        <v>400</v>
      </c>
      <c r="F13" s="1306"/>
      <c r="G13" s="1307" t="s">
        <v>775</v>
      </c>
      <c r="H13" s="1306"/>
      <c r="I13" s="1305" t="s">
        <v>400</v>
      </c>
      <c r="J13" s="1306"/>
      <c r="K13" s="1305" t="s">
        <v>400</v>
      </c>
    </row>
    <row r="14" spans="1:11" ht="15">
      <c r="A14" s="1303"/>
      <c r="B14" s="1305" t="s">
        <v>401</v>
      </c>
      <c r="C14" s="1305" t="s">
        <v>776</v>
      </c>
      <c r="D14" s="1305" t="s">
        <v>402</v>
      </c>
      <c r="E14" s="1305" t="s">
        <v>403</v>
      </c>
      <c r="F14" s="1306"/>
      <c r="G14" s="1307" t="s">
        <v>404</v>
      </c>
      <c r="H14" s="1305" t="s">
        <v>402</v>
      </c>
      <c r="I14" s="1305" t="s">
        <v>403</v>
      </c>
      <c r="J14" s="1306"/>
      <c r="K14" s="1305" t="s">
        <v>403</v>
      </c>
    </row>
    <row r="15" spans="1:11" ht="15">
      <c r="A15" s="1305"/>
      <c r="B15" s="1305" t="s">
        <v>405</v>
      </c>
      <c r="C15" s="1305" t="s">
        <v>406</v>
      </c>
      <c r="D15" s="1305" t="s">
        <v>777</v>
      </c>
      <c r="E15" s="1305" t="s">
        <v>407</v>
      </c>
      <c r="F15" s="1306"/>
      <c r="G15" s="1307" t="s">
        <v>406</v>
      </c>
      <c r="H15" s="1305" t="s">
        <v>777</v>
      </c>
      <c r="I15" s="1305" t="s">
        <v>407</v>
      </c>
      <c r="J15" s="1306"/>
      <c r="K15" s="1305" t="s">
        <v>407</v>
      </c>
    </row>
    <row r="16" spans="1:11" ht="15">
      <c r="A16" s="1309"/>
      <c r="B16" s="1309"/>
      <c r="C16" s="1309"/>
      <c r="D16" s="1309"/>
      <c r="E16" s="1309"/>
      <c r="F16" s="1309"/>
      <c r="G16" s="1310"/>
      <c r="H16" s="1309"/>
      <c r="I16" s="1309"/>
      <c r="J16" s="1309"/>
      <c r="K16" s="1309"/>
    </row>
    <row r="17" spans="1:11" ht="15.75" thickBot="1">
      <c r="A17" s="1311"/>
      <c r="B17" s="1303"/>
      <c r="C17" s="1294"/>
      <c r="D17" s="1303"/>
      <c r="E17" s="1303"/>
      <c r="F17" s="1303"/>
      <c r="G17" s="1312"/>
      <c r="H17" s="1303"/>
      <c r="I17" s="1303"/>
      <c r="J17" s="1303"/>
      <c r="K17" s="1303"/>
    </row>
    <row r="18" spans="1:11" ht="15">
      <c r="A18" s="1313" t="s">
        <v>408</v>
      </c>
      <c r="B18" s="1314"/>
      <c r="C18" s="1295"/>
      <c r="D18" s="1296"/>
      <c r="E18" s="1297"/>
      <c r="F18" s="1314"/>
      <c r="G18" s="1297"/>
      <c r="H18" s="1298"/>
      <c r="I18" s="1297"/>
      <c r="J18" s="1314"/>
      <c r="K18" s="1297"/>
    </row>
    <row r="19" spans="1:11" ht="15">
      <c r="A19" s="1309" t="s">
        <v>778</v>
      </c>
      <c r="B19" s="1299">
        <v>350.1</v>
      </c>
      <c r="C19" s="1300">
        <v>1.66E-2</v>
      </c>
      <c r="D19" s="1301">
        <v>0.66233529999999996</v>
      </c>
      <c r="E19" s="1300">
        <f t="shared" ref="E19:E27" si="0">ROUND((C19*D19),6)</f>
        <v>1.0995E-2</v>
      </c>
      <c r="F19" s="1315"/>
      <c r="G19" s="1300">
        <v>1.6199999999999999E-2</v>
      </c>
      <c r="H19" s="1301">
        <v>0.33766470000000004</v>
      </c>
      <c r="I19" s="1300">
        <f t="shared" ref="I19:I27" si="1">ROUND((G19*H19),6)</f>
        <v>5.47E-3</v>
      </c>
      <c r="J19" s="1315"/>
      <c r="K19" s="1294">
        <f>ROUND(E19+I19,4)</f>
        <v>1.6500000000000001E-2</v>
      </c>
    </row>
    <row r="20" spans="1:11" ht="15">
      <c r="A20" s="1316" t="s">
        <v>409</v>
      </c>
      <c r="B20" s="1299">
        <v>352</v>
      </c>
      <c r="C20" s="1300">
        <v>1.77E-2</v>
      </c>
      <c r="D20" s="1301">
        <v>0.66233529999999996</v>
      </c>
      <c r="E20" s="1300">
        <f t="shared" si="0"/>
        <v>1.1723000000000001E-2</v>
      </c>
      <c r="F20" s="1315"/>
      <c r="G20" s="1300">
        <v>1.7399999999999999E-2</v>
      </c>
      <c r="H20" s="1301">
        <v>0.33766470000000004</v>
      </c>
      <c r="I20" s="1300">
        <f t="shared" si="1"/>
        <v>5.875E-3</v>
      </c>
      <c r="J20" s="1315"/>
      <c r="K20" s="1294">
        <f t="shared" ref="K20:K27" si="2">ROUND(E20+I20,4)</f>
        <v>1.7600000000000001E-2</v>
      </c>
    </row>
    <row r="21" spans="1:11" ht="15">
      <c r="A21" s="1316" t="s">
        <v>410</v>
      </c>
      <c r="B21" s="1299">
        <v>353</v>
      </c>
      <c r="C21" s="1300">
        <v>2.4299999999999999E-2</v>
      </c>
      <c r="D21" s="1301">
        <v>0.66233529999999996</v>
      </c>
      <c r="E21" s="1300">
        <f t="shared" si="0"/>
        <v>1.6095000000000002E-2</v>
      </c>
      <c r="F21" s="1315"/>
      <c r="G21" s="1300">
        <v>2.41E-2</v>
      </c>
      <c r="H21" s="1301">
        <v>0.33766470000000004</v>
      </c>
      <c r="I21" s="1300">
        <f t="shared" si="1"/>
        <v>8.1379999999999994E-3</v>
      </c>
      <c r="J21" s="1315"/>
      <c r="K21" s="1294">
        <f t="shared" si="2"/>
        <v>2.4199999999999999E-2</v>
      </c>
    </row>
    <row r="22" spans="1:11" ht="15">
      <c r="A22" s="1316" t="s">
        <v>411</v>
      </c>
      <c r="B22" s="1299">
        <v>354</v>
      </c>
      <c r="C22" s="1300">
        <v>2.5700000000000001E-2</v>
      </c>
      <c r="D22" s="1301">
        <v>0.66233529999999996</v>
      </c>
      <c r="E22" s="1300">
        <f t="shared" si="0"/>
        <v>1.7021999999999999E-2</v>
      </c>
      <c r="F22" s="1315"/>
      <c r="G22" s="1300">
        <v>2.4500000000000001E-2</v>
      </c>
      <c r="H22" s="1301">
        <v>0.33766470000000004</v>
      </c>
      <c r="I22" s="1300">
        <f t="shared" si="1"/>
        <v>8.2730000000000008E-3</v>
      </c>
      <c r="J22" s="1315"/>
      <c r="K22" s="1294">
        <f t="shared" si="2"/>
        <v>2.53E-2</v>
      </c>
    </row>
    <row r="23" spans="1:11" ht="15">
      <c r="A23" s="1316" t="s">
        <v>412</v>
      </c>
      <c r="B23" s="1299">
        <v>355</v>
      </c>
      <c r="C23" s="1300">
        <v>3.1899999999999998E-2</v>
      </c>
      <c r="D23" s="1301">
        <v>0.66233529999999996</v>
      </c>
      <c r="E23" s="1300">
        <f t="shared" si="0"/>
        <v>2.1128000000000001E-2</v>
      </c>
      <c r="F23" s="1315"/>
      <c r="G23" s="1300">
        <v>3.1699999999999999E-2</v>
      </c>
      <c r="H23" s="1301">
        <v>0.33766470000000004</v>
      </c>
      <c r="I23" s="1300">
        <f t="shared" si="1"/>
        <v>1.0704E-2</v>
      </c>
      <c r="J23" s="1315"/>
      <c r="K23" s="1294">
        <f t="shared" si="2"/>
        <v>3.1800000000000002E-2</v>
      </c>
    </row>
    <row r="24" spans="1:11" ht="15">
      <c r="A24" s="1316" t="s">
        <v>779</v>
      </c>
      <c r="B24" s="1299">
        <v>356</v>
      </c>
      <c r="C24" s="1300">
        <v>2.35E-2</v>
      </c>
      <c r="D24" s="1301">
        <v>0.66233529999999996</v>
      </c>
      <c r="E24" s="1300">
        <f t="shared" si="0"/>
        <v>1.5565000000000001E-2</v>
      </c>
      <c r="F24" s="1315"/>
      <c r="G24" s="1300">
        <v>2.2800000000000001E-2</v>
      </c>
      <c r="H24" s="1301">
        <v>0.33766470000000004</v>
      </c>
      <c r="I24" s="1300">
        <f t="shared" si="1"/>
        <v>7.6990000000000001E-3</v>
      </c>
      <c r="J24" s="1315"/>
      <c r="K24" s="1294">
        <f t="shared" si="2"/>
        <v>2.3300000000000001E-2</v>
      </c>
    </row>
    <row r="25" spans="1:11" ht="15">
      <c r="A25" s="1316" t="s">
        <v>413</v>
      </c>
      <c r="B25" s="1299">
        <v>357</v>
      </c>
      <c r="C25" s="1300">
        <v>2.3E-2</v>
      </c>
      <c r="D25" s="1301">
        <v>0.66233529999999996</v>
      </c>
      <c r="E25" s="1300">
        <f t="shared" si="0"/>
        <v>1.5233999999999999E-2</v>
      </c>
      <c r="F25" s="1315"/>
      <c r="G25" s="1300">
        <v>2.2100000000000002E-2</v>
      </c>
      <c r="H25" s="1301">
        <v>0.33766470000000004</v>
      </c>
      <c r="I25" s="1300">
        <f t="shared" si="1"/>
        <v>7.4619999999999999E-3</v>
      </c>
      <c r="J25" s="1315"/>
      <c r="K25" s="1294">
        <f t="shared" si="2"/>
        <v>2.2700000000000001E-2</v>
      </c>
    </row>
    <row r="26" spans="1:11" ht="15">
      <c r="A26" s="1316" t="s">
        <v>414</v>
      </c>
      <c r="B26" s="1299">
        <v>358</v>
      </c>
      <c r="C26" s="1300">
        <v>1.9300000000000001E-2</v>
      </c>
      <c r="D26" s="1301">
        <v>0.66233529999999996</v>
      </c>
      <c r="E26" s="1300">
        <f t="shared" si="0"/>
        <v>1.2782999999999999E-2</v>
      </c>
      <c r="F26" s="1315"/>
      <c r="G26" s="1300">
        <v>1.9E-2</v>
      </c>
      <c r="H26" s="1301">
        <v>0.33766470000000004</v>
      </c>
      <c r="I26" s="1300">
        <f t="shared" si="1"/>
        <v>6.4159999999999998E-3</v>
      </c>
      <c r="J26" s="1315"/>
      <c r="K26" s="1294">
        <f t="shared" si="2"/>
        <v>1.9199999999999998E-2</v>
      </c>
    </row>
    <row r="27" spans="1:11" ht="15">
      <c r="A27" s="1316" t="s">
        <v>780</v>
      </c>
      <c r="B27" s="1299">
        <v>359</v>
      </c>
      <c r="C27" s="1300">
        <v>1.61E-2</v>
      </c>
      <c r="D27" s="1301">
        <v>0.66233529999999996</v>
      </c>
      <c r="E27" s="1300">
        <f t="shared" si="0"/>
        <v>1.0664E-2</v>
      </c>
      <c r="F27" s="1315"/>
      <c r="G27" s="1300">
        <v>1.5900000000000001E-2</v>
      </c>
      <c r="H27" s="1301">
        <v>0.33766470000000004</v>
      </c>
      <c r="I27" s="1300">
        <f t="shared" si="1"/>
        <v>5.3689999999999996E-3</v>
      </c>
      <c r="J27" s="1315"/>
      <c r="K27" s="1294">
        <f t="shared" si="2"/>
        <v>1.6E-2</v>
      </c>
    </row>
    <row r="28" spans="1:11" ht="15">
      <c r="A28" s="1309"/>
      <c r="B28" s="1309"/>
      <c r="C28" s="1309"/>
      <c r="D28" s="1309"/>
      <c r="E28" s="1309"/>
      <c r="F28" s="1309"/>
      <c r="G28" s="1309"/>
      <c r="H28" s="1309"/>
      <c r="I28" s="1309"/>
      <c r="J28" s="1309"/>
      <c r="K28" s="1309"/>
    </row>
    <row r="29" spans="1:11" ht="15.75" thickBot="1">
      <c r="A29" s="1309"/>
      <c r="B29" s="1309"/>
      <c r="C29" s="1309"/>
      <c r="D29" s="1309"/>
      <c r="E29" s="1309"/>
      <c r="F29" s="1309"/>
      <c r="G29" s="1309"/>
      <c r="H29" s="1309"/>
      <c r="I29" s="1309"/>
      <c r="J29" s="1309"/>
      <c r="K29" s="1309"/>
    </row>
    <row r="30" spans="1:11" ht="15">
      <c r="A30" s="1328" t="s">
        <v>1012</v>
      </c>
      <c r="B30" s="1329"/>
      <c r="C30" s="1419"/>
      <c r="D30" s="1330"/>
      <c r="E30" s="1331"/>
      <c r="F30" s="1329"/>
      <c r="G30" s="1332"/>
      <c r="H30" s="1330"/>
      <c r="I30" s="1331"/>
      <c r="J30" s="1329"/>
      <c r="K30" s="1309"/>
    </row>
    <row r="31" spans="1:11" ht="15">
      <c r="A31" s="1420"/>
      <c r="B31" s="1299">
        <v>390</v>
      </c>
      <c r="C31" s="1300">
        <v>2.0799999999999999E-2</v>
      </c>
      <c r="D31" s="1301">
        <v>0.68186831634107659</v>
      </c>
      <c r="E31" s="1300">
        <f t="shared" ref="E31:E39" si="3">ROUND((C31*D31),6)</f>
        <v>1.4182999999999999E-2</v>
      </c>
      <c r="F31" s="1315"/>
      <c r="G31" s="1300">
        <v>2.0799999999999999E-2</v>
      </c>
      <c r="H31" s="1301">
        <v>0.31813168365892341</v>
      </c>
      <c r="I31" s="1300">
        <f t="shared" ref="I31:I39" si="4">ROUND((G31*H31),6)</f>
        <v>6.6169999999999996E-3</v>
      </c>
      <c r="J31" s="1421"/>
      <c r="K31" s="1294">
        <f t="shared" ref="K31:K39" si="5">ROUND(E31+I31,4)</f>
        <v>2.0799999999999999E-2</v>
      </c>
    </row>
    <row r="32" spans="1:11" ht="15">
      <c r="A32" s="1420"/>
      <c r="B32" s="1299">
        <v>391</v>
      </c>
      <c r="C32" s="1300">
        <v>4.7899999999999998E-2</v>
      </c>
      <c r="D32" s="1301">
        <v>0.68186831634107659</v>
      </c>
      <c r="E32" s="1300">
        <f t="shared" si="3"/>
        <v>3.2661000000000003E-2</v>
      </c>
      <c r="F32" s="1315"/>
      <c r="G32" s="1300">
        <v>4.8399999999999999E-2</v>
      </c>
      <c r="H32" s="1301">
        <v>0.31813168365892341</v>
      </c>
      <c r="I32" s="1300">
        <f t="shared" si="4"/>
        <v>1.5398E-2</v>
      </c>
      <c r="J32" s="1421"/>
      <c r="K32" s="1294">
        <f t="shared" si="5"/>
        <v>4.8099999999999997E-2</v>
      </c>
    </row>
    <row r="33" spans="1:11" ht="15">
      <c r="A33" s="1422" t="s">
        <v>1120</v>
      </c>
      <c r="B33" s="1299">
        <v>392</v>
      </c>
      <c r="C33" s="1300">
        <v>4.6399999999999997E-2</v>
      </c>
      <c r="D33" s="1301">
        <v>0.68186831634107659</v>
      </c>
      <c r="E33" s="1300">
        <f t="shared" si="3"/>
        <v>3.1639E-2</v>
      </c>
      <c r="F33" s="1315"/>
      <c r="G33" s="1300">
        <v>4.6800000000000001E-2</v>
      </c>
      <c r="H33" s="1301">
        <v>0.31813168365892341</v>
      </c>
      <c r="I33" s="1300">
        <f t="shared" si="4"/>
        <v>1.4888999999999999E-2</v>
      </c>
      <c r="J33" s="1421"/>
      <c r="K33" s="1294">
        <f t="shared" si="5"/>
        <v>4.65E-2</v>
      </c>
    </row>
    <row r="34" spans="1:11" ht="15">
      <c r="A34" s="1420"/>
      <c r="B34" s="1299">
        <v>393</v>
      </c>
      <c r="C34" s="1300">
        <v>7.3499999999999996E-2</v>
      </c>
      <c r="D34" s="1301">
        <v>0.68186831634107659</v>
      </c>
      <c r="E34" s="1300">
        <f t="shared" si="3"/>
        <v>5.0117000000000002E-2</v>
      </c>
      <c r="F34" s="1315"/>
      <c r="G34" s="1300">
        <v>7.3800000000000004E-2</v>
      </c>
      <c r="H34" s="1301">
        <v>0.31813168365892341</v>
      </c>
      <c r="I34" s="1300">
        <f t="shared" si="4"/>
        <v>2.3477999999999999E-2</v>
      </c>
      <c r="J34" s="1421"/>
      <c r="K34" s="1294">
        <f t="shared" si="5"/>
        <v>7.3599999999999999E-2</v>
      </c>
    </row>
    <row r="35" spans="1:11" ht="15">
      <c r="A35" s="1420"/>
      <c r="B35" s="1299">
        <v>394</v>
      </c>
      <c r="C35" s="1300">
        <v>6.9900000000000004E-2</v>
      </c>
      <c r="D35" s="1301">
        <v>0.68186831634107659</v>
      </c>
      <c r="E35" s="1300">
        <f t="shared" si="3"/>
        <v>4.7662999999999997E-2</v>
      </c>
      <c r="F35" s="1315"/>
      <c r="G35" s="1300">
        <v>7.0699999999999999E-2</v>
      </c>
      <c r="H35" s="1301">
        <v>0.31813168365892341</v>
      </c>
      <c r="I35" s="1300">
        <f t="shared" si="4"/>
        <v>2.2492000000000002E-2</v>
      </c>
      <c r="J35" s="1421"/>
      <c r="K35" s="1294">
        <f t="shared" si="5"/>
        <v>7.0199999999999999E-2</v>
      </c>
    </row>
    <row r="36" spans="1:11" ht="15">
      <c r="A36" s="1420"/>
      <c r="B36" s="1299">
        <v>395</v>
      </c>
      <c r="C36" s="1300">
        <v>5.4100000000000002E-2</v>
      </c>
      <c r="D36" s="1301">
        <v>0.68186831634107659</v>
      </c>
      <c r="E36" s="1300">
        <f t="shared" si="3"/>
        <v>3.6888999999999998E-2</v>
      </c>
      <c r="F36" s="1315"/>
      <c r="G36" s="1300">
        <v>5.4600000000000003E-2</v>
      </c>
      <c r="H36" s="1301">
        <v>0.31813168365892341</v>
      </c>
      <c r="I36" s="1300">
        <f t="shared" si="4"/>
        <v>1.737E-2</v>
      </c>
      <c r="J36" s="1421"/>
      <c r="K36" s="1294">
        <f t="shared" si="5"/>
        <v>5.4300000000000001E-2</v>
      </c>
    </row>
    <row r="37" spans="1:11" ht="15">
      <c r="A37" s="1420"/>
      <c r="B37" s="1299">
        <v>396</v>
      </c>
      <c r="C37" s="1300">
        <v>4.8099999999999997E-2</v>
      </c>
      <c r="D37" s="1301">
        <v>0.68186831634107659</v>
      </c>
      <c r="E37" s="1300">
        <f t="shared" si="3"/>
        <v>3.2798000000000001E-2</v>
      </c>
      <c r="F37" s="1315"/>
      <c r="G37" s="1300">
        <v>4.9000000000000002E-2</v>
      </c>
      <c r="H37" s="1301">
        <v>0.31813168365892341</v>
      </c>
      <c r="I37" s="1300">
        <f t="shared" si="4"/>
        <v>1.5587999999999999E-2</v>
      </c>
      <c r="J37" s="1421"/>
      <c r="K37" s="1294">
        <f t="shared" si="5"/>
        <v>4.8399999999999999E-2</v>
      </c>
    </row>
    <row r="38" spans="1:11" ht="15">
      <c r="A38" s="1420"/>
      <c r="B38" s="1299">
        <v>397</v>
      </c>
      <c r="C38" s="1300">
        <v>3.9100000000000003E-2</v>
      </c>
      <c r="D38" s="1301">
        <v>0.68186831634107659</v>
      </c>
      <c r="E38" s="1300">
        <f t="shared" si="3"/>
        <v>2.6661000000000001E-2</v>
      </c>
      <c r="F38" s="1315"/>
      <c r="G38" s="1300">
        <v>3.9300000000000002E-2</v>
      </c>
      <c r="H38" s="1301">
        <v>0.31813168365892341</v>
      </c>
      <c r="I38" s="1300">
        <f t="shared" si="4"/>
        <v>1.2503E-2</v>
      </c>
      <c r="J38" s="1421"/>
      <c r="K38" s="1294">
        <f t="shared" si="5"/>
        <v>3.9199999999999999E-2</v>
      </c>
    </row>
    <row r="39" spans="1:11" ht="15">
      <c r="A39" s="1420"/>
      <c r="B39" s="1299">
        <v>398</v>
      </c>
      <c r="C39" s="1300">
        <v>3.32E-2</v>
      </c>
      <c r="D39" s="1301">
        <v>0.68186831634107659</v>
      </c>
      <c r="E39" s="1300">
        <f t="shared" si="3"/>
        <v>2.2637999999999998E-2</v>
      </c>
      <c r="F39" s="1315"/>
      <c r="G39" s="1300">
        <v>3.3500000000000002E-2</v>
      </c>
      <c r="H39" s="1301">
        <v>0.31813168365892341</v>
      </c>
      <c r="I39" s="1300">
        <f t="shared" si="4"/>
        <v>1.0657E-2</v>
      </c>
      <c r="J39" s="1421"/>
      <c r="K39" s="1294">
        <f t="shared" si="5"/>
        <v>3.3300000000000003E-2</v>
      </c>
    </row>
    <row r="40" spans="1:11" ht="15.75" thickBot="1">
      <c r="A40" s="1333"/>
      <c r="B40" s="1334"/>
      <c r="C40" s="1335"/>
      <c r="D40" s="1336"/>
      <c r="E40" s="1337"/>
      <c r="F40" s="1334"/>
      <c r="G40" s="1337"/>
      <c r="H40" s="1336"/>
      <c r="I40" s="1337"/>
      <c r="J40" s="1334"/>
      <c r="K40" s="1309"/>
    </row>
    <row r="41" spans="1:11" ht="15">
      <c r="A41" s="1309"/>
      <c r="B41" s="1309"/>
      <c r="C41" s="1309"/>
      <c r="D41" s="1309"/>
      <c r="E41" s="1309"/>
      <c r="F41" s="1309"/>
      <c r="G41" s="1309"/>
      <c r="H41" s="1309"/>
      <c r="I41" s="1309"/>
      <c r="J41" s="1309"/>
      <c r="K41" s="1309"/>
    </row>
    <row r="42" spans="1:11" ht="15">
      <c r="A42" s="1309"/>
      <c r="B42" s="1309"/>
      <c r="C42" s="1309"/>
      <c r="D42" s="1309"/>
      <c r="E42" s="1309"/>
      <c r="F42" s="1309"/>
      <c r="G42" s="1309"/>
      <c r="H42" s="1309"/>
      <c r="I42" s="1309"/>
      <c r="J42" s="1309"/>
      <c r="K42" s="1309"/>
    </row>
    <row r="43" spans="1:11" ht="15">
      <c r="A43" s="1309"/>
      <c r="B43" s="1303"/>
      <c r="C43" s="1294"/>
      <c r="D43" s="1309"/>
      <c r="E43" s="1309"/>
      <c r="F43" s="1309"/>
      <c r="G43" s="1310"/>
      <c r="H43" s="1309"/>
      <c r="I43" s="1309"/>
      <c r="J43" s="1309"/>
      <c r="K43" s="1309"/>
    </row>
    <row r="44" spans="1:11" ht="15.75">
      <c r="A44" s="1304" t="s">
        <v>1122</v>
      </c>
      <c r="B44" s="1317"/>
      <c r="C44" s="1302"/>
      <c r="D44" s="1317"/>
      <c r="E44" s="1309"/>
      <c r="F44" s="1317"/>
      <c r="G44" s="1309"/>
      <c r="H44" s="1303"/>
      <c r="I44" s="1309"/>
      <c r="J44" s="1309"/>
      <c r="K44" s="1309"/>
    </row>
    <row r="45" spans="1:11" ht="15.75">
      <c r="A45" s="1304" t="s">
        <v>1123</v>
      </c>
      <c r="B45" s="1317"/>
      <c r="C45" s="1302"/>
      <c r="D45" s="1317"/>
      <c r="E45" s="1317"/>
      <c r="F45" s="1317"/>
      <c r="G45" s="1309"/>
      <c r="H45" s="1303"/>
      <c r="I45" s="1309"/>
      <c r="J45" s="1309"/>
      <c r="K45" s="1309"/>
    </row>
    <row r="46" spans="1:11" ht="15.75">
      <c r="A46" s="1304" t="s">
        <v>1124</v>
      </c>
      <c r="B46" s="1317"/>
      <c r="C46" s="1302"/>
      <c r="D46" s="1318"/>
      <c r="E46" s="1318"/>
      <c r="F46" s="1318"/>
      <c r="G46" s="1309"/>
      <c r="H46" s="1309"/>
      <c r="I46" s="1309"/>
      <c r="J46" s="1309"/>
      <c r="K46" s="1309"/>
    </row>
    <row r="47" spans="1:11" ht="15">
      <c r="A47" s="1641" t="s">
        <v>781</v>
      </c>
      <c r="B47" s="1642"/>
      <c r="C47" s="1642"/>
      <c r="D47" s="1642"/>
      <c r="E47" s="1642"/>
      <c r="F47" s="1642"/>
      <c r="G47" s="1642"/>
      <c r="H47" s="1642"/>
      <c r="I47" s="1642"/>
      <c r="J47" s="1642"/>
      <c r="K47" s="1309"/>
    </row>
    <row r="48" spans="1:11" ht="15">
      <c r="A48" s="1642"/>
      <c r="B48" s="1642"/>
      <c r="C48" s="1642"/>
      <c r="D48" s="1642"/>
      <c r="E48" s="1642"/>
      <c r="F48" s="1642"/>
      <c r="G48" s="1642"/>
      <c r="H48" s="1642"/>
      <c r="I48" s="1642"/>
      <c r="J48" s="1642"/>
      <c r="K48" s="1309"/>
    </row>
    <row r="49" spans="1:11" ht="15">
      <c r="A49" s="1642"/>
      <c r="B49" s="1642"/>
      <c r="C49" s="1642"/>
      <c r="D49" s="1642"/>
      <c r="E49" s="1642"/>
      <c r="F49" s="1642"/>
      <c r="G49" s="1642"/>
      <c r="H49" s="1642"/>
      <c r="I49" s="1642"/>
      <c r="J49" s="1642"/>
      <c r="K49" s="1309"/>
    </row>
    <row r="50" spans="1:11" ht="15.75">
      <c r="A50" s="1309"/>
      <c r="B50" s="1317"/>
      <c r="C50" s="1302"/>
      <c r="D50" s="1318"/>
      <c r="E50" s="1318"/>
      <c r="F50" s="1318"/>
      <c r="G50" s="1310"/>
      <c r="H50" s="1309"/>
      <c r="I50" s="1309"/>
      <c r="J50" s="1309"/>
      <c r="K50" s="1309"/>
    </row>
    <row r="51" spans="1:11" ht="15.75">
      <c r="A51" s="1319" t="s">
        <v>415</v>
      </c>
      <c r="B51" s="1303"/>
      <c r="C51" s="1294"/>
      <c r="D51" s="1309"/>
      <c r="E51" s="1309"/>
      <c r="F51" s="1309"/>
      <c r="G51" s="1310"/>
      <c r="H51" s="1309"/>
      <c r="I51" s="1309"/>
      <c r="J51" s="1309"/>
      <c r="K51" s="1309"/>
    </row>
    <row r="52" spans="1:11" ht="15">
      <c r="A52" s="1423" t="s">
        <v>29</v>
      </c>
      <c r="B52" s="1424"/>
      <c r="C52" s="1424"/>
      <c r="D52" s="1425"/>
      <c r="E52" s="1309"/>
      <c r="F52" s="1309"/>
      <c r="G52" s="1310"/>
      <c r="H52" s="1309"/>
      <c r="I52" s="1309"/>
      <c r="J52" s="1309"/>
      <c r="K52" s="1309"/>
    </row>
    <row r="53" spans="1:11" ht="15">
      <c r="A53" s="1643" t="s">
        <v>782</v>
      </c>
      <c r="B53" s="1643"/>
      <c r="C53" s="1643"/>
      <c r="D53" s="1643"/>
      <c r="E53" s="1643"/>
      <c r="F53" s="1643"/>
      <c r="G53" s="1643"/>
      <c r="H53" s="1643"/>
      <c r="I53" s="1643"/>
      <c r="J53" s="1643"/>
      <c r="K53" s="1309"/>
    </row>
    <row r="54" spans="1:11" ht="15">
      <c r="A54" s="1643"/>
      <c r="B54" s="1643"/>
      <c r="C54" s="1643"/>
      <c r="D54" s="1643"/>
      <c r="E54" s="1643"/>
      <c r="F54" s="1643"/>
      <c r="G54" s="1643"/>
      <c r="H54" s="1643"/>
      <c r="I54" s="1643"/>
      <c r="J54" s="1643"/>
      <c r="K54" s="1309"/>
    </row>
    <row r="55" spans="1:11" ht="15">
      <c r="A55" s="1637" t="s">
        <v>826</v>
      </c>
      <c r="B55" s="1637"/>
      <c r="C55" s="1637"/>
      <c r="D55" s="1637"/>
      <c r="E55" s="1637"/>
      <c r="F55" s="1637"/>
      <c r="G55" s="1637"/>
      <c r="H55" s="1637"/>
      <c r="I55" s="1637"/>
      <c r="J55" s="1637"/>
      <c r="K55" s="1309"/>
    </row>
    <row r="56" spans="1:11" ht="15">
      <c r="A56" s="1637"/>
      <c r="B56" s="1637"/>
      <c r="C56" s="1637"/>
      <c r="D56" s="1637"/>
      <c r="E56" s="1637"/>
      <c r="F56" s="1637"/>
      <c r="G56" s="1637"/>
      <c r="H56" s="1637"/>
      <c r="I56" s="1637"/>
      <c r="J56" s="1637"/>
      <c r="K56" s="1309"/>
    </row>
    <row r="57" spans="1:11" ht="15">
      <c r="A57" s="1309"/>
      <c r="B57" s="1309"/>
      <c r="C57" s="1309"/>
      <c r="D57" s="1309"/>
      <c r="E57" s="1309"/>
      <c r="F57" s="1309"/>
      <c r="G57" s="1310"/>
      <c r="H57" s="1309"/>
      <c r="I57" s="1309"/>
      <c r="J57" s="1309"/>
      <c r="K57" s="1309"/>
    </row>
    <row r="58" spans="1:11" ht="15">
      <c r="A58" s="1309"/>
      <c r="B58" s="1309"/>
      <c r="C58" s="1309"/>
      <c r="D58" s="1309"/>
      <c r="E58" s="1309"/>
      <c r="F58" s="1309"/>
      <c r="G58" s="1310"/>
      <c r="H58" s="1309"/>
      <c r="I58" s="1309"/>
      <c r="J58" s="1309"/>
      <c r="K58" s="1309"/>
    </row>
    <row r="59" spans="1:11" ht="15">
      <c r="A59" s="1309"/>
      <c r="B59" s="1309"/>
      <c r="C59" s="1309"/>
      <c r="D59" s="1309"/>
      <c r="E59" s="1309"/>
      <c r="F59" s="1309"/>
      <c r="G59" s="1310"/>
      <c r="H59" s="1309"/>
      <c r="I59" s="1309"/>
      <c r="J59" s="1309"/>
      <c r="K59" s="1309"/>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4:K9 A10 A51:J52 A53">
    <cfRule type="cellIs" dxfId="4" priority="1" stopIfTrue="1" operator="lessThan">
      <formula>0</formula>
    </cfRule>
  </conditionalFormatting>
  <pageMargins left="0.7" right="0.7" top="0.75" bottom="0.75" header="0.3" footer="0.3"/>
  <pageSetup scale="4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49"/>
  <sheetViews>
    <sheetView view="pageBreakPreview" zoomScale="60" zoomScaleNormal="70" workbookViewId="0">
      <selection activeCell="A3" sqref="A3"/>
    </sheetView>
  </sheetViews>
  <sheetFormatPr defaultColWidth="9.140625" defaultRowHeight="12.75"/>
  <cols>
    <col min="1" max="1" width="33.5703125" style="1181" customWidth="1"/>
    <col min="2" max="2" width="17.140625" style="1181" customWidth="1"/>
    <col min="3" max="3" width="23.42578125" style="1181" customWidth="1"/>
    <col min="4" max="4" width="9.140625" style="1181"/>
    <col min="5" max="5" width="21.85546875" style="1181" customWidth="1"/>
    <col min="6" max="16384" width="9.140625" style="1181"/>
  </cols>
  <sheetData>
    <row r="1" spans="1:7" s="807" customFormat="1" ht="15.75">
      <c r="A1" s="933" t="s">
        <v>116</v>
      </c>
      <c r="G1" s="284"/>
    </row>
    <row r="2" spans="1:7" s="807" customFormat="1" ht="15.75">
      <c r="A2" s="933" t="s">
        <v>116</v>
      </c>
      <c r="G2" s="284"/>
    </row>
    <row r="3" spans="1:7" ht="19.5">
      <c r="A3" s="1185"/>
      <c r="B3" s="1644" t="s">
        <v>393</v>
      </c>
      <c r="C3" s="1644"/>
      <c r="D3" s="1644"/>
      <c r="E3" s="1644"/>
    </row>
    <row r="4" spans="1:7" ht="19.5">
      <c r="A4" s="1185"/>
      <c r="B4" s="1644" t="s">
        <v>783</v>
      </c>
      <c r="C4" s="1644"/>
      <c r="D4" s="1644"/>
      <c r="E4" s="1644"/>
    </row>
    <row r="5" spans="1:7" ht="19.5">
      <c r="A5" s="1185"/>
      <c r="B5" s="1644" t="s">
        <v>784</v>
      </c>
      <c r="C5" s="1644"/>
      <c r="D5" s="1644"/>
      <c r="E5" s="1644"/>
    </row>
    <row r="6" spans="1:7" ht="19.5">
      <c r="A6" s="1185"/>
      <c r="B6" s="1644" t="s">
        <v>785</v>
      </c>
      <c r="C6" s="1644"/>
      <c r="D6" s="1644"/>
      <c r="E6" s="1644"/>
    </row>
    <row r="7" spans="1:7" ht="19.5">
      <c r="A7" s="1185"/>
      <c r="B7" s="1644" t="s">
        <v>786</v>
      </c>
      <c r="C7" s="1644"/>
      <c r="D7" s="1644"/>
      <c r="E7" s="1644"/>
    </row>
    <row r="8" spans="1:7" ht="19.5">
      <c r="A8" s="1185"/>
      <c r="B8" s="1644" t="s">
        <v>787</v>
      </c>
      <c r="C8" s="1644"/>
      <c r="D8" s="1644"/>
      <c r="E8" s="1644"/>
    </row>
    <row r="9" spans="1:7" ht="15">
      <c r="A9" s="1185"/>
      <c r="B9" s="1182"/>
      <c r="C9" s="1182"/>
      <c r="D9" s="1184" t="s">
        <v>116</v>
      </c>
      <c r="E9" s="1185"/>
    </row>
    <row r="10" spans="1:7" ht="15.75">
      <c r="A10" s="1182"/>
      <c r="B10" s="1194" t="s">
        <v>401</v>
      </c>
      <c r="C10" s="1185"/>
      <c r="D10" s="1185"/>
      <c r="E10" s="1195"/>
    </row>
    <row r="11" spans="1:7" ht="15.75">
      <c r="A11" s="1184"/>
      <c r="B11" s="1194" t="s">
        <v>405</v>
      </c>
      <c r="C11" s="1194" t="s">
        <v>406</v>
      </c>
      <c r="D11" s="1194"/>
      <c r="E11" s="1185"/>
    </row>
    <row r="12" spans="1:7" ht="15.75" thickBot="1">
      <c r="A12" s="1187"/>
      <c r="B12" s="1182"/>
      <c r="C12" s="1196" t="s">
        <v>501</v>
      </c>
      <c r="D12" s="1185"/>
      <c r="E12" s="1185"/>
    </row>
    <row r="13" spans="1:7" ht="15">
      <c r="A13" s="1188" t="s">
        <v>408</v>
      </c>
      <c r="B13" s="1189"/>
      <c r="C13" s="282"/>
      <c r="D13" s="1185"/>
      <c r="E13" s="1185"/>
    </row>
    <row r="14" spans="1:7" ht="15">
      <c r="A14" s="1185"/>
      <c r="B14" s="1197"/>
      <c r="C14" s="281"/>
      <c r="D14" s="1198"/>
      <c r="E14" s="1185"/>
    </row>
    <row r="15" spans="1:7" ht="15">
      <c r="A15" s="1185" t="s">
        <v>409</v>
      </c>
      <c r="B15" s="283">
        <v>352</v>
      </c>
      <c r="C15" s="281">
        <v>1.04E-2</v>
      </c>
      <c r="D15" s="1198"/>
      <c r="E15" s="1185"/>
    </row>
    <row r="16" spans="1:7" ht="15">
      <c r="A16" s="1185" t="s">
        <v>410</v>
      </c>
      <c r="B16" s="283">
        <v>353</v>
      </c>
      <c r="C16" s="281">
        <v>1.49E-2</v>
      </c>
      <c r="D16" s="1198"/>
      <c r="E16" s="1185"/>
    </row>
    <row r="17" spans="1:5" ht="15">
      <c r="A17" s="1185" t="s">
        <v>411</v>
      </c>
      <c r="B17" s="283">
        <v>354</v>
      </c>
      <c r="C17" s="281">
        <v>1.1999999999999999E-3</v>
      </c>
      <c r="D17" s="1198"/>
      <c r="E17" s="1185"/>
    </row>
    <row r="18" spans="1:5" ht="15">
      <c r="A18" s="1185" t="s">
        <v>412</v>
      </c>
      <c r="B18" s="283">
        <v>355</v>
      </c>
      <c r="C18" s="281">
        <v>2.1399999999999999E-2</v>
      </c>
      <c r="D18" s="1198"/>
      <c r="E18" s="1185"/>
    </row>
    <row r="19" spans="1:5" ht="15">
      <c r="A19" s="1185" t="s">
        <v>779</v>
      </c>
      <c r="B19" s="283">
        <v>356</v>
      </c>
      <c r="C19" s="281">
        <v>7.7000000000000002E-3</v>
      </c>
      <c r="D19" s="1198"/>
      <c r="E19" s="1185"/>
    </row>
    <row r="20" spans="1:5" ht="15">
      <c r="A20" s="1191" t="s">
        <v>413</v>
      </c>
      <c r="B20" s="283">
        <v>357</v>
      </c>
      <c r="C20" s="1199" t="s">
        <v>621</v>
      </c>
      <c r="D20" s="1185"/>
      <c r="E20" s="1185"/>
    </row>
    <row r="21" spans="1:5" ht="15">
      <c r="A21" s="1191" t="s">
        <v>414</v>
      </c>
      <c r="B21" s="283">
        <v>358</v>
      </c>
      <c r="C21" s="1199" t="s">
        <v>621</v>
      </c>
      <c r="D21" s="1198"/>
      <c r="E21" s="1185"/>
    </row>
    <row r="22" spans="1:5" ht="15.75">
      <c r="A22" s="1183" t="s">
        <v>788</v>
      </c>
      <c r="B22" s="1200"/>
      <c r="C22" s="1201">
        <v>1.46E-2</v>
      </c>
      <c r="D22" s="1198"/>
      <c r="E22" s="1185"/>
    </row>
    <row r="23" spans="1:5" ht="15.75">
      <c r="A23" s="1183"/>
      <c r="B23" s="1200"/>
      <c r="C23" s="1201"/>
      <c r="D23" s="1198"/>
      <c r="E23" s="1185"/>
    </row>
    <row r="24" spans="1:5" s="3" customFormat="1" ht="15.75">
      <c r="A24" s="1208" t="s">
        <v>810</v>
      </c>
      <c r="C24" s="1"/>
    </row>
    <row r="25" spans="1:5" s="3" customFormat="1">
      <c r="C25" s="1"/>
    </row>
    <row r="26" spans="1:5" s="3" customFormat="1" ht="15">
      <c r="A26" s="1209" t="s">
        <v>811</v>
      </c>
      <c r="B26" s="1213">
        <v>390</v>
      </c>
      <c r="C26" s="1212">
        <v>1.7100000000000001E-2</v>
      </c>
    </row>
    <row r="27" spans="1:5" s="3" customFormat="1" ht="15">
      <c r="A27" s="1209" t="s">
        <v>812</v>
      </c>
      <c r="B27" s="1213">
        <v>391</v>
      </c>
      <c r="C27" s="1212">
        <v>2.8199999999999999E-2</v>
      </c>
    </row>
    <row r="28" spans="1:5" s="3" customFormat="1" ht="15">
      <c r="A28" s="1209" t="s">
        <v>813</v>
      </c>
      <c r="B28" s="1213">
        <v>393</v>
      </c>
      <c r="C28" s="1212">
        <v>2.2200000000000001E-2</v>
      </c>
    </row>
    <row r="29" spans="1:5" s="3" customFormat="1" ht="15">
      <c r="A29" s="1209" t="s">
        <v>814</v>
      </c>
      <c r="B29" s="1213">
        <v>394</v>
      </c>
      <c r="C29" s="1212">
        <v>3.1199999999999999E-2</v>
      </c>
    </row>
    <row r="30" spans="1:5" s="3" customFormat="1" ht="15">
      <c r="A30" s="1209" t="s">
        <v>815</v>
      </c>
      <c r="B30" s="1213">
        <v>395</v>
      </c>
      <c r="C30" s="1212">
        <v>3.1699999999999999E-2</v>
      </c>
    </row>
    <row r="31" spans="1:5" s="3" customFormat="1" ht="15">
      <c r="A31" s="1209" t="s">
        <v>816</v>
      </c>
      <c r="B31" s="1213">
        <v>397</v>
      </c>
      <c r="C31" s="1212">
        <v>3.32E-2</v>
      </c>
    </row>
    <row r="32" spans="1:5" s="3" customFormat="1" ht="15">
      <c r="A32" s="1209" t="s">
        <v>817</v>
      </c>
      <c r="B32" s="1213">
        <v>398</v>
      </c>
      <c r="C32" s="1212">
        <v>4.9200000000000001E-2</v>
      </c>
    </row>
    <row r="33" spans="1:5" s="3" customFormat="1" ht="15">
      <c r="A33" s="40"/>
      <c r="B33" s="1209"/>
      <c r="C33" s="1212"/>
    </row>
    <row r="34" spans="1:5" s="3" customFormat="1" ht="15.75">
      <c r="A34" s="40"/>
      <c r="B34" s="1211" t="s">
        <v>818</v>
      </c>
      <c r="C34" s="1212">
        <v>3.2500000000000001E-2</v>
      </c>
    </row>
    <row r="35" spans="1:5" s="3" customFormat="1" ht="15.75">
      <c r="A35" s="40"/>
      <c r="B35" s="1211"/>
      <c r="C35" s="1210"/>
    </row>
    <row r="36" spans="1:5" ht="15.75">
      <c r="A36" s="1185" t="s">
        <v>789</v>
      </c>
      <c r="B36" s="1192"/>
      <c r="C36" s="285"/>
      <c r="D36" s="1185"/>
      <c r="E36" s="1185"/>
    </row>
    <row r="37" spans="1:5" ht="15">
      <c r="A37" s="1645"/>
      <c r="B37" s="1645"/>
      <c r="C37" s="1645"/>
      <c r="D37" s="1645"/>
      <c r="E37" s="1185"/>
    </row>
    <row r="38" spans="1:5" ht="15">
      <c r="A38" s="1645" t="s">
        <v>790</v>
      </c>
      <c r="B38" s="1645"/>
      <c r="C38" s="1645"/>
      <c r="D38" s="1645"/>
      <c r="E38" s="1185"/>
    </row>
    <row r="39" spans="1:5" ht="15">
      <c r="A39" s="1202" t="s">
        <v>160</v>
      </c>
      <c r="B39" s="1202"/>
      <c r="C39" s="1202"/>
      <c r="D39" s="1202"/>
      <c r="E39" s="1185"/>
    </row>
    <row r="40" spans="1:5" ht="15">
      <c r="A40" s="1645" t="s">
        <v>791</v>
      </c>
      <c r="B40" s="1645"/>
      <c r="C40" s="1645"/>
      <c r="D40" s="1185"/>
      <c r="E40" s="1185"/>
    </row>
    <row r="41" spans="1:5" ht="15">
      <c r="A41" s="1645"/>
      <c r="B41" s="1645"/>
      <c r="C41" s="1645"/>
      <c r="D41" s="1185"/>
      <c r="E41" s="1185"/>
    </row>
    <row r="42" spans="1:5" ht="15">
      <c r="A42" s="1185"/>
      <c r="B42" s="1182"/>
      <c r="C42" s="281"/>
      <c r="D42" s="1185"/>
      <c r="E42" s="1185"/>
    </row>
    <row r="43" spans="1:5" ht="15">
      <c r="A43" s="1645"/>
      <c r="B43" s="1645"/>
      <c r="C43" s="1645"/>
      <c r="D43" s="1645"/>
      <c r="E43" s="1185"/>
    </row>
    <row r="44" spans="1:5" ht="15.75">
      <c r="A44" s="1193" t="s">
        <v>792</v>
      </c>
      <c r="B44" s="1182"/>
      <c r="C44" s="281"/>
      <c r="D44" s="1185"/>
      <c r="E44" s="1185"/>
    </row>
    <row r="45" spans="1:5" ht="15">
      <c r="A45" s="1646" t="s">
        <v>826</v>
      </c>
      <c r="B45" s="1646"/>
      <c r="C45" s="1646"/>
      <c r="D45" s="1195"/>
      <c r="E45" s="1185"/>
    </row>
    <row r="46" spans="1:5" ht="15">
      <c r="A46" s="1646"/>
      <c r="B46" s="1646"/>
      <c r="C46" s="1646"/>
      <c r="D46" s="1195"/>
      <c r="E46" s="1185"/>
    </row>
    <row r="47" spans="1:5" ht="15">
      <c r="A47" s="1646"/>
      <c r="B47" s="1646"/>
      <c r="C47" s="1646"/>
      <c r="D47" s="1195"/>
      <c r="E47" s="1185"/>
    </row>
    <row r="48" spans="1:5" ht="15">
      <c r="A48" s="1646"/>
      <c r="B48" s="1646"/>
      <c r="C48" s="1646"/>
      <c r="D48" s="1195"/>
      <c r="E48" s="1185"/>
    </row>
    <row r="49" spans="1:5" ht="15">
      <c r="A49" s="1646"/>
      <c r="B49" s="1646"/>
      <c r="C49" s="1646"/>
      <c r="D49" s="1195"/>
      <c r="E49" s="1185"/>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33"/>
  <sheetViews>
    <sheetView view="pageBreakPreview" zoomScale="60" zoomScaleNormal="70" workbookViewId="0">
      <selection activeCell="A3" sqref="A3"/>
    </sheetView>
  </sheetViews>
  <sheetFormatPr defaultColWidth="9.140625" defaultRowHeight="12.75"/>
  <cols>
    <col min="1" max="1" width="9.140625" style="1181"/>
    <col min="2" max="2" width="38.5703125" style="1181" customWidth="1"/>
    <col min="3" max="3" width="21.85546875" style="1181" customWidth="1"/>
    <col min="4" max="4" width="25.85546875" style="1181" customWidth="1"/>
    <col min="5" max="16384" width="9.140625" style="1181"/>
  </cols>
  <sheetData>
    <row r="1" spans="1:7" s="807" customFormat="1" ht="15.75">
      <c r="A1" s="933" t="s">
        <v>116</v>
      </c>
      <c r="G1" s="284"/>
    </row>
    <row r="2" spans="1:7" s="807" customFormat="1" ht="15.75">
      <c r="A2" s="933" t="s">
        <v>116</v>
      </c>
      <c r="G2" s="284"/>
    </row>
    <row r="3" spans="1:7" ht="19.5">
      <c r="A3" s="1185"/>
      <c r="B3" s="1644" t="s">
        <v>393</v>
      </c>
      <c r="C3" s="1644"/>
      <c r="D3" s="1644"/>
      <c r="E3" s="1644"/>
    </row>
    <row r="4" spans="1:7" ht="19.5">
      <c r="A4" s="1185"/>
      <c r="B4" s="1644" t="s">
        <v>783</v>
      </c>
      <c r="C4" s="1644"/>
      <c r="D4" s="1644"/>
      <c r="E4" s="1644"/>
    </row>
    <row r="5" spans="1:7" ht="19.5">
      <c r="A5" s="1185"/>
      <c r="B5" s="1644" t="s">
        <v>784</v>
      </c>
      <c r="C5" s="1644"/>
      <c r="D5" s="1644"/>
      <c r="E5" s="1644"/>
    </row>
    <row r="6" spans="1:7" ht="19.5">
      <c r="A6" s="1185"/>
      <c r="B6" s="1644" t="s">
        <v>793</v>
      </c>
      <c r="C6" s="1644"/>
      <c r="D6" s="1644"/>
      <c r="E6" s="1644"/>
    </row>
    <row r="7" spans="1:7" ht="19.5">
      <c r="A7" s="1185"/>
      <c r="B7" s="1644" t="s">
        <v>786</v>
      </c>
      <c r="C7" s="1644"/>
      <c r="D7" s="1644"/>
      <c r="E7" s="1644"/>
    </row>
    <row r="8" spans="1:7" ht="19.5">
      <c r="A8" s="1185"/>
      <c r="B8" s="1644" t="s">
        <v>794</v>
      </c>
      <c r="C8" s="1644"/>
      <c r="D8" s="1644"/>
      <c r="E8" s="1644"/>
    </row>
    <row r="9" spans="1:7" ht="15">
      <c r="A9" s="1185"/>
      <c r="B9" s="1182"/>
      <c r="C9" s="1182"/>
      <c r="D9" s="1184" t="s">
        <v>116</v>
      </c>
      <c r="E9" s="1185"/>
    </row>
    <row r="10" spans="1:7" ht="15.75">
      <c r="A10" s="1185"/>
      <c r="B10" s="1182"/>
      <c r="C10" s="1194" t="s">
        <v>401</v>
      </c>
      <c r="D10" s="1185"/>
      <c r="E10" s="1185"/>
    </row>
    <row r="11" spans="1:7" ht="15.75">
      <c r="A11" s="1185"/>
      <c r="B11" s="1184"/>
      <c r="C11" s="1194" t="s">
        <v>405</v>
      </c>
      <c r="D11" s="1194" t="s">
        <v>406</v>
      </c>
      <c r="E11" s="1194"/>
    </row>
    <row r="12" spans="1:7" ht="15.75" thickBot="1">
      <c r="A12" s="1185"/>
      <c r="B12" s="1187"/>
      <c r="C12" s="1182"/>
      <c r="D12" s="1196" t="s">
        <v>501</v>
      </c>
      <c r="E12" s="1185"/>
    </row>
    <row r="13" spans="1:7" ht="15">
      <c r="A13" s="1185"/>
      <c r="B13" s="1188" t="s">
        <v>408</v>
      </c>
      <c r="C13" s="1189"/>
      <c r="D13" s="282"/>
      <c r="E13" s="1185"/>
    </row>
    <row r="14" spans="1:7" ht="15">
      <c r="A14" s="1185"/>
      <c r="B14" s="1185"/>
      <c r="C14" s="1197"/>
      <c r="D14" s="281"/>
      <c r="E14" s="1198"/>
    </row>
    <row r="15" spans="1:7" ht="15">
      <c r="A15" s="1185"/>
      <c r="B15" s="1185" t="s">
        <v>795</v>
      </c>
      <c r="C15" s="1191">
        <v>350.1</v>
      </c>
      <c r="D15" s="281">
        <v>1.44E-2</v>
      </c>
      <c r="E15" s="1198"/>
    </row>
    <row r="16" spans="1:7" ht="15">
      <c r="A16" s="1185"/>
      <c r="B16" s="1185" t="s">
        <v>409</v>
      </c>
      <c r="C16" s="283">
        <v>352</v>
      </c>
      <c r="D16" s="281">
        <v>2.0799999999999999E-2</v>
      </c>
      <c r="E16" s="1198"/>
    </row>
    <row r="17" spans="1:5" ht="15">
      <c r="A17" s="1185"/>
      <c r="B17" s="1185" t="s">
        <v>410</v>
      </c>
      <c r="C17" s="283">
        <v>353</v>
      </c>
      <c r="D17" s="281">
        <v>2.1499999999999998E-2</v>
      </c>
      <c r="E17" s="1198"/>
    </row>
    <row r="18" spans="1:5" ht="15">
      <c r="A18" s="1185"/>
      <c r="B18" s="1185" t="s">
        <v>411</v>
      </c>
      <c r="C18" s="283">
        <v>354</v>
      </c>
      <c r="D18" s="281">
        <v>2.6100000000000002E-2</v>
      </c>
      <c r="E18" s="1198"/>
    </row>
    <row r="19" spans="1:5" ht="15">
      <c r="A19" s="1185"/>
      <c r="B19" s="1185" t="s">
        <v>412</v>
      </c>
      <c r="C19" s="283">
        <v>355</v>
      </c>
      <c r="D19" s="281">
        <v>3.95E-2</v>
      </c>
      <c r="E19" s="1198"/>
    </row>
    <row r="20" spans="1:5" ht="15">
      <c r="A20" s="1185"/>
      <c r="B20" s="1185" t="s">
        <v>779</v>
      </c>
      <c r="C20" s="283">
        <v>356</v>
      </c>
      <c r="D20" s="281">
        <v>2.9100000000000001E-2</v>
      </c>
      <c r="E20" s="1198"/>
    </row>
    <row r="21" spans="1:5" ht="15">
      <c r="A21" s="1185"/>
      <c r="B21" s="1185" t="s">
        <v>413</v>
      </c>
      <c r="C21" s="283">
        <v>357</v>
      </c>
      <c r="D21" s="281">
        <v>2.9899999999999999E-2</v>
      </c>
      <c r="E21" s="1198"/>
    </row>
    <row r="22" spans="1:5" ht="15">
      <c r="A22" s="1185"/>
      <c r="B22" s="1185" t="s">
        <v>414</v>
      </c>
      <c r="C22" s="283">
        <v>358</v>
      </c>
      <c r="D22" s="281">
        <v>2.6200000000000001E-2</v>
      </c>
      <c r="E22" s="1198"/>
    </row>
    <row r="23" spans="1:5" ht="15">
      <c r="A23" s="1185"/>
      <c r="B23" s="1185"/>
      <c r="C23" s="1182"/>
      <c r="D23" s="281"/>
      <c r="E23" s="1185"/>
    </row>
    <row r="24" spans="1:5" ht="15.75">
      <c r="A24" s="1185"/>
      <c r="B24" s="1185" t="s">
        <v>789</v>
      </c>
      <c r="C24" s="1192"/>
      <c r="D24" s="285"/>
      <c r="E24" s="1185"/>
    </row>
    <row r="25" spans="1:5" ht="15">
      <c r="A25" s="1185"/>
      <c r="B25" s="1645"/>
      <c r="C25" s="1645"/>
      <c r="D25" s="1645"/>
      <c r="E25" s="1645"/>
    </row>
    <row r="26" spans="1:5" ht="15">
      <c r="A26" s="1185"/>
      <c r="B26" s="1645" t="s">
        <v>796</v>
      </c>
      <c r="C26" s="1645"/>
      <c r="D26" s="1645"/>
      <c r="E26" s="1645"/>
    </row>
    <row r="27" spans="1:5" ht="15">
      <c r="A27" s="1185"/>
      <c r="B27" s="1645"/>
      <c r="C27" s="1645"/>
      <c r="D27" s="1645"/>
      <c r="E27" s="1645"/>
    </row>
    <row r="28" spans="1:5" ht="15.75">
      <c r="A28" s="1185"/>
      <c r="B28" s="1193" t="s">
        <v>792</v>
      </c>
      <c r="C28" s="1182"/>
      <c r="D28" s="281"/>
      <c r="E28" s="1185"/>
    </row>
    <row r="29" spans="1:5" ht="15">
      <c r="A29" s="1185"/>
      <c r="B29" s="1646" t="s">
        <v>826</v>
      </c>
      <c r="C29" s="1646"/>
      <c r="D29" s="1646"/>
      <c r="E29" s="1195"/>
    </row>
    <row r="30" spans="1:5" ht="15">
      <c r="A30" s="1185"/>
      <c r="B30" s="1646"/>
      <c r="C30" s="1646"/>
      <c r="D30" s="1646"/>
      <c r="E30" s="1195"/>
    </row>
    <row r="31" spans="1:5" ht="15">
      <c r="A31" s="1185"/>
      <c r="B31" s="1646"/>
      <c r="C31" s="1646"/>
      <c r="D31" s="1646"/>
      <c r="E31" s="1195"/>
    </row>
    <row r="32" spans="1:5" ht="15">
      <c r="A32" s="1185"/>
      <c r="B32" s="1646"/>
      <c r="C32" s="1646"/>
      <c r="D32" s="1646"/>
      <c r="E32" s="1195"/>
    </row>
    <row r="33" spans="1:5" ht="15">
      <c r="A33" s="1185"/>
      <c r="B33" s="1646"/>
      <c r="C33" s="1646"/>
      <c r="D33" s="1646"/>
      <c r="E33" s="1195"/>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2"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G47"/>
  <sheetViews>
    <sheetView view="pageBreakPreview" topLeftCell="A4" zoomScale="60" zoomScaleNormal="70" workbookViewId="0">
      <selection activeCell="A39" sqref="A39"/>
    </sheetView>
  </sheetViews>
  <sheetFormatPr defaultColWidth="9.140625" defaultRowHeight="12.75"/>
  <cols>
    <col min="1" max="1" width="38.85546875" style="1181" customWidth="1"/>
    <col min="2" max="2" width="28.42578125" style="1181" customWidth="1"/>
    <col min="3" max="3" width="23.140625" style="1181" customWidth="1"/>
    <col min="4" max="16384" width="9.140625" style="1181"/>
  </cols>
  <sheetData>
    <row r="1" spans="1:7" s="807" customFormat="1" ht="15.75">
      <c r="A1" s="933" t="s">
        <v>116</v>
      </c>
      <c r="G1" s="284"/>
    </row>
    <row r="2" spans="1:7" s="807" customFormat="1" ht="15.75">
      <c r="A2" s="933" t="s">
        <v>116</v>
      </c>
      <c r="G2" s="284"/>
    </row>
    <row r="3" spans="1:7" ht="19.5">
      <c r="A3" s="1644" t="s">
        <v>393</v>
      </c>
      <c r="B3" s="1644"/>
      <c r="C3" s="1644"/>
      <c r="D3" s="1644"/>
    </row>
    <row r="4" spans="1:7" ht="19.5">
      <c r="A4" s="1644" t="s">
        <v>783</v>
      </c>
      <c r="B4" s="1644"/>
      <c r="C4" s="1644"/>
      <c r="D4" s="1644"/>
    </row>
    <row r="5" spans="1:7" ht="19.5">
      <c r="A5" s="1644" t="s">
        <v>784</v>
      </c>
      <c r="B5" s="1644"/>
      <c r="C5" s="1644"/>
      <c r="D5" s="1644"/>
    </row>
    <row r="6" spans="1:7" ht="19.5">
      <c r="A6" s="1644" t="s">
        <v>1218</v>
      </c>
      <c r="B6" s="1644"/>
      <c r="C6" s="1644"/>
      <c r="D6" s="1644"/>
    </row>
    <row r="7" spans="1:7" ht="19.5">
      <c r="A7" s="1644" t="s">
        <v>786</v>
      </c>
      <c r="B7" s="1644"/>
      <c r="C7" s="1644"/>
      <c r="D7" s="1644"/>
    </row>
    <row r="8" spans="1:7" ht="19.5">
      <c r="A8" s="1644" t="s">
        <v>797</v>
      </c>
      <c r="B8" s="1644"/>
      <c r="C8" s="1644"/>
      <c r="D8" s="1644"/>
    </row>
    <row r="9" spans="1:7" ht="15">
      <c r="A9" s="1182"/>
      <c r="B9" s="1182"/>
      <c r="C9" s="1184" t="s">
        <v>116</v>
      </c>
      <c r="D9" s="1185"/>
    </row>
    <row r="10" spans="1:7" ht="15.75">
      <c r="A10" s="1182"/>
      <c r="B10" s="1194" t="s">
        <v>401</v>
      </c>
      <c r="C10" s="1185"/>
      <c r="D10" s="1185"/>
    </row>
    <row r="11" spans="1:7" ht="15.75">
      <c r="A11" s="1184"/>
      <c r="B11" s="1194" t="s">
        <v>405</v>
      </c>
      <c r="C11" s="1194" t="s">
        <v>406</v>
      </c>
      <c r="D11" s="1194"/>
    </row>
    <row r="12" spans="1:7" ht="15.75" thickBot="1">
      <c r="A12" s="1187"/>
      <c r="B12" s="1182"/>
      <c r="C12" s="1196" t="s">
        <v>501</v>
      </c>
      <c r="D12" s="1185"/>
    </row>
    <row r="13" spans="1:7" ht="15">
      <c r="A13" s="1188" t="s">
        <v>408</v>
      </c>
      <c r="B13" s="1189"/>
      <c r="C13" s="282"/>
      <c r="D13" s="1185"/>
    </row>
    <row r="14" spans="1:7" ht="15">
      <c r="A14" s="1191" t="s">
        <v>409</v>
      </c>
      <c r="B14" s="283">
        <v>352</v>
      </c>
      <c r="C14" s="281">
        <v>2.0199999999999999E-2</v>
      </c>
      <c r="D14" s="1198"/>
    </row>
    <row r="15" spans="1:7" ht="15">
      <c r="A15" s="1191" t="s">
        <v>410</v>
      </c>
      <c r="B15" s="283">
        <v>353</v>
      </c>
      <c r="C15" s="281">
        <v>2.29E-2</v>
      </c>
      <c r="D15" s="1198"/>
    </row>
    <row r="16" spans="1:7" ht="15">
      <c r="A16" s="1197"/>
      <c r="B16" s="283"/>
      <c r="C16" s="281"/>
      <c r="D16" s="1198"/>
    </row>
    <row r="17" spans="1:4" ht="15">
      <c r="A17" s="1191" t="s">
        <v>798</v>
      </c>
      <c r="B17" s="283">
        <v>354</v>
      </c>
      <c r="C17" s="281">
        <v>1.8800000000000001E-2</v>
      </c>
      <c r="D17" s="1198"/>
    </row>
    <row r="18" spans="1:4" ht="15">
      <c r="A18" s="1191" t="s">
        <v>799</v>
      </c>
      <c r="B18" s="283">
        <v>354</v>
      </c>
      <c r="C18" s="281">
        <v>1.8800000000000001E-2</v>
      </c>
      <c r="D18" s="1198"/>
    </row>
    <row r="19" spans="1:4" ht="15">
      <c r="A19" s="1203"/>
      <c r="B19" s="1204"/>
      <c r="C19" s="329"/>
      <c r="D19" s="1198"/>
    </row>
    <row r="20" spans="1:4" ht="15">
      <c r="A20" s="1191" t="s">
        <v>800</v>
      </c>
      <c r="B20" s="283">
        <v>355</v>
      </c>
      <c r="C20" s="281">
        <v>3.5200000000000002E-2</v>
      </c>
      <c r="D20" s="1198"/>
    </row>
    <row r="21" spans="1:4" ht="15">
      <c r="A21" s="1191" t="s">
        <v>801</v>
      </c>
      <c r="B21" s="283">
        <v>355</v>
      </c>
      <c r="C21" s="281">
        <v>3.5200000000000002E-2</v>
      </c>
      <c r="D21" s="1198"/>
    </row>
    <row r="22" spans="1:4" ht="15">
      <c r="A22" s="1203"/>
      <c r="B22" s="283"/>
      <c r="C22" s="281"/>
      <c r="D22" s="1198"/>
    </row>
    <row r="23" spans="1:4" ht="15">
      <c r="A23" s="1191" t="s">
        <v>802</v>
      </c>
      <c r="B23" s="283">
        <v>356</v>
      </c>
      <c r="C23" s="281">
        <v>1.9099999999999999E-2</v>
      </c>
      <c r="D23" s="1198"/>
    </row>
    <row r="24" spans="1:4" ht="15">
      <c r="A24" s="1191" t="s">
        <v>803</v>
      </c>
      <c r="B24" s="283">
        <v>356</v>
      </c>
      <c r="C24" s="281">
        <v>1.9099999999999999E-2</v>
      </c>
      <c r="D24" s="1198"/>
    </row>
    <row r="25" spans="1:4" ht="15">
      <c r="A25" s="1191" t="s">
        <v>804</v>
      </c>
      <c r="B25" s="283">
        <v>356</v>
      </c>
      <c r="C25" s="281">
        <v>1.9099999999999999E-2</v>
      </c>
      <c r="D25" s="1198"/>
    </row>
    <row r="26" spans="1:4" ht="15">
      <c r="A26" s="1191" t="s">
        <v>805</v>
      </c>
      <c r="B26" s="283">
        <v>356</v>
      </c>
      <c r="C26" s="281">
        <v>1.9099999999999999E-2</v>
      </c>
      <c r="D26" s="1198"/>
    </row>
    <row r="27" spans="1:4" ht="15">
      <c r="A27" s="1191" t="s">
        <v>806</v>
      </c>
      <c r="B27" s="283">
        <v>356</v>
      </c>
      <c r="C27" s="281">
        <v>1.9099999999999999E-2</v>
      </c>
      <c r="D27" s="1198"/>
    </row>
    <row r="28" spans="1:4" ht="15">
      <c r="A28" s="1191"/>
      <c r="B28" s="283"/>
      <c r="C28" s="281"/>
      <c r="D28" s="1198"/>
    </row>
    <row r="29" spans="1:4" ht="15">
      <c r="A29" s="1191" t="s">
        <v>413</v>
      </c>
      <c r="B29" s="283">
        <v>357</v>
      </c>
      <c r="C29" s="281">
        <v>2.2599999999999999E-2</v>
      </c>
      <c r="D29" s="1198"/>
    </row>
    <row r="30" spans="1:4" ht="15">
      <c r="A30" s="1191" t="s">
        <v>414</v>
      </c>
      <c r="B30" s="283">
        <v>358</v>
      </c>
      <c r="C30" s="281">
        <v>3.27E-2</v>
      </c>
      <c r="D30" s="1198"/>
    </row>
    <row r="31" spans="1:4" ht="15">
      <c r="A31" s="1197"/>
      <c r="B31" s="1190"/>
      <c r="C31" s="329"/>
      <c r="D31" s="1185"/>
    </row>
    <row r="32" spans="1:4" ht="15.75" thickBot="1">
      <c r="A32" s="1205"/>
      <c r="B32" s="1206"/>
      <c r="C32" s="1207"/>
      <c r="D32" s="1185"/>
    </row>
    <row r="33" spans="1:4" ht="15">
      <c r="A33" s="1187"/>
      <c r="B33" s="1182"/>
      <c r="C33" s="281"/>
      <c r="D33" s="1185"/>
    </row>
    <row r="34" spans="1:4" ht="15">
      <c r="A34" s="1185"/>
      <c r="B34" s="1182"/>
      <c r="C34" s="281"/>
      <c r="D34" s="1185"/>
    </row>
    <row r="35" spans="1:4" ht="15.75">
      <c r="A35" s="1185" t="s">
        <v>789</v>
      </c>
      <c r="B35" s="1192"/>
      <c r="C35" s="285"/>
      <c r="D35" s="1185"/>
    </row>
    <row r="36" spans="1:4" ht="15">
      <c r="A36" s="1185"/>
      <c r="B36" s="1185"/>
      <c r="C36" s="1185"/>
      <c r="D36" s="1185"/>
    </row>
    <row r="37" spans="1:4" ht="15" customHeight="1">
      <c r="A37" s="1645" t="s">
        <v>1219</v>
      </c>
      <c r="B37" s="1645"/>
      <c r="C37" s="1645"/>
      <c r="D37" s="1645"/>
    </row>
    <row r="38" spans="1:4" ht="15">
      <c r="A38" s="1309" t="s">
        <v>1220</v>
      </c>
      <c r="B38" s="1309"/>
      <c r="C38" s="1309"/>
      <c r="D38" s="1309"/>
    </row>
    <row r="39" spans="1:4" ht="15">
      <c r="A39" s="1185"/>
      <c r="B39" s="1185"/>
      <c r="C39" s="1185"/>
      <c r="D39" s="1185"/>
    </row>
    <row r="40" spans="1:4" ht="15">
      <c r="A40" s="1185"/>
      <c r="B40" s="1185"/>
      <c r="C40" s="1185"/>
      <c r="D40" s="1185"/>
    </row>
    <row r="41" spans="1:4" ht="15.75">
      <c r="A41" s="1193" t="s">
        <v>807</v>
      </c>
      <c r="B41" s="1182"/>
      <c r="C41" s="281"/>
      <c r="D41" s="1185"/>
    </row>
    <row r="42" spans="1:4">
      <c r="A42" s="1646" t="s">
        <v>826</v>
      </c>
      <c r="B42" s="1646"/>
      <c r="C42" s="1646"/>
      <c r="D42" s="1195"/>
    </row>
    <row r="43" spans="1:4">
      <c r="A43" s="1646"/>
      <c r="B43" s="1646"/>
      <c r="C43" s="1646"/>
      <c r="D43" s="1195"/>
    </row>
    <row r="44" spans="1:4">
      <c r="A44" s="1646"/>
      <c r="B44" s="1646"/>
      <c r="C44" s="1646"/>
      <c r="D44" s="1195"/>
    </row>
    <row r="45" spans="1:4">
      <c r="A45" s="1646"/>
      <c r="B45" s="1646"/>
      <c r="C45" s="1646"/>
      <c r="D45" s="1195"/>
    </row>
    <row r="46" spans="1:4">
      <c r="A46" s="1646"/>
      <c r="B46" s="1646"/>
      <c r="C46" s="1646"/>
      <c r="D46" s="1195"/>
    </row>
    <row r="47" spans="1:4" ht="15">
      <c r="A47" s="1185"/>
      <c r="B47" s="1185"/>
      <c r="C47" s="1185"/>
      <c r="D47" s="1185"/>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Sheet27">
    <pageSetUpPr fitToPage="1"/>
  </sheetPr>
  <dimension ref="A1:H45"/>
  <sheetViews>
    <sheetView defaultGridColor="0" view="pageBreakPreview" topLeftCell="A4" colorId="22" zoomScale="60" zoomScaleNormal="75" workbookViewId="0">
      <selection activeCell="A37" sqref="A37:D37"/>
    </sheetView>
  </sheetViews>
  <sheetFormatPr defaultColWidth="14.5703125" defaultRowHeight="15"/>
  <cols>
    <col min="1" max="1" width="41.5703125" style="1185" customWidth="1"/>
    <col min="2" max="2" width="33.140625" style="1185" customWidth="1"/>
    <col min="3" max="4" width="31.85546875" style="1185" customWidth="1"/>
    <col min="5" max="5" width="16.5703125" style="1185" customWidth="1"/>
    <col min="6" max="6" width="14.5703125" style="1185" customWidth="1"/>
    <col min="7" max="7" width="4.85546875" style="1185" customWidth="1"/>
    <col min="8" max="8" width="14.5703125" style="1186" customWidth="1"/>
    <col min="9" max="9" width="18.42578125" style="1185" customWidth="1"/>
    <col min="10" max="10" width="15.5703125" style="1185" customWidth="1"/>
    <col min="11" max="11" width="6.140625" style="1185" customWidth="1"/>
    <col min="12" max="12" width="14.5703125" style="1185" customWidth="1"/>
    <col min="13" max="13" width="16.140625" style="1185" customWidth="1"/>
    <col min="14" max="14" width="14.5703125" style="1185" customWidth="1"/>
    <col min="15" max="15" width="4.85546875" style="1185" customWidth="1"/>
    <col min="16" max="16" width="18.5703125" style="1185" customWidth="1"/>
    <col min="17" max="16384" width="14.5703125" style="1185"/>
  </cols>
  <sheetData>
    <row r="1" spans="1:7" s="807" customFormat="1" ht="15.75">
      <c r="A1" s="933" t="s">
        <v>116</v>
      </c>
      <c r="G1" s="284"/>
    </row>
    <row r="2" spans="1:7" s="807" customFormat="1" ht="15.75">
      <c r="A2" s="933" t="s">
        <v>116</v>
      </c>
      <c r="G2" s="284"/>
    </row>
    <row r="3" spans="1:7" ht="19.5">
      <c r="A3" s="1309"/>
      <c r="B3" s="1644" t="s">
        <v>393</v>
      </c>
      <c r="C3" s="1644"/>
      <c r="D3" s="1644"/>
      <c r="E3" s="1644"/>
    </row>
    <row r="4" spans="1:7" ht="19.5">
      <c r="A4" s="1309"/>
      <c r="B4" s="1644" t="s">
        <v>783</v>
      </c>
      <c r="C4" s="1644"/>
      <c r="D4" s="1644"/>
      <c r="E4" s="1644"/>
    </row>
    <row r="5" spans="1:7" ht="19.5">
      <c r="A5" s="1309"/>
      <c r="B5" s="1644" t="s">
        <v>784</v>
      </c>
      <c r="C5" s="1644"/>
      <c r="D5" s="1644"/>
      <c r="E5" s="1644"/>
    </row>
    <row r="6" spans="1:7" ht="19.5">
      <c r="A6" s="1309"/>
      <c r="B6" s="1644" t="s">
        <v>1221</v>
      </c>
      <c r="C6" s="1644"/>
      <c r="D6" s="1644"/>
      <c r="E6" s="1644"/>
    </row>
    <row r="7" spans="1:7" ht="19.5">
      <c r="A7" s="1309"/>
      <c r="B7" s="1644" t="s">
        <v>786</v>
      </c>
      <c r="C7" s="1644"/>
      <c r="D7" s="1644"/>
      <c r="E7" s="1644"/>
    </row>
    <row r="8" spans="1:7" ht="19.5">
      <c r="A8" s="1309"/>
      <c r="B8" s="1644" t="s">
        <v>808</v>
      </c>
      <c r="C8" s="1644"/>
      <c r="D8" s="1644"/>
      <c r="E8" s="1644"/>
    </row>
    <row r="9" spans="1:7">
      <c r="A9" s="1309"/>
      <c r="B9" s="1303"/>
      <c r="C9" s="1303"/>
      <c r="D9" s="1305" t="s">
        <v>116</v>
      </c>
      <c r="E9" s="1309"/>
    </row>
    <row r="10" spans="1:7">
      <c r="A10" s="1646"/>
      <c r="B10" s="1646"/>
      <c r="C10" s="1646"/>
      <c r="D10" s="1195"/>
      <c r="E10" s="1309"/>
    </row>
    <row r="11" spans="1:7" ht="15.75">
      <c r="A11" s="1303"/>
      <c r="B11" s="1194" t="s">
        <v>401</v>
      </c>
      <c r="C11" s="1309"/>
      <c r="D11" s="1309"/>
      <c r="E11" s="1309"/>
    </row>
    <row r="12" spans="1:7" ht="15.75">
      <c r="A12" s="1305"/>
      <c r="B12" s="1194" t="s">
        <v>405</v>
      </c>
      <c r="C12" s="1194" t="s">
        <v>406</v>
      </c>
      <c r="D12" s="1194"/>
      <c r="E12" s="1309"/>
    </row>
    <row r="13" spans="1:7" ht="15.75" thickBot="1">
      <c r="A13" s="1309"/>
      <c r="B13" s="1309"/>
      <c r="C13" s="1198" t="s">
        <v>501</v>
      </c>
      <c r="D13" s="1309"/>
      <c r="E13" s="1309"/>
    </row>
    <row r="14" spans="1:7">
      <c r="A14" s="1313" t="s">
        <v>408</v>
      </c>
      <c r="B14" s="1314"/>
      <c r="C14" s="1295"/>
      <c r="D14" s="1309"/>
      <c r="E14" s="1309"/>
    </row>
    <row r="15" spans="1:7">
      <c r="A15" s="1197"/>
      <c r="B15" s="1309"/>
      <c r="C15" s="1309"/>
      <c r="D15" s="1198"/>
      <c r="E15" s="1309"/>
    </row>
    <row r="16" spans="1:7">
      <c r="A16" s="1316" t="s">
        <v>409</v>
      </c>
      <c r="B16" s="1299">
        <v>352</v>
      </c>
      <c r="C16" s="1294">
        <v>1.15E-2</v>
      </c>
      <c r="D16" s="1198"/>
      <c r="E16" s="1309"/>
    </row>
    <row r="17" spans="1:5">
      <c r="A17" s="1203" t="s">
        <v>410</v>
      </c>
      <c r="B17" s="1299">
        <v>353</v>
      </c>
      <c r="C17" s="1294">
        <v>2.2200000000000001E-2</v>
      </c>
      <c r="D17" s="1198"/>
      <c r="E17" s="1309"/>
    </row>
    <row r="18" spans="1:5">
      <c r="A18" s="1203" t="s">
        <v>411</v>
      </c>
      <c r="B18" s="1299">
        <v>354</v>
      </c>
      <c r="C18" s="1294">
        <v>2.6499999999999999E-2</v>
      </c>
      <c r="D18" s="1198"/>
      <c r="E18" s="1309"/>
    </row>
    <row r="19" spans="1:5">
      <c r="A19" s="1203" t="s">
        <v>412</v>
      </c>
      <c r="B19" s="1299">
        <v>355</v>
      </c>
      <c r="C19" s="1294">
        <v>2.41E-2</v>
      </c>
      <c r="D19" s="1198"/>
      <c r="E19" s="1309"/>
    </row>
    <row r="20" spans="1:5">
      <c r="A20" s="1203" t="s">
        <v>779</v>
      </c>
      <c r="B20" s="1299">
        <v>356</v>
      </c>
      <c r="C20" s="1294">
        <v>1.32E-2</v>
      </c>
      <c r="D20" s="1198"/>
      <c r="E20" s="1309"/>
    </row>
    <row r="21" spans="1:5">
      <c r="A21" s="1203" t="s">
        <v>413</v>
      </c>
      <c r="B21" s="1299">
        <v>351</v>
      </c>
      <c r="C21" s="1294">
        <v>9.9400000000000002E-2</v>
      </c>
      <c r="D21" s="1198"/>
      <c r="E21" s="1309"/>
    </row>
    <row r="22" spans="1:5">
      <c r="A22" s="1203" t="s">
        <v>414</v>
      </c>
      <c r="B22" s="1299">
        <v>351</v>
      </c>
      <c r="C22" s="1294">
        <v>0.13980000000000001</v>
      </c>
      <c r="D22" s="1198"/>
      <c r="E22" s="1309"/>
    </row>
    <row r="23" spans="1:5">
      <c r="A23" s="1203" t="s">
        <v>780</v>
      </c>
      <c r="B23" s="1299">
        <v>359</v>
      </c>
      <c r="C23" s="1196" t="s">
        <v>809</v>
      </c>
      <c r="D23" s="1198"/>
      <c r="E23" s="1309"/>
    </row>
    <row r="24" spans="1:5" ht="15.75" thickBot="1">
      <c r="A24" s="1203"/>
      <c r="B24" s="1299"/>
      <c r="C24" s="1294"/>
      <c r="D24" s="1198"/>
      <c r="E24" s="1309"/>
    </row>
    <row r="25" spans="1:5">
      <c r="A25" s="1313" t="s">
        <v>810</v>
      </c>
      <c r="B25" s="1314"/>
      <c r="C25" s="1295"/>
      <c r="D25" s="1198"/>
      <c r="E25" s="1309"/>
    </row>
    <row r="26" spans="1:5" ht="15" customHeight="1">
      <c r="A26" s="1203"/>
      <c r="B26" s="1299"/>
      <c r="C26" s="1294"/>
      <c r="D26" s="1198"/>
      <c r="E26" s="1309"/>
    </row>
    <row r="27" spans="1:5">
      <c r="A27" s="1203" t="s">
        <v>811</v>
      </c>
      <c r="B27" s="1299">
        <v>390</v>
      </c>
      <c r="C27" s="1294">
        <v>1.0800000000000001E-2</v>
      </c>
      <c r="D27" s="1198"/>
      <c r="E27" s="1309"/>
    </row>
    <row r="28" spans="1:5">
      <c r="A28" s="1203" t="s">
        <v>812</v>
      </c>
      <c r="B28" s="1299">
        <v>391</v>
      </c>
      <c r="C28" s="1294">
        <v>2.1299999999999999E-2</v>
      </c>
      <c r="D28" s="1198"/>
      <c r="E28" s="1309"/>
    </row>
    <row r="29" spans="1:5">
      <c r="A29" s="1203" t="s">
        <v>813</v>
      </c>
      <c r="B29" s="1299">
        <v>393</v>
      </c>
      <c r="C29" s="1294">
        <v>1.78E-2</v>
      </c>
      <c r="D29" s="1198"/>
      <c r="E29" s="1309"/>
    </row>
    <row r="30" spans="1:5" ht="15" customHeight="1">
      <c r="A30" s="1203" t="s">
        <v>814</v>
      </c>
      <c r="B30" s="1299">
        <v>394</v>
      </c>
      <c r="C30" s="1294">
        <v>1.6500000000000001E-2</v>
      </c>
      <c r="D30" s="1198"/>
      <c r="E30" s="1309"/>
    </row>
    <row r="31" spans="1:5">
      <c r="A31" s="1203" t="s">
        <v>816</v>
      </c>
      <c r="B31" s="1299">
        <v>397</v>
      </c>
      <c r="C31" s="1294">
        <v>5.0900000000000001E-2</v>
      </c>
      <c r="D31" s="1198"/>
      <c r="E31" s="1309"/>
    </row>
    <row r="32" spans="1:5">
      <c r="A32" s="1203" t="s">
        <v>817</v>
      </c>
      <c r="B32" s="1299">
        <v>398</v>
      </c>
      <c r="C32" s="1294">
        <v>2.76E-2</v>
      </c>
      <c r="D32" s="1198"/>
      <c r="E32" s="1309"/>
    </row>
    <row r="33" spans="1:5">
      <c r="A33" s="1203"/>
      <c r="B33" s="1299"/>
      <c r="C33" s="1294"/>
      <c r="D33" s="1198"/>
      <c r="E33" s="1309"/>
    </row>
    <row r="34" spans="1:5">
      <c r="A34" s="1203"/>
      <c r="B34" s="1299"/>
      <c r="C34" s="1294"/>
      <c r="D34" s="1198"/>
      <c r="E34" s="1309"/>
    </row>
    <row r="35" spans="1:5">
      <c r="A35" s="1203"/>
      <c r="B35" s="1299"/>
      <c r="C35" s="1294"/>
      <c r="D35" s="1198"/>
      <c r="E35" s="1309"/>
    </row>
    <row r="36" spans="1:5">
      <c r="A36" s="1197"/>
      <c r="B36" s="1315"/>
      <c r="C36" s="329"/>
      <c r="D36" s="1309"/>
      <c r="E36" s="1309"/>
    </row>
    <row r="37" spans="1:5" ht="15" customHeight="1">
      <c r="A37" s="1645" t="s">
        <v>1222</v>
      </c>
      <c r="B37" s="1645"/>
      <c r="C37" s="1645"/>
      <c r="D37" s="1645"/>
      <c r="E37" s="1309"/>
    </row>
    <row r="38" spans="1:5" ht="15.75">
      <c r="A38" s="1309"/>
      <c r="B38" s="1317"/>
      <c r="C38" s="1302"/>
      <c r="D38" s="1309"/>
      <c r="E38" s="1309"/>
    </row>
    <row r="39" spans="1:5">
      <c r="A39" s="1645"/>
      <c r="B39" s="1645"/>
      <c r="C39" s="1645"/>
      <c r="D39" s="1645"/>
      <c r="E39" s="1309"/>
    </row>
    <row r="40" spans="1:5" ht="15.75">
      <c r="A40" s="1319" t="s">
        <v>807</v>
      </c>
      <c r="B40" s="1303"/>
      <c r="C40" s="1294"/>
      <c r="D40" s="1309"/>
      <c r="E40" s="1309"/>
    </row>
    <row r="41" spans="1:5">
      <c r="A41" s="1646" t="s">
        <v>826</v>
      </c>
      <c r="B41" s="1646"/>
      <c r="C41" s="1646"/>
      <c r="D41" s="1195"/>
      <c r="E41" s="1309"/>
    </row>
    <row r="42" spans="1:5">
      <c r="A42" s="1646"/>
      <c r="B42" s="1646"/>
      <c r="C42" s="1646"/>
      <c r="D42" s="1195"/>
      <c r="E42" s="1309"/>
    </row>
    <row r="43" spans="1:5">
      <c r="A43" s="1646"/>
      <c r="B43" s="1646"/>
      <c r="C43" s="1646"/>
      <c r="D43" s="1195"/>
      <c r="E43" s="1309"/>
    </row>
    <row r="44" spans="1:5">
      <c r="A44" s="1646"/>
      <c r="B44" s="1646"/>
      <c r="C44" s="1646"/>
      <c r="D44" s="1195"/>
      <c r="E44" s="1309"/>
    </row>
    <row r="45" spans="1:5">
      <c r="A45" s="1646"/>
      <c r="B45" s="1646"/>
      <c r="C45" s="1646"/>
      <c r="D45" s="1195"/>
      <c r="E45" s="1309"/>
    </row>
  </sheetData>
  <mergeCells count="10">
    <mergeCell ref="A37:D37"/>
    <mergeCell ref="A39:D39"/>
    <mergeCell ref="A41:C45"/>
    <mergeCell ref="A10:C10"/>
    <mergeCell ref="B3:E3"/>
    <mergeCell ref="B4:E4"/>
    <mergeCell ref="B5:E5"/>
    <mergeCell ref="B6:E6"/>
    <mergeCell ref="B7:E7"/>
    <mergeCell ref="B8:E8"/>
  </mergeCells>
  <conditionalFormatting sqref="B3:T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61"/>
  <sheetViews>
    <sheetView view="pageBreakPreview" zoomScale="60" zoomScaleNormal="100" workbookViewId="0">
      <selection activeCell="F17" sqref="F17"/>
    </sheetView>
  </sheetViews>
  <sheetFormatPr defaultColWidth="8.85546875" defaultRowHeight="12.75"/>
  <cols>
    <col min="1" max="1" width="33.42578125" style="348" customWidth="1"/>
    <col min="2" max="2" width="10.42578125" style="348" customWidth="1"/>
    <col min="3" max="3" width="3.42578125" style="348" customWidth="1"/>
    <col min="4" max="4" width="25.85546875" style="348" customWidth="1"/>
    <col min="5" max="5" width="4.5703125" style="348" customWidth="1"/>
    <col min="6" max="6" width="15.5703125" style="348" customWidth="1"/>
    <col min="7" max="7" width="8.85546875" style="348"/>
    <col min="8" max="8" width="17.85546875" style="348" customWidth="1"/>
    <col min="9" max="9" width="18.140625" style="348" customWidth="1"/>
    <col min="10" max="10" width="8.85546875" style="348"/>
    <col min="11" max="11" width="18.140625" style="348" customWidth="1"/>
    <col min="12" max="16384" width="8.85546875" style="348"/>
  </cols>
  <sheetData>
    <row r="1" spans="1:11" ht="15.75">
      <c r="A1" s="933" t="s">
        <v>116</v>
      </c>
    </row>
    <row r="2" spans="1:11" ht="15.75">
      <c r="A2" s="933" t="s">
        <v>116</v>
      </c>
    </row>
    <row r="3" spans="1:11" ht="15.75">
      <c r="A3" s="1647" t="s">
        <v>389</v>
      </c>
      <c r="B3" s="1647"/>
      <c r="C3" s="1647"/>
      <c r="D3" s="1647"/>
      <c r="E3" s="1647"/>
      <c r="F3" s="1647"/>
      <c r="G3" s="1647"/>
      <c r="H3" s="1647"/>
      <c r="I3" s="1647"/>
      <c r="J3" s="1647"/>
      <c r="K3" s="1647"/>
    </row>
    <row r="4" spans="1:11" ht="15.75">
      <c r="A4" s="1648" t="s">
        <v>570</v>
      </c>
      <c r="B4" s="1648"/>
      <c r="C4" s="1648"/>
      <c r="D4" s="1648"/>
      <c r="E4" s="1648"/>
      <c r="F4" s="1648"/>
      <c r="G4" s="1648"/>
      <c r="H4" s="1648"/>
      <c r="I4" s="1648"/>
      <c r="J4" s="1648"/>
      <c r="K4" s="1648"/>
    </row>
    <row r="5" spans="1:11" ht="15.75">
      <c r="A5" s="1648" t="s">
        <v>571</v>
      </c>
      <c r="B5" s="1648"/>
      <c r="C5" s="1648"/>
      <c r="D5" s="1648"/>
      <c r="E5" s="1648"/>
      <c r="F5" s="1648"/>
      <c r="G5" s="1648"/>
      <c r="H5" s="1648"/>
      <c r="I5" s="1648"/>
      <c r="J5" s="1648"/>
      <c r="K5" s="1648"/>
    </row>
    <row r="6" spans="1:11" ht="15.75">
      <c r="A6" s="1650" t="str">
        <f>TCOS!F9</f>
        <v>KINGSPORT POWER COMPANY</v>
      </c>
      <c r="B6" s="1650"/>
      <c r="C6" s="1650"/>
      <c r="D6" s="1650"/>
      <c r="E6" s="1650"/>
      <c r="F6" s="1650"/>
      <c r="G6" s="1650"/>
      <c r="H6" s="1650"/>
      <c r="I6" s="1650"/>
      <c r="J6" s="1650"/>
      <c r="K6" s="1650"/>
    </row>
    <row r="7" spans="1:11">
      <c r="A7" s="430"/>
      <c r="B7" s="430"/>
      <c r="C7" s="430"/>
      <c r="D7" s="430"/>
      <c r="E7" s="430"/>
      <c r="F7" s="430"/>
      <c r="G7" s="430"/>
      <c r="H7" s="430"/>
      <c r="I7" s="430"/>
      <c r="J7" s="430"/>
      <c r="K7" s="430"/>
    </row>
    <row r="8" spans="1:11">
      <c r="A8" s="430"/>
      <c r="B8" s="430"/>
      <c r="C8" s="430"/>
      <c r="D8" s="430"/>
      <c r="E8" s="430"/>
      <c r="F8" s="430"/>
      <c r="G8" s="430"/>
      <c r="H8" s="430"/>
      <c r="I8" s="430"/>
      <c r="J8" s="430"/>
      <c r="K8" s="430"/>
    </row>
    <row r="9" spans="1:11" ht="16.5" thickBot="1">
      <c r="A9" s="821"/>
      <c r="B9" s="822"/>
      <c r="C9" s="822"/>
      <c r="D9" s="822"/>
      <c r="E9" s="822"/>
      <c r="F9" s="822" t="s">
        <v>116</v>
      </c>
      <c r="G9" s="822"/>
      <c r="H9" s="822"/>
      <c r="I9" s="822"/>
      <c r="J9" s="822"/>
      <c r="K9" s="822"/>
    </row>
    <row r="10" spans="1:11" ht="47.25">
      <c r="A10" s="823" t="str">
        <f>"Reconciliation Revenue Requirement For Year 2018 Available May 25, 2019"</f>
        <v>Reconciliation Revenue Requirement For Year 2018 Available May 25, 2019</v>
      </c>
      <c r="B10" s="822"/>
      <c r="C10" s="822"/>
      <c r="D10" s="823" t="s">
        <v>1102</v>
      </c>
      <c r="E10" s="822"/>
      <c r="F10" s="822"/>
      <c r="G10" s="536"/>
      <c r="H10" s="823" t="s">
        <v>551</v>
      </c>
      <c r="I10" s="536"/>
      <c r="J10" s="536"/>
      <c r="K10" s="536"/>
    </row>
    <row r="11" spans="1:11" ht="15.75">
      <c r="A11" s="824" t="s">
        <v>116</v>
      </c>
      <c r="B11" s="822"/>
      <c r="C11" s="822"/>
      <c r="D11" s="824"/>
      <c r="E11" s="822"/>
      <c r="F11" s="822"/>
      <c r="G11" s="536"/>
      <c r="H11" s="825"/>
      <c r="I11" s="536"/>
      <c r="J11" s="536"/>
      <c r="K11" s="536"/>
    </row>
    <row r="12" spans="1:11" ht="16.5" thickBot="1">
      <c r="A12" s="913">
        <v>0</v>
      </c>
      <c r="B12" s="826" t="str">
        <f>"-"</f>
        <v>-</v>
      </c>
      <c r="C12" s="827"/>
      <c r="D12" s="913">
        <v>0</v>
      </c>
      <c r="E12" s="828"/>
      <c r="F12" s="829" t="str">
        <f>"="</f>
        <v>=</v>
      </c>
      <c r="G12" s="830"/>
      <c r="H12" s="831">
        <f>IF(A12=0,0,D12-A12)</f>
        <v>0</v>
      </c>
      <c r="I12" s="536"/>
      <c r="J12" s="536"/>
      <c r="K12" s="536"/>
    </row>
    <row r="13" spans="1:11" ht="15.75">
      <c r="A13" s="832"/>
      <c r="B13" s="833"/>
      <c r="C13" s="833"/>
      <c r="D13" s="832"/>
      <c r="E13" s="832"/>
      <c r="F13" s="833"/>
      <c r="G13" s="832"/>
      <c r="H13" s="536"/>
      <c r="I13" s="536"/>
      <c r="J13" s="536"/>
      <c r="K13" s="536"/>
    </row>
    <row r="14" spans="1:11" ht="16.5" thickBot="1">
      <c r="A14" s="834"/>
      <c r="B14" s="835"/>
      <c r="C14" s="835"/>
      <c r="D14" s="834"/>
      <c r="E14" s="834"/>
      <c r="F14" s="835"/>
      <c r="G14" s="834"/>
      <c r="H14" s="836"/>
      <c r="I14" s="836"/>
      <c r="J14" s="836"/>
      <c r="K14" s="836"/>
    </row>
    <row r="15" spans="1:11" ht="15.75">
      <c r="A15" s="837"/>
      <c r="B15" s="833"/>
      <c r="C15" s="833"/>
      <c r="D15" s="832"/>
      <c r="E15" s="832"/>
      <c r="F15" s="833"/>
      <c r="G15" s="832"/>
      <c r="H15" s="536"/>
      <c r="I15" s="536"/>
      <c r="J15" s="536"/>
      <c r="K15" s="536"/>
    </row>
    <row r="16" spans="1:11" ht="47.25">
      <c r="A16" s="838" t="s">
        <v>552</v>
      </c>
      <c r="B16" s="833"/>
      <c r="C16" s="833"/>
      <c r="D16" s="839" t="s">
        <v>553</v>
      </c>
      <c r="E16" s="832"/>
      <c r="F16" s="839" t="s">
        <v>554</v>
      </c>
      <c r="G16" s="840" t="s">
        <v>555</v>
      </c>
      <c r="H16" s="841" t="s">
        <v>556</v>
      </c>
      <c r="I16" s="839" t="s">
        <v>557</v>
      </c>
      <c r="J16" s="842"/>
      <c r="K16" s="839" t="s">
        <v>558</v>
      </c>
    </row>
    <row r="17" spans="1:11" ht="15.75">
      <c r="A17" s="838" t="s">
        <v>559</v>
      </c>
      <c r="B17" s="833"/>
      <c r="C17" s="833"/>
      <c r="D17" s="536"/>
      <c r="E17" s="843"/>
      <c r="F17" s="914">
        <v>4.0949999999999997E-3</v>
      </c>
      <c r="H17" s="536"/>
      <c r="I17" s="536"/>
      <c r="J17" s="536"/>
      <c r="K17" s="536"/>
    </row>
    <row r="18" spans="1:11" ht="15.75">
      <c r="A18" s="838"/>
      <c r="B18" s="833"/>
      <c r="C18" s="833"/>
      <c r="D18" s="536"/>
      <c r="E18" s="843"/>
      <c r="F18" s="843"/>
      <c r="G18" s="832"/>
      <c r="H18" s="536"/>
      <c r="I18" s="536"/>
      <c r="J18" s="536"/>
      <c r="K18" s="536"/>
    </row>
    <row r="19" spans="1:11" ht="15.75">
      <c r="A19" s="838" t="s">
        <v>572</v>
      </c>
      <c r="B19" s="833"/>
      <c r="C19" s="833"/>
      <c r="D19" s="536"/>
      <c r="E19" s="843"/>
      <c r="F19" s="843"/>
      <c r="G19" s="832"/>
      <c r="H19" s="536"/>
      <c r="I19" s="536"/>
      <c r="J19" s="536"/>
      <c r="K19" s="536"/>
    </row>
    <row r="20" spans="1:11" ht="15.75">
      <c r="A20" s="844" t="s">
        <v>116</v>
      </c>
      <c r="B20" s="833"/>
      <c r="C20" s="833"/>
      <c r="D20" s="833"/>
      <c r="E20" s="833"/>
      <c r="F20" s="833" t="s">
        <v>116</v>
      </c>
      <c r="G20" s="536"/>
      <c r="H20" s="536"/>
      <c r="I20" s="536"/>
      <c r="J20" s="536"/>
      <c r="K20" s="536"/>
    </row>
    <row r="21" spans="1:11" ht="15.75">
      <c r="A21" s="845"/>
      <c r="B21" s="833"/>
      <c r="C21" s="833"/>
      <c r="D21" s="833"/>
      <c r="E21" s="833"/>
      <c r="F21" s="536"/>
      <c r="G21" s="536"/>
      <c r="H21" s="840"/>
      <c r="I21" s="833"/>
      <c r="J21" s="833"/>
      <c r="K21" s="833"/>
    </row>
    <row r="22" spans="1:11" ht="15.75">
      <c r="A22" s="845" t="s">
        <v>560</v>
      </c>
      <c r="B22" s="833"/>
      <c r="C22" s="833"/>
      <c r="D22" s="833"/>
      <c r="E22" s="833"/>
      <c r="F22" s="536"/>
      <c r="G22" s="536"/>
      <c r="H22" s="840" t="s">
        <v>561</v>
      </c>
      <c r="I22" s="833"/>
      <c r="J22" s="833"/>
      <c r="K22" s="833"/>
    </row>
    <row r="23" spans="1:11" ht="15.75">
      <c r="A23" s="822" t="s">
        <v>187</v>
      </c>
      <c r="B23" s="822" t="str">
        <f>"Year "&amp;TCOS!L4-2</f>
        <v>Year 2022</v>
      </c>
      <c r="C23" s="822"/>
      <c r="D23" s="846">
        <f>H12/12</f>
        <v>0</v>
      </c>
      <c r="E23" s="846"/>
      <c r="F23" s="847">
        <f>+F17</f>
        <v>4.0949999999999997E-3</v>
      </c>
      <c r="G23" s="848">
        <v>12</v>
      </c>
      <c r="H23" s="846">
        <f>F23*D23*G23*-1</f>
        <v>0</v>
      </c>
      <c r="I23" s="846"/>
      <c r="J23" s="846"/>
      <c r="K23" s="846">
        <f>(-H23+D23)*-1</f>
        <v>0</v>
      </c>
    </row>
    <row r="24" spans="1:11" ht="15.75">
      <c r="A24" s="822" t="s">
        <v>562</v>
      </c>
      <c r="B24" s="822" t="str">
        <f>B23</f>
        <v>Year 2022</v>
      </c>
      <c r="C24" s="822"/>
      <c r="D24" s="846">
        <f>+D23</f>
        <v>0</v>
      </c>
      <c r="E24" s="846"/>
      <c r="F24" s="847">
        <f>+F23</f>
        <v>4.0949999999999997E-3</v>
      </c>
      <c r="G24" s="848">
        <f t="shared" ref="G24:G34" si="0">+G23-1</f>
        <v>11</v>
      </c>
      <c r="H24" s="846">
        <f t="shared" ref="H24:H34" si="1">F24*D24*G24*-1</f>
        <v>0</v>
      </c>
      <c r="I24" s="846"/>
      <c r="J24" s="846"/>
      <c r="K24" s="846">
        <f t="shared" ref="K24:K34" si="2">(-H24+D24)*-1</f>
        <v>0</v>
      </c>
    </row>
    <row r="25" spans="1:11" ht="15.75">
      <c r="A25" s="822" t="s">
        <v>188</v>
      </c>
      <c r="B25" s="822" t="str">
        <f t="shared" ref="B25:B34" si="3">B24</f>
        <v>Year 2022</v>
      </c>
      <c r="C25" s="822"/>
      <c r="D25" s="846">
        <f t="shared" ref="D25:D34" si="4">+D24</f>
        <v>0</v>
      </c>
      <c r="E25" s="846"/>
      <c r="F25" s="847">
        <f t="shared" ref="F25:F34" si="5">+F24</f>
        <v>4.0949999999999997E-3</v>
      </c>
      <c r="G25" s="848">
        <f t="shared" si="0"/>
        <v>10</v>
      </c>
      <c r="H25" s="846">
        <f t="shared" si="1"/>
        <v>0</v>
      </c>
      <c r="I25" s="846"/>
      <c r="J25" s="846"/>
      <c r="K25" s="846">
        <f t="shared" si="2"/>
        <v>0</v>
      </c>
    </row>
    <row r="26" spans="1:11" ht="15.75">
      <c r="A26" s="822" t="s">
        <v>189</v>
      </c>
      <c r="B26" s="822" t="str">
        <f t="shared" si="3"/>
        <v>Year 2022</v>
      </c>
      <c r="C26" s="822"/>
      <c r="D26" s="846">
        <f t="shared" si="4"/>
        <v>0</v>
      </c>
      <c r="E26" s="846"/>
      <c r="F26" s="847">
        <f t="shared" si="5"/>
        <v>4.0949999999999997E-3</v>
      </c>
      <c r="G26" s="848">
        <f t="shared" si="0"/>
        <v>9</v>
      </c>
      <c r="H26" s="846">
        <f t="shared" si="1"/>
        <v>0</v>
      </c>
      <c r="I26" s="846"/>
      <c r="J26" s="846"/>
      <c r="K26" s="846">
        <f t="shared" si="2"/>
        <v>0</v>
      </c>
    </row>
    <row r="27" spans="1:11" ht="15.75">
      <c r="A27" s="822" t="s">
        <v>190</v>
      </c>
      <c r="B27" s="822" t="str">
        <f t="shared" si="3"/>
        <v>Year 2022</v>
      </c>
      <c r="C27" s="822"/>
      <c r="D27" s="846">
        <f t="shared" si="4"/>
        <v>0</v>
      </c>
      <c r="E27" s="846"/>
      <c r="F27" s="847">
        <f t="shared" si="5"/>
        <v>4.0949999999999997E-3</v>
      </c>
      <c r="G27" s="848">
        <f t="shared" si="0"/>
        <v>8</v>
      </c>
      <c r="H27" s="846">
        <f t="shared" si="1"/>
        <v>0</v>
      </c>
      <c r="I27" s="846"/>
      <c r="J27" s="846"/>
      <c r="K27" s="846">
        <f t="shared" si="2"/>
        <v>0</v>
      </c>
    </row>
    <row r="28" spans="1:11" ht="15.75">
      <c r="A28" s="822" t="s">
        <v>384</v>
      </c>
      <c r="B28" s="822" t="str">
        <f t="shared" si="3"/>
        <v>Year 2022</v>
      </c>
      <c r="C28" s="822"/>
      <c r="D28" s="846">
        <f t="shared" si="4"/>
        <v>0</v>
      </c>
      <c r="E28" s="846"/>
      <c r="F28" s="847">
        <f t="shared" si="5"/>
        <v>4.0949999999999997E-3</v>
      </c>
      <c r="G28" s="848">
        <f t="shared" si="0"/>
        <v>7</v>
      </c>
      <c r="H28" s="846">
        <f t="shared" si="1"/>
        <v>0</v>
      </c>
      <c r="I28" s="846"/>
      <c r="J28" s="846"/>
      <c r="K28" s="846">
        <f t="shared" si="2"/>
        <v>0</v>
      </c>
    </row>
    <row r="29" spans="1:11" ht="15.75">
      <c r="A29" s="822" t="s">
        <v>191</v>
      </c>
      <c r="B29" s="822" t="str">
        <f t="shared" si="3"/>
        <v>Year 2022</v>
      </c>
      <c r="C29" s="822"/>
      <c r="D29" s="846">
        <f t="shared" si="4"/>
        <v>0</v>
      </c>
      <c r="E29" s="846"/>
      <c r="F29" s="847">
        <f t="shared" si="5"/>
        <v>4.0949999999999997E-3</v>
      </c>
      <c r="G29" s="848">
        <f t="shared" si="0"/>
        <v>6</v>
      </c>
      <c r="H29" s="846">
        <f t="shared" si="1"/>
        <v>0</v>
      </c>
      <c r="I29" s="846"/>
      <c r="J29" s="846"/>
      <c r="K29" s="846">
        <f t="shared" si="2"/>
        <v>0</v>
      </c>
    </row>
    <row r="30" spans="1:11" ht="15.75">
      <c r="A30" s="822" t="s">
        <v>192</v>
      </c>
      <c r="B30" s="822" t="str">
        <f t="shared" si="3"/>
        <v>Year 2022</v>
      </c>
      <c r="C30" s="822"/>
      <c r="D30" s="846">
        <f t="shared" si="4"/>
        <v>0</v>
      </c>
      <c r="E30" s="846"/>
      <c r="F30" s="847">
        <f t="shared" si="5"/>
        <v>4.0949999999999997E-3</v>
      </c>
      <c r="G30" s="848">
        <f t="shared" si="0"/>
        <v>5</v>
      </c>
      <c r="H30" s="846">
        <f t="shared" si="1"/>
        <v>0</v>
      </c>
      <c r="I30" s="846"/>
      <c r="J30" s="846"/>
      <c r="K30" s="846">
        <f t="shared" si="2"/>
        <v>0</v>
      </c>
    </row>
    <row r="31" spans="1:11" ht="15.75">
      <c r="A31" s="822" t="s">
        <v>194</v>
      </c>
      <c r="B31" s="822" t="str">
        <f t="shared" si="3"/>
        <v>Year 2022</v>
      </c>
      <c r="C31" s="822"/>
      <c r="D31" s="846">
        <f t="shared" si="4"/>
        <v>0</v>
      </c>
      <c r="E31" s="846"/>
      <c r="F31" s="847">
        <f t="shared" si="5"/>
        <v>4.0949999999999997E-3</v>
      </c>
      <c r="G31" s="848">
        <f t="shared" si="0"/>
        <v>4</v>
      </c>
      <c r="H31" s="846">
        <f t="shared" si="1"/>
        <v>0</v>
      </c>
      <c r="I31" s="846"/>
      <c r="J31" s="846"/>
      <c r="K31" s="846">
        <f t="shared" si="2"/>
        <v>0</v>
      </c>
    </row>
    <row r="32" spans="1:11" ht="15.75">
      <c r="A32" s="822" t="s">
        <v>563</v>
      </c>
      <c r="B32" s="822" t="str">
        <f t="shared" si="3"/>
        <v>Year 2022</v>
      </c>
      <c r="C32" s="822"/>
      <c r="D32" s="846">
        <f t="shared" si="4"/>
        <v>0</v>
      </c>
      <c r="E32" s="846"/>
      <c r="F32" s="847">
        <f t="shared" si="5"/>
        <v>4.0949999999999997E-3</v>
      </c>
      <c r="G32" s="848">
        <f t="shared" si="0"/>
        <v>3</v>
      </c>
      <c r="H32" s="846">
        <f t="shared" si="1"/>
        <v>0</v>
      </c>
      <c r="I32" s="846"/>
      <c r="J32" s="846"/>
      <c r="K32" s="846">
        <f t="shared" si="2"/>
        <v>0</v>
      </c>
    </row>
    <row r="33" spans="1:11" ht="15.75">
      <c r="A33" s="822" t="s">
        <v>564</v>
      </c>
      <c r="B33" s="822" t="str">
        <f t="shared" si="3"/>
        <v>Year 2022</v>
      </c>
      <c r="C33" s="822"/>
      <c r="D33" s="846">
        <f t="shared" si="4"/>
        <v>0</v>
      </c>
      <c r="E33" s="846"/>
      <c r="F33" s="847">
        <f t="shared" si="5"/>
        <v>4.0949999999999997E-3</v>
      </c>
      <c r="G33" s="848">
        <f t="shared" si="0"/>
        <v>2</v>
      </c>
      <c r="H33" s="846">
        <f t="shared" si="1"/>
        <v>0</v>
      </c>
      <c r="I33" s="846"/>
      <c r="J33" s="846"/>
      <c r="K33" s="846">
        <f t="shared" si="2"/>
        <v>0</v>
      </c>
    </row>
    <row r="34" spans="1:11" ht="15.75">
      <c r="A34" s="822" t="s">
        <v>193</v>
      </c>
      <c r="B34" s="822" t="str">
        <f t="shared" si="3"/>
        <v>Year 2022</v>
      </c>
      <c r="C34" s="822"/>
      <c r="D34" s="846">
        <f t="shared" si="4"/>
        <v>0</v>
      </c>
      <c r="E34" s="846"/>
      <c r="F34" s="847">
        <f t="shared" si="5"/>
        <v>4.0949999999999997E-3</v>
      </c>
      <c r="G34" s="848">
        <f t="shared" si="0"/>
        <v>1</v>
      </c>
      <c r="H34" s="849">
        <f t="shared" si="1"/>
        <v>0</v>
      </c>
      <c r="I34" s="846"/>
      <c r="J34" s="846"/>
      <c r="K34" s="846">
        <f t="shared" si="2"/>
        <v>0</v>
      </c>
    </row>
    <row r="35" spans="1:11" ht="15.75">
      <c r="A35" s="822"/>
      <c r="B35" s="822"/>
      <c r="C35" s="822"/>
      <c r="D35" s="846"/>
      <c r="E35" s="846"/>
      <c r="F35" s="847"/>
      <c r="G35" s="822"/>
      <c r="H35" s="846">
        <f>SUM(H23:H34)</f>
        <v>0</v>
      </c>
      <c r="I35" s="846"/>
      <c r="J35" s="846"/>
      <c r="K35" s="850">
        <f>SUM(K23:K34)</f>
        <v>0</v>
      </c>
    </row>
    <row r="36" spans="1:11" ht="15.75">
      <c r="A36" s="822"/>
      <c r="B36" s="822"/>
      <c r="C36" s="822"/>
      <c r="D36" s="846"/>
      <c r="E36" s="846"/>
      <c r="F36" s="847"/>
      <c r="G36" s="822"/>
      <c r="H36" s="846"/>
      <c r="I36" s="846" t="s">
        <v>116</v>
      </c>
      <c r="J36" s="846"/>
      <c r="K36" s="536"/>
    </row>
    <row r="37" spans="1:11" ht="15.75">
      <c r="A37" s="822"/>
      <c r="B37" s="822"/>
      <c r="C37" s="822"/>
      <c r="D37" s="832"/>
      <c r="E37" s="832"/>
      <c r="F37" s="847"/>
      <c r="G37" s="822"/>
      <c r="H37" s="851" t="s">
        <v>565</v>
      </c>
      <c r="I37" s="846"/>
      <c r="J37" s="846"/>
      <c r="K37" s="846"/>
    </row>
    <row r="38" spans="1:11" ht="15.75">
      <c r="A38" s="822" t="s">
        <v>566</v>
      </c>
      <c r="B38" s="822" t="str">
        <f>"Year "&amp;TCOS!L4-1</f>
        <v>Year 2023</v>
      </c>
      <c r="C38" s="822"/>
      <c r="D38" s="832">
        <f>K35</f>
        <v>0</v>
      </c>
      <c r="E38" s="832"/>
      <c r="F38" s="847">
        <f>+F34</f>
        <v>4.0949999999999997E-3</v>
      </c>
      <c r="G38" s="848">
        <v>12</v>
      </c>
      <c r="H38" s="846">
        <f>+G38*F38*D38</f>
        <v>0</v>
      </c>
      <c r="I38" s="846"/>
      <c r="J38" s="846"/>
      <c r="K38" s="850">
        <f>+D38+H38</f>
        <v>0</v>
      </c>
    </row>
    <row r="39" spans="1:11" ht="15.75">
      <c r="A39" s="822"/>
      <c r="B39" s="822"/>
      <c r="C39" s="822"/>
      <c r="D39" s="832"/>
      <c r="E39" s="832"/>
      <c r="F39" s="847"/>
      <c r="G39" s="822"/>
      <c r="H39" s="846"/>
      <c r="I39" s="846"/>
      <c r="J39" s="846"/>
      <c r="K39" s="846"/>
    </row>
    <row r="40" spans="1:11" ht="15.75">
      <c r="A40" s="852" t="s">
        <v>567</v>
      </c>
      <c r="B40" s="822"/>
      <c r="C40" s="822"/>
      <c r="D40" s="846"/>
      <c r="E40" s="846"/>
      <c r="F40" s="847"/>
      <c r="G40" s="822"/>
      <c r="H40" s="851" t="s">
        <v>561</v>
      </c>
      <c r="I40" s="846"/>
      <c r="J40" s="846"/>
      <c r="K40" s="846"/>
    </row>
    <row r="41" spans="1:11" ht="15.75">
      <c r="A41" s="822" t="s">
        <v>187</v>
      </c>
      <c r="B41" s="822" t="str">
        <f>"Year "&amp;TCOS!L4</f>
        <v>Year 2024</v>
      </c>
      <c r="C41" s="822"/>
      <c r="D41" s="853">
        <f>-K38</f>
        <v>0</v>
      </c>
      <c r="E41" s="832"/>
      <c r="F41" s="847">
        <f>+F34</f>
        <v>4.0949999999999997E-3</v>
      </c>
      <c r="G41" s="822"/>
      <c r="H41" s="846">
        <f xml:space="preserve"> -F41*D41</f>
        <v>0</v>
      </c>
      <c r="I41" s="846">
        <f>PMT(F41,12,K$38)</f>
        <v>0</v>
      </c>
      <c r="J41" s="846"/>
      <c r="K41" s="846">
        <f>(+D41+D41*F41-I41)*-1</f>
        <v>0</v>
      </c>
    </row>
    <row r="42" spans="1:11" ht="15.75">
      <c r="A42" s="822" t="s">
        <v>562</v>
      </c>
      <c r="B42" s="822" t="str">
        <f>+B41</f>
        <v>Year 2024</v>
      </c>
      <c r="C42" s="822"/>
      <c r="D42" s="832">
        <f>-K41</f>
        <v>0</v>
      </c>
      <c r="E42" s="832"/>
      <c r="F42" s="847">
        <f>+F41</f>
        <v>4.0949999999999997E-3</v>
      </c>
      <c r="G42" s="822"/>
      <c r="H42" s="846">
        <f xml:space="preserve"> -F42*D42</f>
        <v>0</v>
      </c>
      <c r="I42" s="846">
        <f>I41</f>
        <v>0</v>
      </c>
      <c r="J42" s="846"/>
      <c r="K42" s="846">
        <f t="shared" ref="K42:K52" si="6">(+D42+D42*F42-I42)*-1</f>
        <v>0</v>
      </c>
    </row>
    <row r="43" spans="1:11" ht="15.75">
      <c r="A43" s="822" t="s">
        <v>188</v>
      </c>
      <c r="B43" s="822" t="str">
        <f>+B42</f>
        <v>Year 2024</v>
      </c>
      <c r="C43" s="822"/>
      <c r="D43" s="832">
        <f t="shared" ref="D43:D52" si="7">-K42</f>
        <v>0</v>
      </c>
      <c r="E43" s="832"/>
      <c r="F43" s="847">
        <f t="shared" ref="F43:F52" si="8">+F42</f>
        <v>4.0949999999999997E-3</v>
      </c>
      <c r="G43" s="822"/>
      <c r="H43" s="846">
        <f t="shared" ref="H43:H52" si="9" xml:space="preserve"> -F43*D43</f>
        <v>0</v>
      </c>
      <c r="I43" s="846">
        <f t="shared" ref="I43:I52" si="10">I42</f>
        <v>0</v>
      </c>
      <c r="J43" s="846"/>
      <c r="K43" s="846">
        <f t="shared" si="6"/>
        <v>0</v>
      </c>
    </row>
    <row r="44" spans="1:11" ht="15.75">
      <c r="A44" s="822" t="s">
        <v>189</v>
      </c>
      <c r="B44" s="822" t="str">
        <f>+B43</f>
        <v>Year 2024</v>
      </c>
      <c r="C44" s="822"/>
      <c r="D44" s="832">
        <f t="shared" si="7"/>
        <v>0</v>
      </c>
      <c r="E44" s="832"/>
      <c r="F44" s="847">
        <f t="shared" si="8"/>
        <v>4.0949999999999997E-3</v>
      </c>
      <c r="G44" s="822"/>
      <c r="H44" s="846">
        <f t="shared" si="9"/>
        <v>0</v>
      </c>
      <c r="I44" s="846">
        <f t="shared" si="10"/>
        <v>0</v>
      </c>
      <c r="J44" s="846"/>
      <c r="K44" s="846">
        <f t="shared" si="6"/>
        <v>0</v>
      </c>
    </row>
    <row r="45" spans="1:11" ht="15.75">
      <c r="A45" s="822" t="s">
        <v>190</v>
      </c>
      <c r="B45" s="822" t="str">
        <f>+B44</f>
        <v>Year 2024</v>
      </c>
      <c r="C45" s="822"/>
      <c r="D45" s="832">
        <f t="shared" si="7"/>
        <v>0</v>
      </c>
      <c r="E45" s="832"/>
      <c r="F45" s="847">
        <f t="shared" si="8"/>
        <v>4.0949999999999997E-3</v>
      </c>
      <c r="G45" s="822"/>
      <c r="H45" s="846">
        <f t="shared" si="9"/>
        <v>0</v>
      </c>
      <c r="I45" s="846">
        <f>I44</f>
        <v>0</v>
      </c>
      <c r="J45" s="846"/>
      <c r="K45" s="846">
        <f t="shared" si="6"/>
        <v>0</v>
      </c>
    </row>
    <row r="46" spans="1:11" ht="15.75">
      <c r="A46" s="822" t="s">
        <v>384</v>
      </c>
      <c r="B46" s="822" t="str">
        <f>B45</f>
        <v>Year 2024</v>
      </c>
      <c r="C46" s="536"/>
      <c r="D46" s="832">
        <f t="shared" si="7"/>
        <v>0</v>
      </c>
      <c r="E46" s="832"/>
      <c r="F46" s="847">
        <f t="shared" si="8"/>
        <v>4.0949999999999997E-3</v>
      </c>
      <c r="G46" s="822"/>
      <c r="H46" s="846">
        <f t="shared" si="9"/>
        <v>0</v>
      </c>
      <c r="I46" s="846">
        <f t="shared" si="10"/>
        <v>0</v>
      </c>
      <c r="J46" s="846"/>
      <c r="K46" s="846">
        <f t="shared" si="6"/>
        <v>0</v>
      </c>
    </row>
    <row r="47" spans="1:11" ht="15.75">
      <c r="A47" s="822" t="s">
        <v>191</v>
      </c>
      <c r="B47" s="822" t="str">
        <f t="shared" ref="B47:B52" si="11">+B46</f>
        <v>Year 2024</v>
      </c>
      <c r="C47" s="822"/>
      <c r="D47" s="832">
        <f t="shared" si="7"/>
        <v>0</v>
      </c>
      <c r="E47" s="832"/>
      <c r="F47" s="847">
        <f t="shared" si="8"/>
        <v>4.0949999999999997E-3</v>
      </c>
      <c r="G47" s="822"/>
      <c r="H47" s="846">
        <f t="shared" si="9"/>
        <v>0</v>
      </c>
      <c r="I47" s="846">
        <f t="shared" si="10"/>
        <v>0</v>
      </c>
      <c r="J47" s="846"/>
      <c r="K47" s="846">
        <f t="shared" si="6"/>
        <v>0</v>
      </c>
    </row>
    <row r="48" spans="1:11" ht="15.75">
      <c r="A48" s="822" t="s">
        <v>192</v>
      </c>
      <c r="B48" s="822" t="str">
        <f t="shared" si="11"/>
        <v>Year 2024</v>
      </c>
      <c r="C48" s="822"/>
      <c r="D48" s="832">
        <f t="shared" si="7"/>
        <v>0</v>
      </c>
      <c r="E48" s="832"/>
      <c r="F48" s="847">
        <f t="shared" si="8"/>
        <v>4.0949999999999997E-3</v>
      </c>
      <c r="G48" s="822"/>
      <c r="H48" s="846">
        <f t="shared" si="9"/>
        <v>0</v>
      </c>
      <c r="I48" s="846">
        <f t="shared" si="10"/>
        <v>0</v>
      </c>
      <c r="J48" s="846"/>
      <c r="K48" s="846">
        <f t="shared" si="6"/>
        <v>0</v>
      </c>
    </row>
    <row r="49" spans="1:11" ht="15.75">
      <c r="A49" s="822" t="s">
        <v>194</v>
      </c>
      <c r="B49" s="822" t="str">
        <f t="shared" si="11"/>
        <v>Year 2024</v>
      </c>
      <c r="C49" s="822"/>
      <c r="D49" s="832">
        <f t="shared" si="7"/>
        <v>0</v>
      </c>
      <c r="E49" s="832"/>
      <c r="F49" s="847">
        <f t="shared" si="8"/>
        <v>4.0949999999999997E-3</v>
      </c>
      <c r="G49" s="822"/>
      <c r="H49" s="846">
        <f t="shared" si="9"/>
        <v>0</v>
      </c>
      <c r="I49" s="846">
        <f>I48</f>
        <v>0</v>
      </c>
      <c r="J49" s="846"/>
      <c r="K49" s="846">
        <f t="shared" si="6"/>
        <v>0</v>
      </c>
    </row>
    <row r="50" spans="1:11" ht="15.75">
      <c r="A50" s="822" t="s">
        <v>563</v>
      </c>
      <c r="B50" s="822" t="str">
        <f t="shared" si="11"/>
        <v>Year 2024</v>
      </c>
      <c r="C50" s="822"/>
      <c r="D50" s="832">
        <f t="shared" si="7"/>
        <v>0</v>
      </c>
      <c r="E50" s="832"/>
      <c r="F50" s="847">
        <f t="shared" si="8"/>
        <v>4.0949999999999997E-3</v>
      </c>
      <c r="G50" s="822"/>
      <c r="H50" s="846">
        <f t="shared" si="9"/>
        <v>0</v>
      </c>
      <c r="I50" s="846">
        <f t="shared" si="10"/>
        <v>0</v>
      </c>
      <c r="J50" s="846"/>
      <c r="K50" s="846">
        <f t="shared" si="6"/>
        <v>0</v>
      </c>
    </row>
    <row r="51" spans="1:11" ht="15.75">
      <c r="A51" s="822" t="s">
        <v>564</v>
      </c>
      <c r="B51" s="822" t="str">
        <f t="shared" si="11"/>
        <v>Year 2024</v>
      </c>
      <c r="C51" s="822"/>
      <c r="D51" s="832">
        <f t="shared" si="7"/>
        <v>0</v>
      </c>
      <c r="E51" s="832"/>
      <c r="F51" s="847">
        <f t="shared" si="8"/>
        <v>4.0949999999999997E-3</v>
      </c>
      <c r="G51" s="822"/>
      <c r="H51" s="846">
        <f t="shared" si="9"/>
        <v>0</v>
      </c>
      <c r="I51" s="846">
        <f t="shared" si="10"/>
        <v>0</v>
      </c>
      <c r="J51" s="846"/>
      <c r="K51" s="846">
        <f t="shared" si="6"/>
        <v>0</v>
      </c>
    </row>
    <row r="52" spans="1:11" ht="15.75">
      <c r="A52" s="822" t="s">
        <v>193</v>
      </c>
      <c r="B52" s="822" t="str">
        <f t="shared" si="11"/>
        <v>Year 2024</v>
      </c>
      <c r="C52" s="822"/>
      <c r="D52" s="832">
        <f t="shared" si="7"/>
        <v>0</v>
      </c>
      <c r="E52" s="832"/>
      <c r="F52" s="847">
        <f t="shared" si="8"/>
        <v>4.0949999999999997E-3</v>
      </c>
      <c r="G52" s="822"/>
      <c r="H52" s="849">
        <f t="shared" si="9"/>
        <v>0</v>
      </c>
      <c r="I52" s="846">
        <f t="shared" si="10"/>
        <v>0</v>
      </c>
      <c r="J52" s="846"/>
      <c r="K52" s="846">
        <f t="shared" si="6"/>
        <v>0</v>
      </c>
    </row>
    <row r="53" spans="1:11" ht="15.75">
      <c r="A53" s="822"/>
      <c r="B53" s="822"/>
      <c r="C53" s="822"/>
      <c r="D53" s="832"/>
      <c r="E53" s="832"/>
      <c r="F53" s="847"/>
      <c r="G53" s="822"/>
      <c r="H53" s="846">
        <f>SUM(H41:H52)</f>
        <v>0</v>
      </c>
      <c r="I53" s="846"/>
      <c r="J53" s="846"/>
      <c r="K53" s="846"/>
    </row>
    <row r="54" spans="1:11" ht="15">
      <c r="A54" s="536"/>
      <c r="B54" s="536"/>
      <c r="C54" s="536"/>
      <c r="D54" s="536"/>
      <c r="E54" s="536"/>
      <c r="F54" s="536"/>
      <c r="G54" s="536"/>
      <c r="H54" s="536"/>
      <c r="I54" s="854"/>
      <c r="J54" s="536"/>
      <c r="K54" s="536"/>
    </row>
    <row r="55" spans="1:11" ht="15.75">
      <c r="A55" s="822" t="s">
        <v>573</v>
      </c>
      <c r="B55" s="536"/>
      <c r="C55" s="536"/>
      <c r="D55" s="536"/>
      <c r="E55" s="536"/>
      <c r="F55" s="536"/>
      <c r="G55" s="536"/>
      <c r="H55" s="536"/>
      <c r="I55" s="855">
        <f>(SUM(I41:I52)*-1)</f>
        <v>0</v>
      </c>
      <c r="J55" s="536"/>
      <c r="K55" s="536"/>
    </row>
    <row r="56" spans="1:11" ht="15.75">
      <c r="A56" s="822" t="s">
        <v>568</v>
      </c>
      <c r="B56" s="536"/>
      <c r="C56" s="536"/>
      <c r="D56" s="536"/>
      <c r="E56" s="536"/>
      <c r="F56" s="536"/>
      <c r="G56" s="536"/>
      <c r="H56" s="536"/>
      <c r="I56" s="856">
        <f>+H12</f>
        <v>0</v>
      </c>
      <c r="J56" s="536"/>
      <c r="K56" s="536"/>
    </row>
    <row r="57" spans="1:11" ht="15.75">
      <c r="A57" s="822" t="s">
        <v>569</v>
      </c>
      <c r="B57" s="536"/>
      <c r="C57" s="536"/>
      <c r="D57" s="536"/>
      <c r="E57" s="536"/>
      <c r="F57" s="536"/>
      <c r="G57" s="536"/>
      <c r="H57" s="536"/>
      <c r="I57" s="855">
        <f>(I55+I56)</f>
        <v>0</v>
      </c>
      <c r="J57" s="536"/>
      <c r="K57" s="536"/>
    </row>
    <row r="58" spans="1:11">
      <c r="A58" s="430"/>
      <c r="B58" s="430"/>
      <c r="C58" s="430"/>
      <c r="D58" s="430"/>
      <c r="E58" s="430"/>
      <c r="F58" s="430"/>
      <c r="G58" s="430"/>
      <c r="H58" s="430"/>
      <c r="I58" s="430"/>
      <c r="J58" s="430"/>
      <c r="K58" s="430"/>
    </row>
    <row r="59" spans="1:11" ht="78.75" customHeight="1">
      <c r="A59" s="1649" t="s">
        <v>574</v>
      </c>
      <c r="B59" s="1649"/>
      <c r="C59" s="1649"/>
      <c r="D59" s="1649"/>
      <c r="E59" s="857"/>
      <c r="F59" s="857"/>
      <c r="G59" s="857"/>
      <c r="H59" s="857"/>
      <c r="I59" s="857"/>
      <c r="J59" s="857"/>
      <c r="K59" s="857"/>
    </row>
    <row r="60" spans="1:11" ht="13.5">
      <c r="A60" s="858"/>
      <c r="B60" s="430"/>
      <c r="C60" s="430"/>
      <c r="D60" s="430"/>
      <c r="E60" s="430"/>
      <c r="F60" s="859"/>
      <c r="G60" s="430"/>
      <c r="H60" s="430"/>
      <c r="I60" s="860"/>
      <c r="J60" s="430"/>
      <c r="K60" s="430"/>
    </row>
    <row r="61" spans="1:11" ht="15.75">
      <c r="A61" s="861"/>
      <c r="B61" s="862"/>
      <c r="C61" s="863"/>
      <c r="D61" s="863"/>
      <c r="E61" s="863"/>
      <c r="F61" s="863"/>
      <c r="G61" s="863"/>
      <c r="H61" s="863"/>
      <c r="I61" s="864"/>
      <c r="J61" s="863"/>
      <c r="K61" s="863"/>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61"/>
  <sheetViews>
    <sheetView view="pageBreakPreview" zoomScale="60" zoomScaleNormal="100" workbookViewId="0">
      <selection activeCell="F17" sqref="F17"/>
    </sheetView>
  </sheetViews>
  <sheetFormatPr defaultColWidth="8.85546875" defaultRowHeight="12.75"/>
  <cols>
    <col min="1" max="1" width="33.42578125" style="348" customWidth="1"/>
    <col min="2" max="2" width="10.42578125" style="348" customWidth="1"/>
    <col min="3" max="3" width="3.42578125" style="348" customWidth="1"/>
    <col min="4" max="4" width="25.85546875" style="348" customWidth="1"/>
    <col min="5" max="5" width="4.5703125" style="348" customWidth="1"/>
    <col min="6" max="6" width="15.5703125" style="348" customWidth="1"/>
    <col min="7" max="7" width="8.85546875" style="348"/>
    <col min="8" max="8" width="17.85546875" style="348" customWidth="1"/>
    <col min="9" max="9" width="18.140625" style="348" customWidth="1"/>
    <col min="10" max="10" width="8.85546875" style="348"/>
    <col min="11" max="11" width="18.140625" style="348" customWidth="1"/>
    <col min="12" max="16384" width="8.85546875" style="348"/>
  </cols>
  <sheetData>
    <row r="1" spans="1:11" ht="15.75">
      <c r="A1" s="933" t="s">
        <v>116</v>
      </c>
    </row>
    <row r="2" spans="1:11" ht="15.75">
      <c r="A2" s="933" t="s">
        <v>116</v>
      </c>
    </row>
    <row r="3" spans="1:11" ht="15.75">
      <c r="A3" s="1647" t="s">
        <v>389</v>
      </c>
      <c r="B3" s="1647"/>
      <c r="C3" s="1647"/>
      <c r="D3" s="1647"/>
      <c r="E3" s="1647"/>
      <c r="F3" s="1647"/>
      <c r="G3" s="1647"/>
      <c r="H3" s="1647"/>
      <c r="I3" s="1647"/>
      <c r="J3" s="1647"/>
      <c r="K3" s="1647"/>
    </row>
    <row r="4" spans="1:11" ht="15.75">
      <c r="A4" s="1648" t="s">
        <v>570</v>
      </c>
      <c r="B4" s="1648"/>
      <c r="C4" s="1648"/>
      <c r="D4" s="1648"/>
      <c r="E4" s="1648"/>
      <c r="F4" s="1648"/>
      <c r="G4" s="1648"/>
      <c r="H4" s="1648"/>
      <c r="I4" s="1648"/>
      <c r="J4" s="1648"/>
      <c r="K4" s="1648"/>
    </row>
    <row r="5" spans="1:11" ht="15.75">
      <c r="A5" s="1648" t="s">
        <v>571</v>
      </c>
      <c r="B5" s="1648"/>
      <c r="C5" s="1648"/>
      <c r="D5" s="1648"/>
      <c r="E5" s="1648"/>
      <c r="F5" s="1648"/>
      <c r="G5" s="1648"/>
      <c r="H5" s="1648"/>
      <c r="I5" s="1648"/>
      <c r="J5" s="1648"/>
      <c r="K5" s="1648"/>
    </row>
    <row r="6" spans="1:11" ht="15.75">
      <c r="A6" s="1650" t="str">
        <f>TCOS!F9</f>
        <v>KINGSPORT POWER COMPANY</v>
      </c>
      <c r="B6" s="1650"/>
      <c r="C6" s="1650"/>
      <c r="D6" s="1650"/>
      <c r="E6" s="1650"/>
      <c r="F6" s="1650"/>
      <c r="G6" s="1650"/>
      <c r="H6" s="1650"/>
      <c r="I6" s="1650"/>
      <c r="J6" s="1650"/>
      <c r="K6" s="1650"/>
    </row>
    <row r="7" spans="1:11">
      <c r="A7" s="430"/>
      <c r="B7" s="430"/>
      <c r="C7" s="430"/>
      <c r="D7" s="430"/>
      <c r="E7" s="430"/>
      <c r="F7" s="430"/>
      <c r="G7" s="430"/>
      <c r="H7" s="430"/>
      <c r="I7" s="430"/>
      <c r="J7" s="430"/>
      <c r="K7" s="430"/>
    </row>
    <row r="8" spans="1:11">
      <c r="A8" s="430"/>
      <c r="B8" s="430"/>
      <c r="C8" s="430"/>
      <c r="D8" s="430"/>
      <c r="E8" s="430"/>
      <c r="F8" s="430"/>
      <c r="G8" s="430"/>
      <c r="H8" s="430"/>
      <c r="I8" s="430"/>
      <c r="J8" s="430"/>
      <c r="K8" s="430"/>
    </row>
    <row r="9" spans="1:11" ht="16.5" thickBot="1">
      <c r="A9" s="821"/>
      <c r="B9" s="822"/>
      <c r="C9" s="822"/>
      <c r="D9" s="822"/>
      <c r="E9" s="822"/>
      <c r="F9" s="822" t="s">
        <v>116</v>
      </c>
      <c r="G9" s="822"/>
      <c r="H9" s="822"/>
      <c r="I9" s="822"/>
      <c r="J9" s="822"/>
      <c r="K9" s="822"/>
    </row>
    <row r="10" spans="1:11" ht="47.25">
      <c r="A10" s="823" t="str">
        <f>"Reconciliation Revenue Requirement For Year 2018 Available May 25, 2019"</f>
        <v>Reconciliation Revenue Requirement For Year 2018 Available May 25, 2019</v>
      </c>
      <c r="B10" s="822"/>
      <c r="C10" s="822"/>
      <c r="D10" s="823" t="s">
        <v>1102</v>
      </c>
      <c r="E10" s="822"/>
      <c r="F10" s="822"/>
      <c r="G10" s="536"/>
      <c r="H10" s="823" t="s">
        <v>551</v>
      </c>
      <c r="I10" s="536"/>
      <c r="J10" s="536"/>
      <c r="K10" s="536"/>
    </row>
    <row r="11" spans="1:11" ht="15.75">
      <c r="A11" s="824" t="s">
        <v>116</v>
      </c>
      <c r="B11" s="822"/>
      <c r="C11" s="822"/>
      <c r="D11" s="824"/>
      <c r="E11" s="822"/>
      <c r="F11" s="822"/>
      <c r="G11" s="536"/>
      <c r="H11" s="825"/>
      <c r="I11" s="536"/>
      <c r="J11" s="536"/>
      <c r="K11" s="536"/>
    </row>
    <row r="12" spans="1:11" ht="16.5" thickBot="1">
      <c r="A12" s="913">
        <v>0</v>
      </c>
      <c r="B12" s="826" t="str">
        <f>"-"</f>
        <v>-</v>
      </c>
      <c r="C12" s="827"/>
      <c r="D12" s="913">
        <v>0</v>
      </c>
      <c r="E12" s="828"/>
      <c r="F12" s="829" t="str">
        <f>"="</f>
        <v>=</v>
      </c>
      <c r="G12" s="830"/>
      <c r="H12" s="831">
        <f>IF(A12=0,0,D12-A12)</f>
        <v>0</v>
      </c>
      <c r="I12" s="536"/>
      <c r="J12" s="536"/>
      <c r="K12" s="536"/>
    </row>
    <row r="13" spans="1:11" ht="15.75">
      <c r="A13" s="832"/>
      <c r="B13" s="833"/>
      <c r="C13" s="833"/>
      <c r="D13" s="832"/>
      <c r="E13" s="832"/>
      <c r="F13" s="833"/>
      <c r="G13" s="832"/>
      <c r="H13" s="536"/>
      <c r="I13" s="536"/>
      <c r="J13" s="536"/>
      <c r="K13" s="536"/>
    </row>
    <row r="14" spans="1:11" ht="16.5" thickBot="1">
      <c r="A14" s="834"/>
      <c r="B14" s="835"/>
      <c r="C14" s="835"/>
      <c r="D14" s="834"/>
      <c r="E14" s="834"/>
      <c r="F14" s="835"/>
      <c r="G14" s="834"/>
      <c r="H14" s="836"/>
      <c r="I14" s="836"/>
      <c r="J14" s="836"/>
      <c r="K14" s="836"/>
    </row>
    <row r="15" spans="1:11" ht="15.75">
      <c r="A15" s="837"/>
      <c r="B15" s="833"/>
      <c r="C15" s="833"/>
      <c r="D15" s="832"/>
      <c r="E15" s="832"/>
      <c r="F15" s="833"/>
      <c r="G15" s="832"/>
      <c r="H15" s="536"/>
      <c r="I15" s="536"/>
      <c r="J15" s="536"/>
      <c r="K15" s="536"/>
    </row>
    <row r="16" spans="1:11" ht="47.25">
      <c r="A16" s="838" t="s">
        <v>552</v>
      </c>
      <c r="B16" s="833"/>
      <c r="C16" s="833"/>
      <c r="D16" s="839" t="s">
        <v>553</v>
      </c>
      <c r="E16" s="832"/>
      <c r="F16" s="839" t="s">
        <v>554</v>
      </c>
      <c r="G16" s="840" t="s">
        <v>555</v>
      </c>
      <c r="H16" s="841" t="s">
        <v>556</v>
      </c>
      <c r="I16" s="839" t="s">
        <v>557</v>
      </c>
      <c r="J16" s="842"/>
      <c r="K16" s="839" t="s">
        <v>558</v>
      </c>
    </row>
    <row r="17" spans="1:11" ht="15.75">
      <c r="A17" s="838" t="s">
        <v>559</v>
      </c>
      <c r="B17" s="833"/>
      <c r="C17" s="833"/>
      <c r="D17" s="536"/>
      <c r="E17" s="843"/>
      <c r="F17" s="914">
        <f>'KgPCO WS Q Interest'!F17</f>
        <v>4.0949999999999997E-3</v>
      </c>
      <c r="H17" s="536"/>
      <c r="I17" s="536"/>
      <c r="J17" s="536"/>
      <c r="K17" s="536"/>
    </row>
    <row r="18" spans="1:11" ht="15.75">
      <c r="A18" s="838"/>
      <c r="B18" s="833"/>
      <c r="C18" s="833"/>
      <c r="D18" s="536"/>
      <c r="E18" s="843"/>
      <c r="F18" s="843"/>
      <c r="G18" s="832"/>
      <c r="H18" s="536"/>
      <c r="I18" s="536"/>
      <c r="J18" s="536"/>
      <c r="K18" s="536"/>
    </row>
    <row r="19" spans="1:11" ht="15.75">
      <c r="A19" s="838" t="s">
        <v>572</v>
      </c>
      <c r="B19" s="833"/>
      <c r="C19" s="833"/>
      <c r="D19" s="536"/>
      <c r="E19" s="843"/>
      <c r="F19" s="843"/>
      <c r="G19" s="832"/>
      <c r="H19" s="536"/>
      <c r="I19" s="536"/>
      <c r="J19" s="536"/>
      <c r="K19" s="536"/>
    </row>
    <row r="20" spans="1:11" ht="15.75">
      <c r="A20" s="844" t="s">
        <v>116</v>
      </c>
      <c r="B20" s="833"/>
      <c r="C20" s="833"/>
      <c r="D20" s="833"/>
      <c r="E20" s="833"/>
      <c r="F20" s="833" t="s">
        <v>116</v>
      </c>
      <c r="G20" s="536"/>
      <c r="H20" s="536"/>
      <c r="I20" s="536"/>
      <c r="J20" s="536"/>
      <c r="K20" s="536"/>
    </row>
    <row r="21" spans="1:11" ht="15.75">
      <c r="A21" s="845"/>
      <c r="B21" s="833"/>
      <c r="C21" s="833"/>
      <c r="D21" s="833"/>
      <c r="E21" s="833"/>
      <c r="F21" s="536"/>
      <c r="G21" s="536"/>
      <c r="H21" s="840"/>
      <c r="I21" s="833"/>
      <c r="J21" s="833"/>
      <c r="K21" s="833"/>
    </row>
    <row r="22" spans="1:11" ht="15.75">
      <c r="A22" s="845" t="s">
        <v>560</v>
      </c>
      <c r="B22" s="833"/>
      <c r="C22" s="833"/>
      <c r="D22" s="833"/>
      <c r="E22" s="833"/>
      <c r="F22" s="536"/>
      <c r="G22" s="536"/>
      <c r="H22" s="840" t="s">
        <v>561</v>
      </c>
      <c r="I22" s="833"/>
      <c r="J22" s="833"/>
      <c r="K22" s="833"/>
    </row>
    <row r="23" spans="1:11" ht="15.75">
      <c r="A23" s="822" t="s">
        <v>187</v>
      </c>
      <c r="B23" s="822" t="str">
        <f>"Year "&amp;TCOS!L4-2</f>
        <v>Year 2022</v>
      </c>
      <c r="C23" s="822"/>
      <c r="D23" s="846">
        <f>H12/12</f>
        <v>0</v>
      </c>
      <c r="E23" s="846"/>
      <c r="F23" s="847">
        <f>+F17</f>
        <v>4.0949999999999997E-3</v>
      </c>
      <c r="G23" s="848">
        <v>12</v>
      </c>
      <c r="H23" s="846">
        <f>F23*D23*G23*-1</f>
        <v>0</v>
      </c>
      <c r="I23" s="846"/>
      <c r="J23" s="846"/>
      <c r="K23" s="846">
        <f>(-H23+D23)*-1</f>
        <v>0</v>
      </c>
    </row>
    <row r="24" spans="1:11" ht="15.75">
      <c r="A24" s="822" t="s">
        <v>562</v>
      </c>
      <c r="B24" s="822" t="str">
        <f>B23</f>
        <v>Year 2022</v>
      </c>
      <c r="C24" s="822"/>
      <c r="D24" s="846">
        <f>+D23</f>
        <v>0</v>
      </c>
      <c r="E24" s="846"/>
      <c r="F24" s="847">
        <f>+F23</f>
        <v>4.0949999999999997E-3</v>
      </c>
      <c r="G24" s="848">
        <f t="shared" ref="G24:G34" si="0">+G23-1</f>
        <v>11</v>
      </c>
      <c r="H24" s="846">
        <f t="shared" ref="H24:H34" si="1">F24*D24*G24*-1</f>
        <v>0</v>
      </c>
      <c r="I24" s="846"/>
      <c r="J24" s="846"/>
      <c r="K24" s="846">
        <f t="shared" ref="K24:K34" si="2">(-H24+D24)*-1</f>
        <v>0</v>
      </c>
    </row>
    <row r="25" spans="1:11" ht="15.75">
      <c r="A25" s="822" t="s">
        <v>188</v>
      </c>
      <c r="B25" s="822" t="str">
        <f t="shared" ref="B25:B34" si="3">B24</f>
        <v>Year 2022</v>
      </c>
      <c r="C25" s="822"/>
      <c r="D25" s="846">
        <f t="shared" ref="D25:D34" si="4">+D24</f>
        <v>0</v>
      </c>
      <c r="E25" s="846"/>
      <c r="F25" s="847">
        <f t="shared" ref="F25:F34" si="5">+F24</f>
        <v>4.0949999999999997E-3</v>
      </c>
      <c r="G25" s="848">
        <f t="shared" si="0"/>
        <v>10</v>
      </c>
      <c r="H25" s="846">
        <f t="shared" si="1"/>
        <v>0</v>
      </c>
      <c r="I25" s="846"/>
      <c r="J25" s="846"/>
      <c r="K25" s="846">
        <f t="shared" si="2"/>
        <v>0</v>
      </c>
    </row>
    <row r="26" spans="1:11" ht="15.75">
      <c r="A26" s="822" t="s">
        <v>189</v>
      </c>
      <c r="B26" s="822" t="str">
        <f t="shared" si="3"/>
        <v>Year 2022</v>
      </c>
      <c r="C26" s="822"/>
      <c r="D26" s="846">
        <f t="shared" si="4"/>
        <v>0</v>
      </c>
      <c r="E26" s="846"/>
      <c r="F26" s="847">
        <f t="shared" si="5"/>
        <v>4.0949999999999997E-3</v>
      </c>
      <c r="G26" s="848">
        <f t="shared" si="0"/>
        <v>9</v>
      </c>
      <c r="H26" s="846">
        <f t="shared" si="1"/>
        <v>0</v>
      </c>
      <c r="I26" s="846"/>
      <c r="J26" s="846"/>
      <c r="K26" s="846">
        <f t="shared" si="2"/>
        <v>0</v>
      </c>
    </row>
    <row r="27" spans="1:11" ht="15.75">
      <c r="A27" s="822" t="s">
        <v>190</v>
      </c>
      <c r="B27" s="822" t="str">
        <f t="shared" si="3"/>
        <v>Year 2022</v>
      </c>
      <c r="C27" s="822"/>
      <c r="D27" s="846">
        <f t="shared" si="4"/>
        <v>0</v>
      </c>
      <c r="E27" s="846"/>
      <c r="F27" s="847">
        <f t="shared" si="5"/>
        <v>4.0949999999999997E-3</v>
      </c>
      <c r="G27" s="848">
        <f t="shared" si="0"/>
        <v>8</v>
      </c>
      <c r="H27" s="846">
        <f t="shared" si="1"/>
        <v>0</v>
      </c>
      <c r="I27" s="846"/>
      <c r="J27" s="846"/>
      <c r="K27" s="846">
        <f t="shared" si="2"/>
        <v>0</v>
      </c>
    </row>
    <row r="28" spans="1:11" ht="15.75">
      <c r="A28" s="822" t="s">
        <v>384</v>
      </c>
      <c r="B28" s="822" t="str">
        <f t="shared" si="3"/>
        <v>Year 2022</v>
      </c>
      <c r="C28" s="822"/>
      <c r="D28" s="846">
        <f t="shared" si="4"/>
        <v>0</v>
      </c>
      <c r="E28" s="846"/>
      <c r="F28" s="847">
        <f t="shared" si="5"/>
        <v>4.0949999999999997E-3</v>
      </c>
      <c r="G28" s="848">
        <f t="shared" si="0"/>
        <v>7</v>
      </c>
      <c r="H28" s="846">
        <f t="shared" si="1"/>
        <v>0</v>
      </c>
      <c r="I28" s="846"/>
      <c r="J28" s="846"/>
      <c r="K28" s="846">
        <f t="shared" si="2"/>
        <v>0</v>
      </c>
    </row>
    <row r="29" spans="1:11" ht="15.75">
      <c r="A29" s="822" t="s">
        <v>191</v>
      </c>
      <c r="B29" s="822" t="str">
        <f t="shared" si="3"/>
        <v>Year 2022</v>
      </c>
      <c r="C29" s="822"/>
      <c r="D29" s="846">
        <f t="shared" si="4"/>
        <v>0</v>
      </c>
      <c r="E29" s="846"/>
      <c r="F29" s="847">
        <f t="shared" si="5"/>
        <v>4.0949999999999997E-3</v>
      </c>
      <c r="G29" s="848">
        <f t="shared" si="0"/>
        <v>6</v>
      </c>
      <c r="H29" s="846">
        <f t="shared" si="1"/>
        <v>0</v>
      </c>
      <c r="I29" s="846"/>
      <c r="J29" s="846"/>
      <c r="K29" s="846">
        <f t="shared" si="2"/>
        <v>0</v>
      </c>
    </row>
    <row r="30" spans="1:11" ht="15.75">
      <c r="A30" s="822" t="s">
        <v>192</v>
      </c>
      <c r="B30" s="822" t="str">
        <f t="shared" si="3"/>
        <v>Year 2022</v>
      </c>
      <c r="C30" s="822"/>
      <c r="D30" s="846">
        <f t="shared" si="4"/>
        <v>0</v>
      </c>
      <c r="E30" s="846"/>
      <c r="F30" s="847">
        <f t="shared" si="5"/>
        <v>4.0949999999999997E-3</v>
      </c>
      <c r="G30" s="848">
        <f t="shared" si="0"/>
        <v>5</v>
      </c>
      <c r="H30" s="846">
        <f t="shared" si="1"/>
        <v>0</v>
      </c>
      <c r="I30" s="846"/>
      <c r="J30" s="846"/>
      <c r="K30" s="846">
        <f t="shared" si="2"/>
        <v>0</v>
      </c>
    </row>
    <row r="31" spans="1:11" ht="15.75">
      <c r="A31" s="822" t="s">
        <v>194</v>
      </c>
      <c r="B31" s="822" t="str">
        <f t="shared" si="3"/>
        <v>Year 2022</v>
      </c>
      <c r="C31" s="822"/>
      <c r="D31" s="846">
        <f t="shared" si="4"/>
        <v>0</v>
      </c>
      <c r="E31" s="846"/>
      <c r="F31" s="847">
        <f t="shared" si="5"/>
        <v>4.0949999999999997E-3</v>
      </c>
      <c r="G31" s="848">
        <f t="shared" si="0"/>
        <v>4</v>
      </c>
      <c r="H31" s="846">
        <f t="shared" si="1"/>
        <v>0</v>
      </c>
      <c r="I31" s="846"/>
      <c r="J31" s="846"/>
      <c r="K31" s="846">
        <f t="shared" si="2"/>
        <v>0</v>
      </c>
    </row>
    <row r="32" spans="1:11" ht="15.75">
      <c r="A32" s="822" t="s">
        <v>563</v>
      </c>
      <c r="B32" s="822" t="str">
        <f t="shared" si="3"/>
        <v>Year 2022</v>
      </c>
      <c r="C32" s="822"/>
      <c r="D32" s="846">
        <f t="shared" si="4"/>
        <v>0</v>
      </c>
      <c r="E32" s="846"/>
      <c r="F32" s="847">
        <f t="shared" si="5"/>
        <v>4.0949999999999997E-3</v>
      </c>
      <c r="G32" s="848">
        <f t="shared" si="0"/>
        <v>3</v>
      </c>
      <c r="H32" s="846">
        <f t="shared" si="1"/>
        <v>0</v>
      </c>
      <c r="I32" s="846"/>
      <c r="J32" s="846"/>
      <c r="K32" s="846">
        <f t="shared" si="2"/>
        <v>0</v>
      </c>
    </row>
    <row r="33" spans="1:11" ht="15.75">
      <c r="A33" s="822" t="s">
        <v>564</v>
      </c>
      <c r="B33" s="822" t="str">
        <f t="shared" si="3"/>
        <v>Year 2022</v>
      </c>
      <c r="C33" s="822"/>
      <c r="D33" s="846">
        <f t="shared" si="4"/>
        <v>0</v>
      </c>
      <c r="E33" s="846"/>
      <c r="F33" s="847">
        <f t="shared" si="5"/>
        <v>4.0949999999999997E-3</v>
      </c>
      <c r="G33" s="848">
        <f t="shared" si="0"/>
        <v>2</v>
      </c>
      <c r="H33" s="846">
        <f t="shared" si="1"/>
        <v>0</v>
      </c>
      <c r="I33" s="846"/>
      <c r="J33" s="846"/>
      <c r="K33" s="846">
        <f t="shared" si="2"/>
        <v>0</v>
      </c>
    </row>
    <row r="34" spans="1:11" ht="15.75">
      <c r="A34" s="822" t="s">
        <v>193</v>
      </c>
      <c r="B34" s="822" t="str">
        <f t="shared" si="3"/>
        <v>Year 2022</v>
      </c>
      <c r="C34" s="822"/>
      <c r="D34" s="846">
        <f t="shared" si="4"/>
        <v>0</v>
      </c>
      <c r="E34" s="846"/>
      <c r="F34" s="847">
        <f t="shared" si="5"/>
        <v>4.0949999999999997E-3</v>
      </c>
      <c r="G34" s="848">
        <f t="shared" si="0"/>
        <v>1</v>
      </c>
      <c r="H34" s="849">
        <f t="shared" si="1"/>
        <v>0</v>
      </c>
      <c r="I34" s="846"/>
      <c r="J34" s="846"/>
      <c r="K34" s="846">
        <f t="shared" si="2"/>
        <v>0</v>
      </c>
    </row>
    <row r="35" spans="1:11" ht="15.75">
      <c r="A35" s="822"/>
      <c r="B35" s="822"/>
      <c r="C35" s="822"/>
      <c r="D35" s="846"/>
      <c r="E35" s="846"/>
      <c r="F35" s="847"/>
      <c r="G35" s="822"/>
      <c r="H35" s="846">
        <f>SUM(H23:H34)</f>
        <v>0</v>
      </c>
      <c r="I35" s="846"/>
      <c r="J35" s="846"/>
      <c r="K35" s="850">
        <f>SUM(K23:K34)</f>
        <v>0</v>
      </c>
    </row>
    <row r="36" spans="1:11" ht="15.75">
      <c r="A36" s="822"/>
      <c r="B36" s="822"/>
      <c r="C36" s="822"/>
      <c r="D36" s="846"/>
      <c r="E36" s="846"/>
      <c r="F36" s="847"/>
      <c r="G36" s="822"/>
      <c r="H36" s="846"/>
      <c r="I36" s="846" t="s">
        <v>116</v>
      </c>
      <c r="J36" s="846"/>
      <c r="K36" s="536"/>
    </row>
    <row r="37" spans="1:11" ht="15.75">
      <c r="A37" s="822"/>
      <c r="B37" s="822"/>
      <c r="C37" s="822"/>
      <c r="D37" s="832"/>
      <c r="E37" s="832"/>
      <c r="F37" s="847"/>
      <c r="G37" s="822"/>
      <c r="H37" s="851" t="s">
        <v>565</v>
      </c>
      <c r="I37" s="846"/>
      <c r="J37" s="846"/>
      <c r="K37" s="846"/>
    </row>
    <row r="38" spans="1:11" ht="15.75">
      <c r="A38" s="822" t="s">
        <v>566</v>
      </c>
      <c r="B38" s="822" t="str">
        <f>"Year "&amp;TCOS!L4-1</f>
        <v>Year 2023</v>
      </c>
      <c r="C38" s="822"/>
      <c r="D38" s="832">
        <f>K35</f>
        <v>0</v>
      </c>
      <c r="E38" s="832"/>
      <c r="F38" s="847">
        <f>+F34</f>
        <v>4.0949999999999997E-3</v>
      </c>
      <c r="G38" s="848">
        <v>12</v>
      </c>
      <c r="H38" s="846">
        <f>+G38*F38*D38</f>
        <v>0</v>
      </c>
      <c r="I38" s="846"/>
      <c r="J38" s="846"/>
      <c r="K38" s="850">
        <f>+D38+H38</f>
        <v>0</v>
      </c>
    </row>
    <row r="39" spans="1:11" ht="15.75">
      <c r="A39" s="822"/>
      <c r="B39" s="822"/>
      <c r="C39" s="822"/>
      <c r="D39" s="832"/>
      <c r="E39" s="832"/>
      <c r="F39" s="847"/>
      <c r="G39" s="822"/>
      <c r="H39" s="846"/>
      <c r="I39" s="846"/>
      <c r="J39" s="846"/>
      <c r="K39" s="846"/>
    </row>
    <row r="40" spans="1:11" ht="15.75">
      <c r="A40" s="852" t="s">
        <v>567</v>
      </c>
      <c r="B40" s="822"/>
      <c r="C40" s="822"/>
      <c r="D40" s="846"/>
      <c r="E40" s="846"/>
      <c r="F40" s="847"/>
      <c r="G40" s="822"/>
      <c r="H40" s="851" t="s">
        <v>561</v>
      </c>
      <c r="I40" s="846"/>
      <c r="J40" s="846"/>
      <c r="K40" s="846"/>
    </row>
    <row r="41" spans="1:11" ht="15.75">
      <c r="A41" s="822" t="s">
        <v>187</v>
      </c>
      <c r="B41" s="822" t="str">
        <f>"Year "&amp;TCOS!L4</f>
        <v>Year 2024</v>
      </c>
      <c r="C41" s="822"/>
      <c r="D41" s="853">
        <f>-K38</f>
        <v>0</v>
      </c>
      <c r="E41" s="832"/>
      <c r="F41" s="847">
        <f>+F34</f>
        <v>4.0949999999999997E-3</v>
      </c>
      <c r="G41" s="822"/>
      <c r="H41" s="846">
        <f xml:space="preserve"> -F41*D41</f>
        <v>0</v>
      </c>
      <c r="I41" s="846">
        <f>PMT(F41,12,K$38)</f>
        <v>0</v>
      </c>
      <c r="J41" s="846"/>
      <c r="K41" s="846">
        <f>(+D41+D41*F41-I41)*-1</f>
        <v>0</v>
      </c>
    </row>
    <row r="42" spans="1:11" ht="15.75">
      <c r="A42" s="822" t="s">
        <v>562</v>
      </c>
      <c r="B42" s="822" t="str">
        <f>+B41</f>
        <v>Year 2024</v>
      </c>
      <c r="C42" s="822"/>
      <c r="D42" s="832">
        <f>-K41</f>
        <v>0</v>
      </c>
      <c r="E42" s="832"/>
      <c r="F42" s="847">
        <f>+F41</f>
        <v>4.0949999999999997E-3</v>
      </c>
      <c r="G42" s="822"/>
      <c r="H42" s="846">
        <f xml:space="preserve"> -F42*D42</f>
        <v>0</v>
      </c>
      <c r="I42" s="846">
        <f>I41</f>
        <v>0</v>
      </c>
      <c r="J42" s="846"/>
      <c r="K42" s="846">
        <f t="shared" ref="K42:K52" si="6">(+D42+D42*F42-I42)*-1</f>
        <v>0</v>
      </c>
    </row>
    <row r="43" spans="1:11" ht="15.75">
      <c r="A43" s="822" t="s">
        <v>188</v>
      </c>
      <c r="B43" s="822" t="str">
        <f>+B42</f>
        <v>Year 2024</v>
      </c>
      <c r="C43" s="822"/>
      <c r="D43" s="832">
        <f t="shared" ref="D43:D52" si="7">-K42</f>
        <v>0</v>
      </c>
      <c r="E43" s="832"/>
      <c r="F43" s="847">
        <f t="shared" ref="F43:F52" si="8">+F42</f>
        <v>4.0949999999999997E-3</v>
      </c>
      <c r="G43" s="822"/>
      <c r="H43" s="846">
        <f t="shared" ref="H43:H52" si="9" xml:space="preserve"> -F43*D43</f>
        <v>0</v>
      </c>
      <c r="I43" s="846">
        <f t="shared" ref="I43:I52" si="10">I42</f>
        <v>0</v>
      </c>
      <c r="J43" s="846"/>
      <c r="K43" s="846">
        <f t="shared" si="6"/>
        <v>0</v>
      </c>
    </row>
    <row r="44" spans="1:11" ht="15.75">
      <c r="A44" s="822" t="s">
        <v>189</v>
      </c>
      <c r="B44" s="822" t="str">
        <f>+B43</f>
        <v>Year 2024</v>
      </c>
      <c r="C44" s="822"/>
      <c r="D44" s="832">
        <f t="shared" si="7"/>
        <v>0</v>
      </c>
      <c r="E44" s="832"/>
      <c r="F44" s="847">
        <f t="shared" si="8"/>
        <v>4.0949999999999997E-3</v>
      </c>
      <c r="G44" s="822"/>
      <c r="H44" s="846">
        <f t="shared" si="9"/>
        <v>0</v>
      </c>
      <c r="I44" s="846">
        <f t="shared" si="10"/>
        <v>0</v>
      </c>
      <c r="J44" s="846"/>
      <c r="K44" s="846">
        <f t="shared" si="6"/>
        <v>0</v>
      </c>
    </row>
    <row r="45" spans="1:11" ht="15.75">
      <c r="A45" s="822" t="s">
        <v>190</v>
      </c>
      <c r="B45" s="822" t="str">
        <f>+B44</f>
        <v>Year 2024</v>
      </c>
      <c r="C45" s="822"/>
      <c r="D45" s="832">
        <f t="shared" si="7"/>
        <v>0</v>
      </c>
      <c r="E45" s="832"/>
      <c r="F45" s="847">
        <f t="shared" si="8"/>
        <v>4.0949999999999997E-3</v>
      </c>
      <c r="G45" s="822"/>
      <c r="H45" s="846">
        <f t="shared" si="9"/>
        <v>0</v>
      </c>
      <c r="I45" s="846">
        <f>I44</f>
        <v>0</v>
      </c>
      <c r="J45" s="846"/>
      <c r="K45" s="846">
        <f t="shared" si="6"/>
        <v>0</v>
      </c>
    </row>
    <row r="46" spans="1:11" ht="15.75">
      <c r="A46" s="822" t="s">
        <v>384</v>
      </c>
      <c r="B46" s="822" t="str">
        <f>B45</f>
        <v>Year 2024</v>
      </c>
      <c r="C46" s="536"/>
      <c r="D46" s="832">
        <f t="shared" si="7"/>
        <v>0</v>
      </c>
      <c r="E46" s="832"/>
      <c r="F46" s="847">
        <f t="shared" si="8"/>
        <v>4.0949999999999997E-3</v>
      </c>
      <c r="G46" s="822"/>
      <c r="H46" s="846">
        <f t="shared" si="9"/>
        <v>0</v>
      </c>
      <c r="I46" s="846">
        <f t="shared" si="10"/>
        <v>0</v>
      </c>
      <c r="J46" s="846"/>
      <c r="K46" s="846">
        <f t="shared" si="6"/>
        <v>0</v>
      </c>
    </row>
    <row r="47" spans="1:11" ht="15.75">
      <c r="A47" s="822" t="s">
        <v>191</v>
      </c>
      <c r="B47" s="822" t="str">
        <f t="shared" ref="B47:B52" si="11">+B46</f>
        <v>Year 2024</v>
      </c>
      <c r="C47" s="822"/>
      <c r="D47" s="832">
        <f t="shared" si="7"/>
        <v>0</v>
      </c>
      <c r="E47" s="832"/>
      <c r="F47" s="847">
        <f t="shared" si="8"/>
        <v>4.0949999999999997E-3</v>
      </c>
      <c r="G47" s="822"/>
      <c r="H47" s="846">
        <f t="shared" si="9"/>
        <v>0</v>
      </c>
      <c r="I47" s="846">
        <f t="shared" si="10"/>
        <v>0</v>
      </c>
      <c r="J47" s="846"/>
      <c r="K47" s="846">
        <f t="shared" si="6"/>
        <v>0</v>
      </c>
    </row>
    <row r="48" spans="1:11" ht="15.75">
      <c r="A48" s="822" t="s">
        <v>192</v>
      </c>
      <c r="B48" s="822" t="str">
        <f t="shared" si="11"/>
        <v>Year 2024</v>
      </c>
      <c r="C48" s="822"/>
      <c r="D48" s="832">
        <f t="shared" si="7"/>
        <v>0</v>
      </c>
      <c r="E48" s="832"/>
      <c r="F48" s="847">
        <f t="shared" si="8"/>
        <v>4.0949999999999997E-3</v>
      </c>
      <c r="G48" s="822"/>
      <c r="H48" s="846">
        <f t="shared" si="9"/>
        <v>0</v>
      </c>
      <c r="I48" s="846">
        <f t="shared" si="10"/>
        <v>0</v>
      </c>
      <c r="J48" s="846"/>
      <c r="K48" s="846">
        <f t="shared" si="6"/>
        <v>0</v>
      </c>
    </row>
    <row r="49" spans="1:11" ht="15.75">
      <c r="A49" s="822" t="s">
        <v>194</v>
      </c>
      <c r="B49" s="822" t="str">
        <f t="shared" si="11"/>
        <v>Year 2024</v>
      </c>
      <c r="C49" s="822"/>
      <c r="D49" s="832">
        <f t="shared" si="7"/>
        <v>0</v>
      </c>
      <c r="E49" s="832"/>
      <c r="F49" s="847">
        <f t="shared" si="8"/>
        <v>4.0949999999999997E-3</v>
      </c>
      <c r="G49" s="822"/>
      <c r="H49" s="846">
        <f t="shared" si="9"/>
        <v>0</v>
      </c>
      <c r="I49" s="846">
        <f>I48</f>
        <v>0</v>
      </c>
      <c r="J49" s="846"/>
      <c r="K49" s="846">
        <f t="shared" si="6"/>
        <v>0</v>
      </c>
    </row>
    <row r="50" spans="1:11" ht="15.75">
      <c r="A50" s="822" t="s">
        <v>563</v>
      </c>
      <c r="B50" s="822" t="str">
        <f t="shared" si="11"/>
        <v>Year 2024</v>
      </c>
      <c r="C50" s="822"/>
      <c r="D50" s="832">
        <f t="shared" si="7"/>
        <v>0</v>
      </c>
      <c r="E50" s="832"/>
      <c r="F50" s="847">
        <f t="shared" si="8"/>
        <v>4.0949999999999997E-3</v>
      </c>
      <c r="G50" s="822"/>
      <c r="H50" s="846">
        <f t="shared" si="9"/>
        <v>0</v>
      </c>
      <c r="I50" s="846">
        <f t="shared" si="10"/>
        <v>0</v>
      </c>
      <c r="J50" s="846"/>
      <c r="K50" s="846">
        <f t="shared" si="6"/>
        <v>0</v>
      </c>
    </row>
    <row r="51" spans="1:11" ht="15.75">
      <c r="A51" s="822" t="s">
        <v>564</v>
      </c>
      <c r="B51" s="822" t="str">
        <f t="shared" si="11"/>
        <v>Year 2024</v>
      </c>
      <c r="C51" s="822"/>
      <c r="D51" s="832">
        <f t="shared" si="7"/>
        <v>0</v>
      </c>
      <c r="E51" s="832"/>
      <c r="F51" s="847">
        <f t="shared" si="8"/>
        <v>4.0949999999999997E-3</v>
      </c>
      <c r="G51" s="822"/>
      <c r="H51" s="846">
        <f t="shared" si="9"/>
        <v>0</v>
      </c>
      <c r="I51" s="846">
        <f t="shared" si="10"/>
        <v>0</v>
      </c>
      <c r="J51" s="846"/>
      <c r="K51" s="846">
        <f t="shared" si="6"/>
        <v>0</v>
      </c>
    </row>
    <row r="52" spans="1:11" ht="15.75">
      <c r="A52" s="822" t="s">
        <v>193</v>
      </c>
      <c r="B52" s="822" t="str">
        <f t="shared" si="11"/>
        <v>Year 2024</v>
      </c>
      <c r="C52" s="822"/>
      <c r="D52" s="832">
        <f t="shared" si="7"/>
        <v>0</v>
      </c>
      <c r="E52" s="832"/>
      <c r="F52" s="847">
        <f t="shared" si="8"/>
        <v>4.0949999999999997E-3</v>
      </c>
      <c r="G52" s="822"/>
      <c r="H52" s="849">
        <f t="shared" si="9"/>
        <v>0</v>
      </c>
      <c r="I52" s="846">
        <f t="shared" si="10"/>
        <v>0</v>
      </c>
      <c r="J52" s="846"/>
      <c r="K52" s="846">
        <f t="shared" si="6"/>
        <v>0</v>
      </c>
    </row>
    <row r="53" spans="1:11" ht="15.75">
      <c r="A53" s="822"/>
      <c r="B53" s="822"/>
      <c r="C53" s="822"/>
      <c r="D53" s="832"/>
      <c r="E53" s="832"/>
      <c r="F53" s="847"/>
      <c r="G53" s="822"/>
      <c r="H53" s="846">
        <f>SUM(H41:H52)</f>
        <v>0</v>
      </c>
      <c r="I53" s="846"/>
      <c r="J53" s="846"/>
      <c r="K53" s="846"/>
    </row>
    <row r="54" spans="1:11" ht="15">
      <c r="A54" s="536"/>
      <c r="B54" s="536"/>
      <c r="C54" s="536"/>
      <c r="D54" s="536"/>
      <c r="E54" s="536"/>
      <c r="F54" s="536"/>
      <c r="G54" s="536"/>
      <c r="H54" s="536"/>
      <c r="I54" s="854"/>
      <c r="J54" s="536"/>
      <c r="K54" s="536"/>
    </row>
    <row r="55" spans="1:11" ht="15.75">
      <c r="A55" s="822" t="s">
        <v>573</v>
      </c>
      <c r="B55" s="536"/>
      <c r="C55" s="536"/>
      <c r="D55" s="536"/>
      <c r="E55" s="536"/>
      <c r="F55" s="536"/>
      <c r="G55" s="536"/>
      <c r="H55" s="536"/>
      <c r="I55" s="855">
        <f>(SUM(I41:I52)*-1)</f>
        <v>0</v>
      </c>
      <c r="J55" s="536"/>
      <c r="K55" s="536"/>
    </row>
    <row r="56" spans="1:11" ht="15.75">
      <c r="A56" s="822" t="s">
        <v>568</v>
      </c>
      <c r="B56" s="536"/>
      <c r="C56" s="536"/>
      <c r="D56" s="536"/>
      <c r="E56" s="536"/>
      <c r="F56" s="536"/>
      <c r="G56" s="536"/>
      <c r="H56" s="536"/>
      <c r="I56" s="856">
        <f>+H12</f>
        <v>0</v>
      </c>
      <c r="J56" s="536"/>
      <c r="K56" s="536"/>
    </row>
    <row r="57" spans="1:11" ht="15.75">
      <c r="A57" s="822" t="s">
        <v>569</v>
      </c>
      <c r="B57" s="536"/>
      <c r="C57" s="536"/>
      <c r="D57" s="536"/>
      <c r="E57" s="536"/>
      <c r="F57" s="536"/>
      <c r="G57" s="536"/>
      <c r="H57" s="536"/>
      <c r="I57" s="855">
        <f>(I55+I56)</f>
        <v>0</v>
      </c>
      <c r="J57" s="536"/>
      <c r="K57" s="536"/>
    </row>
    <row r="58" spans="1:11">
      <c r="A58" s="430"/>
      <c r="B58" s="430"/>
      <c r="C58" s="430"/>
      <c r="D58" s="430"/>
      <c r="E58" s="430"/>
      <c r="F58" s="430"/>
      <c r="G58" s="430"/>
      <c r="H58" s="430"/>
      <c r="I58" s="430"/>
      <c r="J58" s="430"/>
      <c r="K58" s="430"/>
    </row>
    <row r="59" spans="1:11" ht="78.75" customHeight="1">
      <c r="A59" s="1649" t="s">
        <v>574</v>
      </c>
      <c r="B59" s="1649"/>
      <c r="C59" s="1649"/>
      <c r="D59" s="1649"/>
      <c r="E59" s="857"/>
      <c r="F59" s="857"/>
      <c r="G59" s="857"/>
      <c r="H59" s="857"/>
      <c r="I59" s="857"/>
      <c r="J59" s="857"/>
      <c r="K59" s="857"/>
    </row>
    <row r="60" spans="1:11" ht="13.5">
      <c r="A60" s="858"/>
      <c r="B60" s="430"/>
      <c r="C60" s="430"/>
      <c r="D60" s="430"/>
      <c r="E60" s="430"/>
      <c r="F60" s="859"/>
      <c r="G60" s="430"/>
      <c r="H60" s="430"/>
      <c r="I60" s="860"/>
      <c r="J60" s="430"/>
      <c r="K60" s="430"/>
    </row>
    <row r="61" spans="1:11" ht="15.75">
      <c r="A61" s="861"/>
      <c r="B61" s="862"/>
      <c r="C61" s="863"/>
      <c r="D61" s="863"/>
      <c r="E61" s="863"/>
      <c r="F61" s="863"/>
      <c r="G61" s="863"/>
      <c r="H61" s="863"/>
      <c r="I61" s="864"/>
      <c r="J61" s="863"/>
      <c r="K61" s="863"/>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63"/>
  <sheetViews>
    <sheetView view="pageBreakPreview" topLeftCell="A7" zoomScale="85" zoomScaleNormal="75" zoomScaleSheetLayoutView="85" workbookViewId="0">
      <selection activeCell="E25" sqref="E25"/>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33" t="s">
        <v>116</v>
      </c>
    </row>
    <row r="2" spans="1:15" ht="15.75">
      <c r="A2" s="933" t="s">
        <v>116</v>
      </c>
    </row>
    <row r="3" spans="1:15" ht="15">
      <c r="A3" s="1543" t="s">
        <v>389</v>
      </c>
      <c r="B3" s="1543"/>
      <c r="C3" s="1543"/>
      <c r="D3" s="1543"/>
      <c r="E3" s="1543"/>
      <c r="F3" s="1543"/>
      <c r="G3" s="1543"/>
      <c r="H3" s="1543"/>
      <c r="I3" s="1543"/>
      <c r="J3" s="40"/>
      <c r="K3" s="40"/>
    </row>
    <row r="4" spans="1:15" ht="15">
      <c r="A4" s="1544" t="str">
        <f>"Cost of Service Formula Rate Using Actual/Projected FF1 Balances"</f>
        <v>Cost of Service Formula Rate Using Actual/Projected FF1 Balances</v>
      </c>
      <c r="B4" s="1544"/>
      <c r="C4" s="1544"/>
      <c r="D4" s="1544"/>
      <c r="E4" s="1544"/>
      <c r="F4" s="1544"/>
      <c r="G4" s="1544"/>
      <c r="H4" s="1544"/>
      <c r="I4" s="1544"/>
      <c r="J4" s="96"/>
      <c r="K4" s="96"/>
    </row>
    <row r="5" spans="1:15" ht="15">
      <c r="A5" s="1544" t="s">
        <v>473</v>
      </c>
      <c r="B5" s="1544"/>
      <c r="C5" s="1544"/>
      <c r="D5" s="1544"/>
      <c r="E5" s="1544"/>
      <c r="F5" s="1544"/>
      <c r="G5" s="1544"/>
      <c r="H5" s="1544"/>
      <c r="I5" s="1544"/>
      <c r="J5" s="95"/>
      <c r="K5" s="95"/>
    </row>
    <row r="6" spans="1:15" ht="15">
      <c r="A6" s="1555" t="str">
        <f>TCOS!F9</f>
        <v>KINGSPORT POWER COMPANY</v>
      </c>
      <c r="B6" s="1555"/>
      <c r="C6" s="1555"/>
      <c r="D6" s="1555"/>
      <c r="E6" s="1555"/>
      <c r="F6" s="1555"/>
      <c r="G6" s="1555"/>
      <c r="H6" s="1555"/>
      <c r="I6" s="1555"/>
      <c r="J6" s="4"/>
      <c r="K6" s="4"/>
      <c r="L6"/>
      <c r="M6"/>
    </row>
    <row r="7" spans="1:15">
      <c r="C7" s="34"/>
      <c r="D7" s="34"/>
    </row>
    <row r="8" spans="1:15">
      <c r="C8" s="8" t="s">
        <v>164</v>
      </c>
      <c r="D8" s="8" t="s">
        <v>165</v>
      </c>
      <c r="E8" s="8" t="s">
        <v>166</v>
      </c>
      <c r="G8" s="8" t="s">
        <v>167</v>
      </c>
      <c r="I8" s="8" t="s">
        <v>85</v>
      </c>
      <c r="J8" s="8"/>
      <c r="K8" s="8"/>
      <c r="L8" s="8"/>
      <c r="M8"/>
      <c r="N8"/>
      <c r="O8"/>
    </row>
    <row r="9" spans="1:15">
      <c r="A9" s="94"/>
      <c r="F9" s="32" t="s">
        <v>116</v>
      </c>
      <c r="G9" s="32" t="s">
        <v>116</v>
      </c>
      <c r="I9" s="14"/>
      <c r="J9"/>
      <c r="K9"/>
      <c r="L9"/>
      <c r="M9"/>
      <c r="N9"/>
      <c r="O9"/>
    </row>
    <row r="10" spans="1:15" ht="12.75" customHeight="1">
      <c r="A10" s="12" t="s">
        <v>171</v>
      </c>
      <c r="C10" s="35"/>
      <c r="D10" s="35"/>
      <c r="E10" s="1553" t="str">
        <f>"Balance @ December 31, "&amp;TCOS!L4&amp;""</f>
        <v>Balance @ December 31, 2024</v>
      </c>
      <c r="F10" s="141"/>
      <c r="G10" s="1553" t="str">
        <f>"Balance @ December 31, "&amp;TCOS!L4-1&amp;""</f>
        <v>Balance @ December 31, 2023</v>
      </c>
      <c r="H10" s="141"/>
      <c r="I10" s="1556" t="str">
        <f>"Average Balance for "&amp;TCOS!L4&amp;""</f>
        <v>Average Balance for 2024</v>
      </c>
      <c r="J10"/>
      <c r="K10"/>
      <c r="L10"/>
      <c r="M10"/>
      <c r="N10"/>
      <c r="O10"/>
    </row>
    <row r="11" spans="1:15">
      <c r="A11" s="12" t="s">
        <v>107</v>
      </c>
      <c r="B11" s="11"/>
      <c r="C11" s="12" t="s">
        <v>169</v>
      </c>
      <c r="D11" s="12" t="s">
        <v>208</v>
      </c>
      <c r="E11" s="1554"/>
      <c r="F11" s="86"/>
      <c r="G11" s="1554"/>
      <c r="H11" s="236"/>
      <c r="I11" s="1554"/>
      <c r="J11"/>
      <c r="K11"/>
      <c r="L11"/>
      <c r="M11"/>
      <c r="N11"/>
      <c r="O11"/>
    </row>
    <row r="12" spans="1:15">
      <c r="A12" s="94"/>
      <c r="C12" s="34"/>
      <c r="D12" s="34"/>
      <c r="G12" s="248"/>
      <c r="J12" s="26"/>
      <c r="K12" s="26"/>
    </row>
    <row r="13" spans="1:15">
      <c r="A13" s="94"/>
      <c r="C13" s="34"/>
      <c r="D13" s="34"/>
      <c r="J13" s="26"/>
      <c r="K13" s="26"/>
    </row>
    <row r="14" spans="1:15">
      <c r="A14" s="94"/>
      <c r="C14" s="34"/>
      <c r="D14" s="34"/>
      <c r="J14" s="26"/>
      <c r="K14" s="26"/>
    </row>
    <row r="15" spans="1:15" ht="15.75">
      <c r="A15" s="94">
        <v>1</v>
      </c>
      <c r="C15" s="58" t="s">
        <v>511</v>
      </c>
      <c r="D15" s="58"/>
      <c r="J15" s="26"/>
      <c r="K15" s="26"/>
    </row>
    <row r="16" spans="1:15" ht="15.75">
      <c r="A16" s="94"/>
      <c r="C16" s="58"/>
      <c r="D16" s="58"/>
      <c r="H16"/>
      <c r="J16" s="26"/>
      <c r="K16" s="26"/>
    </row>
    <row r="17" spans="1:17">
      <c r="A17" s="94">
        <f>+A15+1</f>
        <v>2</v>
      </c>
      <c r="C17" s="60" t="s">
        <v>517</v>
      </c>
      <c r="D17" s="85" t="s">
        <v>519</v>
      </c>
      <c r="E17" s="875">
        <f>SUM('WS B-1 - Actual Stmt. AF'!Q23:S23)</f>
        <v>0</v>
      </c>
      <c r="G17" s="916">
        <f>SUM('WS B-1 - Actual Stmt. AF'!M23:O23)</f>
        <v>0</v>
      </c>
      <c r="H17"/>
      <c r="I17" s="137">
        <f>IF(G17="",0,(E17+G17)/2)</f>
        <v>0</v>
      </c>
      <c r="J17" s="26"/>
      <c r="K17" s="26"/>
    </row>
    <row r="18" spans="1:17">
      <c r="A18" s="94">
        <f>+A17+1</f>
        <v>3</v>
      </c>
      <c r="C18" s="60" t="s">
        <v>521</v>
      </c>
      <c r="D18" s="312" t="str">
        <f>"WS B-1 - Actual Stmt. AF Ln. " &amp;'WS B-1 - Actual Stmt. AF'!A24&amp;" (Note 1)"</f>
        <v>WS B-1 - Actual Stmt. AF Ln. 4 (Note 1)</v>
      </c>
      <c r="E18" s="875">
        <f>SUM('WS B-1 - Actual Stmt. AF'!Q24:S24)</f>
        <v>0</v>
      </c>
      <c r="G18" s="928">
        <f>SUM('WS B-1 - Actual Stmt. AF'!M24:O24)</f>
        <v>0</v>
      </c>
      <c r="H18"/>
      <c r="I18" s="137">
        <f>IF(G18="",0,(E18+G18)/2)</f>
        <v>0</v>
      </c>
      <c r="J18" s="26"/>
      <c r="K18" s="26"/>
    </row>
    <row r="19" spans="1:17" ht="15">
      <c r="A19" s="94">
        <f>+A18+1</f>
        <v>4</v>
      </c>
      <c r="C19" s="60" t="s">
        <v>522</v>
      </c>
      <c r="D19" s="312" t="str">
        <f>"WS B-1 - Actual Stmt. AF Ln. " &amp;'WS B-1 - Actual Stmt. AF'!A23&amp;" (Note 1)"</f>
        <v>WS B-1 - Actual Stmt. AF Ln. 3 (Note 1)</v>
      </c>
      <c r="E19" s="876">
        <f>SUM('WS B-1 - Actual Stmt. AF'!Q23,'WS B-1 - Actual Stmt. AF'!S23)-(SUM('WS B-1 - Actual Stmt. AF'!Q24,'WS B-1 - Actual Stmt. AF'!S24))</f>
        <v>0</v>
      </c>
      <c r="G19" s="917">
        <f>SUM('WS B-1 - Actual Stmt. AF'!M23,'WS B-1 - Actual Stmt. AF'!O23)-SUM('WS B-1 - Actual Stmt. AF'!M24,'WS B-1 - Actual Stmt. AF'!O24)</f>
        <v>0</v>
      </c>
      <c r="I19" s="217">
        <f>IF(G19="",0,(E19+G19)/2)</f>
        <v>0</v>
      </c>
      <c r="J19" s="26"/>
      <c r="K19" s="26"/>
    </row>
    <row r="20" spans="1:17">
      <c r="A20" s="94">
        <f>+A19+1</f>
        <v>5</v>
      </c>
      <c r="C20" s="60" t="s">
        <v>518</v>
      </c>
      <c r="D20" s="142" t="str">
        <f>"Ln "&amp;A17&amp;" - ln "&amp;A18&amp;" - ln "&amp;A19&amp;""</f>
        <v>Ln 2 - ln 3 - ln 4</v>
      </c>
      <c r="E20" s="27">
        <f>+E17-E18-E19</f>
        <v>0</v>
      </c>
      <c r="G20" s="27">
        <f>+G17-G18-G19</f>
        <v>0</v>
      </c>
      <c r="I20" s="137">
        <f>+I17-I18-I19</f>
        <v>0</v>
      </c>
      <c r="J20" s="26"/>
      <c r="K20" s="26"/>
    </row>
    <row r="21" spans="1:17">
      <c r="A21" s="94"/>
      <c r="C21" s="60"/>
      <c r="D21" s="142"/>
      <c r="J21" s="26"/>
      <c r="K21" s="26"/>
    </row>
    <row r="22" spans="1:17">
      <c r="A22" s="94"/>
      <c r="C22" s="60"/>
      <c r="D22" s="142"/>
      <c r="J22" s="26"/>
      <c r="K22" s="27"/>
      <c r="L22" s="27"/>
      <c r="M22" s="27"/>
      <c r="N22" s="27"/>
      <c r="O22" s="27"/>
    </row>
    <row r="23" spans="1:17" ht="15.75">
      <c r="A23" s="94">
        <f>+A20+1</f>
        <v>6</v>
      </c>
      <c r="C23" s="58" t="s">
        <v>512</v>
      </c>
      <c r="D23" s="142"/>
      <c r="J23" s="26"/>
      <c r="K23" s="27"/>
      <c r="L23" s="27"/>
      <c r="M23" s="27"/>
      <c r="N23" s="27"/>
      <c r="O23" s="27"/>
    </row>
    <row r="24" spans="1:17">
      <c r="A24" s="94"/>
      <c r="C24" s="60"/>
      <c r="D24" s="142"/>
      <c r="E24" s="1323"/>
      <c r="J24" s="26"/>
      <c r="K24" s="27"/>
      <c r="L24" s="27"/>
      <c r="M24" s="27"/>
      <c r="N24" s="27"/>
      <c r="O24" s="27"/>
    </row>
    <row r="25" spans="1:17">
      <c r="A25" s="94">
        <f>+A23+1</f>
        <v>7</v>
      </c>
      <c r="C25" s="60" t="s">
        <v>517</v>
      </c>
      <c r="D25" s="85" t="s">
        <v>451</v>
      </c>
      <c r="E25" s="920">
        <f>SUM('WS B-1 - Actual Stmt. AF'!Q72:S72)-'WS B-1 - Actual Stmt. AF'!D64</f>
        <v>30066845.940000001</v>
      </c>
      <c r="G25" s="918">
        <f>SUM('WS B-1 - Actual Stmt. AF'!M72:O72)-'WS B-1 - Actual Stmt. AF'!C64</f>
        <v>29573429.710000001</v>
      </c>
      <c r="H25"/>
      <c r="I25" s="137">
        <f>IF(G25="",0,(E25+G25)/2)</f>
        <v>29820137.825000003</v>
      </c>
      <c r="J25" s="26"/>
      <c r="K25" s="27"/>
      <c r="L25" s="27"/>
      <c r="M25" s="27"/>
      <c r="N25" s="27"/>
      <c r="O25" s="27"/>
    </row>
    <row r="26" spans="1:17">
      <c r="A26" s="94">
        <f>+A25+1</f>
        <v>8</v>
      </c>
      <c r="C26" s="60" t="s">
        <v>521</v>
      </c>
      <c r="D26" s="312" t="str">
        <f>"WS B-1 - Actual Stmt. AF Ln. " &amp;'WS B-1 - Actual Stmt. AF'!A73&amp;" (Note 1)"</f>
        <v>WS B-1 - Actual Stmt. AF Ln. 7 (Note 1)</v>
      </c>
      <c r="E26" s="928">
        <f>SUM('WS B-1 - Actual Stmt. AF'!Q73:S73)</f>
        <v>0</v>
      </c>
      <c r="G26" s="928">
        <f>SUM('WS B-1 - Actual Stmt. AF'!M73:O73)</f>
        <v>0</v>
      </c>
      <c r="H26"/>
      <c r="I26" s="137">
        <f>IF(G26="",0,(E26+G26)/2)</f>
        <v>0</v>
      </c>
      <c r="J26" s="26"/>
      <c r="K26" s="27"/>
      <c r="L26" s="27"/>
      <c r="M26" s="27"/>
      <c r="N26" s="27"/>
      <c r="O26" s="27"/>
    </row>
    <row r="27" spans="1:17" ht="15">
      <c r="A27" s="94">
        <f>+A26+1</f>
        <v>9</v>
      </c>
      <c r="C27" s="60" t="s">
        <v>522</v>
      </c>
      <c r="D27" s="312" t="str">
        <f>"WS B-1 - Actual Stmt. AF Ln. " &amp;'WS B-1 - Actual Stmt. AF'!A72&amp;" (Note 1)"</f>
        <v>WS B-1 - Actual Stmt. AF Ln. 6 (Note 1)</v>
      </c>
      <c r="E27" s="921">
        <f>('WS B-1 - Actual Stmt. AF'!Q72+'WS B-1 - Actual Stmt. AF'!S72)-('WS B-1 - Actual Stmt. AF'!Q73+'WS B-1 - Actual Stmt. AF'!S73)-'WS B-1 - Actual Stmt. AF'!D64</f>
        <v>22125201.604647025</v>
      </c>
      <c r="G27" s="919">
        <f>('WS B-1 - Actual Stmt. AF'!M72+'WS B-1 - Actual Stmt. AF'!O72)-('WS B-1 - Actual Stmt. AF'!M73+'WS B-1 - Actual Stmt. AF'!O73)-'WS B-1 - Actual Stmt. AF'!C64</f>
        <v>21644354.706424855</v>
      </c>
      <c r="I27" s="217">
        <f>IF(G27="",0,(E27+G27)/2)</f>
        <v>21884778.15553594</v>
      </c>
      <c r="J27" s="26"/>
      <c r="K27" s="27"/>
      <c r="L27" s="27"/>
      <c r="M27" s="27"/>
      <c r="N27" s="27"/>
      <c r="O27" s="27"/>
    </row>
    <row r="28" spans="1:17">
      <c r="A28" s="94">
        <f>+A27+1</f>
        <v>10</v>
      </c>
      <c r="C28" s="60" t="s">
        <v>518</v>
      </c>
      <c r="D28" s="142" t="str">
        <f>"Ln "&amp;A25&amp;" - ln "&amp;A26&amp;" - ln "&amp;A27&amp;""</f>
        <v>Ln 7 - ln 8 - ln 9</v>
      </c>
      <c r="E28" s="27">
        <f>+E25-E26-E27</f>
        <v>7941644.3353529759</v>
      </c>
      <c r="G28" s="27">
        <f>+G25-G26-G27</f>
        <v>7929075.0035751462</v>
      </c>
      <c r="I28" s="137">
        <f>+I25-I26-I27</f>
        <v>7935359.6694640629</v>
      </c>
      <c r="J28" s="26"/>
      <c r="K28" s="27"/>
      <c r="L28" s="27"/>
      <c r="M28" s="27"/>
      <c r="N28" s="27"/>
      <c r="O28" s="27"/>
    </row>
    <row r="29" spans="1:17">
      <c r="A29" s="94"/>
      <c r="C29" s="60"/>
      <c r="D29" s="142"/>
      <c r="J29" s="26"/>
      <c r="K29" s="27"/>
      <c r="L29" s="27"/>
      <c r="M29" s="27"/>
      <c r="N29" s="27"/>
      <c r="O29" s="27"/>
      <c r="P29" s="27"/>
      <c r="Q29" s="27"/>
    </row>
    <row r="30" spans="1:17">
      <c r="A30" s="94"/>
      <c r="C30" s="60"/>
      <c r="D30" s="142"/>
      <c r="E30" s="139"/>
      <c r="G30" s="139"/>
      <c r="J30" s="26"/>
      <c r="K30" s="27"/>
      <c r="L30" s="27"/>
      <c r="M30" s="27"/>
      <c r="N30" s="27"/>
      <c r="O30" s="27"/>
      <c r="P30" s="27"/>
      <c r="Q30" s="27"/>
    </row>
    <row r="31" spans="1:17" ht="15.75">
      <c r="A31" s="94">
        <f>+A28+1</f>
        <v>11</v>
      </c>
      <c r="C31" s="58" t="s">
        <v>513</v>
      </c>
      <c r="D31" s="142"/>
      <c r="J31" s="26"/>
      <c r="K31" s="27"/>
      <c r="L31" s="27"/>
      <c r="M31" s="27"/>
      <c r="N31" s="27"/>
      <c r="O31" s="27"/>
      <c r="P31" s="27"/>
      <c r="Q31" s="27"/>
    </row>
    <row r="32" spans="1:17" ht="15.75">
      <c r="A32" s="94"/>
      <c r="C32" s="58"/>
      <c r="D32" s="142"/>
      <c r="J32" s="26"/>
      <c r="K32" s="27"/>
      <c r="L32" s="27"/>
      <c r="M32" s="27"/>
      <c r="N32" s="27"/>
      <c r="O32" s="27"/>
      <c r="P32" s="27"/>
      <c r="Q32" s="27"/>
    </row>
    <row r="33" spans="1:17">
      <c r="A33" s="94">
        <f>+A31+1</f>
        <v>12</v>
      </c>
      <c r="C33" s="60" t="s">
        <v>517</v>
      </c>
      <c r="D33" s="85" t="s">
        <v>520</v>
      </c>
      <c r="E33" s="922">
        <f>SUM('WS B-1 - Actual Stmt. AF'!Q121:S121)-'WS B-1 - Actual Stmt. AF'!D112</f>
        <v>2993165.61</v>
      </c>
      <c r="G33" s="924">
        <f>SUM('WS B-1 - Actual Stmt. AF'!M127:O127)-'WS B-1 - Actual Stmt. AF'!C112</f>
        <v>3454079.6900000004</v>
      </c>
      <c r="H33"/>
      <c r="I33" s="137">
        <f>IF(G33="",0,(E33+G33)/2)</f>
        <v>3223622.6500000004</v>
      </c>
      <c r="J33" s="26"/>
      <c r="K33" s="27"/>
      <c r="L33" s="27"/>
      <c r="M33" s="27"/>
      <c r="N33" s="27"/>
      <c r="O33" s="27"/>
      <c r="P33" s="27"/>
      <c r="Q33" s="27"/>
    </row>
    <row r="34" spans="1:17">
      <c r="A34" s="94">
        <f>+A33+1</f>
        <v>13</v>
      </c>
      <c r="C34" s="60" t="s">
        <v>521</v>
      </c>
      <c r="D34" s="312" t="str">
        <f>"WS B-1 - Actual Stmt. AF Ln. " &amp;'WS B-1 - Actual Stmt. AF'!A128&amp;" (Note 1)"</f>
        <v>WS B-1 - Actual Stmt. AF Ln. 13 (Note 1)</v>
      </c>
      <c r="E34" s="928">
        <f>SUM('WS B-1 - Actual Stmt. AF'!Q128:S128)</f>
        <v>0</v>
      </c>
      <c r="G34" s="928">
        <f>SUM('WS B-1 - Actual Stmt. AF'!M128:O128)</f>
        <v>0</v>
      </c>
      <c r="H34"/>
      <c r="I34" s="137">
        <f>IF(G34="",0,(E34+G34)/2)</f>
        <v>0</v>
      </c>
      <c r="J34" s="26"/>
      <c r="K34" s="1102"/>
      <c r="L34" s="1102"/>
      <c r="M34" s="1102"/>
      <c r="N34" s="1102"/>
      <c r="O34" s="1102"/>
    </row>
    <row r="35" spans="1:17" ht="15">
      <c r="A35" s="94">
        <f>+A34+1</f>
        <v>14</v>
      </c>
      <c r="C35" s="60" t="s">
        <v>522</v>
      </c>
      <c r="D35" s="312" t="str">
        <f>"WS B-1 - Actual Stmt. AF Ln. " &amp;'WS B-1 - Actual Stmt. AF'!A127&amp;" (Note 1)"</f>
        <v>WS B-1 - Actual Stmt. AF Ln. 12 (Note 1)</v>
      </c>
      <c r="E35" s="923">
        <f>('WS B-1 - Actual Stmt. AF'!Q127+'WS B-1 - Actual Stmt. AF'!S127)-('WS B-1 - Actual Stmt. AF'!Q128+'WS B-1 - Actual Stmt. AF'!S128)-'WS B-1 - Actual Stmt. AF'!D112</f>
        <v>2114406.0099999998</v>
      </c>
      <c r="G35" s="925">
        <f>('WS B-1 - Actual Stmt. AF'!M121+'WS B-1 - Actual Stmt. AF'!O121)-('WS B-1 - Actual Stmt. AF'!M128+'WS B-1 - Actual Stmt. AF'!O128)-'WS B-1 - Actual Stmt. AF'!C112</f>
        <v>2899318.91</v>
      </c>
      <c r="I35" s="217">
        <f>IF(G35="",0,(E35+G35)/2)</f>
        <v>2506862.46</v>
      </c>
      <c r="J35" s="26"/>
      <c r="K35" s="26"/>
    </row>
    <row r="36" spans="1:17">
      <c r="A36" s="94">
        <f>+A35+1</f>
        <v>15</v>
      </c>
      <c r="C36" s="60" t="s">
        <v>518</v>
      </c>
      <c r="D36" s="142" t="str">
        <f>"Ln "&amp;A33&amp;" - ln "&amp;A34&amp;" - ln "&amp;A35&amp;""</f>
        <v>Ln 12 - ln 13 - ln 14</v>
      </c>
      <c r="E36" s="27">
        <f>+E33-E34-E35</f>
        <v>878759.60000000009</v>
      </c>
      <c r="G36" s="27">
        <f>+G33-G34-G35</f>
        <v>554760.78000000026</v>
      </c>
      <c r="I36" s="137">
        <f>+I33-I34-I35</f>
        <v>716760.19000000041</v>
      </c>
      <c r="J36" s="26"/>
      <c r="K36" s="26"/>
    </row>
    <row r="37" spans="1:17" ht="15.75">
      <c r="A37" s="94"/>
      <c r="C37" s="58"/>
      <c r="D37" s="142"/>
      <c r="J37" s="26"/>
      <c r="K37" s="27"/>
      <c r="L37" s="27"/>
      <c r="M37" s="27"/>
      <c r="N37" s="27"/>
      <c r="O37" s="27"/>
      <c r="P37" s="27"/>
    </row>
    <row r="38" spans="1:17">
      <c r="A38" s="94"/>
      <c r="C38" s="60"/>
      <c r="D38" s="142"/>
      <c r="J38" s="26"/>
      <c r="K38" s="27"/>
      <c r="L38" s="27"/>
      <c r="M38" s="27"/>
      <c r="N38" s="27"/>
      <c r="O38" s="27"/>
      <c r="P38" s="27"/>
    </row>
    <row r="39" spans="1:17" ht="15.75">
      <c r="A39" s="94">
        <f>+A36+1</f>
        <v>16</v>
      </c>
      <c r="C39" s="58" t="s">
        <v>514</v>
      </c>
      <c r="D39" s="142"/>
      <c r="J39" s="26"/>
      <c r="K39" s="27"/>
      <c r="L39" s="27"/>
      <c r="M39" s="27"/>
      <c r="N39" s="27"/>
      <c r="O39" s="27"/>
      <c r="P39" s="27"/>
    </row>
    <row r="40" spans="1:17">
      <c r="A40" s="94"/>
      <c r="C40" s="60"/>
      <c r="D40" s="142"/>
      <c r="J40" s="26"/>
      <c r="K40" s="27"/>
      <c r="L40" s="27"/>
      <c r="M40" s="27"/>
      <c r="N40" s="27"/>
      <c r="O40" s="27"/>
      <c r="P40" s="27"/>
    </row>
    <row r="41" spans="1:17">
      <c r="A41" s="94">
        <f>+A39+1</f>
        <v>17</v>
      </c>
      <c r="C41" s="60" t="s">
        <v>517</v>
      </c>
      <c r="D41" s="85" t="s">
        <v>516</v>
      </c>
      <c r="E41" s="926">
        <f>SUM('WS B-2 - Actual Stmt. AG'!R81:S81)-'WS B-2 - Actual Stmt. AG'!D71</f>
        <v>3234903.66</v>
      </c>
      <c r="G41" s="928">
        <f>SUM('WS B-2 - Actual Stmt. AG'!N81:O81)-'WS B-2 - Actual Stmt. AG'!C71</f>
        <v>3548137.3200000012</v>
      </c>
      <c r="H41"/>
      <c r="I41" s="137">
        <f>IF(G41="",0,(E41+G41)/2)</f>
        <v>3391520.4900000007</v>
      </c>
      <c r="J41" s="26"/>
      <c r="K41" s="27"/>
      <c r="L41" s="27"/>
      <c r="M41" s="27"/>
      <c r="N41" s="27"/>
      <c r="O41" s="27"/>
    </row>
    <row r="42" spans="1:17">
      <c r="A42" s="94">
        <f>+A41+1</f>
        <v>18</v>
      </c>
      <c r="C42" s="60" t="s">
        <v>521</v>
      </c>
      <c r="D42" s="312" t="str">
        <f>"WS B-2 - Actual Stmt. AG Ln. " &amp;'WS B-2 - Actual Stmt. AG'!A82&amp;" (Note 1)"</f>
        <v>WS B-2 - Actual Stmt. AG Ln. 4 (Note 1)</v>
      </c>
      <c r="E42" s="926">
        <f>SUM('WS B-2 - Actual Stmt. AG'!Q82:S82)</f>
        <v>0</v>
      </c>
      <c r="G42" s="928">
        <f>SUM('WS B-2 - Actual Stmt. AG'!M82:O82)</f>
        <v>0</v>
      </c>
      <c r="H42"/>
      <c r="I42" s="137">
        <f>IF(G42="",0,(E42+G42)/2)</f>
        <v>0</v>
      </c>
      <c r="J42" s="26"/>
      <c r="K42" s="27"/>
      <c r="L42" s="27"/>
      <c r="M42" s="27"/>
      <c r="N42" s="27"/>
      <c r="O42" s="27"/>
    </row>
    <row r="43" spans="1:17" ht="15">
      <c r="A43" s="94">
        <f>+A42+1</f>
        <v>19</v>
      </c>
      <c r="C43" s="60" t="s">
        <v>522</v>
      </c>
      <c r="D43" s="312" t="str">
        <f>"WS B-2 - Actual Stmt. AG Ln. " &amp;'WS B-2 - Actual Stmt. AG'!A81&amp;" (Note 1)"</f>
        <v>WS B-2 - Actual Stmt. AG Ln. 3 (Note 1)</v>
      </c>
      <c r="E43" s="927">
        <f>('WS B-2 - Actual Stmt. AG'!R81+'WS B-2 - Actual Stmt. AG'!S81)-'WS B-2 - Actual Stmt. AG'!R81-'WS B-2 - Actual Stmt. AG'!D71</f>
        <v>-2610856.6525040679</v>
      </c>
      <c r="G43" s="929">
        <f>('WS B-2 - Actual Stmt. AG'!N81+'WS B-2 - Actual Stmt. AG'!O81)-'WS B-2 - Actual Stmt. AG'!N81-'WS B-2 - Actual Stmt. AG'!C71</f>
        <v>-297344.4357876014</v>
      </c>
      <c r="I43" s="217">
        <f>IF(G43="",0,(E43+G43)/2)</f>
        <v>-1454100.5441458346</v>
      </c>
      <c r="J43" s="26"/>
      <c r="K43" s="27"/>
      <c r="L43" s="27"/>
      <c r="M43" s="27"/>
      <c r="N43" s="27"/>
      <c r="O43" s="27"/>
    </row>
    <row r="44" spans="1:17">
      <c r="A44" s="94">
        <f>+A43+1</f>
        <v>20</v>
      </c>
      <c r="C44" s="60" t="s">
        <v>518</v>
      </c>
      <c r="D44" s="142" t="str">
        <f>"Ln "&amp;A41&amp;" - ln "&amp;A42&amp;" - ln "&amp;A43&amp;""</f>
        <v>Ln 17 - ln 18 - ln 19</v>
      </c>
      <c r="E44" s="27">
        <f>+E41-E42-E43</f>
        <v>5845760.312504068</v>
      </c>
      <c r="G44" s="27">
        <f>+G41-G42-G43</f>
        <v>3845481.7557876026</v>
      </c>
      <c r="I44" s="137">
        <f>+I41-I42-I43</f>
        <v>4845621.0341458358</v>
      </c>
      <c r="J44" s="26"/>
      <c r="K44" s="26"/>
    </row>
    <row r="45" spans="1:17">
      <c r="A45" s="94"/>
      <c r="C45" s="60"/>
      <c r="D45" s="142"/>
      <c r="J45" s="26"/>
      <c r="K45" s="26"/>
    </row>
    <row r="46" spans="1:17">
      <c r="A46" s="94"/>
      <c r="C46" s="60"/>
      <c r="D46" s="142"/>
      <c r="J46" s="26"/>
      <c r="K46" s="26"/>
    </row>
    <row r="47" spans="1:17" ht="15.75">
      <c r="A47" s="94">
        <f>+A44+1</f>
        <v>21</v>
      </c>
      <c r="C47" s="58" t="s">
        <v>515</v>
      </c>
      <c r="D47" s="142"/>
      <c r="J47" s="26"/>
      <c r="K47" s="26"/>
    </row>
    <row r="48" spans="1:17">
      <c r="A48" s="94"/>
      <c r="C48" s="60"/>
      <c r="D48" s="142"/>
      <c r="J48" s="26"/>
      <c r="K48" s="27"/>
      <c r="L48" s="27"/>
      <c r="M48" s="27"/>
      <c r="N48" s="27"/>
      <c r="O48" s="27"/>
    </row>
    <row r="49" spans="1:15">
      <c r="A49" s="94">
        <f>+A47+1</f>
        <v>22</v>
      </c>
      <c r="C49" s="60" t="s">
        <v>523</v>
      </c>
      <c r="D49" s="85" t="s">
        <v>472</v>
      </c>
      <c r="E49" s="875">
        <f>SUM('WS B-1 - Actual Stmt. AF'!Q141:S141)</f>
        <v>0</v>
      </c>
      <c r="G49" s="875">
        <f>SUM('WS B-1 - Actual Stmt. AF'!M141:O141)</f>
        <v>0</v>
      </c>
      <c r="H49"/>
      <c r="I49" s="137">
        <f>IF(G49="",0,(E49+G49)/2)</f>
        <v>0</v>
      </c>
      <c r="J49" s="26"/>
      <c r="K49" s="27"/>
      <c r="L49" s="27"/>
      <c r="M49" s="27"/>
      <c r="N49" s="27"/>
      <c r="O49" s="27"/>
    </row>
    <row r="50" spans="1:15" ht="15">
      <c r="A50" s="94">
        <f>+A49+1</f>
        <v>23</v>
      </c>
      <c r="C50" s="60" t="s">
        <v>524</v>
      </c>
      <c r="D50" s="312" t="s">
        <v>68</v>
      </c>
      <c r="E50" s="876">
        <v>0</v>
      </c>
      <c r="G50" s="876">
        <v>0</v>
      </c>
      <c r="H50"/>
      <c r="I50" s="217">
        <f>IF(G50="",0,(E50+G50)/2)</f>
        <v>0</v>
      </c>
      <c r="J50" s="26"/>
      <c r="K50" s="27"/>
      <c r="L50" s="27"/>
      <c r="M50" s="27"/>
      <c r="N50" s="27"/>
      <c r="O50" s="27"/>
    </row>
    <row r="51" spans="1:15">
      <c r="A51" s="94">
        <f>+A50+1</f>
        <v>24</v>
      </c>
      <c r="C51" s="60" t="s">
        <v>390</v>
      </c>
      <c r="D51" s="142" t="str">
        <f>"Ln "&amp;A49&amp;" - ln "&amp;A50&amp;""</f>
        <v>Ln 22 - ln 23</v>
      </c>
      <c r="E51" s="27">
        <f>+E49-E50</f>
        <v>0</v>
      </c>
      <c r="G51" s="27">
        <f>+G49-G50</f>
        <v>0</v>
      </c>
      <c r="H51"/>
      <c r="I51" s="137">
        <f>+I49-I50</f>
        <v>0</v>
      </c>
      <c r="J51" s="26"/>
      <c r="K51" s="27"/>
      <c r="L51" s="27"/>
      <c r="M51" s="27"/>
      <c r="N51" s="27"/>
      <c r="O51" s="27"/>
    </row>
    <row r="52" spans="1:15">
      <c r="A52" s="94">
        <f>+A51+1</f>
        <v>25</v>
      </c>
      <c r="C52" s="60" t="s">
        <v>518</v>
      </c>
      <c r="D52" s="312" t="str">
        <f>"WS B-1 - Actual Stmt. AF Ln. " &amp;'WS B-1 - Actual Stmt. AF'!A141&amp;" (Note 1)"</f>
        <v>WS B-1 - Actual Stmt. AF Ln. 20 (Note 1)</v>
      </c>
      <c r="E52" s="875">
        <f>'WS B-1 - Actual Stmt. AF'!R141</f>
        <v>0</v>
      </c>
      <c r="G52" s="875">
        <f>'WS B-1 - Actual Stmt. AF'!N141</f>
        <v>0</v>
      </c>
      <c r="H52"/>
      <c r="I52" s="137">
        <f>IF(G52="",0,(E52+G52)/2)</f>
        <v>0</v>
      </c>
      <c r="J52" s="26"/>
      <c r="K52" s="27"/>
      <c r="L52" s="27"/>
      <c r="M52" s="27"/>
      <c r="N52" s="27"/>
      <c r="O52" s="27"/>
    </row>
    <row r="53" spans="1:15">
      <c r="A53" s="94"/>
      <c r="C53" s="60"/>
      <c r="D53" s="60"/>
      <c r="J53" s="26"/>
      <c r="K53" s="27"/>
      <c r="L53" s="27"/>
      <c r="M53" s="27"/>
      <c r="N53" s="27"/>
      <c r="O53" s="27"/>
    </row>
    <row r="54" spans="1:15">
      <c r="A54" s="83" t="s">
        <v>69</v>
      </c>
      <c r="C54" s="1552" t="s">
        <v>819</v>
      </c>
      <c r="D54" s="1552"/>
      <c r="E54" s="1552"/>
      <c r="F54" s="1552"/>
      <c r="G54" s="1552"/>
      <c r="H54" s="1552"/>
      <c r="I54" s="1552"/>
      <c r="J54" s="26"/>
      <c r="K54" s="26"/>
    </row>
    <row r="55" spans="1:15">
      <c r="A55" s="83"/>
      <c r="C55" s="1552"/>
      <c r="D55" s="1552"/>
      <c r="E55" s="1552"/>
      <c r="F55" s="1552"/>
      <c r="G55" s="1552"/>
      <c r="H55" s="1552"/>
      <c r="I55" s="1552"/>
      <c r="J55" s="26"/>
      <c r="K55" s="26"/>
    </row>
    <row r="56" spans="1:15">
      <c r="A56" s="94"/>
      <c r="C56" s="60"/>
      <c r="D56" s="60"/>
    </row>
    <row r="57" spans="1:15">
      <c r="A57" s="94" t="s">
        <v>70</v>
      </c>
      <c r="B57" s="36" t="s">
        <v>71</v>
      </c>
      <c r="C57" s="60"/>
      <c r="D57" s="60"/>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141"/>
  <sheetViews>
    <sheetView view="pageBreakPreview" topLeftCell="A75" zoomScale="85" zoomScaleNormal="50" zoomScaleSheetLayoutView="85" workbookViewId="0">
      <selection activeCell="P106" sqref="P106"/>
    </sheetView>
  </sheetViews>
  <sheetFormatPr defaultRowHeight="12.75"/>
  <cols>
    <col min="1" max="1" width="6.85546875" style="1" customWidth="1"/>
    <col min="2" max="2" width="57.5703125" bestFit="1" customWidth="1"/>
    <col min="3" max="4" width="14.85546875" customWidth="1"/>
    <col min="5" max="6" width="14.42578125" customWidth="1"/>
    <col min="7" max="7" width="15.425781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5703125" customWidth="1"/>
    <col min="17" max="17" width="13.140625" bestFit="1" customWidth="1"/>
    <col min="18" max="18" width="15" bestFit="1" customWidth="1"/>
    <col min="19" max="19" width="13.5703125" bestFit="1" customWidth="1"/>
  </cols>
  <sheetData>
    <row r="1" spans="1:19">
      <c r="A1" s="1086"/>
      <c r="B1" s="1153" t="str">
        <f>TCOS!F9</f>
        <v>KINGSPORT POWER COMPANY</v>
      </c>
      <c r="C1" s="1069"/>
      <c r="D1" s="1069"/>
      <c r="E1" s="1069"/>
      <c r="F1" s="1069"/>
      <c r="G1" s="1070"/>
      <c r="H1" s="1070"/>
      <c r="I1" s="1070"/>
      <c r="J1" s="1070"/>
      <c r="K1" s="1070"/>
      <c r="L1" s="1070"/>
      <c r="M1" s="1069"/>
      <c r="N1" s="1069"/>
      <c r="O1" s="1069"/>
      <c r="P1" s="1069"/>
      <c r="Q1" s="1069"/>
      <c r="R1" s="1069"/>
      <c r="S1" s="1070"/>
    </row>
    <row r="2" spans="1:19">
      <c r="A2" s="1086"/>
      <c r="B2" s="1068" t="s">
        <v>821</v>
      </c>
      <c r="C2" s="1069"/>
      <c r="D2" s="1069"/>
      <c r="E2" s="1069"/>
      <c r="F2" s="1069"/>
      <c r="G2" s="1070"/>
      <c r="H2" s="1070"/>
      <c r="I2" s="1070"/>
      <c r="J2" s="1070"/>
      <c r="K2" s="1070"/>
      <c r="L2" s="1070"/>
      <c r="M2" s="1069"/>
      <c r="N2" s="1069"/>
      <c r="O2" s="1069"/>
      <c r="P2" s="1069"/>
      <c r="Q2" s="1069"/>
      <c r="R2" s="1069"/>
      <c r="S2" s="1070"/>
    </row>
    <row r="3" spans="1:19">
      <c r="A3" s="1086"/>
      <c r="B3" s="1108" t="str">
        <f>"PERIOD ENDED DECEMBER 31, "&amp;TCOS!L4</f>
        <v>PERIOD ENDED DECEMBER 31, 2024</v>
      </c>
      <c r="C3" s="1069"/>
      <c r="D3" s="1069"/>
      <c r="E3" s="1069"/>
      <c r="F3" s="1069"/>
      <c r="G3" s="1069"/>
      <c r="H3" s="1069"/>
      <c r="I3" s="1069"/>
      <c r="J3" s="1069"/>
      <c r="K3" s="1069"/>
      <c r="L3" s="1069"/>
      <c r="M3" s="1069"/>
      <c r="N3" s="1069"/>
      <c r="O3" s="1069"/>
      <c r="P3" s="1069"/>
      <c r="Q3" s="1069"/>
      <c r="R3" s="1069"/>
      <c r="S3" s="1069"/>
    </row>
    <row r="4" spans="1:19">
      <c r="A4" s="1086"/>
      <c r="B4" s="1069"/>
      <c r="C4" s="1069"/>
      <c r="D4" s="1069"/>
      <c r="E4" s="1069"/>
      <c r="F4" s="1069"/>
      <c r="G4" s="991" t="s">
        <v>698</v>
      </c>
      <c r="H4" s="991"/>
      <c r="I4" s="991"/>
      <c r="J4" s="991"/>
      <c r="K4" s="991"/>
      <c r="L4" s="991"/>
      <c r="M4" s="1069"/>
      <c r="N4" s="1069"/>
      <c r="O4" s="1069"/>
      <c r="P4" s="1069"/>
      <c r="Q4" s="1069"/>
      <c r="R4" s="1069"/>
      <c r="S4" s="1069"/>
    </row>
    <row r="5" spans="1:19">
      <c r="A5" s="1086"/>
      <c r="B5" s="1071"/>
      <c r="C5" s="1069"/>
      <c r="D5" s="1069"/>
      <c r="E5" s="1069"/>
      <c r="F5" s="1069"/>
      <c r="G5" s="1069"/>
      <c r="H5" s="1069"/>
      <c r="I5" s="1069"/>
      <c r="J5" s="1069"/>
      <c r="K5" s="1069"/>
      <c r="L5" s="1069"/>
      <c r="M5" s="1069"/>
      <c r="N5" s="1069"/>
      <c r="O5" s="1069"/>
      <c r="P5" s="1069"/>
      <c r="Q5" s="1069"/>
      <c r="R5" s="1069"/>
      <c r="S5" s="1069"/>
    </row>
    <row r="6" spans="1:19">
      <c r="A6" s="1086"/>
      <c r="B6" s="1069"/>
      <c r="C6" s="1069"/>
      <c r="D6" s="1069"/>
      <c r="E6" s="1069"/>
      <c r="F6" s="1069"/>
      <c r="G6" s="1069"/>
      <c r="H6" s="1069"/>
      <c r="I6" s="1069"/>
      <c r="J6" s="1069"/>
      <c r="K6" s="1069"/>
      <c r="L6" s="1069"/>
      <c r="M6" s="1069"/>
      <c r="N6" s="1069"/>
      <c r="O6" s="1069"/>
      <c r="P6" s="1069"/>
      <c r="Q6" s="1069"/>
      <c r="R6" s="1069"/>
      <c r="S6" s="1069"/>
    </row>
    <row r="7" spans="1:19">
      <c r="A7" s="1086"/>
      <c r="B7" s="1069"/>
      <c r="C7" s="1069"/>
      <c r="D7" s="1069"/>
      <c r="E7" s="1069"/>
      <c r="F7" s="1069"/>
      <c r="G7" s="1069"/>
      <c r="H7" s="1069"/>
      <c r="I7" s="1069"/>
      <c r="J7" s="1069"/>
      <c r="K7" s="1069"/>
      <c r="L7" s="1069"/>
      <c r="M7" s="1069"/>
      <c r="N7" s="1069"/>
      <c r="O7" s="1069"/>
      <c r="P7" s="1069"/>
      <c r="Q7" s="1069"/>
      <c r="R7" s="1069"/>
      <c r="S7" s="1069"/>
    </row>
    <row r="8" spans="1:19">
      <c r="A8" s="1086"/>
      <c r="B8" s="1072" t="s">
        <v>699</v>
      </c>
      <c r="C8" s="1072" t="s">
        <v>700</v>
      </c>
      <c r="D8" s="1072" t="s">
        <v>701</v>
      </c>
      <c r="E8" s="1072" t="s">
        <v>702</v>
      </c>
      <c r="F8" s="1072" t="s">
        <v>703</v>
      </c>
      <c r="G8" s="1072" t="s">
        <v>704</v>
      </c>
      <c r="H8" s="1072"/>
      <c r="I8" s="1072" t="s">
        <v>705</v>
      </c>
      <c r="J8" s="1072" t="s">
        <v>706</v>
      </c>
      <c r="K8" s="1072" t="s">
        <v>707</v>
      </c>
      <c r="L8" s="1072"/>
      <c r="M8" s="1072" t="s">
        <v>708</v>
      </c>
      <c r="N8" s="1072" t="s">
        <v>709</v>
      </c>
      <c r="O8" s="1072" t="s">
        <v>710</v>
      </c>
      <c r="P8" s="1069"/>
      <c r="Q8" s="1072" t="s">
        <v>711</v>
      </c>
      <c r="R8" s="1072" t="s">
        <v>712</v>
      </c>
      <c r="S8" s="1072" t="s">
        <v>713</v>
      </c>
    </row>
    <row r="9" spans="1:19">
      <c r="A9" s="1086"/>
      <c r="B9" s="1069"/>
      <c r="C9" s="1069"/>
      <c r="D9" s="1069"/>
      <c r="E9" s="1069"/>
      <c r="F9" s="1154" t="s">
        <v>116</v>
      </c>
      <c r="G9" s="1069"/>
      <c r="H9" s="1069"/>
      <c r="I9" s="1069"/>
      <c r="J9" s="1069"/>
      <c r="K9" s="1069"/>
      <c r="L9" s="1069"/>
      <c r="M9" s="1069"/>
      <c r="N9" s="1069"/>
      <c r="O9" s="1069"/>
      <c r="P9" s="1069"/>
      <c r="Q9" s="1069"/>
      <c r="R9" s="1069"/>
      <c r="S9" s="1069"/>
    </row>
    <row r="10" spans="1:19">
      <c r="A10" s="1086"/>
      <c r="B10" s="1069"/>
      <c r="C10" s="1073" t="s">
        <v>714</v>
      </c>
      <c r="D10" s="1073"/>
      <c r="E10" s="1074" t="s">
        <v>715</v>
      </c>
      <c r="F10" s="1073"/>
      <c r="G10" s="22" t="s">
        <v>716</v>
      </c>
      <c r="H10" s="22"/>
      <c r="I10" s="1075" t="s">
        <v>717</v>
      </c>
      <c r="J10" s="1073"/>
      <c r="K10" s="1073"/>
      <c r="L10" s="22"/>
      <c r="M10" s="1075" t="str">
        <f>"FUNCTIONALIZATION 12/31/"&amp;TCOS!L4-1</f>
        <v>FUNCTIONALIZATION 12/31/2023</v>
      </c>
      <c r="N10" s="1073"/>
      <c r="O10" s="1073"/>
      <c r="P10" s="1069"/>
      <c r="Q10" s="1075" t="str">
        <f>"FUNCTIONALIZATION 12/31/"&amp;TCOS!L4</f>
        <v>FUNCTIONALIZATION 12/31/2024</v>
      </c>
      <c r="R10" s="1073"/>
      <c r="S10" s="1073"/>
    </row>
    <row r="11" spans="1:19">
      <c r="A11" s="1086"/>
      <c r="B11" s="1069"/>
      <c r="C11" s="1077"/>
      <c r="D11" s="1077"/>
      <c r="E11" s="1069"/>
      <c r="F11" s="1069"/>
      <c r="G11" s="22" t="s">
        <v>718</v>
      </c>
      <c r="H11" s="22"/>
      <c r="I11" s="1077"/>
      <c r="J11" s="1077"/>
      <c r="K11" s="1077"/>
      <c r="L11" s="22"/>
      <c r="M11" s="1077"/>
      <c r="N11" s="1077"/>
      <c r="O11" s="1077"/>
      <c r="P11" s="1069"/>
      <c r="Q11" s="1077"/>
      <c r="R11" s="1077"/>
      <c r="S11" s="1077"/>
    </row>
    <row r="12" spans="1:19" s="21" customFormat="1">
      <c r="A12" s="1086"/>
      <c r="B12" s="1069"/>
      <c r="C12" s="22" t="s">
        <v>719</v>
      </c>
      <c r="D12" s="22" t="s">
        <v>719</v>
      </c>
      <c r="E12" s="22" t="s">
        <v>719</v>
      </c>
      <c r="F12" s="22" t="s">
        <v>719</v>
      </c>
      <c r="G12" s="22" t="s">
        <v>720</v>
      </c>
      <c r="H12" s="22"/>
      <c r="I12" s="1069"/>
      <c r="J12" s="1069"/>
      <c r="K12" s="1069"/>
      <c r="L12" s="22"/>
      <c r="M12" s="1069"/>
      <c r="N12" s="1069"/>
      <c r="O12" s="1069"/>
      <c r="P12" s="1069"/>
      <c r="Q12" s="1069"/>
      <c r="R12" s="1069"/>
      <c r="S12" s="1069"/>
    </row>
    <row r="13" spans="1:19" s="21" customFormat="1">
      <c r="A13" s="1086"/>
      <c r="B13" s="1072" t="s">
        <v>721</v>
      </c>
      <c r="C13" s="1072" t="str">
        <f>"OF 12-31-"&amp;TCOS!L4-1</f>
        <v>OF 12-31-2023</v>
      </c>
      <c r="D13" s="1072" t="str">
        <f>"OF 12-31-"&amp;TCOS!L4</f>
        <v>OF 12-31-2024</v>
      </c>
      <c r="E13" s="1072" t="str">
        <f>"OF 12-31-"&amp;TCOS!L4-1</f>
        <v>OF 12-31-2023</v>
      </c>
      <c r="F13" s="1072" t="str">
        <f>"OF 12-31-"&amp;TCOS!L4</f>
        <v>OF 12-31-2024</v>
      </c>
      <c r="G13" s="1072" t="s">
        <v>722</v>
      </c>
      <c r="H13" s="1072"/>
      <c r="I13" s="1072" t="s">
        <v>723</v>
      </c>
      <c r="J13" s="1072" t="s">
        <v>724</v>
      </c>
      <c r="K13" s="1072" t="s">
        <v>725</v>
      </c>
      <c r="L13" s="1072"/>
      <c r="M13" s="1072" t="s">
        <v>723</v>
      </c>
      <c r="N13" s="1072" t="s">
        <v>724</v>
      </c>
      <c r="O13" s="1072" t="s">
        <v>725</v>
      </c>
      <c r="P13" s="1069"/>
      <c r="Q13" s="1072" t="s">
        <v>723</v>
      </c>
      <c r="R13" s="1072" t="s">
        <v>724</v>
      </c>
      <c r="S13" s="1072" t="s">
        <v>725</v>
      </c>
    </row>
    <row r="14" spans="1:19">
      <c r="A14" s="1086"/>
      <c r="B14" s="1069"/>
      <c r="C14" s="1069"/>
      <c r="D14" s="1069"/>
      <c r="E14" s="1069"/>
      <c r="F14" s="1069"/>
      <c r="G14" s="1069"/>
      <c r="H14" s="1069"/>
      <c r="I14" s="1069"/>
      <c r="J14" s="1069"/>
      <c r="K14" s="1069"/>
      <c r="L14" s="1069"/>
      <c r="M14" s="1069"/>
      <c r="N14" s="1069"/>
      <c r="O14" s="1069"/>
      <c r="P14" s="1069"/>
      <c r="Q14" s="1069"/>
      <c r="R14" s="1069"/>
      <c r="S14" s="1069"/>
    </row>
    <row r="15" spans="1:19">
      <c r="A15" s="1107">
        <v>1</v>
      </c>
      <c r="B15" s="875" t="s">
        <v>726</v>
      </c>
      <c r="C15" s="1079"/>
      <c r="D15" s="1079"/>
      <c r="E15" s="1079"/>
      <c r="F15" s="1080"/>
      <c r="G15" s="1079"/>
      <c r="H15" s="1079"/>
      <c r="I15" s="1079"/>
      <c r="J15" s="1079"/>
      <c r="K15" s="1079"/>
      <c r="L15" s="1079"/>
      <c r="M15" s="1079"/>
      <c r="N15" s="1079"/>
      <c r="O15" s="1079"/>
      <c r="P15" s="1079"/>
      <c r="Q15" s="1079"/>
      <c r="R15" s="1079"/>
      <c r="S15" s="1079"/>
    </row>
    <row r="16" spans="1:19">
      <c r="A16" s="1107">
        <v>2.0099999999999998</v>
      </c>
      <c r="B16" s="875" t="s">
        <v>973</v>
      </c>
      <c r="C16" s="1079"/>
      <c r="D16" s="1079"/>
      <c r="E16" s="1079"/>
      <c r="F16" s="1079"/>
      <c r="G16" s="1079"/>
      <c r="H16" s="1079"/>
      <c r="I16" s="1079"/>
      <c r="J16" s="1079"/>
      <c r="K16" s="1079"/>
      <c r="L16" s="1079"/>
      <c r="M16" s="1079"/>
      <c r="N16" s="1079"/>
      <c r="O16" s="1079"/>
      <c r="P16" s="1079"/>
      <c r="Q16" s="1079"/>
      <c r="R16" s="1079"/>
      <c r="S16" s="1079"/>
    </row>
    <row r="17" spans="1:19">
      <c r="A17" s="1107">
        <v>2.02</v>
      </c>
      <c r="B17" s="875"/>
      <c r="C17" s="1079">
        <f>SUM(M17:O17)</f>
        <v>0</v>
      </c>
      <c r="D17" s="1079">
        <f>SUM(Q17:S17)</f>
        <v>0</v>
      </c>
      <c r="E17" s="1079"/>
      <c r="F17" s="1079"/>
      <c r="G17" s="1079">
        <f>ROUND(SUM(C17:F17)/2,0)</f>
        <v>0</v>
      </c>
      <c r="H17" s="1079"/>
      <c r="I17" s="1079">
        <f>(M17+Q17)/2</f>
        <v>0</v>
      </c>
      <c r="J17" s="1079">
        <f>(N17+R17)/2</f>
        <v>0</v>
      </c>
      <c r="K17" s="1079">
        <f>(O17+S17)/2</f>
        <v>0</v>
      </c>
      <c r="L17" s="1079"/>
      <c r="M17" s="875">
        <v>0</v>
      </c>
      <c r="N17" s="875">
        <v>0</v>
      </c>
      <c r="O17" s="875"/>
      <c r="P17" s="1079"/>
      <c r="Q17" s="875">
        <v>0</v>
      </c>
      <c r="R17" s="875">
        <v>0</v>
      </c>
      <c r="S17" s="875"/>
    </row>
    <row r="18" spans="1:19">
      <c r="A18" s="1107">
        <v>2.0299999999999998</v>
      </c>
      <c r="B18" s="875" t="s">
        <v>968</v>
      </c>
      <c r="C18" s="1079"/>
      <c r="D18" s="1079"/>
      <c r="E18" s="1079"/>
      <c r="F18" s="1079"/>
      <c r="G18" s="1079"/>
      <c r="H18" s="1079"/>
      <c r="I18" s="1079"/>
      <c r="J18" s="1079"/>
      <c r="K18" s="1079"/>
      <c r="L18" s="1079"/>
      <c r="M18" s="1079"/>
      <c r="N18" s="1079"/>
      <c r="O18" s="1079"/>
      <c r="P18" s="1079"/>
      <c r="Q18" s="1079"/>
      <c r="R18" s="1079"/>
      <c r="S18" s="1079"/>
    </row>
    <row r="19" spans="1:19">
      <c r="A19" s="1107">
        <v>2.04</v>
      </c>
      <c r="B19" s="875" t="s">
        <v>974</v>
      </c>
      <c r="C19" s="1079">
        <v>0</v>
      </c>
      <c r="D19" s="1079">
        <v>0</v>
      </c>
      <c r="E19" s="1079">
        <f t="shared" ref="E19:F21" si="0">-C19</f>
        <v>0</v>
      </c>
      <c r="F19" s="1079">
        <f t="shared" si="0"/>
        <v>0</v>
      </c>
      <c r="G19" s="1079">
        <f>ROUND(SUM(C19:F19)/2,0)</f>
        <v>0</v>
      </c>
      <c r="H19" s="1079"/>
      <c r="I19" s="1079"/>
      <c r="J19" s="1079"/>
      <c r="K19" s="1079"/>
      <c r="L19" s="1079"/>
      <c r="M19" s="1079"/>
      <c r="N19" s="1079"/>
      <c r="O19" s="1079"/>
      <c r="P19" s="1079"/>
      <c r="Q19" s="1079"/>
      <c r="R19" s="1079"/>
      <c r="S19" s="1079"/>
    </row>
    <row r="20" spans="1:19">
      <c r="A20" s="1107">
        <v>2.0499999999999998</v>
      </c>
      <c r="B20" s="875" t="s">
        <v>975</v>
      </c>
      <c r="C20" s="1079">
        <v>0</v>
      </c>
      <c r="D20" s="1079">
        <v>0</v>
      </c>
      <c r="E20" s="1079">
        <f t="shared" si="0"/>
        <v>0</v>
      </c>
      <c r="F20" s="1079">
        <f t="shared" si="0"/>
        <v>0</v>
      </c>
      <c r="G20" s="1079">
        <f>ROUND(SUM(C20:F20)/2,0)</f>
        <v>0</v>
      </c>
      <c r="H20" s="1079"/>
      <c r="I20" s="1079"/>
      <c r="J20" s="1079"/>
      <c r="K20" s="1079"/>
      <c r="L20" s="1079"/>
      <c r="M20" s="1079"/>
      <c r="N20" s="1079"/>
      <c r="O20" s="1079"/>
      <c r="P20" s="1079"/>
      <c r="Q20" s="1079"/>
      <c r="R20" s="1079"/>
      <c r="S20" s="1079"/>
    </row>
    <row r="21" spans="1:19">
      <c r="A21" s="1107">
        <v>2.06</v>
      </c>
      <c r="B21" s="875"/>
      <c r="C21" s="1079">
        <v>0</v>
      </c>
      <c r="D21" s="1079">
        <v>0</v>
      </c>
      <c r="E21" s="1079">
        <f t="shared" si="0"/>
        <v>0</v>
      </c>
      <c r="F21" s="1079">
        <f t="shared" si="0"/>
        <v>0</v>
      </c>
      <c r="G21" s="1079">
        <f>ROUND(SUM(C21:F21)/2,0)</f>
        <v>0</v>
      </c>
      <c r="H21" s="1079"/>
      <c r="I21" s="1079"/>
      <c r="J21" s="1079"/>
      <c r="K21" s="1079"/>
      <c r="L21" s="1079"/>
      <c r="M21" s="1079"/>
      <c r="N21" s="1079"/>
      <c r="O21" s="1079"/>
      <c r="P21" s="1079"/>
      <c r="Q21" s="1079"/>
      <c r="R21" s="1079"/>
      <c r="S21" s="1079"/>
    </row>
    <row r="22" spans="1:19">
      <c r="A22" s="1103"/>
      <c r="B22" s="1069"/>
      <c r="C22" s="1079"/>
      <c r="D22" s="1079"/>
      <c r="E22" s="1079"/>
      <c r="F22" s="1079"/>
      <c r="G22" s="1079"/>
      <c r="H22" s="1079"/>
      <c r="I22" s="1079"/>
      <c r="J22" s="1079"/>
      <c r="K22" s="1079"/>
      <c r="L22" s="1079"/>
      <c r="M22" s="1079"/>
      <c r="N22" s="1079"/>
      <c r="O22" s="1079"/>
      <c r="P22" s="1079"/>
      <c r="Q22" s="1079"/>
      <c r="R22" s="1079"/>
      <c r="S22" s="1079"/>
    </row>
    <row r="23" spans="1:19" ht="13.5" thickBot="1">
      <c r="A23" s="1087">
        <v>3</v>
      </c>
      <c r="B23" s="255" t="s">
        <v>727</v>
      </c>
      <c r="C23" s="1081">
        <f>SUM(C17:C22)</f>
        <v>0</v>
      </c>
      <c r="D23" s="1081">
        <f>SUM(D17:D22)</f>
        <v>0</v>
      </c>
      <c r="E23" s="1081">
        <f>SUM(E17:E22)</f>
        <v>0</v>
      </c>
      <c r="F23" s="1081">
        <f>SUM(F17:F22)</f>
        <v>0</v>
      </c>
      <c r="G23" s="1081">
        <f>SUM(G17:G22)</f>
        <v>0</v>
      </c>
      <c r="H23" s="1079"/>
      <c r="I23" s="1081">
        <f>SUM(I17:I22)</f>
        <v>0</v>
      </c>
      <c r="J23" s="1081">
        <f>SUM(J17:J22)</f>
        <v>0</v>
      </c>
      <c r="K23" s="1081">
        <f>SUM(K17:K22)</f>
        <v>0</v>
      </c>
      <c r="L23" s="1079"/>
      <c r="M23" s="1081">
        <f>SUM(M17:M22)</f>
        <v>0</v>
      </c>
      <c r="N23" s="1081">
        <f>SUM(N17:N22)</f>
        <v>0</v>
      </c>
      <c r="O23" s="1081">
        <f>SUM(O17:O22)</f>
        <v>0</v>
      </c>
      <c r="P23" s="1079"/>
      <c r="Q23" s="1081">
        <f>SUM(Q17:Q22)</f>
        <v>0</v>
      </c>
      <c r="R23" s="1081">
        <f>SUM(R17:R22)</f>
        <v>0</v>
      </c>
      <c r="S23" s="1081">
        <f>SUM(S17:S22)</f>
        <v>0</v>
      </c>
    </row>
    <row r="24" spans="1:19" ht="13.5" thickTop="1">
      <c r="A24" s="1087">
        <f>A23+1</f>
        <v>4</v>
      </c>
      <c r="B24" s="1154" t="s">
        <v>745</v>
      </c>
      <c r="C24" s="1100">
        <v>0</v>
      </c>
      <c r="D24" s="1100">
        <v>0</v>
      </c>
      <c r="E24" s="1100">
        <v>0</v>
      </c>
      <c r="F24" s="1100">
        <v>0</v>
      </c>
      <c r="G24" s="1100">
        <v>0</v>
      </c>
      <c r="H24" s="1101"/>
      <c r="I24" s="1100">
        <v>0</v>
      </c>
      <c r="J24" s="1100">
        <v>0</v>
      </c>
      <c r="K24" s="1100">
        <v>0</v>
      </c>
      <c r="L24" s="1101"/>
      <c r="M24" s="1100">
        <v>0</v>
      </c>
      <c r="N24" s="1100">
        <v>0</v>
      </c>
      <c r="O24" s="1100">
        <v>0</v>
      </c>
      <c r="P24" s="1101"/>
      <c r="Q24" s="1100">
        <v>0</v>
      </c>
      <c r="R24" s="1100">
        <v>0</v>
      </c>
      <c r="S24" s="1100">
        <v>0</v>
      </c>
    </row>
    <row r="25" spans="1:19">
      <c r="A25" s="1087"/>
      <c r="B25" s="1069"/>
      <c r="C25" s="1079"/>
      <c r="D25" s="1079"/>
      <c r="E25" s="1079"/>
      <c r="F25" s="1079"/>
      <c r="G25" s="1079"/>
      <c r="H25" s="1079"/>
      <c r="I25" s="1079"/>
      <c r="J25" s="1079"/>
      <c r="K25" s="1079"/>
      <c r="L25" s="1079"/>
      <c r="M25" s="1079"/>
      <c r="N25" s="1079"/>
      <c r="O25" s="1079"/>
      <c r="P25" s="1079"/>
      <c r="Q25" s="1079"/>
      <c r="R25" s="1079"/>
      <c r="S25" s="1079"/>
    </row>
    <row r="26" spans="1:19">
      <c r="A26" s="1087">
        <v>5</v>
      </c>
      <c r="B26" s="1070" t="s">
        <v>728</v>
      </c>
      <c r="C26" s="1079"/>
      <c r="D26" s="1079"/>
      <c r="E26" s="1079"/>
      <c r="F26" s="1079"/>
      <c r="G26" s="1079"/>
      <c r="H26" s="1079"/>
      <c r="I26" s="1079"/>
      <c r="J26" s="1079"/>
      <c r="K26" s="1079"/>
      <c r="L26" s="1079"/>
      <c r="M26" s="1079"/>
      <c r="N26" s="1079"/>
      <c r="O26" s="1079"/>
      <c r="P26" s="1079"/>
      <c r="Q26" s="1079"/>
      <c r="R26" s="1079"/>
      <c r="S26" s="1079"/>
    </row>
    <row r="27" spans="1:19">
      <c r="A27" s="1104"/>
      <c r="B27" s="1069"/>
      <c r="C27" s="1079"/>
      <c r="D27" s="1079"/>
      <c r="E27" s="1079"/>
      <c r="F27" s="1079"/>
      <c r="G27" s="1079"/>
      <c r="H27" s="1079"/>
      <c r="I27" s="1079"/>
      <c r="J27" s="1079"/>
      <c r="K27" s="1079"/>
      <c r="L27" s="1079"/>
      <c r="M27" s="1079"/>
      <c r="N27" s="1079"/>
      <c r="O27" s="1079"/>
      <c r="P27" s="1079"/>
      <c r="Q27" s="1079"/>
      <c r="R27" s="1079"/>
      <c r="S27" s="1079"/>
    </row>
    <row r="28" spans="1:19">
      <c r="A28" s="1107">
        <v>5.01</v>
      </c>
      <c r="B28" s="875" t="s">
        <v>976</v>
      </c>
      <c r="C28" s="1079">
        <f t="shared" ref="C28:C48" si="1">SUM(M28:O28)</f>
        <v>14927167.879999999</v>
      </c>
      <c r="D28" s="1079">
        <f t="shared" ref="D28:D31" si="2">SUM(Q28:S28)</f>
        <v>0</v>
      </c>
      <c r="E28" s="1079"/>
      <c r="F28" s="1079"/>
      <c r="G28" s="1079">
        <f t="shared" ref="G28:G48" si="3">ROUND(SUM(C28:F28)/2,0)</f>
        <v>7463584</v>
      </c>
      <c r="H28" s="1079"/>
      <c r="I28" s="1079">
        <f t="shared" ref="I28:K48" si="4">(M28+Q28)/2</f>
        <v>0</v>
      </c>
      <c r="J28" s="1079">
        <f t="shared" si="4"/>
        <v>2033862.51</v>
      </c>
      <c r="K28" s="1079">
        <f t="shared" si="4"/>
        <v>5429721.4299999997</v>
      </c>
      <c r="L28" s="1079"/>
      <c r="M28" s="875">
        <v>0</v>
      </c>
      <c r="N28" s="875">
        <v>4067725.02</v>
      </c>
      <c r="O28" s="875">
        <v>10859442.859999999</v>
      </c>
      <c r="P28" s="1079"/>
      <c r="Q28" s="1430">
        <v>0</v>
      </c>
      <c r="R28" s="1430">
        <v>0</v>
      </c>
      <c r="S28" s="1430">
        <v>0</v>
      </c>
    </row>
    <row r="29" spans="1:19">
      <c r="A29" s="1107">
        <f>A28+0.01</f>
        <v>5.0199999999999996</v>
      </c>
      <c r="B29" s="875" t="s">
        <v>1016</v>
      </c>
      <c r="C29" s="1079">
        <f t="shared" ref="C29" si="5">SUM(M29:O29)</f>
        <v>-0.30000000000000004</v>
      </c>
      <c r="D29" s="1079">
        <f t="shared" ref="D29" si="6">SUM(Q29:S29)</f>
        <v>0</v>
      </c>
      <c r="E29" s="1079"/>
      <c r="F29" s="1079"/>
      <c r="G29" s="1079">
        <f t="shared" ref="G29" si="7">ROUND(SUM(C29:F29)/2,0)</f>
        <v>0</v>
      </c>
      <c r="H29" s="1079"/>
      <c r="I29" s="1079">
        <f t="shared" ref="I29" si="8">(M29+Q29)/2</f>
        <v>0</v>
      </c>
      <c r="J29" s="1079">
        <f t="shared" ref="J29" si="9">(N29+R29)/2</f>
        <v>-0.13500000000000001</v>
      </c>
      <c r="K29" s="1079">
        <f t="shared" ref="K29" si="10">(O29+S29)/2</f>
        <v>-1.4999999999999999E-2</v>
      </c>
      <c r="L29" s="1079"/>
      <c r="M29" s="875">
        <v>0</v>
      </c>
      <c r="N29" s="875">
        <v>-0.27</v>
      </c>
      <c r="O29" s="875">
        <v>-0.03</v>
      </c>
      <c r="P29" s="1079"/>
      <c r="Q29" s="1430">
        <v>0</v>
      </c>
      <c r="R29" s="1430">
        <v>0</v>
      </c>
      <c r="S29" s="1430">
        <v>0</v>
      </c>
    </row>
    <row r="30" spans="1:19">
      <c r="A30" s="1107">
        <f t="shared" ref="A30:A67" si="11">A29+0.01</f>
        <v>5.0299999999999994</v>
      </c>
      <c r="B30" s="875" t="s">
        <v>977</v>
      </c>
      <c r="C30" s="1079">
        <f>SUM(M30:O30)</f>
        <v>0</v>
      </c>
      <c r="D30" s="1079">
        <f>SUM(Q30:S30)</f>
        <v>0</v>
      </c>
      <c r="E30" s="1079"/>
      <c r="F30" s="1079"/>
      <c r="G30" s="1079">
        <f t="shared" si="3"/>
        <v>0</v>
      </c>
      <c r="H30" s="1079"/>
      <c r="I30" s="1079">
        <f t="shared" si="4"/>
        <v>0</v>
      </c>
      <c r="J30" s="1079">
        <f t="shared" si="4"/>
        <v>0</v>
      </c>
      <c r="K30" s="1079">
        <f t="shared" si="4"/>
        <v>0</v>
      </c>
      <c r="L30" s="1079"/>
      <c r="M30" s="875">
        <v>0</v>
      </c>
      <c r="N30" s="875">
        <v>0</v>
      </c>
      <c r="O30" s="875">
        <v>0</v>
      </c>
      <c r="P30" s="1079"/>
      <c r="Q30" s="1430">
        <v>0</v>
      </c>
      <c r="R30" s="1430">
        <v>0</v>
      </c>
      <c r="S30" s="1430">
        <v>0</v>
      </c>
    </row>
    <row r="31" spans="1:19">
      <c r="A31" s="1107">
        <f t="shared" si="11"/>
        <v>5.0399999999999991</v>
      </c>
      <c r="B31" s="875" t="s">
        <v>978</v>
      </c>
      <c r="C31" s="1079">
        <f t="shared" si="1"/>
        <v>-0.21</v>
      </c>
      <c r="D31" s="1079">
        <f t="shared" si="2"/>
        <v>0</v>
      </c>
      <c r="E31" s="1079"/>
      <c r="F31" s="1079"/>
      <c r="G31" s="1079">
        <f t="shared" si="3"/>
        <v>0</v>
      </c>
      <c r="H31" s="1079"/>
      <c r="I31" s="1079">
        <f t="shared" si="4"/>
        <v>0</v>
      </c>
      <c r="J31" s="1079">
        <f t="shared" si="4"/>
        <v>0</v>
      </c>
      <c r="K31" s="1079">
        <f t="shared" si="4"/>
        <v>-0.105</v>
      </c>
      <c r="L31" s="1079"/>
      <c r="M31" s="1141">
        <v>0</v>
      </c>
      <c r="N31" s="1141">
        <v>0</v>
      </c>
      <c r="O31" s="875">
        <v>-0.21</v>
      </c>
      <c r="P31" s="1079"/>
      <c r="Q31" s="1430">
        <v>0</v>
      </c>
      <c r="R31" s="1430">
        <v>0</v>
      </c>
      <c r="S31" s="1430">
        <v>0</v>
      </c>
    </row>
    <row r="32" spans="1:19">
      <c r="A32" s="1107">
        <f t="shared" si="11"/>
        <v>5.0499999999999989</v>
      </c>
      <c r="B32" s="875" t="s">
        <v>979</v>
      </c>
      <c r="C32" s="1079">
        <f>SUM(M32:O32)</f>
        <v>262.5</v>
      </c>
      <c r="D32" s="1079">
        <f>SUM(Q32:S32)</f>
        <v>0</v>
      </c>
      <c r="E32" s="1079"/>
      <c r="F32" s="1079"/>
      <c r="G32" s="1079">
        <f t="shared" si="3"/>
        <v>131</v>
      </c>
      <c r="H32" s="1079"/>
      <c r="I32" s="1079">
        <f t="shared" si="4"/>
        <v>0</v>
      </c>
      <c r="J32" s="1079">
        <f t="shared" si="4"/>
        <v>131.25</v>
      </c>
      <c r="K32" s="1079">
        <f t="shared" si="4"/>
        <v>0</v>
      </c>
      <c r="L32" s="1079"/>
      <c r="M32" s="875">
        <v>0</v>
      </c>
      <c r="N32" s="875">
        <v>262.5</v>
      </c>
      <c r="O32" s="875">
        <v>0</v>
      </c>
      <c r="P32" s="1079"/>
      <c r="Q32" s="1430">
        <v>0</v>
      </c>
      <c r="R32" s="1430">
        <v>0</v>
      </c>
      <c r="S32" s="1430">
        <v>0</v>
      </c>
    </row>
    <row r="33" spans="1:19">
      <c r="A33" s="1107">
        <f t="shared" si="11"/>
        <v>5.0599999999999987</v>
      </c>
      <c r="B33" s="875" t="s">
        <v>1017</v>
      </c>
      <c r="C33" s="1079">
        <f t="shared" ref="C33:C34" si="12">SUM(M33:O33)</f>
        <v>0</v>
      </c>
      <c r="D33" s="1079">
        <f t="shared" ref="D33:D34" si="13">SUM(Q33:S33)</f>
        <v>0</v>
      </c>
      <c r="E33" s="1079"/>
      <c r="F33" s="1079"/>
      <c r="G33" s="1079">
        <f t="shared" ref="G33:G34" si="14">ROUND(SUM(C33:F33)/2,0)</f>
        <v>0</v>
      </c>
      <c r="H33" s="1079"/>
      <c r="I33" s="1079">
        <f t="shared" ref="I33:I34" si="15">(M33+Q33)/2</f>
        <v>0</v>
      </c>
      <c r="J33" s="1079">
        <f t="shared" ref="J33:J34" si="16">(N33+R33)/2</f>
        <v>0</v>
      </c>
      <c r="K33" s="1079">
        <f t="shared" ref="K33:K34" si="17">(O33+S33)/2</f>
        <v>0</v>
      </c>
      <c r="L33" s="1079"/>
      <c r="M33" s="875">
        <v>0</v>
      </c>
      <c r="N33" s="875">
        <v>0</v>
      </c>
      <c r="O33" s="875">
        <v>0</v>
      </c>
      <c r="P33" s="1079"/>
      <c r="Q33" s="1430">
        <v>0</v>
      </c>
      <c r="R33" s="1430">
        <v>0</v>
      </c>
      <c r="S33" s="1430">
        <v>0</v>
      </c>
    </row>
    <row r="34" spans="1:19">
      <c r="A34" s="1107">
        <f t="shared" si="11"/>
        <v>5.0699999999999985</v>
      </c>
      <c r="B34" s="875" t="s">
        <v>980</v>
      </c>
      <c r="C34" s="1079">
        <f t="shared" si="12"/>
        <v>-0.21</v>
      </c>
      <c r="D34" s="1079">
        <f t="shared" si="13"/>
        <v>0</v>
      </c>
      <c r="E34" s="1079"/>
      <c r="F34" s="1079"/>
      <c r="G34" s="1079">
        <f t="shared" si="14"/>
        <v>0</v>
      </c>
      <c r="H34" s="1079"/>
      <c r="I34" s="1079">
        <f t="shared" si="15"/>
        <v>0</v>
      </c>
      <c r="J34" s="1079">
        <f t="shared" si="16"/>
        <v>0</v>
      </c>
      <c r="K34" s="1079">
        <f t="shared" si="17"/>
        <v>-0.105</v>
      </c>
      <c r="L34" s="1079"/>
      <c r="M34" s="875">
        <v>0</v>
      </c>
      <c r="N34" s="875">
        <v>0</v>
      </c>
      <c r="O34" s="875">
        <v>-0.21</v>
      </c>
      <c r="P34" s="1079"/>
      <c r="Q34" s="1430">
        <v>0</v>
      </c>
      <c r="R34" s="1430">
        <v>0</v>
      </c>
      <c r="S34" s="1430">
        <v>0</v>
      </c>
    </row>
    <row r="35" spans="1:19">
      <c r="A35" s="1107">
        <f t="shared" si="11"/>
        <v>5.0799999999999983</v>
      </c>
      <c r="B35" s="875" t="s">
        <v>1110</v>
      </c>
      <c r="C35" s="1079">
        <f t="shared" ref="C35:C45" si="18">SUM(M35:O35)</f>
        <v>20079.34</v>
      </c>
      <c r="D35" s="1079">
        <f t="shared" ref="D35:D45" si="19">SUM(Q35:S35)</f>
        <v>0</v>
      </c>
      <c r="E35" s="1079"/>
      <c r="F35" s="1079"/>
      <c r="G35" s="1079">
        <f t="shared" ref="G35:G45" si="20">ROUND(SUM(C35:F35)/2,0)</f>
        <v>10040</v>
      </c>
      <c r="H35" s="1079"/>
      <c r="I35" s="1079">
        <f t="shared" ref="I35:I45" si="21">(M35+Q35)/2</f>
        <v>0</v>
      </c>
      <c r="J35" s="1079">
        <f t="shared" ref="J35:J45" si="22">(N35+R35)/2</f>
        <v>0</v>
      </c>
      <c r="K35" s="1079">
        <f t="shared" ref="K35:K45" si="23">(O35+S35)/2</f>
        <v>10039.67</v>
      </c>
      <c r="L35" s="1079"/>
      <c r="M35" s="875">
        <v>0</v>
      </c>
      <c r="N35" s="875">
        <v>0</v>
      </c>
      <c r="O35" s="875">
        <v>20079.34</v>
      </c>
      <c r="P35" s="1079"/>
      <c r="Q35" s="1430">
        <v>0</v>
      </c>
      <c r="R35" s="1430">
        <v>0</v>
      </c>
      <c r="S35" s="1430">
        <v>0</v>
      </c>
    </row>
    <row r="36" spans="1:19">
      <c r="A36" s="1107">
        <f t="shared" si="11"/>
        <v>5.0899999999999981</v>
      </c>
      <c r="B36" s="875" t="s">
        <v>981</v>
      </c>
      <c r="C36" s="1079">
        <f t="shared" si="18"/>
        <v>1205347.6599999999</v>
      </c>
      <c r="D36" s="1079">
        <f t="shared" si="19"/>
        <v>0</v>
      </c>
      <c r="E36" s="1079"/>
      <c r="F36" s="1079"/>
      <c r="G36" s="1079">
        <f t="shared" si="20"/>
        <v>602674</v>
      </c>
      <c r="H36" s="1079"/>
      <c r="I36" s="1079">
        <f t="shared" si="21"/>
        <v>0</v>
      </c>
      <c r="J36" s="1079">
        <f t="shared" si="22"/>
        <v>30739.715000000004</v>
      </c>
      <c r="K36" s="1079">
        <f t="shared" si="23"/>
        <v>571934.11499999999</v>
      </c>
      <c r="L36" s="1079"/>
      <c r="M36" s="875">
        <v>0</v>
      </c>
      <c r="N36" s="875">
        <v>61479.430000000008</v>
      </c>
      <c r="O36" s="875">
        <v>1143868.23</v>
      </c>
      <c r="P36" s="1079"/>
      <c r="Q36" s="1430">
        <v>0</v>
      </c>
      <c r="R36" s="1430">
        <v>0</v>
      </c>
      <c r="S36" s="1430">
        <v>0</v>
      </c>
    </row>
    <row r="37" spans="1:19">
      <c r="A37" s="1107">
        <f t="shared" si="11"/>
        <v>5.0999999999999979</v>
      </c>
      <c r="B37" s="875" t="s">
        <v>982</v>
      </c>
      <c r="C37" s="1079">
        <f t="shared" si="18"/>
        <v>24.9</v>
      </c>
      <c r="D37" s="1079">
        <f t="shared" si="19"/>
        <v>0</v>
      </c>
      <c r="E37" s="1079"/>
      <c r="F37" s="1079"/>
      <c r="G37" s="1079">
        <f t="shared" si="20"/>
        <v>12</v>
      </c>
      <c r="H37" s="1079"/>
      <c r="I37" s="1079">
        <f t="shared" si="21"/>
        <v>0</v>
      </c>
      <c r="J37" s="1079">
        <f t="shared" si="22"/>
        <v>3.6</v>
      </c>
      <c r="K37" s="1079">
        <f t="shared" si="23"/>
        <v>8.85</v>
      </c>
      <c r="L37" s="1079"/>
      <c r="M37" s="1141">
        <v>0</v>
      </c>
      <c r="N37" s="1141">
        <v>7.2</v>
      </c>
      <c r="O37" s="875">
        <v>17.7</v>
      </c>
      <c r="P37" s="1079"/>
      <c r="Q37" s="1430">
        <v>0</v>
      </c>
      <c r="R37" s="1430">
        <v>0</v>
      </c>
      <c r="S37" s="1430">
        <v>0</v>
      </c>
    </row>
    <row r="38" spans="1:19">
      <c r="A38" s="1107">
        <f t="shared" si="11"/>
        <v>5.1099999999999977</v>
      </c>
      <c r="B38" s="875" t="s">
        <v>983</v>
      </c>
      <c r="C38" s="1079">
        <f t="shared" si="18"/>
        <v>116985.62999999995</v>
      </c>
      <c r="D38" s="1079">
        <f t="shared" si="19"/>
        <v>0</v>
      </c>
      <c r="E38" s="1079"/>
      <c r="F38" s="1079"/>
      <c r="G38" s="1079">
        <f t="shared" si="20"/>
        <v>58493</v>
      </c>
      <c r="H38" s="1079"/>
      <c r="I38" s="1079">
        <f t="shared" si="21"/>
        <v>0</v>
      </c>
      <c r="J38" s="1079">
        <f t="shared" si="22"/>
        <v>2437.9650000000001</v>
      </c>
      <c r="K38" s="1079">
        <f t="shared" si="23"/>
        <v>56054.849999999977</v>
      </c>
      <c r="L38" s="1079"/>
      <c r="M38" s="875">
        <v>0</v>
      </c>
      <c r="N38" s="875">
        <v>4875.93</v>
      </c>
      <c r="O38" s="875">
        <v>112109.69999999995</v>
      </c>
      <c r="P38" s="1079"/>
      <c r="Q38" s="1430">
        <v>0</v>
      </c>
      <c r="R38" s="1430">
        <v>0</v>
      </c>
      <c r="S38" s="1430">
        <v>0</v>
      </c>
    </row>
    <row r="39" spans="1:19">
      <c r="A39" s="1107">
        <f t="shared" si="11"/>
        <v>5.1199999999999974</v>
      </c>
      <c r="B39" s="875" t="s">
        <v>984</v>
      </c>
      <c r="C39" s="1079">
        <f t="shared" si="18"/>
        <v>5954093.25</v>
      </c>
      <c r="D39" s="1079">
        <f t="shared" si="19"/>
        <v>0</v>
      </c>
      <c r="E39" s="1079"/>
      <c r="F39" s="1079"/>
      <c r="G39" s="1079">
        <f t="shared" si="20"/>
        <v>2977047</v>
      </c>
      <c r="H39" s="1079"/>
      <c r="I39" s="1079">
        <f t="shared" si="21"/>
        <v>0</v>
      </c>
      <c r="J39" s="1079">
        <f t="shared" si="22"/>
        <v>582225.42000000004</v>
      </c>
      <c r="K39" s="1079">
        <f t="shared" si="23"/>
        <v>2394821.2050000001</v>
      </c>
      <c r="L39" s="1079"/>
      <c r="M39" s="875">
        <v>0</v>
      </c>
      <c r="N39" s="875">
        <v>1164450.8400000001</v>
      </c>
      <c r="O39" s="875">
        <v>4789642.41</v>
      </c>
      <c r="P39" s="1079"/>
      <c r="Q39" s="1430">
        <v>0</v>
      </c>
      <c r="R39" s="1430">
        <v>0</v>
      </c>
      <c r="S39" s="1430">
        <v>0</v>
      </c>
    </row>
    <row r="40" spans="1:19">
      <c r="A40" s="1107">
        <f t="shared" si="11"/>
        <v>5.1299999999999972</v>
      </c>
      <c r="B40" s="875" t="s">
        <v>985</v>
      </c>
      <c r="C40" s="1079">
        <f t="shared" si="18"/>
        <v>1725789.6600000001</v>
      </c>
      <c r="D40" s="1079">
        <f t="shared" si="19"/>
        <v>0</v>
      </c>
      <c r="E40" s="1079"/>
      <c r="F40" s="1079"/>
      <c r="G40" s="1079">
        <f t="shared" si="20"/>
        <v>862895</v>
      </c>
      <c r="H40" s="1079"/>
      <c r="I40" s="1079">
        <f t="shared" si="21"/>
        <v>0</v>
      </c>
      <c r="J40" s="1079">
        <f t="shared" si="22"/>
        <v>418299.63</v>
      </c>
      <c r="K40" s="1079">
        <f t="shared" si="23"/>
        <v>444595.20000000001</v>
      </c>
      <c r="L40" s="1079"/>
      <c r="M40" s="875">
        <v>0</v>
      </c>
      <c r="N40" s="875">
        <v>836599.26</v>
      </c>
      <c r="O40" s="875">
        <v>889190.40000000002</v>
      </c>
      <c r="P40" s="1079"/>
      <c r="Q40" s="1430">
        <v>0</v>
      </c>
      <c r="R40" s="1430">
        <v>0</v>
      </c>
      <c r="S40" s="1430">
        <v>0</v>
      </c>
    </row>
    <row r="41" spans="1:19">
      <c r="A41" s="1107">
        <f t="shared" si="11"/>
        <v>5.139999999999997</v>
      </c>
      <c r="B41" s="875" t="s">
        <v>986</v>
      </c>
      <c r="C41" s="1079">
        <f t="shared" si="18"/>
        <v>63155.61</v>
      </c>
      <c r="D41" s="1079">
        <f t="shared" si="19"/>
        <v>0</v>
      </c>
      <c r="E41" s="1079"/>
      <c r="F41" s="1079"/>
      <c r="G41" s="1079">
        <f t="shared" si="20"/>
        <v>31578</v>
      </c>
      <c r="H41" s="1079"/>
      <c r="I41" s="1079">
        <f t="shared" si="21"/>
        <v>0</v>
      </c>
      <c r="J41" s="1079">
        <f t="shared" si="22"/>
        <v>3535.35</v>
      </c>
      <c r="K41" s="1079">
        <f t="shared" si="23"/>
        <v>28042.455000000002</v>
      </c>
      <c r="L41" s="1079"/>
      <c r="M41" s="875">
        <v>0</v>
      </c>
      <c r="N41" s="875">
        <v>7070.7</v>
      </c>
      <c r="O41" s="875">
        <v>56084.91</v>
      </c>
      <c r="P41" s="1079"/>
      <c r="Q41" s="1430">
        <v>0</v>
      </c>
      <c r="R41" s="1430">
        <v>0</v>
      </c>
      <c r="S41" s="1430">
        <v>0</v>
      </c>
    </row>
    <row r="42" spans="1:19">
      <c r="A42" s="1107">
        <f t="shared" si="11"/>
        <v>5.1499999999999968</v>
      </c>
      <c r="B42" s="875" t="s">
        <v>987</v>
      </c>
      <c r="C42" s="1079">
        <f t="shared" si="18"/>
        <v>231305.50000000003</v>
      </c>
      <c r="D42" s="1079">
        <f t="shared" si="19"/>
        <v>0</v>
      </c>
      <c r="E42" s="1079"/>
      <c r="F42" s="1079"/>
      <c r="G42" s="1079">
        <f t="shared" si="20"/>
        <v>115653</v>
      </c>
      <c r="H42" s="1079"/>
      <c r="I42" s="1079">
        <f t="shared" si="21"/>
        <v>0</v>
      </c>
      <c r="J42" s="1079">
        <f t="shared" si="22"/>
        <v>12401.26</v>
      </c>
      <c r="K42" s="1079">
        <f t="shared" si="23"/>
        <v>103251.49000000002</v>
      </c>
      <c r="L42" s="1079"/>
      <c r="M42" s="875">
        <v>0</v>
      </c>
      <c r="N42" s="875">
        <v>24802.52</v>
      </c>
      <c r="O42" s="875">
        <v>206502.98000000004</v>
      </c>
      <c r="P42" s="1079"/>
      <c r="Q42" s="1430">
        <v>0</v>
      </c>
      <c r="R42" s="1430">
        <v>0</v>
      </c>
      <c r="S42" s="1430">
        <v>0</v>
      </c>
    </row>
    <row r="43" spans="1:19">
      <c r="A43" s="1107">
        <f t="shared" si="11"/>
        <v>5.1599999999999966</v>
      </c>
      <c r="B43" s="875" t="s">
        <v>988</v>
      </c>
      <c r="C43" s="1079">
        <f t="shared" si="18"/>
        <v>0</v>
      </c>
      <c r="D43" s="1079">
        <f t="shared" si="19"/>
        <v>0</v>
      </c>
      <c r="E43" s="1079"/>
      <c r="F43" s="1079"/>
      <c r="G43" s="1079">
        <f t="shared" si="20"/>
        <v>0</v>
      </c>
      <c r="H43" s="1079"/>
      <c r="I43" s="1079">
        <f t="shared" si="21"/>
        <v>0</v>
      </c>
      <c r="J43" s="1079">
        <f t="shared" si="22"/>
        <v>0</v>
      </c>
      <c r="K43" s="1079">
        <f t="shared" si="23"/>
        <v>0</v>
      </c>
      <c r="L43" s="1079"/>
      <c r="M43" s="875">
        <v>0</v>
      </c>
      <c r="N43" s="875">
        <v>0</v>
      </c>
      <c r="O43" s="875">
        <v>0</v>
      </c>
      <c r="P43" s="1079"/>
      <c r="Q43" s="1430">
        <v>0</v>
      </c>
      <c r="R43" s="1430">
        <v>0</v>
      </c>
      <c r="S43" s="1430">
        <v>0</v>
      </c>
    </row>
    <row r="44" spans="1:19">
      <c r="A44" s="1107">
        <f t="shared" si="11"/>
        <v>5.1699999999999964</v>
      </c>
      <c r="B44" s="875" t="s">
        <v>989</v>
      </c>
      <c r="C44" s="1079">
        <f t="shared" si="18"/>
        <v>72220.05</v>
      </c>
      <c r="D44" s="1079">
        <f t="shared" si="19"/>
        <v>0</v>
      </c>
      <c r="E44" s="1079"/>
      <c r="F44" s="1079"/>
      <c r="G44" s="1079">
        <f t="shared" si="20"/>
        <v>36110</v>
      </c>
      <c r="H44" s="1079"/>
      <c r="I44" s="1079">
        <f t="shared" si="21"/>
        <v>0</v>
      </c>
      <c r="J44" s="1079">
        <f t="shared" si="22"/>
        <v>36110.025000000001</v>
      </c>
      <c r="K44" s="1079">
        <f t="shared" si="23"/>
        <v>0</v>
      </c>
      <c r="L44" s="1079"/>
      <c r="M44" s="875">
        <v>0</v>
      </c>
      <c r="N44" s="875">
        <v>72220.05</v>
      </c>
      <c r="O44" s="875">
        <v>0</v>
      </c>
      <c r="P44" s="1079"/>
      <c r="Q44" s="1430">
        <v>0</v>
      </c>
      <c r="R44" s="1430">
        <v>0</v>
      </c>
      <c r="S44" s="1430">
        <v>0</v>
      </c>
    </row>
    <row r="45" spans="1:19">
      <c r="A45" s="1432">
        <f t="shared" si="11"/>
        <v>5.1799999999999962</v>
      </c>
      <c r="B45" s="875" t="s">
        <v>1018</v>
      </c>
      <c r="C45" s="1079">
        <f t="shared" si="18"/>
        <v>406812.12</v>
      </c>
      <c r="D45" s="1079">
        <f t="shared" si="19"/>
        <v>0</v>
      </c>
      <c r="E45" s="1079"/>
      <c r="F45" s="1079"/>
      <c r="G45" s="1079">
        <f t="shared" si="20"/>
        <v>203406</v>
      </c>
      <c r="H45" s="1079"/>
      <c r="I45" s="1079">
        <f t="shared" si="21"/>
        <v>0</v>
      </c>
      <c r="J45" s="1079">
        <f t="shared" si="22"/>
        <v>0</v>
      </c>
      <c r="K45" s="1079">
        <f t="shared" si="23"/>
        <v>203406.06</v>
      </c>
      <c r="L45" s="1079"/>
      <c r="M45" s="875">
        <v>0</v>
      </c>
      <c r="N45" s="875">
        <v>0</v>
      </c>
      <c r="O45" s="875">
        <v>406812.12</v>
      </c>
      <c r="P45" s="1079"/>
      <c r="Q45" s="1430">
        <v>0</v>
      </c>
      <c r="R45" s="1430">
        <v>0</v>
      </c>
      <c r="S45" s="1430">
        <v>0</v>
      </c>
    </row>
    <row r="46" spans="1:19">
      <c r="A46" s="1432">
        <f t="shared" si="11"/>
        <v>5.1899999999999959</v>
      </c>
      <c r="B46" s="875" t="s">
        <v>1112</v>
      </c>
      <c r="C46" s="1079">
        <f t="shared" ref="C46" si="24">SUM(M46:O46)</f>
        <v>0</v>
      </c>
      <c r="D46" s="1079">
        <f t="shared" ref="D46" si="25">SUM(Q46:S46)</f>
        <v>0</v>
      </c>
      <c r="E46" s="1079"/>
      <c r="F46" s="1079"/>
      <c r="G46" s="1079">
        <f t="shared" ref="G46" si="26">ROUND(SUM(C46:F46)/2,0)</f>
        <v>0</v>
      </c>
      <c r="H46" s="1079"/>
      <c r="I46" s="1079">
        <f t="shared" ref="I46" si="27">(M46+Q46)/2</f>
        <v>0</v>
      </c>
      <c r="J46" s="1079">
        <f t="shared" ref="J46" si="28">(N46+R46)/2</f>
        <v>0</v>
      </c>
      <c r="K46" s="1079">
        <f t="shared" ref="K46" si="29">(O46+S46)/2</f>
        <v>0</v>
      </c>
      <c r="L46" s="1079"/>
      <c r="M46" s="875">
        <v>0</v>
      </c>
      <c r="N46" s="875">
        <v>0</v>
      </c>
      <c r="O46" s="875">
        <v>0</v>
      </c>
      <c r="P46" s="1079"/>
      <c r="Q46" s="1430">
        <v>0</v>
      </c>
      <c r="R46" s="1430">
        <v>0</v>
      </c>
      <c r="S46" s="1430">
        <v>0</v>
      </c>
    </row>
    <row r="47" spans="1:19" s="1428" customFormat="1">
      <c r="A47" s="1432">
        <f t="shared" si="11"/>
        <v>5.1999999999999957</v>
      </c>
      <c r="B47" s="1430" t="s">
        <v>1134</v>
      </c>
      <c r="C47" s="1431">
        <f t="shared" ref="C47" si="30">SUM(M47:O47)</f>
        <v>-1016076</v>
      </c>
      <c r="D47" s="1431">
        <f t="shared" ref="D47" si="31">SUM(Q47:S47)</f>
        <v>0</v>
      </c>
      <c r="E47" s="1431"/>
      <c r="F47" s="1431"/>
      <c r="G47" s="1431">
        <f t="shared" ref="G47" si="32">ROUND(SUM(C47:F47)/2,0)</f>
        <v>-508038</v>
      </c>
      <c r="H47" s="1431"/>
      <c r="I47" s="1431">
        <f t="shared" ref="I47" si="33">(M47+Q47)/2</f>
        <v>0</v>
      </c>
      <c r="J47" s="1431">
        <f t="shared" ref="J47" si="34">(N47+R47)/2</f>
        <v>0</v>
      </c>
      <c r="K47" s="1431">
        <f t="shared" ref="K47" si="35">(O47+S47)/2</f>
        <v>-508038</v>
      </c>
      <c r="L47" s="1431"/>
      <c r="M47" s="1430">
        <v>0</v>
      </c>
      <c r="N47" s="1430">
        <v>0</v>
      </c>
      <c r="O47" s="1430">
        <v>-1016076</v>
      </c>
      <c r="P47" s="1431"/>
      <c r="Q47" s="1430">
        <v>0</v>
      </c>
      <c r="R47" s="1430">
        <v>0</v>
      </c>
      <c r="S47" s="1430">
        <v>0</v>
      </c>
    </row>
    <row r="48" spans="1:19">
      <c r="A48" s="1432">
        <f t="shared" si="11"/>
        <v>5.2099999999999955</v>
      </c>
      <c r="B48" s="875" t="s">
        <v>990</v>
      </c>
      <c r="C48" s="1079">
        <f t="shared" si="1"/>
        <v>5866262.3300000001</v>
      </c>
      <c r="D48" s="1079">
        <f>SUM(Q48:S48)</f>
        <v>0</v>
      </c>
      <c r="E48" s="1079"/>
      <c r="F48" s="1079"/>
      <c r="G48" s="1079">
        <f t="shared" si="3"/>
        <v>2933131</v>
      </c>
      <c r="H48" s="1079"/>
      <c r="I48" s="1079">
        <f t="shared" si="4"/>
        <v>0</v>
      </c>
      <c r="J48" s="1079">
        <f t="shared" si="4"/>
        <v>1198681.2550000001</v>
      </c>
      <c r="K48" s="1079">
        <f t="shared" si="4"/>
        <v>1734449.91</v>
      </c>
      <c r="L48" s="1079"/>
      <c r="M48" s="875">
        <v>0</v>
      </c>
      <c r="N48" s="875">
        <v>2397362.5100000002</v>
      </c>
      <c r="O48" s="875">
        <v>3468899.82</v>
      </c>
      <c r="P48" s="1079"/>
      <c r="Q48" s="1430">
        <v>0</v>
      </c>
      <c r="R48" s="1430">
        <v>0</v>
      </c>
      <c r="S48" s="1430">
        <v>0</v>
      </c>
    </row>
    <row r="49" spans="1:19" s="1428" customFormat="1">
      <c r="A49" s="1432">
        <f t="shared" si="11"/>
        <v>5.2199999999999953</v>
      </c>
      <c r="B49" s="1430" t="s">
        <v>1245</v>
      </c>
      <c r="C49" s="1431">
        <f t="shared" ref="C49:C63" si="36">SUM(M49:O49)</f>
        <v>0</v>
      </c>
      <c r="D49" s="1431">
        <f t="shared" ref="D49:D63" si="37">SUM(Q49:S49)</f>
        <v>-1016076</v>
      </c>
      <c r="E49" s="1431"/>
      <c r="F49" s="1431"/>
      <c r="G49" s="1431">
        <f t="shared" ref="G49:G63" si="38">ROUND(SUM(C49:F49)/2,0)</f>
        <v>-508038</v>
      </c>
      <c r="H49" s="1431"/>
      <c r="I49" s="1431">
        <f t="shared" ref="I49:I63" si="39">(M49+Q49)/2</f>
        <v>0</v>
      </c>
      <c r="J49" s="1431">
        <f t="shared" ref="J49:J63" si="40">(N49+R49)/2</f>
        <v>0</v>
      </c>
      <c r="K49" s="1431">
        <f t="shared" ref="K49:K63" si="41">(O49+S49)/2</f>
        <v>-508038</v>
      </c>
      <c r="L49" s="1431"/>
      <c r="M49" s="1430">
        <v>0</v>
      </c>
      <c r="N49" s="1430">
        <v>0</v>
      </c>
      <c r="O49" s="1430">
        <v>0</v>
      </c>
      <c r="P49" s="1431"/>
      <c r="Q49" s="1430">
        <v>0</v>
      </c>
      <c r="R49" s="1430">
        <v>0</v>
      </c>
      <c r="S49" s="1430">
        <v>-1016076</v>
      </c>
    </row>
    <row r="50" spans="1:19" s="1428" customFormat="1">
      <c r="A50" s="1432">
        <f t="shared" si="11"/>
        <v>5.2299999999999951</v>
      </c>
      <c r="B50" s="1430" t="s">
        <v>1246</v>
      </c>
      <c r="C50" s="1431">
        <f t="shared" si="36"/>
        <v>0</v>
      </c>
      <c r="D50" s="1431">
        <f t="shared" si="37"/>
        <v>5382210.8799999999</v>
      </c>
      <c r="E50" s="1431"/>
      <c r="F50" s="1431"/>
      <c r="G50" s="1431">
        <f t="shared" si="38"/>
        <v>2691105</v>
      </c>
      <c r="H50" s="1431"/>
      <c r="I50" s="1431">
        <f t="shared" si="39"/>
        <v>0</v>
      </c>
      <c r="J50" s="1431">
        <f t="shared" si="40"/>
        <v>999101.03</v>
      </c>
      <c r="K50" s="1431">
        <f t="shared" si="41"/>
        <v>1692004.41</v>
      </c>
      <c r="L50" s="1431"/>
      <c r="M50" s="1430">
        <v>0</v>
      </c>
      <c r="N50" s="1430">
        <v>0</v>
      </c>
      <c r="O50" s="1430">
        <v>0</v>
      </c>
      <c r="P50" s="1431"/>
      <c r="Q50" s="1430">
        <v>0</v>
      </c>
      <c r="R50" s="1430">
        <v>1998202.06</v>
      </c>
      <c r="S50" s="1430">
        <v>3384008.82</v>
      </c>
    </row>
    <row r="51" spans="1:19" s="1428" customFormat="1">
      <c r="A51" s="1432">
        <f t="shared" si="11"/>
        <v>5.2399999999999949</v>
      </c>
      <c r="B51" s="1430" t="s">
        <v>1247</v>
      </c>
      <c r="C51" s="1431">
        <f t="shared" si="36"/>
        <v>0</v>
      </c>
      <c r="D51" s="1431">
        <f t="shared" si="37"/>
        <v>275911.45</v>
      </c>
      <c r="E51" s="1431"/>
      <c r="F51" s="1431"/>
      <c r="G51" s="1431">
        <f t="shared" si="38"/>
        <v>137956</v>
      </c>
      <c r="H51" s="1431"/>
      <c r="I51" s="1431">
        <f t="shared" si="39"/>
        <v>0</v>
      </c>
      <c r="J51" s="1431">
        <f t="shared" si="40"/>
        <v>137261.72500000001</v>
      </c>
      <c r="K51" s="1431">
        <f t="shared" si="41"/>
        <v>694</v>
      </c>
      <c r="L51" s="1431"/>
      <c r="M51" s="1430">
        <v>0</v>
      </c>
      <c r="N51" s="1430">
        <v>0</v>
      </c>
      <c r="O51" s="1430">
        <v>0</v>
      </c>
      <c r="P51" s="1431"/>
      <c r="Q51" s="1430">
        <v>0</v>
      </c>
      <c r="R51" s="1430">
        <v>274523.45</v>
      </c>
      <c r="S51" s="1430">
        <v>1388</v>
      </c>
    </row>
    <row r="52" spans="1:19" s="1428" customFormat="1">
      <c r="A52" s="1432">
        <f t="shared" si="11"/>
        <v>5.2499999999999947</v>
      </c>
      <c r="B52" s="1430" t="s">
        <v>1248</v>
      </c>
      <c r="C52" s="1431">
        <f t="shared" si="36"/>
        <v>0</v>
      </c>
      <c r="D52" s="1431">
        <f t="shared" si="37"/>
        <v>10039.74</v>
      </c>
      <c r="E52" s="1431"/>
      <c r="F52" s="1431"/>
      <c r="G52" s="1431">
        <f t="shared" si="38"/>
        <v>5020</v>
      </c>
      <c r="H52" s="1431"/>
      <c r="I52" s="1431">
        <f t="shared" si="39"/>
        <v>0</v>
      </c>
      <c r="J52" s="1431">
        <f t="shared" si="40"/>
        <v>0</v>
      </c>
      <c r="K52" s="1431">
        <f t="shared" si="41"/>
        <v>5019.87</v>
      </c>
      <c r="L52" s="1431"/>
      <c r="M52" s="1430">
        <v>0</v>
      </c>
      <c r="N52" s="1430">
        <v>0</v>
      </c>
      <c r="O52" s="1430">
        <v>0</v>
      </c>
      <c r="P52" s="1431"/>
      <c r="Q52" s="1430">
        <v>0</v>
      </c>
      <c r="R52" s="1430">
        <v>0</v>
      </c>
      <c r="S52" s="1430">
        <v>10039.74</v>
      </c>
    </row>
    <row r="53" spans="1:19" s="1428" customFormat="1">
      <c r="A53" s="1432">
        <f t="shared" si="11"/>
        <v>5.2599999999999945</v>
      </c>
      <c r="B53" s="1430" t="s">
        <v>1249</v>
      </c>
      <c r="C53" s="1431">
        <f t="shared" si="36"/>
        <v>0</v>
      </c>
      <c r="D53" s="1431">
        <f t="shared" si="37"/>
        <v>24.9</v>
      </c>
      <c r="E53" s="1431"/>
      <c r="F53" s="1431"/>
      <c r="G53" s="1431">
        <f t="shared" si="38"/>
        <v>12</v>
      </c>
      <c r="H53" s="1431"/>
      <c r="I53" s="1431">
        <f t="shared" si="39"/>
        <v>0</v>
      </c>
      <c r="J53" s="1431">
        <f t="shared" si="40"/>
        <v>3.6</v>
      </c>
      <c r="K53" s="1431">
        <f t="shared" si="41"/>
        <v>8.85</v>
      </c>
      <c r="L53" s="1431"/>
      <c r="M53" s="1430">
        <v>0</v>
      </c>
      <c r="N53" s="1430">
        <v>0</v>
      </c>
      <c r="O53" s="1430">
        <v>0</v>
      </c>
      <c r="P53" s="1431"/>
      <c r="Q53" s="1430">
        <v>0</v>
      </c>
      <c r="R53" s="1430">
        <v>7.2</v>
      </c>
      <c r="S53" s="1430">
        <v>17.7</v>
      </c>
    </row>
    <row r="54" spans="1:19" s="1428" customFormat="1">
      <c r="A54" s="1432">
        <f t="shared" si="11"/>
        <v>5.2699999999999942</v>
      </c>
      <c r="B54" s="1430" t="s">
        <v>1250</v>
      </c>
      <c r="C54" s="1431">
        <f t="shared" si="36"/>
        <v>0</v>
      </c>
      <c r="D54" s="1431">
        <f t="shared" si="37"/>
        <v>-1064183.5899999999</v>
      </c>
      <c r="E54" s="1431"/>
      <c r="F54" s="1431"/>
      <c r="G54" s="1431">
        <f t="shared" si="38"/>
        <v>-532092</v>
      </c>
      <c r="H54" s="1431"/>
      <c r="I54" s="1431">
        <f t="shared" si="39"/>
        <v>0</v>
      </c>
      <c r="J54" s="1431">
        <f t="shared" si="40"/>
        <v>-211422.19</v>
      </c>
      <c r="K54" s="1431">
        <f t="shared" si="41"/>
        <v>-320669.60499999998</v>
      </c>
      <c r="L54" s="1431"/>
      <c r="M54" s="1430">
        <v>0</v>
      </c>
      <c r="N54" s="1430">
        <v>0</v>
      </c>
      <c r="O54" s="1430">
        <v>0</v>
      </c>
      <c r="P54" s="1431"/>
      <c r="Q54" s="1430">
        <v>0</v>
      </c>
      <c r="R54" s="1430">
        <v>-422844.38</v>
      </c>
      <c r="S54" s="1430">
        <v>-641339.21</v>
      </c>
    </row>
    <row r="55" spans="1:19" s="1428" customFormat="1">
      <c r="A55" s="1432">
        <f t="shared" si="11"/>
        <v>5.279999999999994</v>
      </c>
      <c r="B55" s="1430" t="s">
        <v>1251</v>
      </c>
      <c r="C55" s="1431">
        <f t="shared" si="36"/>
        <v>0</v>
      </c>
      <c r="D55" s="1431">
        <f t="shared" si="37"/>
        <v>72220.05</v>
      </c>
      <c r="E55" s="1431"/>
      <c r="F55" s="1431"/>
      <c r="G55" s="1431">
        <f t="shared" si="38"/>
        <v>36110</v>
      </c>
      <c r="H55" s="1431"/>
      <c r="I55" s="1431">
        <f t="shared" si="39"/>
        <v>0</v>
      </c>
      <c r="J55" s="1431">
        <f t="shared" si="40"/>
        <v>36110.025000000001</v>
      </c>
      <c r="K55" s="1431">
        <f t="shared" si="41"/>
        <v>0</v>
      </c>
      <c r="L55" s="1431"/>
      <c r="M55" s="1430">
        <v>0</v>
      </c>
      <c r="N55" s="1430">
        <v>0</v>
      </c>
      <c r="O55" s="1430">
        <v>0</v>
      </c>
      <c r="P55" s="1431"/>
      <c r="Q55" s="1430">
        <v>0</v>
      </c>
      <c r="R55" s="1430">
        <v>72220.05</v>
      </c>
      <c r="S55" s="1430">
        <v>0</v>
      </c>
    </row>
    <row r="56" spans="1:19" s="1428" customFormat="1">
      <c r="A56" s="1432">
        <f t="shared" si="11"/>
        <v>5.2899999999999938</v>
      </c>
      <c r="B56" s="1430" t="s">
        <v>1252</v>
      </c>
      <c r="C56" s="1431">
        <f t="shared" si="36"/>
        <v>0</v>
      </c>
      <c r="D56" s="1431">
        <f t="shared" si="37"/>
        <v>18242615.07</v>
      </c>
      <c r="E56" s="1431"/>
      <c r="F56" s="1431"/>
      <c r="G56" s="1431">
        <f t="shared" si="38"/>
        <v>9121308</v>
      </c>
      <c r="H56" s="1431"/>
      <c r="I56" s="1431">
        <f t="shared" si="39"/>
        <v>0</v>
      </c>
      <c r="J56" s="1431">
        <f t="shared" si="40"/>
        <v>2280143.06</v>
      </c>
      <c r="K56" s="1431">
        <f t="shared" si="41"/>
        <v>6841164.4749999996</v>
      </c>
      <c r="L56" s="1431"/>
      <c r="M56" s="1430">
        <v>0</v>
      </c>
      <c r="N56" s="1430">
        <v>0</v>
      </c>
      <c r="O56" s="1430">
        <v>0</v>
      </c>
      <c r="P56" s="1431"/>
      <c r="Q56" s="1430">
        <v>0</v>
      </c>
      <c r="R56" s="1430">
        <v>4560286.12</v>
      </c>
      <c r="S56" s="1430">
        <v>13682328.949999999</v>
      </c>
    </row>
    <row r="57" spans="1:19" s="1428" customFormat="1">
      <c r="A57" s="1432">
        <f t="shared" si="11"/>
        <v>5.2999999999999936</v>
      </c>
      <c r="B57" s="1430" t="s">
        <v>1253</v>
      </c>
      <c r="C57" s="1431">
        <f t="shared" si="36"/>
        <v>0</v>
      </c>
      <c r="D57" s="1431">
        <f t="shared" si="37"/>
        <v>262.5</v>
      </c>
      <c r="E57" s="1431"/>
      <c r="F57" s="1431"/>
      <c r="G57" s="1431">
        <f t="shared" si="38"/>
        <v>131</v>
      </c>
      <c r="H57" s="1431"/>
      <c r="I57" s="1431">
        <f t="shared" si="39"/>
        <v>0</v>
      </c>
      <c r="J57" s="1431">
        <f t="shared" si="40"/>
        <v>131.25</v>
      </c>
      <c r="K57" s="1431">
        <f t="shared" si="41"/>
        <v>0</v>
      </c>
      <c r="L57" s="1431"/>
      <c r="M57" s="1430">
        <v>0</v>
      </c>
      <c r="N57" s="1430">
        <v>0</v>
      </c>
      <c r="O57" s="1430">
        <v>0</v>
      </c>
      <c r="P57" s="1431"/>
      <c r="Q57" s="1430">
        <v>0</v>
      </c>
      <c r="R57" s="1430">
        <v>262.5</v>
      </c>
      <c r="S57" s="1430">
        <v>0</v>
      </c>
    </row>
    <row r="58" spans="1:19" s="1428" customFormat="1">
      <c r="A58" s="1432">
        <f t="shared" si="11"/>
        <v>5.3099999999999934</v>
      </c>
      <c r="B58" s="1430" t="s">
        <v>1254</v>
      </c>
      <c r="C58" s="1431">
        <f t="shared" si="36"/>
        <v>0</v>
      </c>
      <c r="D58" s="1431">
        <f t="shared" si="37"/>
        <v>516262.86000000004</v>
      </c>
      <c r="E58" s="1431"/>
      <c r="F58" s="1431"/>
      <c r="G58" s="1431">
        <f t="shared" si="38"/>
        <v>258131</v>
      </c>
      <c r="H58" s="1431"/>
      <c r="I58" s="1431">
        <f t="shared" si="39"/>
        <v>0</v>
      </c>
      <c r="J58" s="1431">
        <f t="shared" si="40"/>
        <v>12275.76</v>
      </c>
      <c r="K58" s="1431">
        <f t="shared" si="41"/>
        <v>245855.67</v>
      </c>
      <c r="L58" s="1431"/>
      <c r="M58" s="1430">
        <v>0</v>
      </c>
      <c r="N58" s="1430">
        <v>0</v>
      </c>
      <c r="O58" s="1430">
        <v>0</v>
      </c>
      <c r="P58" s="1431"/>
      <c r="Q58" s="1430">
        <v>0</v>
      </c>
      <c r="R58" s="1430">
        <v>24551.52</v>
      </c>
      <c r="S58" s="1430">
        <v>491711.34</v>
      </c>
    </row>
    <row r="59" spans="1:19" s="1428" customFormat="1">
      <c r="A59" s="1432">
        <f t="shared" si="11"/>
        <v>5.3199999999999932</v>
      </c>
      <c r="B59" s="1430" t="s">
        <v>1255</v>
      </c>
      <c r="C59" s="1431">
        <f t="shared" si="36"/>
        <v>0</v>
      </c>
      <c r="D59" s="1431">
        <f t="shared" si="37"/>
        <v>9108703.7100000009</v>
      </c>
      <c r="E59" s="1431"/>
      <c r="F59" s="1431"/>
      <c r="G59" s="1431">
        <f t="shared" si="38"/>
        <v>4554352</v>
      </c>
      <c r="H59" s="1431"/>
      <c r="I59" s="1431">
        <f t="shared" si="39"/>
        <v>0</v>
      </c>
      <c r="J59" s="1431">
        <f t="shared" si="40"/>
        <v>1093079.835</v>
      </c>
      <c r="K59" s="1431">
        <f t="shared" si="41"/>
        <v>3461272.02</v>
      </c>
      <c r="L59" s="1431"/>
      <c r="M59" s="1430">
        <v>0</v>
      </c>
      <c r="N59" s="1430">
        <v>0</v>
      </c>
      <c r="O59" s="1430">
        <v>0</v>
      </c>
      <c r="P59" s="1431"/>
      <c r="Q59" s="1430">
        <v>0</v>
      </c>
      <c r="R59" s="1430">
        <v>2186159.67</v>
      </c>
      <c r="S59" s="1430">
        <v>6922544.04</v>
      </c>
    </row>
    <row r="60" spans="1:19" s="1428" customFormat="1">
      <c r="A60" s="1432">
        <f t="shared" si="11"/>
        <v>5.329999999999993</v>
      </c>
      <c r="B60" s="1430" t="s">
        <v>1256</v>
      </c>
      <c r="C60" s="1431">
        <f t="shared" si="36"/>
        <v>0</v>
      </c>
      <c r="D60" s="1431">
        <f t="shared" si="37"/>
        <v>-495.55</v>
      </c>
      <c r="E60" s="1431"/>
      <c r="F60" s="1431"/>
      <c r="G60" s="1431">
        <f t="shared" si="38"/>
        <v>-248</v>
      </c>
      <c r="H60" s="1431"/>
      <c r="I60" s="1431">
        <f t="shared" si="39"/>
        <v>0</v>
      </c>
      <c r="J60" s="1431">
        <f t="shared" si="40"/>
        <v>150.15</v>
      </c>
      <c r="K60" s="1431">
        <f t="shared" si="41"/>
        <v>-397.92500000000001</v>
      </c>
      <c r="L60" s="1431"/>
      <c r="M60" s="1430">
        <v>0</v>
      </c>
      <c r="N60" s="1430">
        <v>0</v>
      </c>
      <c r="O60" s="1430">
        <v>0</v>
      </c>
      <c r="P60" s="1431"/>
      <c r="Q60" s="1430">
        <v>0</v>
      </c>
      <c r="R60" s="1430">
        <v>300.3</v>
      </c>
      <c r="S60" s="1430">
        <v>-795.85</v>
      </c>
    </row>
    <row r="61" spans="1:19" s="1428" customFormat="1">
      <c r="A61" s="1432">
        <f t="shared" si="11"/>
        <v>5.3399999999999928</v>
      </c>
      <c r="B61" s="1430" t="s">
        <v>1257</v>
      </c>
      <c r="C61" s="1431">
        <f t="shared" si="36"/>
        <v>0</v>
      </c>
      <c r="D61" s="1431">
        <f t="shared" si="37"/>
        <v>-1436350</v>
      </c>
      <c r="E61" s="1431"/>
      <c r="F61" s="1431"/>
      <c r="G61" s="1431">
        <f t="shared" si="38"/>
        <v>-718175</v>
      </c>
      <c r="H61" s="1431"/>
      <c r="I61" s="1431">
        <f t="shared" si="39"/>
        <v>0</v>
      </c>
      <c r="J61" s="1431">
        <f t="shared" si="40"/>
        <v>-62010</v>
      </c>
      <c r="K61" s="1431">
        <f t="shared" si="41"/>
        <v>-656165</v>
      </c>
      <c r="L61" s="1431"/>
      <c r="M61" s="1430">
        <v>0</v>
      </c>
      <c r="N61" s="1430">
        <v>0</v>
      </c>
      <c r="O61" s="1430">
        <v>0</v>
      </c>
      <c r="P61" s="1431"/>
      <c r="Q61" s="1430">
        <v>0</v>
      </c>
      <c r="R61" s="1430">
        <v>-124020</v>
      </c>
      <c r="S61" s="1430">
        <v>-1312330</v>
      </c>
    </row>
    <row r="62" spans="1:19" s="1428" customFormat="1">
      <c r="A62" s="1432">
        <f t="shared" si="11"/>
        <v>5.3499999999999925</v>
      </c>
      <c r="B62" s="1430" t="s">
        <v>1258</v>
      </c>
      <c r="C62" s="1431">
        <f t="shared" si="36"/>
        <v>0</v>
      </c>
      <c r="D62" s="1431">
        <f t="shared" si="37"/>
        <v>-385036.89</v>
      </c>
      <c r="E62" s="1431"/>
      <c r="F62" s="1431"/>
      <c r="G62" s="1431">
        <f t="shared" si="38"/>
        <v>-192518</v>
      </c>
      <c r="H62" s="1431"/>
      <c r="I62" s="1431">
        <f t="shared" si="39"/>
        <v>0</v>
      </c>
      <c r="J62" s="1431">
        <f t="shared" si="40"/>
        <v>-21362.145</v>
      </c>
      <c r="K62" s="1431">
        <f t="shared" si="41"/>
        <v>-171156.30000000002</v>
      </c>
      <c r="L62" s="1431"/>
      <c r="M62" s="1430">
        <v>0</v>
      </c>
      <c r="N62" s="1430">
        <v>0</v>
      </c>
      <c r="O62" s="1430">
        <v>0</v>
      </c>
      <c r="P62" s="1431"/>
      <c r="Q62" s="1430">
        <v>0</v>
      </c>
      <c r="R62" s="1430">
        <v>-42724.29</v>
      </c>
      <c r="S62" s="1430">
        <v>-342312.60000000003</v>
      </c>
    </row>
    <row r="63" spans="1:19" s="1428" customFormat="1">
      <c r="A63" s="1432">
        <f t="shared" si="11"/>
        <v>5.3599999999999923</v>
      </c>
      <c r="B63" s="1430" t="s">
        <v>1259</v>
      </c>
      <c r="C63" s="1431">
        <f t="shared" si="36"/>
        <v>0</v>
      </c>
      <c r="D63" s="1431">
        <f t="shared" si="37"/>
        <v>360736.81</v>
      </c>
      <c r="E63" s="1431"/>
      <c r="F63" s="1431"/>
      <c r="G63" s="1431">
        <f t="shared" si="38"/>
        <v>180368</v>
      </c>
      <c r="H63" s="1431"/>
      <c r="I63" s="1431">
        <f t="shared" si="39"/>
        <v>0</v>
      </c>
      <c r="J63" s="1431">
        <f t="shared" si="40"/>
        <v>0</v>
      </c>
      <c r="K63" s="1431">
        <f t="shared" si="41"/>
        <v>180368.405</v>
      </c>
      <c r="L63" s="1431"/>
      <c r="M63" s="1430">
        <v>0</v>
      </c>
      <c r="N63" s="1430">
        <v>0</v>
      </c>
      <c r="O63" s="1430">
        <v>0</v>
      </c>
      <c r="P63" s="1431"/>
      <c r="Q63" s="1430">
        <v>0</v>
      </c>
      <c r="R63" s="1430">
        <v>0</v>
      </c>
      <c r="S63" s="1430">
        <v>360736.81</v>
      </c>
    </row>
    <row r="64" spans="1:19">
      <c r="A64" s="1432">
        <f t="shared" si="11"/>
        <v>5.3699999999999921</v>
      </c>
      <c r="B64" s="1429" t="s">
        <v>1131</v>
      </c>
      <c r="C64" s="1434">
        <f t="shared" ref="C64" si="42">SUM(M64:O64)</f>
        <v>-707780.68642485363</v>
      </c>
      <c r="D64" s="1434">
        <f>SUM(Q64:S64)</f>
        <v>-738772.75494007242</v>
      </c>
      <c r="E64" s="1434"/>
      <c r="F64" s="1434"/>
      <c r="G64" s="1431">
        <f t="shared" ref="G64:G69" si="43">ROUND(SUM(C64:F64)/2,0)</f>
        <v>-723277</v>
      </c>
      <c r="H64" s="1079"/>
      <c r="I64" s="1431">
        <f t="shared" ref="I64" si="44">(M64+Q64)/2</f>
        <v>0</v>
      </c>
      <c r="J64" s="1431">
        <f t="shared" ref="J64" si="45">(N64+R64)/2</f>
        <v>-646530.27553594136</v>
      </c>
      <c r="K64" s="1431">
        <f t="shared" ref="K64" si="46">(O64+S64)/2</f>
        <v>-76746.445146521612</v>
      </c>
      <c r="L64" s="1079"/>
      <c r="M64" s="1430">
        <v>0</v>
      </c>
      <c r="N64" s="1430">
        <v>-707780.68642485363</v>
      </c>
      <c r="O64" s="1430">
        <v>0</v>
      </c>
      <c r="P64" s="1079"/>
      <c r="Q64" s="1430">
        <v>0</v>
      </c>
      <c r="R64" s="1430">
        <v>-585279.8646470292</v>
      </c>
      <c r="S64" s="1430">
        <v>-153492.89029304322</v>
      </c>
    </row>
    <row r="65" spans="1:20">
      <c r="A65" s="1432">
        <f t="shared" si="11"/>
        <v>5.3799999999999919</v>
      </c>
      <c r="B65" s="1429" t="s">
        <v>1132</v>
      </c>
      <c r="C65" s="1434">
        <f>-E65</f>
        <v>707780.68642485363</v>
      </c>
      <c r="D65" s="1434">
        <f>-F65</f>
        <v>738772.75494007242</v>
      </c>
      <c r="E65" s="1434">
        <f>C64</f>
        <v>-707780.68642485363</v>
      </c>
      <c r="F65" s="1434">
        <f>D64</f>
        <v>-738772.75494007242</v>
      </c>
      <c r="G65" s="1431">
        <f t="shared" si="43"/>
        <v>0</v>
      </c>
      <c r="H65" s="1079"/>
      <c r="I65" s="1079"/>
      <c r="J65" s="1079"/>
      <c r="K65" s="1079"/>
      <c r="L65" s="1079"/>
      <c r="M65" s="1433"/>
      <c r="N65" s="1433"/>
      <c r="O65" s="1433"/>
      <c r="P65" s="1431"/>
      <c r="Q65" s="1433"/>
      <c r="R65" s="1433"/>
      <c r="S65" s="1433"/>
      <c r="T65" s="1427"/>
    </row>
    <row r="66" spans="1:20">
      <c r="A66" s="1432">
        <f t="shared" si="11"/>
        <v>5.3899999999999917</v>
      </c>
      <c r="B66" s="875" t="s">
        <v>968</v>
      </c>
      <c r="C66" s="875">
        <f>-E66</f>
        <v>154.89000000000001</v>
      </c>
      <c r="D66" s="875">
        <f>-F66</f>
        <v>-0.09</v>
      </c>
      <c r="E66" s="1431">
        <v>-154.89000000000001</v>
      </c>
      <c r="F66" s="1079">
        <v>0.09</v>
      </c>
      <c r="G66" s="1079">
        <f t="shared" si="43"/>
        <v>0</v>
      </c>
      <c r="H66" s="1079"/>
      <c r="I66" s="1079"/>
      <c r="J66" s="1079"/>
      <c r="K66" s="1079"/>
      <c r="L66" s="1079"/>
      <c r="M66" s="1431"/>
      <c r="N66" s="1431"/>
      <c r="O66" s="1431"/>
      <c r="P66" s="1431"/>
      <c r="Q66" s="1431"/>
      <c r="R66" s="1431"/>
      <c r="S66" s="1431"/>
      <c r="T66" s="1427"/>
    </row>
    <row r="67" spans="1:20">
      <c r="A67" s="1107">
        <f t="shared" si="11"/>
        <v>5.3999999999999915</v>
      </c>
      <c r="B67" s="875" t="s">
        <v>991</v>
      </c>
      <c r="C67" s="875">
        <f t="shared" ref="C67:C68" si="47">-E67</f>
        <v>1546014.1099999999</v>
      </c>
      <c r="D67" s="875">
        <f t="shared" ref="D67:D68" si="48">-F67</f>
        <v>2113321.7799999998</v>
      </c>
      <c r="E67" s="1431">
        <v>-1546014.1099999999</v>
      </c>
      <c r="F67" s="1079">
        <v>-2113321.7799999998</v>
      </c>
      <c r="G67" s="1431">
        <f t="shared" si="43"/>
        <v>0</v>
      </c>
      <c r="H67" s="1079"/>
      <c r="I67" s="1079"/>
      <c r="J67" s="1079"/>
      <c r="K67" s="1079"/>
      <c r="L67" s="1079"/>
      <c r="M67" s="1079"/>
      <c r="N67" s="1079"/>
      <c r="O67" s="1079"/>
      <c r="P67" s="1079"/>
      <c r="Q67" s="1079"/>
      <c r="R67" s="1079"/>
      <c r="S67" s="1079"/>
    </row>
    <row r="68" spans="1:20">
      <c r="A68" s="1107">
        <f>A66+0.01</f>
        <v>5.3999999999999915</v>
      </c>
      <c r="B68" s="875" t="s">
        <v>992</v>
      </c>
      <c r="C68" s="875">
        <f t="shared" si="47"/>
        <v>-5866262.1600000001</v>
      </c>
      <c r="D68" s="875">
        <f t="shared" si="48"/>
        <v>-5658122.1600000001</v>
      </c>
      <c r="E68" s="1431">
        <v>5866262.1600000001</v>
      </c>
      <c r="F68" s="1079">
        <v>5658122.1600000001</v>
      </c>
      <c r="G68" s="1431">
        <f t="shared" si="43"/>
        <v>0</v>
      </c>
      <c r="H68" s="1079"/>
      <c r="I68" s="1079"/>
      <c r="J68" s="1079"/>
      <c r="K68" s="1079"/>
      <c r="L68" s="1079"/>
      <c r="M68" s="1079"/>
      <c r="N68" s="1079"/>
      <c r="O68" s="1079"/>
      <c r="P68" s="1079"/>
      <c r="Q68" s="1079"/>
      <c r="R68" s="1079"/>
      <c r="S68" s="1079"/>
    </row>
    <row r="69" spans="1:20">
      <c r="A69" s="1107">
        <f>A67+0.01</f>
        <v>5.4099999999999913</v>
      </c>
      <c r="B69" s="875" t="s">
        <v>1128</v>
      </c>
      <c r="C69" s="875">
        <f t="shared" ref="C69" si="49">-E69</f>
        <v>1016076</v>
      </c>
      <c r="D69" s="875">
        <f t="shared" ref="D69" si="50">-F69</f>
        <v>1016076</v>
      </c>
      <c r="E69" s="1431">
        <v>-1016076</v>
      </c>
      <c r="F69" s="1079">
        <v>-1016076</v>
      </c>
      <c r="G69" s="1431">
        <f t="shared" si="43"/>
        <v>0</v>
      </c>
      <c r="H69" s="1079"/>
      <c r="I69" s="1079"/>
      <c r="J69" s="1079"/>
      <c r="K69" s="1079"/>
      <c r="L69" s="1079"/>
      <c r="M69" s="1079"/>
      <c r="N69" s="1079"/>
      <c r="O69" s="1079"/>
      <c r="P69" s="1079"/>
      <c r="Q69" s="1079"/>
      <c r="R69" s="1079"/>
      <c r="S69" s="1079"/>
    </row>
    <row r="70" spans="1:20">
      <c r="A70"/>
      <c r="E70" s="1428"/>
    </row>
    <row r="71" spans="1:20">
      <c r="A71" s="1087"/>
      <c r="B71" s="1069"/>
      <c r="C71" s="1079"/>
      <c r="D71" s="1079"/>
      <c r="E71" s="1079"/>
      <c r="F71" s="1079"/>
      <c r="G71" s="1079"/>
      <c r="H71" s="1079"/>
      <c r="I71" s="1079"/>
      <c r="J71" s="1079"/>
      <c r="K71" s="1079"/>
      <c r="L71" s="1079"/>
      <c r="M71" s="1079"/>
      <c r="N71" s="1079"/>
      <c r="O71" s="1079"/>
      <c r="P71" s="1079"/>
      <c r="Q71" s="1079"/>
      <c r="R71" s="1079"/>
      <c r="S71" s="1079"/>
    </row>
    <row r="72" spans="1:20" ht="13.5" thickBot="1">
      <c r="A72" s="1087">
        <v>6</v>
      </c>
      <c r="B72" s="1070" t="s">
        <v>729</v>
      </c>
      <c r="C72" s="1081">
        <f>SUM(C28:C71)</f>
        <v>26269412.550000001</v>
      </c>
      <c r="D72" s="1081">
        <f>SUM(D28:D71)</f>
        <v>27538121.469999999</v>
      </c>
      <c r="E72" s="1081">
        <f>SUM(E28:E71)</f>
        <v>2596236.4735751469</v>
      </c>
      <c r="F72" s="1081">
        <f>SUM(F28:F71)</f>
        <v>1789951.7150599277</v>
      </c>
      <c r="G72" s="1081">
        <f>SUM(G28:G71)</f>
        <v>29096861</v>
      </c>
      <c r="H72" s="1079"/>
      <c r="I72" s="1081">
        <f>SUM(I28:I71)</f>
        <v>0</v>
      </c>
      <c r="J72" s="1081">
        <f>SUM(J28:J71)</f>
        <v>7935359.6694640573</v>
      </c>
      <c r="K72" s="1081">
        <f>SUM(K28:K71)</f>
        <v>21161501.434853476</v>
      </c>
      <c r="L72" s="1079"/>
      <c r="M72" s="1081">
        <f>SUM(M28:M71)</f>
        <v>0</v>
      </c>
      <c r="N72" s="1081">
        <f>SUM(N28:N71)</f>
        <v>7929075.0035751462</v>
      </c>
      <c r="O72" s="1081">
        <f>SUM(O28:O71)</f>
        <v>20936574.02</v>
      </c>
      <c r="P72" s="1079"/>
      <c r="Q72" s="1081">
        <f>SUM(Q28:Q71)</f>
        <v>0</v>
      </c>
      <c r="R72" s="1081">
        <f>SUM(R28:R71)</f>
        <v>7941644.335352974</v>
      </c>
      <c r="S72" s="1081">
        <f>SUM(S28:S71)</f>
        <v>21386428.849706952</v>
      </c>
    </row>
    <row r="73" spans="1:20" ht="13.5" thickTop="1">
      <c r="A73" s="1087">
        <f>A72+1</f>
        <v>7</v>
      </c>
      <c r="B73" s="1154" t="s">
        <v>742</v>
      </c>
      <c r="C73" s="1082">
        <v>0</v>
      </c>
      <c r="D73" s="1082">
        <v>0</v>
      </c>
      <c r="E73" s="1082">
        <v>0</v>
      </c>
      <c r="F73" s="1082">
        <v>0</v>
      </c>
      <c r="G73" s="1082">
        <v>0</v>
      </c>
      <c r="H73" s="1079"/>
      <c r="I73" s="1082">
        <v>0</v>
      </c>
      <c r="J73" s="1082">
        <v>0</v>
      </c>
      <c r="K73" s="1082">
        <v>0</v>
      </c>
      <c r="L73" s="1082"/>
      <c r="M73" s="1082">
        <v>0</v>
      </c>
      <c r="N73" s="1082">
        <v>0</v>
      </c>
      <c r="O73" s="1082">
        <v>0</v>
      </c>
      <c r="P73" s="1079"/>
      <c r="Q73" s="1082">
        <v>0</v>
      </c>
      <c r="R73" s="1082">
        <v>0</v>
      </c>
      <c r="S73" s="1082">
        <v>0</v>
      </c>
    </row>
    <row r="74" spans="1:20">
      <c r="A74" s="1087"/>
      <c r="B74" s="1070"/>
      <c r="C74" s="1079"/>
      <c r="D74" s="1083"/>
      <c r="E74" s="1079"/>
      <c r="F74" s="1079"/>
      <c r="G74" s="1079"/>
      <c r="H74" s="1079"/>
      <c r="I74" s="1079"/>
      <c r="J74" s="1079"/>
      <c r="K74" s="1079"/>
      <c r="L74" s="1079"/>
      <c r="M74" s="1079"/>
      <c r="N74" s="1079"/>
      <c r="O74" s="1079"/>
      <c r="P74" s="1079"/>
      <c r="Q74" s="1079"/>
      <c r="R74" s="1079"/>
      <c r="S74" s="1079"/>
    </row>
    <row r="75" spans="1:20">
      <c r="A75" s="1087">
        <v>8</v>
      </c>
      <c r="B75" s="255" t="s">
        <v>730</v>
      </c>
      <c r="C75" s="1079" t="s">
        <v>116</v>
      </c>
      <c r="D75" s="1079"/>
      <c r="E75" s="1079"/>
      <c r="F75" s="1079"/>
      <c r="G75" s="1079"/>
      <c r="H75" s="1079"/>
      <c r="I75" s="1079"/>
      <c r="J75" s="1079"/>
      <c r="K75" s="1079"/>
      <c r="L75" s="1079"/>
      <c r="M75" s="1079"/>
      <c r="N75" s="1079"/>
      <c r="O75" s="1079"/>
      <c r="P75" s="1079"/>
      <c r="Q75" s="1079"/>
      <c r="R75" s="1079"/>
      <c r="S75" s="1079"/>
    </row>
    <row r="76" spans="1:20">
      <c r="A76" s="1087"/>
      <c r="B76" s="1069"/>
      <c r="C76" s="1079"/>
      <c r="D76" s="1079"/>
      <c r="E76" s="1079"/>
      <c r="F76" s="1079"/>
      <c r="G76" s="1079"/>
      <c r="H76" s="1079"/>
      <c r="I76" s="1079"/>
      <c r="J76" s="1079"/>
      <c r="K76" s="1079"/>
      <c r="L76" s="1079"/>
      <c r="M76" s="1079"/>
      <c r="N76" s="1079"/>
      <c r="O76" s="1079"/>
      <c r="P76" s="1079"/>
      <c r="Q76" s="1079"/>
      <c r="R76" s="1079"/>
      <c r="S76" s="1079"/>
    </row>
    <row r="77" spans="1:20">
      <c r="A77" s="1107">
        <v>9.01</v>
      </c>
      <c r="B77" s="875" t="s">
        <v>993</v>
      </c>
      <c r="C77" s="1079">
        <f>SUM(M77:O77)</f>
        <v>543201.54</v>
      </c>
      <c r="D77" s="1079">
        <f t="shared" ref="D77:D96" si="51">SUM(Q77:S77)</f>
        <v>0</v>
      </c>
      <c r="E77" s="1079"/>
      <c r="F77" s="1079"/>
      <c r="G77" s="1079">
        <f t="shared" ref="G77:G96" si="52">ROUND(SUM(C77:F77)/2,0)</f>
        <v>271601</v>
      </c>
      <c r="H77" s="1079"/>
      <c r="I77" s="1079">
        <f>(M77+Q77)/2</f>
        <v>0</v>
      </c>
      <c r="J77" s="1079">
        <f>(N77+R77)/2</f>
        <v>239727.535</v>
      </c>
      <c r="K77" s="1079">
        <f>(O77+S77)/2</f>
        <v>31873.235000000001</v>
      </c>
      <c r="L77" s="1079"/>
      <c r="M77" s="875">
        <v>0</v>
      </c>
      <c r="N77" s="875">
        <v>479455.07</v>
      </c>
      <c r="O77" s="875">
        <v>63746.47</v>
      </c>
      <c r="P77" s="1079"/>
      <c r="Q77" s="1430">
        <v>0</v>
      </c>
      <c r="R77" s="1430">
        <v>0</v>
      </c>
      <c r="S77" s="1430">
        <v>0</v>
      </c>
    </row>
    <row r="78" spans="1:20">
      <c r="A78" s="1107">
        <f>A77+0.01</f>
        <v>9.02</v>
      </c>
      <c r="B78" s="875" t="s">
        <v>994</v>
      </c>
      <c r="C78" s="1079">
        <f t="shared" ref="C78:C96" si="53">SUM(M78:O78)</f>
        <v>-944153.7</v>
      </c>
      <c r="D78" s="1079">
        <f t="shared" si="51"/>
        <v>0</v>
      </c>
      <c r="E78" s="1079"/>
      <c r="F78" s="1079"/>
      <c r="G78" s="1079">
        <f>ROUND(SUM(C78:F78)/2,0)</f>
        <v>-472077</v>
      </c>
      <c r="H78" s="1079"/>
      <c r="I78" s="1079">
        <f t="shared" ref="I78:K112" si="54">(M78+Q78)/2</f>
        <v>0</v>
      </c>
      <c r="J78" s="1079">
        <f t="shared" si="54"/>
        <v>-124336.17</v>
      </c>
      <c r="K78" s="1079">
        <f t="shared" si="54"/>
        <v>-347740.68</v>
      </c>
      <c r="L78" s="1079"/>
      <c r="M78" s="875">
        <v>0</v>
      </c>
      <c r="N78" s="875">
        <v>-248672.34</v>
      </c>
      <c r="O78" s="875">
        <v>-695481.36</v>
      </c>
      <c r="P78" s="1079"/>
      <c r="Q78" s="1430">
        <v>0</v>
      </c>
      <c r="R78" s="1430">
        <v>0</v>
      </c>
      <c r="S78" s="1430">
        <v>0</v>
      </c>
    </row>
    <row r="79" spans="1:20">
      <c r="A79" s="1432">
        <f t="shared" ref="A79:A118" si="55">A78+0.01</f>
        <v>9.0299999999999994</v>
      </c>
      <c r="B79" s="875" t="s">
        <v>995</v>
      </c>
      <c r="C79" s="1079">
        <f t="shared" si="53"/>
        <v>0</v>
      </c>
      <c r="D79" s="1079">
        <f t="shared" si="51"/>
        <v>0</v>
      </c>
      <c r="E79" s="1079"/>
      <c r="F79" s="1079"/>
      <c r="G79" s="1079">
        <f t="shared" si="52"/>
        <v>0</v>
      </c>
      <c r="H79" s="1079"/>
      <c r="I79" s="1079">
        <f t="shared" si="54"/>
        <v>0</v>
      </c>
      <c r="J79" s="1079">
        <f t="shared" si="54"/>
        <v>0</v>
      </c>
      <c r="K79" s="1079">
        <f t="shared" si="54"/>
        <v>0</v>
      </c>
      <c r="L79" s="1079"/>
      <c r="M79" s="875">
        <v>0</v>
      </c>
      <c r="N79" s="875">
        <v>0</v>
      </c>
      <c r="O79" s="875">
        <v>0</v>
      </c>
      <c r="P79" s="1079"/>
      <c r="Q79" s="1430">
        <v>0</v>
      </c>
      <c r="R79" s="1430">
        <v>0</v>
      </c>
      <c r="S79" s="1430">
        <v>0</v>
      </c>
    </row>
    <row r="80" spans="1:20">
      <c r="A80" s="1432">
        <f t="shared" si="55"/>
        <v>9.0399999999999991</v>
      </c>
      <c r="B80" s="875" t="s">
        <v>1111</v>
      </c>
      <c r="C80" s="1079">
        <f t="shared" ref="C80:C83" si="56">SUM(M80:O80)</f>
        <v>125110.59</v>
      </c>
      <c r="D80" s="1079">
        <f t="shared" ref="D80:D83" si="57">SUM(Q80:S80)</f>
        <v>0</v>
      </c>
      <c r="E80" s="1079"/>
      <c r="F80" s="1079"/>
      <c r="G80" s="1079">
        <f t="shared" ref="G80:G83" si="58">ROUND(SUM(C80:F80)/2,0)</f>
        <v>62555</v>
      </c>
      <c r="H80" s="1079"/>
      <c r="I80" s="1079">
        <f t="shared" ref="I80:I83" si="59">(M80+Q80)/2</f>
        <v>0</v>
      </c>
      <c r="J80" s="1079">
        <f t="shared" ref="J80:J83" si="60">(N80+R80)/2</f>
        <v>16987.295000000002</v>
      </c>
      <c r="K80" s="1079">
        <f t="shared" ref="K80:K83" si="61">(O80+S80)/2</f>
        <v>45568</v>
      </c>
      <c r="L80" s="1079"/>
      <c r="M80" s="875">
        <v>0</v>
      </c>
      <c r="N80" s="875">
        <v>33974.590000000004</v>
      </c>
      <c r="O80" s="875">
        <v>91136</v>
      </c>
      <c r="P80" s="1079"/>
      <c r="Q80" s="1430">
        <v>0</v>
      </c>
      <c r="R80" s="1430">
        <v>0</v>
      </c>
      <c r="S80" s="1430">
        <v>0</v>
      </c>
    </row>
    <row r="81" spans="1:19" s="1428" customFormat="1">
      <c r="A81" s="1432">
        <f t="shared" si="55"/>
        <v>9.0499999999999989</v>
      </c>
      <c r="B81" s="1430" t="s">
        <v>1137</v>
      </c>
      <c r="C81" s="1431">
        <f t="shared" ref="C81" si="62">SUM(M81:O81)</f>
        <v>16010.07</v>
      </c>
      <c r="D81" s="1431">
        <f t="shared" ref="D81" si="63">SUM(Q81:S81)</f>
        <v>0</v>
      </c>
      <c r="E81" s="1431"/>
      <c r="F81" s="1431"/>
      <c r="G81" s="1431">
        <f t="shared" ref="G81" si="64">ROUND(SUM(C81:F81)/2,0)</f>
        <v>8005</v>
      </c>
      <c r="H81" s="1431"/>
      <c r="I81" s="1431">
        <f t="shared" ref="I81" si="65">(M81+Q81)/2</f>
        <v>0</v>
      </c>
      <c r="J81" s="1431">
        <f t="shared" ref="J81" si="66">(N81+R81)/2</f>
        <v>569.21500000000003</v>
      </c>
      <c r="K81" s="1431">
        <f t="shared" ref="K81" si="67">(O81+S81)/2</f>
        <v>7435.82</v>
      </c>
      <c r="L81" s="1431"/>
      <c r="M81" s="1430">
        <v>0</v>
      </c>
      <c r="N81" s="1430">
        <v>1138.43</v>
      </c>
      <c r="O81" s="1430">
        <v>14871.64</v>
      </c>
      <c r="P81" s="1431"/>
      <c r="Q81" s="1430">
        <v>0</v>
      </c>
      <c r="R81" s="1430">
        <v>0</v>
      </c>
      <c r="S81" s="1430">
        <v>0</v>
      </c>
    </row>
    <row r="82" spans="1:19" ht="14.25" customHeight="1">
      <c r="A82" s="1432">
        <f t="shared" si="55"/>
        <v>9.0599999999999987</v>
      </c>
      <c r="B82" s="875" t="s">
        <v>996</v>
      </c>
      <c r="C82" s="1079">
        <f t="shared" si="56"/>
        <v>0</v>
      </c>
      <c r="D82" s="1079">
        <f t="shared" si="57"/>
        <v>0</v>
      </c>
      <c r="E82" s="1079"/>
      <c r="F82" s="1079"/>
      <c r="G82" s="1079">
        <f t="shared" si="58"/>
        <v>0</v>
      </c>
      <c r="H82" s="1079"/>
      <c r="I82" s="1079">
        <f t="shared" si="59"/>
        <v>0</v>
      </c>
      <c r="J82" s="1079">
        <f t="shared" si="60"/>
        <v>0</v>
      </c>
      <c r="K82" s="1079">
        <f t="shared" si="61"/>
        <v>0</v>
      </c>
      <c r="L82" s="1079"/>
      <c r="M82" s="875">
        <v>0</v>
      </c>
      <c r="N82" s="875">
        <v>0</v>
      </c>
      <c r="O82" s="875">
        <v>0</v>
      </c>
      <c r="P82" s="1079"/>
      <c r="Q82" s="1430">
        <v>0</v>
      </c>
      <c r="R82" s="1430">
        <v>0</v>
      </c>
      <c r="S82" s="1430">
        <v>0</v>
      </c>
    </row>
    <row r="83" spans="1:19">
      <c r="A83" s="1432">
        <f t="shared" si="55"/>
        <v>9.0699999999999985</v>
      </c>
      <c r="B83" s="875" t="s">
        <v>997</v>
      </c>
      <c r="C83" s="1079">
        <f t="shared" si="56"/>
        <v>944153.7</v>
      </c>
      <c r="D83" s="1079">
        <f t="shared" si="57"/>
        <v>0</v>
      </c>
      <c r="E83" s="1079"/>
      <c r="F83" s="1079"/>
      <c r="G83" s="1079">
        <f t="shared" si="58"/>
        <v>472077</v>
      </c>
      <c r="H83" s="1079"/>
      <c r="I83" s="1079">
        <f t="shared" si="59"/>
        <v>0</v>
      </c>
      <c r="J83" s="1079">
        <f t="shared" si="60"/>
        <v>124336.17</v>
      </c>
      <c r="K83" s="1079">
        <f t="shared" si="61"/>
        <v>347740.68</v>
      </c>
      <c r="L83" s="1079"/>
      <c r="M83" s="875">
        <v>0</v>
      </c>
      <c r="N83" s="875">
        <v>248672.34</v>
      </c>
      <c r="O83" s="875">
        <v>695481.36</v>
      </c>
      <c r="P83" s="1079"/>
      <c r="Q83" s="1430">
        <v>0</v>
      </c>
      <c r="R83" s="1430">
        <v>0</v>
      </c>
      <c r="S83" s="1430">
        <v>0</v>
      </c>
    </row>
    <row r="84" spans="1:19">
      <c r="A84" s="1432">
        <f t="shared" si="55"/>
        <v>9.0799999999999983</v>
      </c>
      <c r="B84" s="875" t="s">
        <v>998</v>
      </c>
      <c r="C84" s="1079">
        <f t="shared" si="53"/>
        <v>38243.310000000005</v>
      </c>
      <c r="D84" s="1079">
        <f t="shared" si="51"/>
        <v>0</v>
      </c>
      <c r="E84" s="1079"/>
      <c r="F84" s="1079"/>
      <c r="G84" s="1079">
        <f t="shared" si="52"/>
        <v>19122</v>
      </c>
      <c r="H84" s="1079"/>
      <c r="I84" s="1079">
        <f t="shared" si="54"/>
        <v>0</v>
      </c>
      <c r="J84" s="1079">
        <f t="shared" si="54"/>
        <v>29171.100000000002</v>
      </c>
      <c r="K84" s="1079">
        <f t="shared" si="54"/>
        <v>-10049.445</v>
      </c>
      <c r="L84" s="1079"/>
      <c r="M84" s="875">
        <v>0</v>
      </c>
      <c r="N84" s="875">
        <v>58342.200000000004</v>
      </c>
      <c r="O84" s="875">
        <v>-20098.89</v>
      </c>
      <c r="P84" s="1079"/>
      <c r="Q84" s="1430">
        <v>0</v>
      </c>
      <c r="R84" s="1430">
        <v>0</v>
      </c>
      <c r="S84" s="1430">
        <v>0</v>
      </c>
    </row>
    <row r="85" spans="1:19">
      <c r="A85" s="1432">
        <f t="shared" si="55"/>
        <v>9.0899999999999981</v>
      </c>
      <c r="B85" s="875" t="s">
        <v>1210</v>
      </c>
      <c r="C85" s="1079">
        <f t="shared" si="53"/>
        <v>17775.66</v>
      </c>
      <c r="D85" s="1079">
        <f t="shared" si="51"/>
        <v>0</v>
      </c>
      <c r="E85" s="1079"/>
      <c r="F85" s="1079"/>
      <c r="G85" s="1079">
        <f>ROUND(SUM(C85:F85)/2,0)</f>
        <v>8888</v>
      </c>
      <c r="H85" s="1079"/>
      <c r="I85" s="1079">
        <f t="shared" si="54"/>
        <v>0</v>
      </c>
      <c r="J85" s="1079">
        <f t="shared" si="54"/>
        <v>8887.83</v>
      </c>
      <c r="K85" s="1079">
        <f t="shared" si="54"/>
        <v>0</v>
      </c>
      <c r="L85" s="1079"/>
      <c r="M85" s="875">
        <v>0</v>
      </c>
      <c r="N85" s="875">
        <v>17775.66</v>
      </c>
      <c r="O85" s="875">
        <v>0</v>
      </c>
      <c r="P85" s="1079"/>
      <c r="Q85" s="1430">
        <v>0</v>
      </c>
      <c r="R85" s="1430">
        <v>0</v>
      </c>
      <c r="S85" s="1430">
        <v>0</v>
      </c>
    </row>
    <row r="86" spans="1:19">
      <c r="A86" s="1432">
        <f t="shared" si="55"/>
        <v>9.0999999999999979</v>
      </c>
      <c r="B86" s="875" t="s">
        <v>999</v>
      </c>
      <c r="C86" s="1079">
        <f t="shared" si="53"/>
        <v>1461923.92</v>
      </c>
      <c r="D86" s="1079">
        <f t="shared" si="51"/>
        <v>0</v>
      </c>
      <c r="E86" s="1079"/>
      <c r="F86" s="1079"/>
      <c r="G86" s="1079">
        <f>ROUND(SUM(C86:F86)/2,0)</f>
        <v>730962</v>
      </c>
      <c r="H86" s="1079"/>
      <c r="I86" s="1079">
        <f t="shared" si="54"/>
        <v>0</v>
      </c>
      <c r="J86" s="1079">
        <f t="shared" si="54"/>
        <v>0</v>
      </c>
      <c r="K86" s="1079">
        <f t="shared" si="54"/>
        <v>730961.96</v>
      </c>
      <c r="L86" s="1079"/>
      <c r="M86" s="875">
        <v>0</v>
      </c>
      <c r="N86" s="875">
        <v>0</v>
      </c>
      <c r="O86" s="875">
        <v>1461923.92</v>
      </c>
      <c r="P86" s="1079"/>
      <c r="Q86" s="1430">
        <v>0</v>
      </c>
      <c r="R86" s="1430">
        <v>0</v>
      </c>
      <c r="S86" s="1430">
        <v>0</v>
      </c>
    </row>
    <row r="87" spans="1:19">
      <c r="A87" s="1432">
        <f t="shared" si="55"/>
        <v>9.1099999999999977</v>
      </c>
      <c r="B87" s="875" t="s">
        <v>1000</v>
      </c>
      <c r="C87" s="1079">
        <f t="shared" si="53"/>
        <v>1242627.94</v>
      </c>
      <c r="D87" s="1079">
        <f t="shared" si="51"/>
        <v>0</v>
      </c>
      <c r="E87" s="1079"/>
      <c r="F87" s="1079"/>
      <c r="G87" s="1079">
        <f t="shared" si="52"/>
        <v>621314</v>
      </c>
      <c r="H87" s="1079"/>
      <c r="I87" s="1079">
        <f t="shared" si="54"/>
        <v>0</v>
      </c>
      <c r="J87" s="1079">
        <f t="shared" si="54"/>
        <v>0</v>
      </c>
      <c r="K87" s="1079">
        <f t="shared" si="54"/>
        <v>621313.97</v>
      </c>
      <c r="L87" s="1079"/>
      <c r="M87" s="875">
        <v>0</v>
      </c>
      <c r="N87" s="875">
        <v>0</v>
      </c>
      <c r="O87" s="875">
        <v>1242627.94</v>
      </c>
      <c r="P87" s="1079"/>
      <c r="Q87" s="1430">
        <v>0</v>
      </c>
      <c r="R87" s="1430">
        <v>0</v>
      </c>
      <c r="S87" s="1430">
        <v>0</v>
      </c>
    </row>
    <row r="88" spans="1:19" s="1428" customFormat="1">
      <c r="A88" s="1432">
        <f t="shared" si="55"/>
        <v>9.1199999999999974</v>
      </c>
      <c r="B88" s="1430" t="s">
        <v>1135</v>
      </c>
      <c r="C88" s="1431">
        <f t="shared" ref="C88:C89" si="68">SUM(M88:O88)</f>
        <v>0.05</v>
      </c>
      <c r="D88" s="1431">
        <f t="shared" ref="D88:D89" si="69">SUM(Q88:S88)</f>
        <v>0</v>
      </c>
      <c r="E88" s="1431"/>
      <c r="F88" s="1431"/>
      <c r="G88" s="1431">
        <f t="shared" ref="G88:G89" si="70">ROUND(SUM(C88:F88)/2,0)</f>
        <v>0</v>
      </c>
      <c r="H88" s="1431"/>
      <c r="I88" s="1431">
        <f t="shared" ref="I88:I89" si="71">(M88+Q88)/2</f>
        <v>0</v>
      </c>
      <c r="J88" s="1431">
        <f t="shared" ref="J88:J89" si="72">(N88+R88)/2</f>
        <v>0</v>
      </c>
      <c r="K88" s="1431">
        <f t="shared" ref="K88:K89" si="73">(O88+S88)/2</f>
        <v>2.5000000000000001E-2</v>
      </c>
      <c r="L88" s="1431"/>
      <c r="M88" s="1430">
        <v>0</v>
      </c>
      <c r="N88" s="1430">
        <v>0</v>
      </c>
      <c r="O88" s="1430">
        <v>0.05</v>
      </c>
      <c r="P88" s="1431"/>
      <c r="Q88" s="1430">
        <v>0</v>
      </c>
      <c r="R88" s="1430">
        <v>0</v>
      </c>
      <c r="S88" s="1430">
        <v>0</v>
      </c>
    </row>
    <row r="89" spans="1:19" s="1428" customFormat="1">
      <c r="A89" s="1432">
        <f t="shared" si="55"/>
        <v>9.1299999999999972</v>
      </c>
      <c r="B89" s="1430" t="s">
        <v>1136</v>
      </c>
      <c r="C89" s="1431">
        <f t="shared" si="68"/>
        <v>0</v>
      </c>
      <c r="D89" s="1431">
        <f t="shared" si="69"/>
        <v>0</v>
      </c>
      <c r="E89" s="1431"/>
      <c r="F89" s="1431"/>
      <c r="G89" s="1431">
        <f t="shared" si="70"/>
        <v>0</v>
      </c>
      <c r="H89" s="1431"/>
      <c r="I89" s="1431">
        <f t="shared" si="71"/>
        <v>0</v>
      </c>
      <c r="J89" s="1431">
        <f t="shared" si="72"/>
        <v>0</v>
      </c>
      <c r="K89" s="1431">
        <f t="shared" si="73"/>
        <v>0</v>
      </c>
      <c r="L89" s="1431"/>
      <c r="M89" s="1430">
        <v>0</v>
      </c>
      <c r="N89" s="1430">
        <v>0</v>
      </c>
      <c r="O89" s="1430">
        <v>0</v>
      </c>
      <c r="P89" s="1431"/>
      <c r="Q89" s="1430">
        <v>0</v>
      </c>
      <c r="R89" s="1430">
        <v>0</v>
      </c>
      <c r="S89" s="1430">
        <v>0</v>
      </c>
    </row>
    <row r="90" spans="1:19">
      <c r="A90" s="1432">
        <f t="shared" si="55"/>
        <v>9.139999999999997</v>
      </c>
      <c r="B90" s="875" t="s">
        <v>1001</v>
      </c>
      <c r="C90" s="1079">
        <f t="shared" si="53"/>
        <v>258095.77</v>
      </c>
      <c r="D90" s="1079">
        <f t="shared" si="51"/>
        <v>0</v>
      </c>
      <c r="E90" s="1079"/>
      <c r="F90" s="1079"/>
      <c r="G90" s="1079">
        <f>ROUND(SUM(C90:F90)/2,0)</f>
        <v>129048</v>
      </c>
      <c r="H90" s="1079"/>
      <c r="I90" s="1079">
        <f t="shared" si="54"/>
        <v>0</v>
      </c>
      <c r="J90" s="1079">
        <f t="shared" si="54"/>
        <v>16886.824999999997</v>
      </c>
      <c r="K90" s="1079">
        <f t="shared" si="54"/>
        <v>112161.06</v>
      </c>
      <c r="L90" s="1079"/>
      <c r="M90" s="875">
        <v>0</v>
      </c>
      <c r="N90" s="875">
        <v>33773.649999999994</v>
      </c>
      <c r="O90" s="875">
        <v>224322.12</v>
      </c>
      <c r="P90" s="1079"/>
      <c r="Q90" s="1430">
        <v>0</v>
      </c>
      <c r="R90" s="1430">
        <v>0</v>
      </c>
      <c r="S90" s="1430">
        <v>0</v>
      </c>
    </row>
    <row r="91" spans="1:19">
      <c r="A91" s="1432">
        <f t="shared" si="55"/>
        <v>9.1499999999999968</v>
      </c>
      <c r="B91" s="875" t="s">
        <v>1002</v>
      </c>
      <c r="C91" s="1079">
        <f t="shared" si="53"/>
        <v>0</v>
      </c>
      <c r="D91" s="1079">
        <f t="shared" si="51"/>
        <v>0</v>
      </c>
      <c r="E91" s="1079"/>
      <c r="F91" s="1079"/>
      <c r="G91" s="1079">
        <f>ROUND(SUM(C91:F91)/2,0)</f>
        <v>0</v>
      </c>
      <c r="H91" s="1079"/>
      <c r="I91" s="1079">
        <f t="shared" si="54"/>
        <v>0</v>
      </c>
      <c r="J91" s="1079">
        <f t="shared" si="54"/>
        <v>0</v>
      </c>
      <c r="K91" s="1079">
        <f t="shared" si="54"/>
        <v>0</v>
      </c>
      <c r="L91" s="1079"/>
      <c r="M91" s="875">
        <v>0</v>
      </c>
      <c r="N91" s="875">
        <v>0</v>
      </c>
      <c r="O91" s="875">
        <v>0</v>
      </c>
      <c r="P91" s="1079"/>
      <c r="Q91" s="1430">
        <v>0</v>
      </c>
      <c r="R91" s="1430">
        <v>0</v>
      </c>
      <c r="S91" s="1430">
        <v>0</v>
      </c>
    </row>
    <row r="92" spans="1:19">
      <c r="A92" s="1432">
        <f t="shared" si="55"/>
        <v>9.1599999999999966</v>
      </c>
      <c r="B92" s="875" t="s">
        <v>1003</v>
      </c>
      <c r="C92" s="1079">
        <f t="shared" si="53"/>
        <v>6411.46</v>
      </c>
      <c r="D92" s="1079">
        <f t="shared" si="51"/>
        <v>0</v>
      </c>
      <c r="E92" s="1079"/>
      <c r="F92" s="1079"/>
      <c r="G92" s="1079">
        <f t="shared" si="52"/>
        <v>3206</v>
      </c>
      <c r="H92" s="1079"/>
      <c r="I92" s="1079">
        <f t="shared" si="54"/>
        <v>0</v>
      </c>
      <c r="J92" s="1079">
        <f t="shared" si="54"/>
        <v>462.12</v>
      </c>
      <c r="K92" s="1079">
        <f t="shared" si="54"/>
        <v>2743.61</v>
      </c>
      <c r="L92" s="1079"/>
      <c r="M92" s="875">
        <v>0</v>
      </c>
      <c r="N92" s="875">
        <v>924.24</v>
      </c>
      <c r="O92" s="875">
        <v>5487.22</v>
      </c>
      <c r="P92" s="1079"/>
      <c r="Q92" s="1430">
        <v>0</v>
      </c>
      <c r="R92" s="1430">
        <v>0</v>
      </c>
      <c r="S92" s="1430">
        <v>0</v>
      </c>
    </row>
    <row r="93" spans="1:19">
      <c r="A93" s="1432">
        <f t="shared" si="55"/>
        <v>9.1699999999999964</v>
      </c>
      <c r="B93" s="875" t="s">
        <v>1004</v>
      </c>
      <c r="C93" s="1079">
        <f t="shared" si="53"/>
        <v>40162.11</v>
      </c>
      <c r="D93" s="1079">
        <f t="shared" si="51"/>
        <v>0</v>
      </c>
      <c r="E93" s="1079"/>
      <c r="F93" s="1079"/>
      <c r="G93" s="1079">
        <f t="shared" si="52"/>
        <v>20081</v>
      </c>
      <c r="H93" s="1079"/>
      <c r="I93" s="1079">
        <f t="shared" si="54"/>
        <v>0</v>
      </c>
      <c r="J93" s="1079">
        <f t="shared" si="54"/>
        <v>0.01</v>
      </c>
      <c r="K93" s="1079">
        <f t="shared" si="54"/>
        <v>20081.045000000002</v>
      </c>
      <c r="L93" s="1079"/>
      <c r="M93" s="875">
        <v>0</v>
      </c>
      <c r="N93" s="875">
        <v>0.02</v>
      </c>
      <c r="O93" s="875">
        <v>40162.090000000004</v>
      </c>
      <c r="P93" s="1079"/>
      <c r="Q93" s="1430">
        <v>0</v>
      </c>
      <c r="R93" s="1430">
        <v>0</v>
      </c>
      <c r="S93" s="1430">
        <v>0</v>
      </c>
    </row>
    <row r="94" spans="1:19" s="1428" customFormat="1">
      <c r="A94" s="1432">
        <f t="shared" si="55"/>
        <v>9.1799999999999962</v>
      </c>
      <c r="B94" s="1430" t="s">
        <v>1198</v>
      </c>
      <c r="C94" s="1431">
        <f t="shared" ref="C94" si="74">SUM(M94:O94)</f>
        <v>63062</v>
      </c>
      <c r="D94" s="1431">
        <f t="shared" si="51"/>
        <v>0</v>
      </c>
      <c r="E94" s="1431"/>
      <c r="F94" s="1431"/>
      <c r="G94" s="1431">
        <f t="shared" si="52"/>
        <v>31531</v>
      </c>
      <c r="H94" s="1431"/>
      <c r="I94" s="1431">
        <f t="shared" ref="I94" si="75">(M94+Q94)/2</f>
        <v>0</v>
      </c>
      <c r="J94" s="1431">
        <f t="shared" ref="J94" si="76">(N94+R94)/2</f>
        <v>0</v>
      </c>
      <c r="K94" s="1431">
        <f t="shared" ref="K94" si="77">(O94+S94)/2</f>
        <v>31531</v>
      </c>
      <c r="L94" s="1431"/>
      <c r="M94" s="1430">
        <v>0</v>
      </c>
      <c r="N94" s="1430">
        <v>0</v>
      </c>
      <c r="O94" s="1430">
        <v>63062</v>
      </c>
      <c r="P94" s="1431"/>
      <c r="Q94" s="1430">
        <v>0</v>
      </c>
      <c r="R94" s="1430">
        <v>0</v>
      </c>
      <c r="S94" s="1430">
        <v>0</v>
      </c>
    </row>
    <row r="95" spans="1:19">
      <c r="A95" s="1432">
        <f t="shared" si="55"/>
        <v>9.1899999999999959</v>
      </c>
      <c r="B95" s="875" t="s">
        <v>1199</v>
      </c>
      <c r="C95" s="1079">
        <f t="shared" ref="C95" si="78">SUM(M95:O95)</f>
        <v>0</v>
      </c>
      <c r="D95" s="1079">
        <f t="shared" ref="D95" si="79">SUM(Q95:S95)</f>
        <v>0</v>
      </c>
      <c r="E95" s="1079"/>
      <c r="F95" s="1079"/>
      <c r="G95" s="1079">
        <f t="shared" ref="G95" si="80">ROUND(SUM(C95:F95)/2,0)</f>
        <v>0</v>
      </c>
      <c r="H95" s="1079"/>
      <c r="I95" s="1079">
        <f t="shared" si="54"/>
        <v>0</v>
      </c>
      <c r="J95" s="1079">
        <f t="shared" si="54"/>
        <v>0</v>
      </c>
      <c r="K95" s="1079">
        <f t="shared" si="54"/>
        <v>0</v>
      </c>
      <c r="L95" s="1079"/>
      <c r="M95" s="875">
        <v>0</v>
      </c>
      <c r="N95" s="875">
        <v>0</v>
      </c>
      <c r="O95" s="875">
        <v>0</v>
      </c>
      <c r="P95" s="1079"/>
      <c r="Q95" s="1430">
        <v>0</v>
      </c>
      <c r="R95" s="1430">
        <v>0</v>
      </c>
      <c r="S95" s="1430">
        <v>0</v>
      </c>
    </row>
    <row r="96" spans="1:19">
      <c r="A96" s="1432">
        <f t="shared" si="55"/>
        <v>9.1999999999999957</v>
      </c>
      <c r="B96" s="875" t="s">
        <v>990</v>
      </c>
      <c r="C96" s="1079">
        <f t="shared" si="53"/>
        <v>-358544.73000000004</v>
      </c>
      <c r="D96" s="1079">
        <f t="shared" si="51"/>
        <v>0</v>
      </c>
      <c r="E96" s="1079"/>
      <c r="F96" s="1079"/>
      <c r="G96" s="1079">
        <f t="shared" si="52"/>
        <v>-179272</v>
      </c>
      <c r="H96" s="1079"/>
      <c r="I96" s="1079">
        <f t="shared" si="54"/>
        <v>0</v>
      </c>
      <c r="J96" s="1079">
        <f t="shared" si="54"/>
        <v>-35311.54</v>
      </c>
      <c r="K96" s="1079">
        <f t="shared" si="54"/>
        <v>-143960.82500000001</v>
      </c>
      <c r="L96" s="1079"/>
      <c r="M96" s="875">
        <v>0</v>
      </c>
      <c r="N96" s="875">
        <v>-70623.08</v>
      </c>
      <c r="O96" s="875">
        <v>-287921.65000000002</v>
      </c>
      <c r="P96" s="1079"/>
      <c r="Q96" s="1430">
        <v>0</v>
      </c>
      <c r="R96" s="1430">
        <v>0</v>
      </c>
      <c r="S96" s="1430">
        <v>0</v>
      </c>
    </row>
    <row r="97" spans="1:19" s="1428" customFormat="1">
      <c r="A97" s="1432">
        <f t="shared" si="55"/>
        <v>9.2099999999999955</v>
      </c>
      <c r="B97" s="1430" t="s">
        <v>1260</v>
      </c>
      <c r="C97" s="1431">
        <f t="shared" ref="C97:C111" si="81">SUM(M97:O97)</f>
        <v>0</v>
      </c>
      <c r="D97" s="1431">
        <f t="shared" ref="D97:D111" si="82">SUM(Q97:S97)</f>
        <v>63062</v>
      </c>
      <c r="E97" s="1431"/>
      <c r="F97" s="1431"/>
      <c r="G97" s="1431">
        <f t="shared" ref="G97:G111" si="83">ROUND(SUM(C97:F97)/2,0)</f>
        <v>31531</v>
      </c>
      <c r="H97" s="1431"/>
      <c r="I97" s="1431">
        <f t="shared" ref="I97:I111" si="84">(M97+Q97)/2</f>
        <v>0</v>
      </c>
      <c r="J97" s="1431">
        <f t="shared" ref="J97:J111" si="85">(N97+R97)/2</f>
        <v>0</v>
      </c>
      <c r="K97" s="1431">
        <f t="shared" ref="K97:K111" si="86">(O97+S97)/2</f>
        <v>31531</v>
      </c>
      <c r="L97" s="1431"/>
      <c r="M97" s="1430">
        <v>0</v>
      </c>
      <c r="N97" s="1430">
        <v>0</v>
      </c>
      <c r="O97" s="1430">
        <v>0</v>
      </c>
      <c r="P97" s="1431"/>
      <c r="Q97" s="1430">
        <v>0</v>
      </c>
      <c r="R97" s="1430">
        <v>0</v>
      </c>
      <c r="S97" s="1430">
        <v>63062</v>
      </c>
    </row>
    <row r="98" spans="1:19" s="1428" customFormat="1">
      <c r="A98" s="1432">
        <f t="shared" si="55"/>
        <v>9.2199999999999953</v>
      </c>
      <c r="B98" s="1430" t="s">
        <v>1261</v>
      </c>
      <c r="C98" s="1431">
        <f t="shared" si="81"/>
        <v>0</v>
      </c>
      <c r="D98" s="1431">
        <f t="shared" si="82"/>
        <v>-340888.73000000004</v>
      </c>
      <c r="E98" s="1431"/>
      <c r="F98" s="1431"/>
      <c r="G98" s="1431">
        <f t="shared" si="83"/>
        <v>-170444</v>
      </c>
      <c r="H98" s="1431"/>
      <c r="I98" s="1431">
        <f t="shared" si="84"/>
        <v>0</v>
      </c>
      <c r="J98" s="1431">
        <f t="shared" si="85"/>
        <v>-26483.54</v>
      </c>
      <c r="K98" s="1431">
        <f t="shared" si="86"/>
        <v>-143960.82500000001</v>
      </c>
      <c r="L98" s="1431"/>
      <c r="M98" s="1430">
        <v>0</v>
      </c>
      <c r="N98" s="1430">
        <v>0</v>
      </c>
      <c r="O98" s="1430">
        <v>0</v>
      </c>
      <c r="P98" s="1431"/>
      <c r="Q98" s="1430">
        <v>0</v>
      </c>
      <c r="R98" s="1430">
        <v>-52967.08</v>
      </c>
      <c r="S98" s="1430">
        <v>-287921.65000000002</v>
      </c>
    </row>
    <row r="99" spans="1:19" s="1428" customFormat="1">
      <c r="A99" s="1432">
        <f t="shared" si="55"/>
        <v>9.2299999999999951</v>
      </c>
      <c r="B99" s="1430" t="s">
        <v>1262</v>
      </c>
      <c r="C99" s="1431">
        <f t="shared" si="81"/>
        <v>0</v>
      </c>
      <c r="D99" s="1431">
        <f t="shared" si="82"/>
        <v>89725.58</v>
      </c>
      <c r="E99" s="1431"/>
      <c r="F99" s="1431"/>
      <c r="G99" s="1431">
        <f t="shared" si="83"/>
        <v>44863</v>
      </c>
      <c r="H99" s="1431"/>
      <c r="I99" s="1431">
        <f t="shared" si="84"/>
        <v>0</v>
      </c>
      <c r="J99" s="1431">
        <f t="shared" si="85"/>
        <v>16987.295000000002</v>
      </c>
      <c r="K99" s="1431">
        <f t="shared" si="86"/>
        <v>27875.494999999999</v>
      </c>
      <c r="L99" s="1431"/>
      <c r="M99" s="1430">
        <v>0</v>
      </c>
      <c r="N99" s="1430">
        <v>0</v>
      </c>
      <c r="O99" s="1430">
        <v>0</v>
      </c>
      <c r="P99" s="1431"/>
      <c r="Q99" s="1430">
        <v>0</v>
      </c>
      <c r="R99" s="1430">
        <v>33974.590000000004</v>
      </c>
      <c r="S99" s="1430">
        <v>55750.99</v>
      </c>
    </row>
    <row r="100" spans="1:19" s="1428" customFormat="1">
      <c r="A100" s="1432">
        <f t="shared" si="55"/>
        <v>9.2399999999999949</v>
      </c>
      <c r="B100" s="1430" t="s">
        <v>1263</v>
      </c>
      <c r="C100" s="1431">
        <f t="shared" si="81"/>
        <v>0</v>
      </c>
      <c r="D100" s="1431">
        <f t="shared" si="82"/>
        <v>11881.480000000001</v>
      </c>
      <c r="E100" s="1431"/>
      <c r="F100" s="1431"/>
      <c r="G100" s="1431">
        <f t="shared" si="83"/>
        <v>5941</v>
      </c>
      <c r="H100" s="1431"/>
      <c r="I100" s="1431">
        <f t="shared" si="84"/>
        <v>0</v>
      </c>
      <c r="J100" s="1431">
        <f t="shared" si="85"/>
        <v>569.21500000000003</v>
      </c>
      <c r="K100" s="1431">
        <f t="shared" si="86"/>
        <v>5371.5250000000005</v>
      </c>
      <c r="L100" s="1431"/>
      <c r="M100" s="1430">
        <v>0</v>
      </c>
      <c r="N100" s="1430">
        <v>0</v>
      </c>
      <c r="O100" s="1430">
        <v>0</v>
      </c>
      <c r="P100" s="1431"/>
      <c r="Q100" s="1430">
        <v>0</v>
      </c>
      <c r="R100" s="1430">
        <v>1138.43</v>
      </c>
      <c r="S100" s="1430">
        <v>10743.050000000001</v>
      </c>
    </row>
    <row r="101" spans="1:19" s="1428" customFormat="1">
      <c r="A101" s="1432">
        <f t="shared" si="55"/>
        <v>9.2499999999999947</v>
      </c>
      <c r="B101" s="1430" t="s">
        <v>1264</v>
      </c>
      <c r="C101" s="1431">
        <f t="shared" si="81"/>
        <v>0</v>
      </c>
      <c r="D101" s="1431">
        <f t="shared" si="82"/>
        <v>911389.71</v>
      </c>
      <c r="E101" s="1431"/>
      <c r="F101" s="1431"/>
      <c r="G101" s="1431">
        <f t="shared" si="83"/>
        <v>455695</v>
      </c>
      <c r="H101" s="1431"/>
      <c r="I101" s="1431">
        <f t="shared" si="84"/>
        <v>0</v>
      </c>
      <c r="J101" s="1431">
        <f t="shared" si="85"/>
        <v>126977.55</v>
      </c>
      <c r="K101" s="1431">
        <f t="shared" si="86"/>
        <v>328717.30499999999</v>
      </c>
      <c r="L101" s="1431"/>
      <c r="M101" s="1430">
        <v>0</v>
      </c>
      <c r="N101" s="1430">
        <v>0</v>
      </c>
      <c r="O101" s="1430">
        <v>0</v>
      </c>
      <c r="P101" s="1431"/>
      <c r="Q101" s="1430">
        <v>0</v>
      </c>
      <c r="R101" s="1430">
        <v>253955.1</v>
      </c>
      <c r="S101" s="1430">
        <v>657434.61</v>
      </c>
    </row>
    <row r="102" spans="1:19" s="1428" customFormat="1">
      <c r="A102" s="1432">
        <f t="shared" si="55"/>
        <v>9.2599999999999945</v>
      </c>
      <c r="B102" s="1430" t="s">
        <v>1265</v>
      </c>
      <c r="C102" s="1431">
        <f t="shared" si="81"/>
        <v>0</v>
      </c>
      <c r="D102" s="1431">
        <f t="shared" si="82"/>
        <v>-167420.61000000002</v>
      </c>
      <c r="E102" s="1431"/>
      <c r="F102" s="1431"/>
      <c r="G102" s="1431">
        <f t="shared" si="83"/>
        <v>-83710</v>
      </c>
      <c r="H102" s="1431"/>
      <c r="I102" s="1431">
        <f t="shared" si="84"/>
        <v>0</v>
      </c>
      <c r="J102" s="1431">
        <f t="shared" si="85"/>
        <v>21760.2</v>
      </c>
      <c r="K102" s="1431">
        <f t="shared" si="86"/>
        <v>-105470.505</v>
      </c>
      <c r="L102" s="1431"/>
      <c r="M102" s="1430">
        <v>0</v>
      </c>
      <c r="N102" s="1430">
        <v>0</v>
      </c>
      <c r="O102" s="1430">
        <v>0</v>
      </c>
      <c r="P102" s="1431"/>
      <c r="Q102" s="1430">
        <v>0</v>
      </c>
      <c r="R102" s="1430">
        <v>43520.4</v>
      </c>
      <c r="S102" s="1430">
        <v>-210941.01</v>
      </c>
    </row>
    <row r="103" spans="1:19" s="1428" customFormat="1">
      <c r="A103" s="1432">
        <f t="shared" si="55"/>
        <v>9.2699999999999942</v>
      </c>
      <c r="B103" s="1430" t="s">
        <v>1266</v>
      </c>
      <c r="C103" s="1431">
        <f t="shared" si="81"/>
        <v>0</v>
      </c>
      <c r="D103" s="1431">
        <f t="shared" si="82"/>
        <v>2753.31</v>
      </c>
      <c r="E103" s="1431"/>
      <c r="F103" s="1431"/>
      <c r="G103" s="1431">
        <f t="shared" si="83"/>
        <v>1377</v>
      </c>
      <c r="H103" s="1431"/>
      <c r="I103" s="1431">
        <f t="shared" si="84"/>
        <v>0</v>
      </c>
      <c r="J103" s="1431">
        <f t="shared" si="85"/>
        <v>1376.655</v>
      </c>
      <c r="K103" s="1431">
        <f t="shared" si="86"/>
        <v>0</v>
      </c>
      <c r="L103" s="1431"/>
      <c r="M103" s="1430">
        <v>0</v>
      </c>
      <c r="N103" s="1430">
        <v>0</v>
      </c>
      <c r="O103" s="1430">
        <v>0</v>
      </c>
      <c r="P103" s="1431"/>
      <c r="Q103" s="1430">
        <v>0</v>
      </c>
      <c r="R103" s="1430">
        <v>2753.31</v>
      </c>
      <c r="S103" s="1430"/>
    </row>
    <row r="104" spans="1:19" s="1428" customFormat="1">
      <c r="A104" s="1432">
        <f t="shared" si="55"/>
        <v>9.279999999999994</v>
      </c>
      <c r="B104" s="1430" t="s">
        <v>1267</v>
      </c>
      <c r="C104" s="1431">
        <f t="shared" si="81"/>
        <v>0</v>
      </c>
      <c r="D104" s="1431">
        <f t="shared" si="82"/>
        <v>-0.42</v>
      </c>
      <c r="E104" s="1431"/>
      <c r="F104" s="1431"/>
      <c r="G104" s="1431">
        <f t="shared" si="83"/>
        <v>0</v>
      </c>
      <c r="H104" s="1431"/>
      <c r="I104" s="1431">
        <f t="shared" si="84"/>
        <v>0</v>
      </c>
      <c r="J104" s="1431">
        <f t="shared" si="85"/>
        <v>-0.21</v>
      </c>
      <c r="K104" s="1431">
        <f t="shared" si="86"/>
        <v>0</v>
      </c>
      <c r="L104" s="1431"/>
      <c r="M104" s="1430">
        <v>0</v>
      </c>
      <c r="N104" s="1430">
        <v>0</v>
      </c>
      <c r="O104" s="1430">
        <v>0</v>
      </c>
      <c r="P104" s="1431"/>
      <c r="Q104" s="1430">
        <v>0</v>
      </c>
      <c r="R104" s="1430">
        <v>-0.42</v>
      </c>
      <c r="S104" s="1430">
        <v>0</v>
      </c>
    </row>
    <row r="105" spans="1:19" s="1428" customFormat="1">
      <c r="A105" s="1432">
        <f t="shared" si="55"/>
        <v>9.2899999999999938</v>
      </c>
      <c r="B105" s="1430" t="s">
        <v>1268</v>
      </c>
      <c r="C105" s="1431">
        <f t="shared" si="81"/>
        <v>0</v>
      </c>
      <c r="D105" s="1431">
        <f t="shared" si="82"/>
        <v>38639.82</v>
      </c>
      <c r="E105" s="1431"/>
      <c r="F105" s="1431"/>
      <c r="G105" s="1431">
        <f t="shared" si="83"/>
        <v>19320</v>
      </c>
      <c r="H105" s="1431"/>
      <c r="I105" s="1431">
        <f t="shared" si="84"/>
        <v>0</v>
      </c>
      <c r="J105" s="1431">
        <f t="shared" si="85"/>
        <v>0.01</v>
      </c>
      <c r="K105" s="1431">
        <f t="shared" si="86"/>
        <v>19319.900000000001</v>
      </c>
      <c r="L105" s="1431"/>
      <c r="M105" s="1430">
        <v>0</v>
      </c>
      <c r="N105" s="1430">
        <v>0</v>
      </c>
      <c r="O105" s="1430">
        <v>0</v>
      </c>
      <c r="P105" s="1431"/>
      <c r="Q105" s="1430">
        <v>0</v>
      </c>
      <c r="R105" s="1430">
        <v>0.02</v>
      </c>
      <c r="S105" s="1430">
        <v>38639.800000000003</v>
      </c>
    </row>
    <row r="106" spans="1:19" s="1428" customFormat="1">
      <c r="A106" s="1432">
        <f t="shared" si="55"/>
        <v>9.2999999999999936</v>
      </c>
      <c r="B106" s="1430" t="s">
        <v>1269</v>
      </c>
      <c r="C106" s="1431">
        <f t="shared" si="81"/>
        <v>0</v>
      </c>
      <c r="D106" s="1431">
        <f t="shared" si="82"/>
        <v>564124.97</v>
      </c>
      <c r="E106" s="1431"/>
      <c r="F106" s="1431"/>
      <c r="G106" s="1431">
        <f t="shared" si="83"/>
        <v>282062</v>
      </c>
      <c r="H106" s="1431"/>
      <c r="I106" s="1431">
        <f t="shared" si="84"/>
        <v>0</v>
      </c>
      <c r="J106" s="1431">
        <f t="shared" si="85"/>
        <v>425170.17499999999</v>
      </c>
      <c r="K106" s="1431">
        <f t="shared" si="86"/>
        <v>-143107.69</v>
      </c>
      <c r="L106" s="1431"/>
      <c r="M106" s="1430">
        <v>0</v>
      </c>
      <c r="N106" s="1430">
        <v>0</v>
      </c>
      <c r="O106" s="1430">
        <v>0</v>
      </c>
      <c r="P106" s="1431"/>
      <c r="Q106" s="1430">
        <v>0</v>
      </c>
      <c r="R106" s="1430">
        <v>850340.35</v>
      </c>
      <c r="S106" s="1430">
        <v>-286215.38</v>
      </c>
    </row>
    <row r="107" spans="1:19" s="1428" customFormat="1">
      <c r="A107" s="1432">
        <f t="shared" si="55"/>
        <v>9.3099999999999934</v>
      </c>
      <c r="B107" s="1430" t="s">
        <v>1270</v>
      </c>
      <c r="C107" s="1431">
        <f t="shared" si="81"/>
        <v>0</v>
      </c>
      <c r="D107" s="1431">
        <f t="shared" si="82"/>
        <v>0.88</v>
      </c>
      <c r="E107" s="1431"/>
      <c r="F107" s="1431"/>
      <c r="G107" s="1431">
        <f t="shared" si="83"/>
        <v>0</v>
      </c>
      <c r="H107" s="1431"/>
      <c r="I107" s="1431">
        <f t="shared" si="84"/>
        <v>0</v>
      </c>
      <c r="J107" s="1431">
        <f t="shared" si="85"/>
        <v>0</v>
      </c>
      <c r="K107" s="1431">
        <f t="shared" si="86"/>
        <v>0.44</v>
      </c>
      <c r="L107" s="1431"/>
      <c r="M107" s="1430">
        <v>0</v>
      </c>
      <c r="N107" s="1430">
        <v>0</v>
      </c>
      <c r="O107" s="1430">
        <v>0</v>
      </c>
      <c r="P107" s="1431"/>
      <c r="Q107" s="1430">
        <v>0</v>
      </c>
      <c r="R107" s="1430"/>
      <c r="S107" s="1430">
        <v>0.88</v>
      </c>
    </row>
    <row r="108" spans="1:19" s="1428" customFormat="1">
      <c r="A108" s="1432">
        <f t="shared" si="55"/>
        <v>9.3199999999999932</v>
      </c>
      <c r="B108" s="1430" t="s">
        <v>1271</v>
      </c>
      <c r="C108" s="1431">
        <f t="shared" si="81"/>
        <v>0</v>
      </c>
      <c r="D108" s="1431">
        <f t="shared" si="82"/>
        <v>-911389.71</v>
      </c>
      <c r="E108" s="1431"/>
      <c r="F108" s="1431"/>
      <c r="G108" s="1431">
        <f t="shared" si="83"/>
        <v>-455695</v>
      </c>
      <c r="H108" s="1431"/>
      <c r="I108" s="1431">
        <f t="shared" si="84"/>
        <v>0</v>
      </c>
      <c r="J108" s="1431">
        <f t="shared" si="85"/>
        <v>-126977.55</v>
      </c>
      <c r="K108" s="1431">
        <f t="shared" si="86"/>
        <v>-328717.30499999999</v>
      </c>
      <c r="L108" s="1431"/>
      <c r="M108" s="1430">
        <v>0</v>
      </c>
      <c r="N108" s="1430">
        <v>0</v>
      </c>
      <c r="O108" s="1430">
        <v>0</v>
      </c>
      <c r="P108" s="1431"/>
      <c r="Q108" s="1430">
        <v>0</v>
      </c>
      <c r="R108" s="1430">
        <v>-253955.1</v>
      </c>
      <c r="S108" s="1430">
        <v>-657434.61</v>
      </c>
    </row>
    <row r="109" spans="1:19" s="1428" customFormat="1">
      <c r="A109" s="1432">
        <f t="shared" si="55"/>
        <v>9.329999999999993</v>
      </c>
      <c r="B109" s="1430" t="s">
        <v>1272</v>
      </c>
      <c r="C109" s="1431">
        <f t="shared" si="81"/>
        <v>0</v>
      </c>
      <c r="D109" s="1431">
        <f t="shared" si="82"/>
        <v>0</v>
      </c>
      <c r="E109" s="1431"/>
      <c r="F109" s="1431"/>
      <c r="G109" s="1431">
        <f t="shared" si="83"/>
        <v>0</v>
      </c>
      <c r="H109" s="1431"/>
      <c r="I109" s="1431">
        <f t="shared" si="84"/>
        <v>0</v>
      </c>
      <c r="J109" s="1431">
        <f t="shared" si="85"/>
        <v>0</v>
      </c>
      <c r="K109" s="1431">
        <f t="shared" si="86"/>
        <v>0</v>
      </c>
      <c r="L109" s="1431"/>
      <c r="M109" s="1430">
        <v>0</v>
      </c>
      <c r="N109" s="1430">
        <v>0</v>
      </c>
      <c r="O109" s="1430">
        <v>0</v>
      </c>
      <c r="P109" s="1431"/>
      <c r="Q109" s="1430">
        <v>0</v>
      </c>
      <c r="R109" s="1430">
        <v>0</v>
      </c>
      <c r="S109" s="1430">
        <v>0</v>
      </c>
    </row>
    <row r="110" spans="1:19" s="1428" customFormat="1">
      <c r="A110" s="1432">
        <f t="shared" si="55"/>
        <v>9.3399999999999928</v>
      </c>
      <c r="B110" s="1430" t="s">
        <v>1273</v>
      </c>
      <c r="C110" s="1431">
        <f t="shared" si="81"/>
        <v>0</v>
      </c>
      <c r="D110" s="1431">
        <f t="shared" si="82"/>
        <v>2731287.2800000003</v>
      </c>
      <c r="E110" s="1431"/>
      <c r="F110" s="1431"/>
      <c r="G110" s="1431">
        <f t="shared" si="83"/>
        <v>1365644</v>
      </c>
      <c r="H110" s="1431"/>
      <c r="I110" s="1431">
        <f t="shared" si="84"/>
        <v>0</v>
      </c>
      <c r="J110" s="1431">
        <f t="shared" si="85"/>
        <v>0</v>
      </c>
      <c r="K110" s="1431">
        <f t="shared" si="86"/>
        <v>1365643.6400000001</v>
      </c>
      <c r="L110" s="1431"/>
      <c r="M110" s="1430">
        <v>0</v>
      </c>
      <c r="N110" s="1430">
        <v>0</v>
      </c>
      <c r="O110" s="1430">
        <v>0</v>
      </c>
      <c r="P110" s="1431"/>
      <c r="Q110" s="1430">
        <v>0</v>
      </c>
      <c r="R110" s="1430">
        <v>0</v>
      </c>
      <c r="S110" s="1430">
        <v>2731287.2800000003</v>
      </c>
    </row>
    <row r="111" spans="1:19" s="1428" customFormat="1">
      <c r="A111" s="1432">
        <f t="shared" si="55"/>
        <v>9.3499999999999925</v>
      </c>
      <c r="B111" s="1430" t="s">
        <v>1274</v>
      </c>
      <c r="C111" s="1431">
        <f t="shared" si="81"/>
        <v>0</v>
      </c>
      <c r="D111" s="1431">
        <f t="shared" si="82"/>
        <v>0.05</v>
      </c>
      <c r="E111" s="1431"/>
      <c r="F111" s="1431"/>
      <c r="G111" s="1431">
        <f t="shared" si="83"/>
        <v>0</v>
      </c>
      <c r="H111" s="1431"/>
      <c r="I111" s="1431">
        <f t="shared" si="84"/>
        <v>0</v>
      </c>
      <c r="J111" s="1431">
        <f t="shared" si="85"/>
        <v>0</v>
      </c>
      <c r="K111" s="1431">
        <f t="shared" si="86"/>
        <v>2.5000000000000001E-2</v>
      </c>
      <c r="L111" s="1431"/>
      <c r="M111" s="1430">
        <v>0</v>
      </c>
      <c r="N111" s="1430">
        <v>0</v>
      </c>
      <c r="O111" s="1430">
        <v>0</v>
      </c>
      <c r="P111" s="1431"/>
      <c r="Q111" s="1430">
        <v>0</v>
      </c>
      <c r="R111" s="1430">
        <v>0</v>
      </c>
      <c r="S111" s="1430">
        <v>0.05</v>
      </c>
    </row>
    <row r="112" spans="1:19">
      <c r="A112" s="1432">
        <f t="shared" si="55"/>
        <v>9.3599999999999923</v>
      </c>
      <c r="B112" s="1429" t="s">
        <v>1131</v>
      </c>
      <c r="C112" s="1434">
        <f t="shared" ref="C112" si="87">SUM(M112:O112)</f>
        <v>0</v>
      </c>
      <c r="D112" s="1434">
        <f>SUM(Q112:S112)</f>
        <v>0</v>
      </c>
      <c r="E112" s="1434"/>
      <c r="F112" s="1434"/>
      <c r="G112" s="1431">
        <f t="shared" ref="G112:G118" si="88">ROUND(SUM(C112:F112)/2,0)</f>
        <v>0</v>
      </c>
      <c r="H112" s="1431"/>
      <c r="I112" s="1431">
        <f t="shared" si="54"/>
        <v>0</v>
      </c>
      <c r="J112" s="1431">
        <f t="shared" si="54"/>
        <v>0</v>
      </c>
      <c r="K112" s="1431">
        <f t="shared" si="54"/>
        <v>0</v>
      </c>
      <c r="L112" s="1079"/>
      <c r="M112" s="1430">
        <v>0</v>
      </c>
      <c r="N112" s="1430">
        <v>0</v>
      </c>
      <c r="O112" s="1430">
        <v>0</v>
      </c>
      <c r="P112" s="1079"/>
      <c r="Q112" s="1430">
        <v>0</v>
      </c>
      <c r="R112" s="1430">
        <v>0</v>
      </c>
      <c r="S112" s="1430">
        <v>0</v>
      </c>
    </row>
    <row r="113" spans="1:19">
      <c r="A113" s="1432">
        <f t="shared" si="55"/>
        <v>9.3699999999999921</v>
      </c>
      <c r="B113" s="1429" t="s">
        <v>1132</v>
      </c>
      <c r="C113" s="1434">
        <f>-E113</f>
        <v>0</v>
      </c>
      <c r="D113" s="1434">
        <f>-F113</f>
        <v>0</v>
      </c>
      <c r="E113" s="1434">
        <f>C112</f>
        <v>0</v>
      </c>
      <c r="F113" s="1434">
        <f>D112</f>
        <v>0</v>
      </c>
      <c r="G113" s="1431">
        <f t="shared" si="88"/>
        <v>0</v>
      </c>
      <c r="H113" s="1431"/>
      <c r="I113" s="1431"/>
      <c r="J113" s="1431"/>
      <c r="K113" s="1431"/>
      <c r="L113" s="1079"/>
      <c r="M113" s="1433"/>
      <c r="N113" s="1433"/>
      <c r="O113" s="1433"/>
      <c r="P113" s="1431"/>
      <c r="Q113" s="1433"/>
      <c r="R113" s="1433"/>
      <c r="S113" s="1433"/>
    </row>
    <row r="114" spans="1:19">
      <c r="A114" s="1432">
        <f t="shared" si="55"/>
        <v>9.3799999999999919</v>
      </c>
      <c r="B114" s="875" t="s">
        <v>968</v>
      </c>
      <c r="C114" s="875">
        <f>-E114</f>
        <v>0</v>
      </c>
      <c r="D114" s="875">
        <f>-F114</f>
        <v>0</v>
      </c>
      <c r="E114" s="1431">
        <v>0</v>
      </c>
      <c r="F114" s="1079">
        <v>0</v>
      </c>
      <c r="G114" s="1079">
        <f t="shared" si="88"/>
        <v>0</v>
      </c>
      <c r="H114" s="1079"/>
      <c r="I114" s="1079"/>
      <c r="J114" s="1079"/>
      <c r="K114" s="1079"/>
      <c r="L114" s="1079"/>
      <c r="M114" s="1431"/>
      <c r="N114" s="1431"/>
      <c r="O114" s="1431"/>
      <c r="P114" s="1431"/>
      <c r="Q114" s="1431"/>
      <c r="R114" s="1431"/>
      <c r="S114" s="1431"/>
    </row>
    <row r="115" spans="1:19">
      <c r="A115" s="1432">
        <f t="shared" si="55"/>
        <v>9.3899999999999917</v>
      </c>
      <c r="B115" s="875" t="s">
        <v>1005</v>
      </c>
      <c r="C115" s="875">
        <f t="shared" ref="C115:C118" si="89">-E115</f>
        <v>2145345.909</v>
      </c>
      <c r="D115" s="875">
        <f t="shared" ref="D115:D118" si="90">-F115</f>
        <v>2477889.1290000002</v>
      </c>
      <c r="E115" s="1431">
        <v>-2145345.909</v>
      </c>
      <c r="F115" s="1079">
        <v>-2477889.1290000002</v>
      </c>
      <c r="G115" s="1431">
        <f t="shared" si="88"/>
        <v>0</v>
      </c>
      <c r="H115" s="1079"/>
      <c r="I115" s="1079"/>
      <c r="J115" s="1079"/>
      <c r="K115" s="1079"/>
      <c r="L115" s="1079"/>
      <c r="M115" s="1079"/>
      <c r="N115" s="1079"/>
      <c r="O115" s="1079"/>
      <c r="P115" s="1079"/>
      <c r="Q115" s="1079"/>
      <c r="R115" s="1079"/>
      <c r="S115" s="1079"/>
    </row>
    <row r="116" spans="1:19">
      <c r="A116" s="1432">
        <f t="shared" si="55"/>
        <v>9.3999999999999915</v>
      </c>
      <c r="B116" s="875" t="s">
        <v>1006</v>
      </c>
      <c r="C116" s="875">
        <f t="shared" si="89"/>
        <v>358544.24</v>
      </c>
      <c r="D116" s="875">
        <f t="shared" si="90"/>
        <v>340888.24</v>
      </c>
      <c r="E116" s="1431">
        <v>-358544.24</v>
      </c>
      <c r="F116" s="1079">
        <v>-340888.24</v>
      </c>
      <c r="G116" s="1431">
        <f t="shared" si="88"/>
        <v>0</v>
      </c>
      <c r="H116" s="1079"/>
      <c r="I116" s="1079"/>
      <c r="J116" s="1079"/>
      <c r="K116" s="1079"/>
      <c r="L116" s="1079"/>
      <c r="M116" s="1079"/>
      <c r="N116" s="1079"/>
      <c r="O116" s="1079"/>
      <c r="P116" s="1079"/>
      <c r="Q116" s="1079"/>
      <c r="R116" s="1079"/>
      <c r="S116" s="1079"/>
    </row>
    <row r="117" spans="1:19">
      <c r="A117" s="1432">
        <f t="shared" si="55"/>
        <v>9.4099999999999913</v>
      </c>
      <c r="B117" s="875" t="s">
        <v>1129</v>
      </c>
      <c r="C117" s="875">
        <f t="shared" ref="C117" si="91">-E117</f>
        <v>-63062</v>
      </c>
      <c r="D117" s="875">
        <f t="shared" ref="D117" si="92">-F117</f>
        <v>-63062</v>
      </c>
      <c r="E117" s="1431">
        <v>63062</v>
      </c>
      <c r="F117" s="1079">
        <v>63062</v>
      </c>
      <c r="G117" s="1431">
        <f t="shared" si="88"/>
        <v>0</v>
      </c>
      <c r="H117" s="1079"/>
      <c r="I117" s="1079"/>
      <c r="J117" s="1079"/>
      <c r="K117" s="1079"/>
      <c r="L117" s="1079"/>
      <c r="M117" s="1079"/>
      <c r="N117" s="1079"/>
      <c r="O117" s="1079"/>
      <c r="P117" s="1079"/>
      <c r="Q117" s="1079"/>
      <c r="R117" s="1079"/>
      <c r="S117" s="1079"/>
    </row>
    <row r="118" spans="1:19">
      <c r="A118" s="1432">
        <f t="shared" si="55"/>
        <v>9.419999999999991</v>
      </c>
      <c r="B118" s="875" t="s">
        <v>1007</v>
      </c>
      <c r="C118" s="875">
        <f t="shared" si="89"/>
        <v>0</v>
      </c>
      <c r="D118" s="875">
        <f t="shared" si="90"/>
        <v>0</v>
      </c>
      <c r="E118" s="1431">
        <v>0</v>
      </c>
      <c r="F118" s="1079">
        <v>0</v>
      </c>
      <c r="G118" s="1431">
        <f t="shared" si="88"/>
        <v>0</v>
      </c>
      <c r="H118" s="1079"/>
      <c r="I118" s="1079"/>
      <c r="J118" s="1079"/>
      <c r="K118" s="1079"/>
      <c r="L118" s="1079"/>
      <c r="M118" s="1079"/>
      <c r="N118" s="1079"/>
      <c r="O118" s="1079"/>
      <c r="P118" s="1079"/>
      <c r="Q118" s="1079"/>
      <c r="R118" s="1079"/>
      <c r="S118" s="1079"/>
    </row>
    <row r="119" spans="1:19">
      <c r="A119" s="1087"/>
      <c r="B119" s="1069"/>
      <c r="C119" s="1079"/>
      <c r="D119" s="1079"/>
      <c r="E119" s="1079"/>
      <c r="F119" s="1079"/>
      <c r="G119" s="1079"/>
      <c r="H119" s="1079"/>
      <c r="I119" s="1079"/>
      <c r="J119" s="1079"/>
      <c r="K119" s="1079"/>
      <c r="L119" s="1079"/>
      <c r="M119" s="1079"/>
      <c r="N119" s="1079"/>
      <c r="O119" s="1079"/>
      <c r="P119" s="1079"/>
      <c r="Q119" s="1079"/>
      <c r="R119" s="1079"/>
      <c r="S119" s="1079"/>
    </row>
    <row r="120" spans="1:19">
      <c r="A120" s="1087"/>
      <c r="B120" s="1069"/>
      <c r="C120" s="1079"/>
      <c r="D120" s="1079"/>
      <c r="E120" s="1079"/>
      <c r="F120" s="1079"/>
      <c r="G120" s="1079"/>
      <c r="H120" s="1079"/>
      <c r="I120" s="1079"/>
      <c r="J120" s="1079"/>
      <c r="K120" s="1079"/>
      <c r="L120" s="1079"/>
      <c r="M120" s="1079"/>
      <c r="N120" s="1079"/>
      <c r="O120" s="1079"/>
      <c r="P120" s="1079"/>
      <c r="Q120" s="1079"/>
      <c r="R120" s="1079"/>
      <c r="S120" s="1079"/>
    </row>
    <row r="121" spans="1:19" ht="13.5" thickBot="1">
      <c r="A121" s="1087">
        <v>10</v>
      </c>
      <c r="B121" s="1070"/>
      <c r="C121" s="1081">
        <f>SUM(C77:C120)</f>
        <v>5894907.8389999997</v>
      </c>
      <c r="D121" s="1081">
        <f>SUM(D77:D120)</f>
        <v>5748880.9790000003</v>
      </c>
      <c r="E121" s="1081">
        <f>SUM(E77:E120)</f>
        <v>-2440828.1490000002</v>
      </c>
      <c r="F121" s="1081">
        <f>SUM(F77:F120)</f>
        <v>-2755715.3689999999</v>
      </c>
      <c r="G121" s="1081">
        <f>SUM(G77:G120)</f>
        <v>3223625</v>
      </c>
      <c r="H121" s="1084"/>
      <c r="I121" s="1081">
        <f>SUM(I77:I120)</f>
        <v>0</v>
      </c>
      <c r="J121" s="1081">
        <f>SUM(J77:J120)</f>
        <v>716760.19</v>
      </c>
      <c r="K121" s="1081">
        <f>SUM(K77:K120)</f>
        <v>2506862.4600000004</v>
      </c>
      <c r="L121" s="1084"/>
      <c r="M121" s="1081">
        <f>SUM(M77:M120)</f>
        <v>0</v>
      </c>
      <c r="N121" s="1081">
        <f>SUM(N77:N120)</f>
        <v>554760.78</v>
      </c>
      <c r="O121" s="1081">
        <f>SUM(O77:O120)</f>
        <v>2899318.91</v>
      </c>
      <c r="P121" s="1084"/>
      <c r="Q121" s="1081">
        <f>SUM(Q77:Q120)</f>
        <v>0</v>
      </c>
      <c r="R121" s="1081">
        <f>SUM(R77:R120)</f>
        <v>878759.6</v>
      </c>
      <c r="S121" s="1081">
        <f>SUM(S77:S120)</f>
        <v>2114406.0099999998</v>
      </c>
    </row>
    <row r="122" spans="1:19" ht="13.5" thickTop="1">
      <c r="A122" s="1087"/>
      <c r="B122" s="1069"/>
      <c r="C122" s="1082"/>
      <c r="D122" s="1082"/>
      <c r="E122" s="1082"/>
      <c r="F122" s="1082"/>
      <c r="G122" s="1082"/>
      <c r="H122" s="1079"/>
      <c r="I122" s="1082"/>
      <c r="J122" s="1082"/>
      <c r="K122" s="1082"/>
      <c r="L122" s="1079"/>
      <c r="M122" s="1082"/>
      <c r="N122" s="1082"/>
      <c r="O122" s="1082"/>
      <c r="P122" s="1079"/>
      <c r="Q122" s="1082"/>
      <c r="R122" s="1082"/>
      <c r="S122" s="1082"/>
    </row>
    <row r="123" spans="1:19">
      <c r="A123" s="1087"/>
      <c r="B123" s="1069"/>
      <c r="C123" s="1079"/>
      <c r="D123" s="1079"/>
      <c r="E123" s="1079"/>
      <c r="F123" s="1079"/>
      <c r="G123" s="1079"/>
      <c r="H123" s="1079"/>
      <c r="I123" s="1079"/>
      <c r="J123" s="1079"/>
      <c r="K123" s="1079"/>
      <c r="L123" s="1079"/>
      <c r="M123" s="1079"/>
      <c r="N123" s="1079"/>
      <c r="O123" s="1079"/>
      <c r="P123" s="1079"/>
      <c r="Q123" s="1079"/>
      <c r="R123" s="1079"/>
      <c r="S123" s="1079"/>
    </row>
    <row r="124" spans="1:19">
      <c r="A124" s="1087">
        <f>+A121+1</f>
        <v>11</v>
      </c>
      <c r="B124" s="255" t="s">
        <v>731</v>
      </c>
      <c r="C124" s="1079">
        <f>SUM(M124:O124)</f>
        <v>0</v>
      </c>
      <c r="D124" s="1079">
        <f>SUM(Q124:S124)</f>
        <v>0</v>
      </c>
      <c r="E124" s="1079"/>
      <c r="F124" s="1079"/>
      <c r="G124" s="1079">
        <f>ROUND(SUM(C124:F124)/2,0)</f>
        <v>0</v>
      </c>
      <c r="H124" s="1079"/>
      <c r="I124" s="1079">
        <f>(M124+Q124)/2</f>
        <v>0</v>
      </c>
      <c r="J124" s="1079">
        <f>(N124+R124)/2</f>
        <v>0</v>
      </c>
      <c r="K124" s="1079">
        <f>(O124+S124)/2</f>
        <v>0</v>
      </c>
      <c r="L124" s="1079"/>
      <c r="M124" s="875"/>
      <c r="N124" s="875"/>
      <c r="O124" s="875"/>
      <c r="P124" s="1079"/>
      <c r="Q124" s="875"/>
      <c r="R124" s="875"/>
      <c r="S124" s="875"/>
    </row>
    <row r="125" spans="1:19">
      <c r="A125" s="1107">
        <f>A124+0.01</f>
        <v>11.01</v>
      </c>
      <c r="B125" s="875" t="s">
        <v>1008</v>
      </c>
      <c r="C125" s="875">
        <f>-E125</f>
        <v>8279744.9119999995</v>
      </c>
      <c r="D125" s="875">
        <f>-F125</f>
        <v>9145095.2719999999</v>
      </c>
      <c r="E125" s="1431">
        <v>-8279744.9119999995</v>
      </c>
      <c r="F125" s="1079">
        <v>-9145095.2719999999</v>
      </c>
      <c r="G125" s="1079">
        <f>ROUND(SUM(C125:F125)/2,0)</f>
        <v>0</v>
      </c>
      <c r="H125" s="1079"/>
      <c r="I125" s="1079"/>
      <c r="J125" s="1079"/>
      <c r="K125" s="1079"/>
      <c r="L125" s="1079"/>
      <c r="M125" s="1079"/>
      <c r="N125" s="1079"/>
      <c r="O125" s="1079"/>
      <c r="P125" s="1079"/>
      <c r="Q125" s="1079"/>
      <c r="R125" s="1079"/>
      <c r="S125" s="1079"/>
    </row>
    <row r="126" spans="1:19">
      <c r="A126" s="1087"/>
      <c r="B126" s="1069"/>
      <c r="C126" s="1079"/>
      <c r="D126" s="1079"/>
      <c r="E126" s="1079"/>
      <c r="F126" s="1079"/>
      <c r="G126" s="1079"/>
      <c r="H126" s="1079"/>
      <c r="I126" s="1079"/>
      <c r="J126" s="1079"/>
      <c r="K126" s="1079"/>
      <c r="L126" s="1079"/>
      <c r="M126" s="1079"/>
      <c r="N126" s="1079"/>
      <c r="O126" s="1079"/>
      <c r="P126" s="1079"/>
      <c r="Q126" s="1079"/>
      <c r="R126" s="1079"/>
      <c r="S126" s="1079"/>
    </row>
    <row r="127" spans="1:19" ht="13.5" thickBot="1">
      <c r="A127" s="1087">
        <f>+A124+1</f>
        <v>12</v>
      </c>
      <c r="B127" s="988" t="s">
        <v>732</v>
      </c>
      <c r="C127" s="1081">
        <f>SUM(C121:C126)</f>
        <v>14174652.750999998</v>
      </c>
      <c r="D127" s="1081">
        <f>SUM(D121:D126)</f>
        <v>14893976.251</v>
      </c>
      <c r="E127" s="1081">
        <f>SUM(E121:E126)</f>
        <v>-10720573.061000001</v>
      </c>
      <c r="F127" s="1081">
        <f>SUM(F121:F126)</f>
        <v>-11900810.640999999</v>
      </c>
      <c r="G127" s="1081">
        <f>SUM(G121:G126)</f>
        <v>3223625</v>
      </c>
      <c r="H127" s="1079"/>
      <c r="I127" s="1081">
        <f>SUM(I121:I126)</f>
        <v>0</v>
      </c>
      <c r="J127" s="1081">
        <f>SUM(J121:J126)</f>
        <v>716760.19</v>
      </c>
      <c r="K127" s="1081">
        <f>SUM(K121:K126)</f>
        <v>2506862.4600000004</v>
      </c>
      <c r="L127" s="1079"/>
      <c r="M127" s="1081">
        <f>SUM(M121:M126)</f>
        <v>0</v>
      </c>
      <c r="N127" s="1081">
        <f>SUM(N121:N126)</f>
        <v>554760.78</v>
      </c>
      <c r="O127" s="1081">
        <f>SUM(O121:O126)</f>
        <v>2899318.91</v>
      </c>
      <c r="P127" s="1079"/>
      <c r="Q127" s="1081">
        <f>SUM(Q121:Q126)</f>
        <v>0</v>
      </c>
      <c r="R127" s="1081">
        <f>SUM(R121:R126)</f>
        <v>878759.6</v>
      </c>
      <c r="S127" s="1081">
        <f>SUM(S121:S126)</f>
        <v>2114406.0099999998</v>
      </c>
    </row>
    <row r="128" spans="1:19" ht="13.5" thickTop="1">
      <c r="A128" s="1087">
        <f>A127+1</f>
        <v>13</v>
      </c>
      <c r="B128" s="1154" t="s">
        <v>743</v>
      </c>
      <c r="C128" s="1082">
        <v>0</v>
      </c>
      <c r="D128" s="1082">
        <v>0</v>
      </c>
      <c r="E128" s="1082">
        <v>0</v>
      </c>
      <c r="F128" s="1082">
        <v>0</v>
      </c>
      <c r="G128" s="1082">
        <v>0</v>
      </c>
      <c r="H128" s="1079"/>
      <c r="I128" s="1082">
        <v>0</v>
      </c>
      <c r="J128" s="1082">
        <v>0</v>
      </c>
      <c r="K128" s="1082">
        <v>0</v>
      </c>
      <c r="L128" s="1079"/>
      <c r="M128" s="1082">
        <v>0</v>
      </c>
      <c r="N128" s="1082">
        <v>0</v>
      </c>
      <c r="O128" s="1082">
        <v>0</v>
      </c>
      <c r="P128" s="1079"/>
      <c r="Q128" s="1082">
        <v>0</v>
      </c>
      <c r="R128" s="1082">
        <v>0</v>
      </c>
      <c r="S128" s="1082">
        <v>0</v>
      </c>
    </row>
    <row r="129" spans="1:19">
      <c r="A129" s="1087"/>
      <c r="B129" s="1069"/>
      <c r="C129" s="1083"/>
      <c r="D129" s="1083"/>
      <c r="E129" s="1079"/>
      <c r="F129" s="1079"/>
      <c r="G129" s="1079"/>
      <c r="H129" s="1079"/>
      <c r="I129" s="1079"/>
      <c r="J129" s="1079"/>
      <c r="K129" s="1079"/>
      <c r="L129" s="1079"/>
      <c r="M129" s="1079"/>
      <c r="N129" s="1079"/>
      <c r="O129" s="1079"/>
      <c r="P129" s="1079"/>
      <c r="Q129" s="1079"/>
      <c r="R129" s="1079"/>
      <c r="S129" s="1079"/>
    </row>
    <row r="130" spans="1:19">
      <c r="A130" s="1087">
        <f>+A128+1</f>
        <v>14</v>
      </c>
      <c r="B130" s="1070" t="s">
        <v>733</v>
      </c>
      <c r="C130" s="1079"/>
      <c r="D130" s="1079"/>
      <c r="E130" s="1079"/>
      <c r="F130" s="1079"/>
      <c r="G130" s="1079"/>
      <c r="H130" s="1079"/>
      <c r="I130" s="1079"/>
      <c r="J130" s="1079"/>
      <c r="K130" s="1079"/>
      <c r="L130" s="1079"/>
      <c r="M130" s="1079"/>
      <c r="N130" s="1079"/>
      <c r="O130" s="1079"/>
      <c r="P130" s="1079"/>
      <c r="Q130" s="1079"/>
      <c r="R130" s="1079"/>
      <c r="S130" s="1079"/>
    </row>
    <row r="131" spans="1:19">
      <c r="A131" s="1087"/>
      <c r="B131" s="1069"/>
      <c r="C131" s="1079"/>
      <c r="D131" s="1079"/>
      <c r="E131" s="1079"/>
      <c r="F131" s="1079"/>
      <c r="G131" s="1079"/>
      <c r="H131" s="1079"/>
      <c r="I131" s="1079"/>
      <c r="J131" s="1079"/>
      <c r="K131" s="1079"/>
      <c r="L131" s="1079"/>
      <c r="M131" s="1079"/>
      <c r="N131" s="1079"/>
      <c r="O131" s="1079"/>
      <c r="P131" s="1079"/>
      <c r="Q131" s="1079"/>
      <c r="R131" s="1079"/>
      <c r="S131" s="1079"/>
    </row>
    <row r="132" spans="1:19">
      <c r="A132" s="1087">
        <f>+A130+1</f>
        <v>15</v>
      </c>
      <c r="B132" s="1070" t="s">
        <v>734</v>
      </c>
      <c r="C132" s="1079"/>
      <c r="D132" s="1079"/>
      <c r="E132" s="1079"/>
      <c r="F132" s="1079"/>
      <c r="G132" s="1079"/>
      <c r="H132" s="1079"/>
      <c r="I132" s="1079"/>
      <c r="J132" s="1079"/>
      <c r="K132" s="1079"/>
      <c r="L132" s="1079"/>
      <c r="M132" s="1079"/>
      <c r="N132" s="1079"/>
      <c r="O132" s="1079"/>
      <c r="P132" s="1079"/>
      <c r="Q132" s="1079"/>
      <c r="R132" s="1079"/>
      <c r="S132" s="1079"/>
    </row>
    <row r="133" spans="1:19">
      <c r="A133" s="1087"/>
      <c r="B133" s="1069"/>
      <c r="C133" s="1079"/>
      <c r="D133" s="1085"/>
      <c r="E133" s="1085"/>
      <c r="F133" s="1085"/>
      <c r="G133" s="1085"/>
      <c r="H133" s="1085"/>
      <c r="I133" s="1085"/>
      <c r="J133" s="1085"/>
      <c r="K133" s="1085"/>
      <c r="L133" s="1085"/>
      <c r="M133" s="1079"/>
      <c r="N133" s="1079"/>
      <c r="O133" s="1079"/>
      <c r="P133" s="1079"/>
      <c r="Q133" s="1079"/>
      <c r="R133" s="1079"/>
      <c r="S133" s="1079"/>
    </row>
    <row r="134" spans="1:19">
      <c r="A134" s="1087">
        <f>+A132+1</f>
        <v>16</v>
      </c>
      <c r="B134" s="1070" t="s">
        <v>735</v>
      </c>
      <c r="C134" s="1079"/>
      <c r="D134" s="1085"/>
      <c r="E134" s="1085"/>
      <c r="F134" s="1085"/>
      <c r="G134" s="1085"/>
      <c r="H134" s="1085"/>
      <c r="I134" s="1085"/>
      <c r="J134" s="1085"/>
      <c r="K134" s="1085"/>
      <c r="L134" s="1085"/>
      <c r="M134" s="1079"/>
      <c r="N134" s="1079"/>
      <c r="O134" s="1079"/>
      <c r="P134" s="1079"/>
      <c r="Q134" s="1079"/>
      <c r="R134" s="1079"/>
      <c r="S134" s="1079"/>
    </row>
    <row r="135" spans="1:19">
      <c r="A135" s="1087"/>
      <c r="B135" s="1069"/>
      <c r="C135" s="1079"/>
      <c r="D135" s="1079"/>
      <c r="E135" s="1079"/>
      <c r="F135" s="1079"/>
      <c r="G135" s="1079"/>
      <c r="H135" s="1079"/>
      <c r="I135" s="1079"/>
      <c r="J135" s="1079"/>
      <c r="K135" s="1079"/>
      <c r="L135" s="1079"/>
      <c r="M135" s="1079"/>
      <c r="N135" s="1079"/>
      <c r="O135" s="1079"/>
      <c r="P135" s="1079"/>
      <c r="Q135" s="1079"/>
      <c r="R135" s="1079"/>
      <c r="S135" s="1079"/>
    </row>
    <row r="136" spans="1:19">
      <c r="A136" s="1087">
        <f>+A134+1</f>
        <v>17</v>
      </c>
      <c r="B136" s="255" t="s">
        <v>736</v>
      </c>
      <c r="C136" s="1079"/>
      <c r="D136" s="1079"/>
      <c r="E136" s="1079"/>
      <c r="F136" s="1079"/>
      <c r="G136" s="1079"/>
      <c r="H136" s="1079"/>
      <c r="I136" s="1079"/>
      <c r="J136" s="1079"/>
      <c r="K136" s="1079"/>
      <c r="L136" s="1079"/>
      <c r="M136" s="1079"/>
      <c r="N136" s="1079"/>
      <c r="O136" s="1079"/>
      <c r="P136" s="1079"/>
      <c r="Q136" s="1079"/>
      <c r="R136" s="1079"/>
      <c r="S136" s="1079"/>
    </row>
    <row r="137" spans="1:19">
      <c r="A137" s="1087">
        <f>A136+1</f>
        <v>18</v>
      </c>
      <c r="B137" s="255" t="s">
        <v>737</v>
      </c>
      <c r="C137" s="1079"/>
      <c r="D137" s="1079"/>
      <c r="E137" s="1079"/>
      <c r="F137" s="1079"/>
      <c r="G137" s="1079"/>
      <c r="H137" s="1079"/>
      <c r="I137" s="1079"/>
      <c r="J137" s="1079"/>
      <c r="K137" s="1079"/>
      <c r="L137" s="1079"/>
      <c r="M137" s="1079"/>
      <c r="N137" s="1079"/>
      <c r="O137" s="1079"/>
      <c r="P137" s="1079"/>
      <c r="Q137" s="1412"/>
      <c r="R137" s="1079"/>
      <c r="S137" s="1079"/>
    </row>
    <row r="138" spans="1:19">
      <c r="A138" s="1107">
        <f>A137+0.01</f>
        <v>18.010000000000002</v>
      </c>
      <c r="B138" s="875" t="s">
        <v>1009</v>
      </c>
      <c r="C138" s="1079">
        <f>SUM(M138:O138)</f>
        <v>0</v>
      </c>
      <c r="D138" s="1079">
        <f>SUM(Q138:S138)</f>
        <v>0</v>
      </c>
      <c r="E138" s="1079"/>
      <c r="F138" s="1079"/>
      <c r="G138" s="1079">
        <f>ROUND(SUM(C138:F138)/2,0)</f>
        <v>0</v>
      </c>
      <c r="H138" s="1079"/>
      <c r="I138" s="1079">
        <f t="shared" ref="I138:K139" si="93">(M138+Q138)/2</f>
        <v>0</v>
      </c>
      <c r="J138" s="1079">
        <f t="shared" si="93"/>
        <v>0</v>
      </c>
      <c r="K138" s="1079">
        <f t="shared" si="93"/>
        <v>0</v>
      </c>
      <c r="L138" s="1079"/>
      <c r="M138" s="875">
        <v>0</v>
      </c>
      <c r="N138" s="875">
        <v>0</v>
      </c>
      <c r="O138" s="875">
        <v>0</v>
      </c>
      <c r="P138" s="1079"/>
      <c r="Q138" s="875">
        <v>0</v>
      </c>
      <c r="R138" s="875">
        <v>0</v>
      </c>
      <c r="S138" s="875">
        <v>0</v>
      </c>
    </row>
    <row r="139" spans="1:19">
      <c r="A139" s="1107">
        <f>A138+0.01</f>
        <v>18.020000000000003</v>
      </c>
      <c r="B139" s="875"/>
      <c r="C139" s="1079">
        <f>SUM(M139:O139)</f>
        <v>0</v>
      </c>
      <c r="D139" s="1079">
        <f>SUM(Q139:S139)</f>
        <v>0</v>
      </c>
      <c r="E139" s="1079"/>
      <c r="F139" s="1079"/>
      <c r="G139" s="1079">
        <f>ROUND(SUM(C139:F139)/2,0)</f>
        <v>0</v>
      </c>
      <c r="H139" s="1079"/>
      <c r="I139" s="1079">
        <f t="shared" si="93"/>
        <v>0</v>
      </c>
      <c r="J139" s="1079">
        <f t="shared" si="93"/>
        <v>0</v>
      </c>
      <c r="K139" s="1079">
        <f t="shared" si="93"/>
        <v>0</v>
      </c>
      <c r="L139" s="1079"/>
      <c r="M139" s="875"/>
      <c r="N139" s="875"/>
      <c r="O139" s="875"/>
      <c r="P139" s="1079"/>
      <c r="Q139" s="875"/>
      <c r="R139" s="875"/>
      <c r="S139" s="875"/>
    </row>
    <row r="140" spans="1:19">
      <c r="A140" s="1087">
        <f>INT(A139)+1</f>
        <v>19</v>
      </c>
      <c r="B140" s="1070"/>
      <c r="C140" s="1079"/>
      <c r="D140" s="1079"/>
      <c r="E140" s="1079"/>
      <c r="F140" s="1079"/>
      <c r="G140" s="1079"/>
      <c r="H140" s="1079"/>
      <c r="I140" s="1079"/>
      <c r="J140" s="1079"/>
      <c r="K140" s="1079"/>
      <c r="L140" s="1079"/>
      <c r="M140" s="1079"/>
      <c r="N140" s="1079"/>
      <c r="O140" s="1079"/>
      <c r="P140" s="1079"/>
      <c r="Q140" s="1079"/>
      <c r="R140" s="1079"/>
      <c r="S140" s="1079"/>
    </row>
    <row r="141" spans="1:19">
      <c r="A141" s="1087">
        <f>A140+1</f>
        <v>20</v>
      </c>
      <c r="B141" s="255" t="s">
        <v>738</v>
      </c>
      <c r="C141" s="1081">
        <f>SUM(C138:C140)</f>
        <v>0</v>
      </c>
      <c r="D141" s="1081">
        <f>SUM(D138:D140)</f>
        <v>0</v>
      </c>
      <c r="E141" s="1081">
        <f>SUM(E138:E140)</f>
        <v>0</v>
      </c>
      <c r="F141" s="1081">
        <f>SUM(F138:F140)</f>
        <v>0</v>
      </c>
      <c r="G141" s="1081">
        <f>SUM(G138:G140)</f>
        <v>0</v>
      </c>
      <c r="H141" s="1079"/>
      <c r="I141" s="1081">
        <f>SUM(I138:I140)</f>
        <v>0</v>
      </c>
      <c r="J141" s="1081">
        <f>SUM(J138:J140)</f>
        <v>0</v>
      </c>
      <c r="K141" s="1081">
        <f>SUM(K138:K140)</f>
        <v>0</v>
      </c>
      <c r="L141" s="1079"/>
      <c r="M141" s="1081">
        <f>SUM(M138:M140)</f>
        <v>0</v>
      </c>
      <c r="N141" s="1081">
        <f>SUM(N138:N140)</f>
        <v>0</v>
      </c>
      <c r="O141" s="1081">
        <f>SUM(O138:O140)</f>
        <v>0</v>
      </c>
      <c r="P141" s="1079"/>
      <c r="Q141" s="1081">
        <f>SUM(Q138:Q140)</f>
        <v>0</v>
      </c>
      <c r="R141" s="1081">
        <f>SUM(R138:R140)</f>
        <v>0</v>
      </c>
      <c r="S141" s="1081">
        <f>SUM(S138:S140)</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83"/>
  <sheetViews>
    <sheetView view="pageBreakPreview" topLeftCell="A31" zoomScale="70" zoomScaleNormal="60" zoomScaleSheetLayoutView="70" workbookViewId="0">
      <selection activeCell="S72" sqref="S72"/>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425781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088"/>
      <c r="B1" s="1153" t="str">
        <f>TCOS!F9</f>
        <v>KINGSPORT POWER COMPANY</v>
      </c>
      <c r="C1" s="1089"/>
      <c r="D1" s="1089"/>
      <c r="E1" s="1089"/>
      <c r="F1" s="1069"/>
      <c r="G1" s="255"/>
      <c r="H1" s="255"/>
      <c r="I1" s="255"/>
      <c r="J1" s="255"/>
      <c r="K1" s="255"/>
      <c r="L1" s="255"/>
      <c r="M1" s="1069"/>
      <c r="N1" s="1069"/>
      <c r="O1" s="255"/>
      <c r="P1" s="1069"/>
      <c r="Q1" s="1069"/>
      <c r="R1" s="1069"/>
      <c r="S1" s="255"/>
    </row>
    <row r="2" spans="1:19">
      <c r="A2" s="1088"/>
      <c r="B2" s="1068" t="s">
        <v>822</v>
      </c>
      <c r="C2" s="1089"/>
      <c r="D2" s="1089"/>
      <c r="E2" s="1089"/>
      <c r="F2" s="1089"/>
      <c r="G2" s="1090"/>
      <c r="H2" s="1090"/>
      <c r="I2" s="1090"/>
      <c r="J2" s="1090"/>
      <c r="K2" s="1090"/>
      <c r="L2" s="1090"/>
      <c r="M2" s="1069"/>
      <c r="N2" s="1069"/>
      <c r="O2" s="1090"/>
      <c r="P2" s="1069"/>
      <c r="Q2" s="1069"/>
      <c r="R2" s="1069"/>
      <c r="S2" s="1090"/>
    </row>
    <row r="3" spans="1:19">
      <c r="A3" s="1088"/>
      <c r="B3" s="1068" t="str">
        <f>"PERIOD ENDED DECEMBER 31, "&amp;TCOS!L4</f>
        <v>PERIOD ENDED DECEMBER 31, 2024</v>
      </c>
      <c r="C3" s="1089"/>
      <c r="D3" s="1089"/>
      <c r="E3" s="1089"/>
      <c r="F3" s="1089"/>
      <c r="G3" s="1089"/>
      <c r="H3" s="1089"/>
      <c r="I3" s="1089"/>
      <c r="J3" s="1089"/>
      <c r="K3" s="1089"/>
      <c r="L3" s="1089"/>
      <c r="M3" s="1069"/>
      <c r="N3" s="1069"/>
      <c r="O3" s="1069"/>
      <c r="P3" s="1069"/>
      <c r="Q3" s="1069"/>
      <c r="R3" s="1069"/>
      <c r="S3" s="1069"/>
    </row>
    <row r="4" spans="1:19">
      <c r="A4" s="1088"/>
      <c r="B4" s="1078"/>
      <c r="C4" s="1089"/>
      <c r="D4" s="1089"/>
      <c r="E4" s="1089"/>
      <c r="F4" s="1089"/>
      <c r="G4" s="1" t="s">
        <v>739</v>
      </c>
      <c r="H4" s="1089"/>
      <c r="I4" s="1089"/>
      <c r="J4" s="1089"/>
      <c r="K4" s="1089"/>
      <c r="L4" s="1089"/>
      <c r="M4" s="1069"/>
      <c r="N4" s="1069"/>
      <c r="O4" s="1069"/>
      <c r="P4" s="1069"/>
      <c r="Q4" s="1069"/>
      <c r="R4" s="1069"/>
      <c r="S4" s="1069"/>
    </row>
    <row r="5" spans="1:19">
      <c r="A5" s="1088"/>
      <c r="B5" s="1071"/>
      <c r="C5" s="1089"/>
      <c r="D5" s="1089"/>
      <c r="E5" s="1089"/>
      <c r="F5" s="1089"/>
      <c r="G5" s="1089"/>
      <c r="H5" s="1089"/>
      <c r="I5" s="1089"/>
      <c r="J5" s="1089"/>
      <c r="K5" s="1089"/>
      <c r="L5" s="1089"/>
      <c r="M5" s="1069"/>
      <c r="N5" s="1069"/>
      <c r="O5" s="1069"/>
      <c r="P5" s="1069"/>
      <c r="Q5" s="1069"/>
      <c r="R5" s="1069"/>
      <c r="S5" s="1069"/>
    </row>
    <row r="6" spans="1:19">
      <c r="A6" s="1088"/>
      <c r="B6" s="1069"/>
      <c r="C6" s="1089"/>
      <c r="D6" s="1089"/>
      <c r="E6" s="1089"/>
      <c r="F6" s="1089"/>
      <c r="G6" s="1089"/>
      <c r="H6" s="1"/>
      <c r="I6" s="1"/>
      <c r="J6" s="1"/>
      <c r="K6" s="1"/>
      <c r="L6" s="1"/>
      <c r="M6" s="1069"/>
      <c r="N6" s="1069"/>
      <c r="O6" s="1069"/>
      <c r="P6" s="1069"/>
      <c r="Q6" s="1069"/>
      <c r="R6" s="1069"/>
      <c r="S6" s="1069"/>
    </row>
    <row r="7" spans="1:19">
      <c r="A7" s="1088"/>
      <c r="B7" s="1069"/>
      <c r="C7" s="1089"/>
      <c r="D7" s="1089"/>
      <c r="E7" s="1089"/>
      <c r="F7" s="1089"/>
      <c r="G7" s="1089"/>
      <c r="H7" s="1089"/>
      <c r="I7" s="1089"/>
      <c r="J7" s="1089"/>
      <c r="K7" s="1089"/>
      <c r="L7" s="1089"/>
      <c r="M7" s="1069"/>
      <c r="N7" s="1069"/>
      <c r="O7" s="1069"/>
      <c r="P7" s="1069"/>
      <c r="Q7" s="1069"/>
      <c r="R7" s="1069"/>
      <c r="S7" s="1069"/>
    </row>
    <row r="8" spans="1:19">
      <c r="A8" s="1088"/>
      <c r="B8" s="1072" t="s">
        <v>699</v>
      </c>
      <c r="C8" s="1091" t="s">
        <v>700</v>
      </c>
      <c r="D8" s="1091" t="s">
        <v>701</v>
      </c>
      <c r="E8" s="1091" t="s">
        <v>702</v>
      </c>
      <c r="F8" s="1091" t="s">
        <v>703</v>
      </c>
      <c r="G8" s="1091" t="s">
        <v>704</v>
      </c>
      <c r="H8" s="1091"/>
      <c r="I8" s="1091" t="s">
        <v>705</v>
      </c>
      <c r="J8" s="1091" t="s">
        <v>706</v>
      </c>
      <c r="K8" s="1091" t="s">
        <v>707</v>
      </c>
      <c r="L8" s="1091"/>
      <c r="M8" s="1072" t="s">
        <v>708</v>
      </c>
      <c r="N8" s="1072" t="s">
        <v>709</v>
      </c>
      <c r="O8" s="1072" t="s">
        <v>710</v>
      </c>
      <c r="P8" s="1069"/>
      <c r="Q8" s="1072" t="s">
        <v>711</v>
      </c>
      <c r="R8" s="1072" t="s">
        <v>712</v>
      </c>
      <c r="S8" s="1072" t="s">
        <v>713</v>
      </c>
    </row>
    <row r="9" spans="1:19">
      <c r="A9" s="1088"/>
      <c r="B9" s="1069"/>
      <c r="C9" s="1089"/>
      <c r="D9" s="1089"/>
      <c r="E9" s="1089"/>
      <c r="F9" s="1276" t="s">
        <v>116</v>
      </c>
      <c r="G9" s="1089"/>
      <c r="H9" s="1089"/>
      <c r="I9" s="1089"/>
      <c r="J9" s="1089"/>
      <c r="K9" s="1089"/>
      <c r="L9" s="1089"/>
      <c r="M9" s="1069"/>
      <c r="N9" s="1069"/>
      <c r="O9" s="1069"/>
      <c r="P9" s="1069"/>
      <c r="Q9" s="1069"/>
      <c r="R9" s="1069"/>
      <c r="S9" s="1069"/>
    </row>
    <row r="10" spans="1:19">
      <c r="A10" s="1088"/>
      <c r="B10" s="1069"/>
      <c r="C10" s="1092" t="s">
        <v>714</v>
      </c>
      <c r="D10" s="1092"/>
      <c r="E10" s="1093" t="s">
        <v>715</v>
      </c>
      <c r="F10" s="1092"/>
      <c r="G10" s="1094" t="s">
        <v>716</v>
      </c>
      <c r="H10" s="1094"/>
      <c r="I10" s="1095" t="s">
        <v>717</v>
      </c>
      <c r="J10" s="1092"/>
      <c r="K10" s="1092"/>
      <c r="L10" s="1094"/>
      <c r="M10" s="1076" t="str">
        <f>"FUNCTIONALIZATION 12/31/"&amp;TCOS!L4-1</f>
        <v>FUNCTIONALIZATION 12/31/2023</v>
      </c>
      <c r="N10" s="1073"/>
      <c r="O10" s="1073"/>
      <c r="P10" s="1069"/>
      <c r="Q10" s="1076" t="str">
        <f>"FUNCTIONALIZATION 12/31/"&amp;TCOS!L4</f>
        <v>FUNCTIONALIZATION 12/31/2024</v>
      </c>
      <c r="R10" s="1073"/>
      <c r="S10" s="1073"/>
    </row>
    <row r="11" spans="1:19">
      <c r="A11" s="1088"/>
      <c r="B11" s="1069"/>
      <c r="C11" s="1096"/>
      <c r="D11" s="1096"/>
      <c r="E11" s="1089"/>
      <c r="F11" s="1089"/>
      <c r="G11" s="1094" t="s">
        <v>718</v>
      </c>
      <c r="H11" s="1094"/>
      <c r="I11" s="1096"/>
      <c r="J11" s="1096"/>
      <c r="K11" s="1096"/>
      <c r="L11" s="1094"/>
      <c r="M11" s="1077"/>
      <c r="N11" s="1077"/>
      <c r="O11" s="1077"/>
      <c r="P11" s="1069"/>
      <c r="Q11" s="1077"/>
      <c r="R11" s="1077"/>
      <c r="S11" s="1077"/>
    </row>
    <row r="12" spans="1:19">
      <c r="A12" s="1088"/>
      <c r="B12" s="1069"/>
      <c r="C12" s="1094" t="s">
        <v>719</v>
      </c>
      <c r="D12" s="1094" t="s">
        <v>719</v>
      </c>
      <c r="E12" s="1094" t="s">
        <v>719</v>
      </c>
      <c r="F12" s="1094" t="s">
        <v>719</v>
      </c>
      <c r="G12" s="1094" t="s">
        <v>720</v>
      </c>
      <c r="H12" s="1094"/>
      <c r="I12" s="1089"/>
      <c r="J12" s="1089"/>
      <c r="K12" s="1089"/>
      <c r="L12" s="1094"/>
      <c r="M12" s="1069"/>
      <c r="N12" s="1069"/>
      <c r="O12" s="1069"/>
      <c r="P12" s="1069"/>
      <c r="Q12" s="1069"/>
      <c r="R12" s="1069"/>
      <c r="S12" s="1069"/>
    </row>
    <row r="13" spans="1:19">
      <c r="A13" s="1088"/>
      <c r="B13" s="1072" t="s">
        <v>721</v>
      </c>
      <c r="C13" s="1091" t="str">
        <f>"OF 12-31-"&amp;TCOS!L4-1</f>
        <v>OF 12-31-2023</v>
      </c>
      <c r="D13" s="1091" t="str">
        <f>"OF 12-31-"&amp;TCOS!L4</f>
        <v>OF 12-31-2024</v>
      </c>
      <c r="E13" s="1091" t="str">
        <f>"OF 12-31-"&amp;TCOS!L4-1</f>
        <v>OF 12-31-2023</v>
      </c>
      <c r="F13" s="1091" t="str">
        <f>"OF 12-31-"&amp;TCOS!L4</f>
        <v>OF 12-31-2024</v>
      </c>
      <c r="G13" s="1091" t="s">
        <v>722</v>
      </c>
      <c r="H13" s="1091"/>
      <c r="I13" s="1091" t="s">
        <v>723</v>
      </c>
      <c r="J13" s="1091" t="s">
        <v>724</v>
      </c>
      <c r="K13" s="1091" t="s">
        <v>725</v>
      </c>
      <c r="L13" s="1091"/>
      <c r="M13" s="1072" t="s">
        <v>723</v>
      </c>
      <c r="N13" s="1072" t="s">
        <v>724</v>
      </c>
      <c r="O13" s="1072" t="s">
        <v>725</v>
      </c>
      <c r="P13" s="1069"/>
      <c r="Q13" s="1072" t="s">
        <v>723</v>
      </c>
      <c r="R13" s="1072" t="s">
        <v>724</v>
      </c>
      <c r="S13" s="1072" t="s">
        <v>725</v>
      </c>
    </row>
    <row r="14" spans="1:19">
      <c r="A14" s="1088"/>
      <c r="B14" s="1069"/>
      <c r="C14" s="1089"/>
      <c r="D14" s="1089"/>
      <c r="E14" s="1089"/>
      <c r="F14" s="1089"/>
      <c r="G14" s="1089"/>
      <c r="H14" s="1089"/>
      <c r="I14" s="1089"/>
      <c r="J14" s="1089"/>
      <c r="K14" s="1089"/>
      <c r="L14" s="1089"/>
      <c r="M14" s="1069"/>
      <c r="N14" s="1069"/>
      <c r="O14" s="1069"/>
      <c r="P14" s="1069"/>
      <c r="Q14" s="1069"/>
      <c r="R14" s="1069"/>
      <c r="S14" s="1069"/>
    </row>
    <row r="15" spans="1:19">
      <c r="A15" s="1097">
        <v>1</v>
      </c>
      <c r="B15" s="1083" t="s">
        <v>740</v>
      </c>
      <c r="C15" s="1079"/>
      <c r="D15" s="1079"/>
      <c r="E15" s="1079"/>
      <c r="F15" s="1080"/>
      <c r="G15" s="1079"/>
      <c r="H15" s="1079"/>
      <c r="I15" s="1079"/>
      <c r="J15" s="1079"/>
      <c r="K15" s="1079"/>
      <c r="L15" s="1079"/>
      <c r="M15" s="1079"/>
      <c r="N15" s="1079"/>
      <c r="O15" s="1079"/>
      <c r="P15" s="1079"/>
      <c r="Q15" s="1079"/>
      <c r="R15" s="1079"/>
      <c r="S15" s="1079"/>
    </row>
    <row r="16" spans="1:19">
      <c r="A16" s="1097"/>
      <c r="B16" s="1079"/>
      <c r="C16" s="1079"/>
      <c r="D16" s="1079"/>
      <c r="E16" s="1079"/>
      <c r="F16" s="1079"/>
      <c r="G16" s="1079"/>
      <c r="H16" s="1079"/>
      <c r="I16" s="1079"/>
      <c r="J16" s="1079"/>
      <c r="K16" s="1079"/>
      <c r="L16" s="1079"/>
      <c r="M16" s="1079"/>
      <c r="N16" s="1079"/>
      <c r="O16" s="1079"/>
      <c r="P16" s="1079"/>
      <c r="Q16" s="1079"/>
      <c r="R16" s="1079"/>
      <c r="S16" s="1079"/>
    </row>
    <row r="17" spans="1:19">
      <c r="A17" s="1107">
        <v>2.0099999999999998</v>
      </c>
      <c r="B17" s="875" t="s">
        <v>939</v>
      </c>
      <c r="C17" s="1079">
        <f t="shared" ref="C17:C50" si="0">SUM(M17:O17)</f>
        <v>2399.5700000000002</v>
      </c>
      <c r="D17" s="1079">
        <f t="shared" ref="D17:D50" si="1">SUM(Q17:S17)</f>
        <v>0</v>
      </c>
      <c r="E17" s="1079"/>
      <c r="F17" s="1079"/>
      <c r="G17" s="1079">
        <f t="shared" ref="G17:G50" si="2">ROUND(SUM(C17:F17)/2,0)</f>
        <v>1200</v>
      </c>
      <c r="H17" s="1079"/>
      <c r="I17" s="1079">
        <f t="shared" ref="I17:K50" si="3">(M17+Q17)/2</f>
        <v>0</v>
      </c>
      <c r="J17" s="1079">
        <f t="shared" si="3"/>
        <v>1199.7850000000001</v>
      </c>
      <c r="K17" s="1079">
        <f t="shared" si="3"/>
        <v>0</v>
      </c>
      <c r="L17" s="1079"/>
      <c r="M17" s="875">
        <v>0</v>
      </c>
      <c r="N17" s="875">
        <v>2399.5700000000002</v>
      </c>
      <c r="O17" s="875">
        <v>0</v>
      </c>
      <c r="P17" s="1079"/>
      <c r="Q17" s="1430">
        <v>0</v>
      </c>
      <c r="R17" s="1430">
        <v>0</v>
      </c>
      <c r="S17" s="1430">
        <v>0</v>
      </c>
    </row>
    <row r="18" spans="1:19">
      <c r="A18" s="1107">
        <f>A17+0.01</f>
        <v>2.0199999999999996</v>
      </c>
      <c r="B18" s="875" t="s">
        <v>940</v>
      </c>
      <c r="C18" s="1079">
        <f t="shared" si="0"/>
        <v>962927.47</v>
      </c>
      <c r="D18" s="1079">
        <f t="shared" si="1"/>
        <v>0</v>
      </c>
      <c r="E18" s="1079"/>
      <c r="F18" s="1079"/>
      <c r="G18" s="1079">
        <f t="shared" si="2"/>
        <v>481464</v>
      </c>
      <c r="H18" s="1079"/>
      <c r="I18" s="1079">
        <f t="shared" si="3"/>
        <v>0</v>
      </c>
      <c r="J18" s="1079">
        <f t="shared" si="3"/>
        <v>211422.19</v>
      </c>
      <c r="K18" s="1079">
        <f t="shared" si="3"/>
        <v>270041.54499999998</v>
      </c>
      <c r="L18" s="1079"/>
      <c r="M18" s="875">
        <v>0</v>
      </c>
      <c r="N18" s="875">
        <v>422844.38</v>
      </c>
      <c r="O18" s="875">
        <v>540083.09</v>
      </c>
      <c r="P18" s="1079"/>
      <c r="Q18" s="1430">
        <v>0</v>
      </c>
      <c r="R18" s="1430">
        <v>0</v>
      </c>
      <c r="S18" s="1430">
        <v>0</v>
      </c>
    </row>
    <row r="19" spans="1:19">
      <c r="A19" s="1107">
        <f t="shared" ref="A19:A79" si="4">A18+0.01</f>
        <v>2.0299999999999994</v>
      </c>
      <c r="B19" s="875" t="s">
        <v>941</v>
      </c>
      <c r="C19" s="1079">
        <f t="shared" si="0"/>
        <v>0</v>
      </c>
      <c r="D19" s="1079">
        <f t="shared" si="1"/>
        <v>0</v>
      </c>
      <c r="E19" s="1079"/>
      <c r="F19" s="1079"/>
      <c r="G19" s="1079">
        <f t="shared" si="2"/>
        <v>0</v>
      </c>
      <c r="H19" s="1079"/>
      <c r="I19" s="1079">
        <f t="shared" si="3"/>
        <v>0</v>
      </c>
      <c r="J19" s="1079">
        <f t="shared" si="3"/>
        <v>0</v>
      </c>
      <c r="K19" s="1079">
        <f t="shared" si="3"/>
        <v>0</v>
      </c>
      <c r="L19" s="1079"/>
      <c r="M19" s="875">
        <v>0</v>
      </c>
      <c r="N19" s="875">
        <v>0</v>
      </c>
      <c r="O19" s="875">
        <v>0</v>
      </c>
      <c r="P19" s="1079"/>
      <c r="Q19" s="1430">
        <v>0</v>
      </c>
      <c r="R19" s="1430">
        <v>0</v>
      </c>
      <c r="S19" s="1430">
        <v>0</v>
      </c>
    </row>
    <row r="20" spans="1:19">
      <c r="A20" s="1107">
        <f t="shared" si="4"/>
        <v>2.0399999999999991</v>
      </c>
      <c r="B20" s="875" t="s">
        <v>942</v>
      </c>
      <c r="C20" s="1079">
        <f t="shared" si="0"/>
        <v>113406.06</v>
      </c>
      <c r="D20" s="1079">
        <f t="shared" si="1"/>
        <v>0</v>
      </c>
      <c r="E20" s="1079"/>
      <c r="F20" s="1079"/>
      <c r="G20" s="1079">
        <f t="shared" si="2"/>
        <v>56703</v>
      </c>
      <c r="H20" s="1079"/>
      <c r="I20" s="1079">
        <f t="shared" si="3"/>
        <v>0</v>
      </c>
      <c r="J20" s="1079">
        <f t="shared" si="3"/>
        <v>56703.03</v>
      </c>
      <c r="K20" s="1079">
        <f t="shared" si="3"/>
        <v>0</v>
      </c>
      <c r="L20" s="1079"/>
      <c r="M20" s="875">
        <v>0</v>
      </c>
      <c r="N20" s="875">
        <v>113406.06</v>
      </c>
      <c r="O20" s="875">
        <v>0</v>
      </c>
      <c r="P20" s="1079"/>
      <c r="Q20" s="1430">
        <v>0</v>
      </c>
      <c r="R20" s="1430">
        <v>0</v>
      </c>
      <c r="S20" s="1430">
        <v>0</v>
      </c>
    </row>
    <row r="21" spans="1:19">
      <c r="A21" s="1107">
        <f t="shared" si="4"/>
        <v>2.0499999999999989</v>
      </c>
      <c r="B21" s="875" t="s">
        <v>1106</v>
      </c>
      <c r="C21" s="1079">
        <f t="shared" si="0"/>
        <v>-12631.84</v>
      </c>
      <c r="D21" s="1079">
        <f t="shared" si="1"/>
        <v>0</v>
      </c>
      <c r="E21" s="1079"/>
      <c r="F21" s="1079"/>
      <c r="G21" s="1079">
        <f t="shared" si="2"/>
        <v>-6316</v>
      </c>
      <c r="H21" s="1079"/>
      <c r="I21" s="1079">
        <f t="shared" si="3"/>
        <v>0</v>
      </c>
      <c r="J21" s="1079">
        <f t="shared" si="3"/>
        <v>-320.42500000000001</v>
      </c>
      <c r="K21" s="1079">
        <f t="shared" si="3"/>
        <v>-5995.4949999999999</v>
      </c>
      <c r="L21" s="1079"/>
      <c r="M21" s="875">
        <v>0</v>
      </c>
      <c r="N21" s="875">
        <v>-640.85</v>
      </c>
      <c r="O21" s="875">
        <v>-11990.99</v>
      </c>
      <c r="P21" s="1079"/>
      <c r="Q21" s="1430">
        <v>0</v>
      </c>
      <c r="R21" s="1430">
        <v>0</v>
      </c>
      <c r="S21" s="1430">
        <v>0</v>
      </c>
    </row>
    <row r="22" spans="1:19">
      <c r="A22" s="1107">
        <f t="shared" si="4"/>
        <v>2.0599999999999987</v>
      </c>
      <c r="B22" s="875" t="s">
        <v>943</v>
      </c>
      <c r="C22" s="1079">
        <f t="shared" si="0"/>
        <v>-0.01</v>
      </c>
      <c r="D22" s="1079">
        <f t="shared" si="1"/>
        <v>0</v>
      </c>
      <c r="E22" s="1079"/>
      <c r="F22" s="1079"/>
      <c r="G22" s="1079">
        <f t="shared" si="2"/>
        <v>0</v>
      </c>
      <c r="H22" s="1079"/>
      <c r="I22" s="1079">
        <f t="shared" si="3"/>
        <v>0</v>
      </c>
      <c r="J22" s="1079">
        <f t="shared" si="3"/>
        <v>0</v>
      </c>
      <c r="K22" s="1079">
        <f t="shared" si="3"/>
        <v>-5.0000000000000001E-3</v>
      </c>
      <c r="L22" s="1079"/>
      <c r="M22" s="875">
        <v>0</v>
      </c>
      <c r="N22" s="875">
        <v>0</v>
      </c>
      <c r="O22" s="875">
        <v>-0.01</v>
      </c>
      <c r="P22" s="1079"/>
      <c r="Q22" s="1430">
        <v>0</v>
      </c>
      <c r="R22" s="1430">
        <v>0</v>
      </c>
      <c r="S22" s="1430">
        <v>0</v>
      </c>
    </row>
    <row r="23" spans="1:19">
      <c r="A23" s="1107">
        <f t="shared" si="4"/>
        <v>2.0699999999999985</v>
      </c>
      <c r="B23" s="875" t="s">
        <v>944</v>
      </c>
      <c r="C23" s="1079">
        <f t="shared" si="0"/>
        <v>-615674.06000000006</v>
      </c>
      <c r="D23" s="1079">
        <f t="shared" si="1"/>
        <v>0</v>
      </c>
      <c r="E23" s="1079"/>
      <c r="F23" s="1079"/>
      <c r="G23" s="1079">
        <f t="shared" si="2"/>
        <v>-307837</v>
      </c>
      <c r="H23" s="1079"/>
      <c r="I23" s="1079">
        <f t="shared" si="3"/>
        <v>0</v>
      </c>
      <c r="J23" s="1079">
        <f t="shared" si="3"/>
        <v>-43334.07</v>
      </c>
      <c r="K23" s="1079">
        <f t="shared" si="3"/>
        <v>-264502.96000000002</v>
      </c>
      <c r="L23" s="1079"/>
      <c r="M23" s="875">
        <v>0</v>
      </c>
      <c r="N23" s="875">
        <v>-86668.14</v>
      </c>
      <c r="O23" s="875">
        <v>-529005.92000000004</v>
      </c>
      <c r="P23" s="1079"/>
      <c r="Q23" s="1430">
        <v>0</v>
      </c>
      <c r="R23" s="1430">
        <v>0</v>
      </c>
      <c r="S23" s="1430">
        <v>0</v>
      </c>
    </row>
    <row r="24" spans="1:19">
      <c r="A24" s="1107">
        <f t="shared" si="4"/>
        <v>2.0799999999999983</v>
      </c>
      <c r="B24" s="875" t="s">
        <v>945</v>
      </c>
      <c r="C24" s="1079">
        <f t="shared" si="0"/>
        <v>0</v>
      </c>
      <c r="D24" s="1079">
        <f t="shared" si="1"/>
        <v>0</v>
      </c>
      <c r="E24" s="1079"/>
      <c r="F24" s="1079"/>
      <c r="G24" s="1079">
        <f t="shared" si="2"/>
        <v>0</v>
      </c>
      <c r="H24" s="1079"/>
      <c r="I24" s="1079">
        <f t="shared" si="3"/>
        <v>0</v>
      </c>
      <c r="J24" s="1079">
        <f t="shared" si="3"/>
        <v>0</v>
      </c>
      <c r="K24" s="1079">
        <f t="shared" si="3"/>
        <v>0</v>
      </c>
      <c r="L24" s="1079"/>
      <c r="M24" s="875">
        <v>0</v>
      </c>
      <c r="N24" s="875">
        <v>0</v>
      </c>
      <c r="O24" s="875">
        <v>0</v>
      </c>
      <c r="P24" s="1079"/>
      <c r="Q24" s="1430">
        <v>0</v>
      </c>
      <c r="R24" s="1430">
        <v>0</v>
      </c>
      <c r="S24" s="1430">
        <v>0</v>
      </c>
    </row>
    <row r="25" spans="1:19">
      <c r="A25" s="1107">
        <f t="shared" si="4"/>
        <v>2.0899999999999981</v>
      </c>
      <c r="B25" s="875" t="s">
        <v>946</v>
      </c>
      <c r="C25" s="1079">
        <f t="shared" si="0"/>
        <v>37450.39</v>
      </c>
      <c r="D25" s="1079">
        <f t="shared" si="1"/>
        <v>0</v>
      </c>
      <c r="E25" s="1079"/>
      <c r="F25" s="1079"/>
      <c r="G25" s="1079">
        <f t="shared" si="2"/>
        <v>18725</v>
      </c>
      <c r="H25" s="1079"/>
      <c r="I25" s="1079">
        <f t="shared" si="3"/>
        <v>0</v>
      </c>
      <c r="J25" s="1079">
        <f t="shared" si="3"/>
        <v>-0.09</v>
      </c>
      <c r="K25" s="1079">
        <f t="shared" si="3"/>
        <v>18725.285</v>
      </c>
      <c r="L25" s="1079"/>
      <c r="M25" s="875">
        <v>0</v>
      </c>
      <c r="N25" s="875">
        <v>-0.18</v>
      </c>
      <c r="O25" s="875">
        <v>37450.57</v>
      </c>
      <c r="P25" s="1079"/>
      <c r="Q25" s="1430">
        <v>0</v>
      </c>
      <c r="R25" s="1430">
        <v>0</v>
      </c>
      <c r="S25" s="1430">
        <v>0</v>
      </c>
    </row>
    <row r="26" spans="1:19">
      <c r="A26" s="1107">
        <f t="shared" si="4"/>
        <v>2.0999999999999979</v>
      </c>
      <c r="B26" s="875" t="s">
        <v>947</v>
      </c>
      <c r="C26" s="1079">
        <f t="shared" si="0"/>
        <v>84138.43</v>
      </c>
      <c r="D26" s="1079">
        <f t="shared" si="1"/>
        <v>0</v>
      </c>
      <c r="E26" s="1079"/>
      <c r="F26" s="1079"/>
      <c r="G26" s="1079">
        <f t="shared" si="2"/>
        <v>42069</v>
      </c>
      <c r="H26" s="1079"/>
      <c r="I26" s="1079">
        <f t="shared" si="3"/>
        <v>0</v>
      </c>
      <c r="J26" s="1079">
        <f t="shared" si="3"/>
        <v>5.0000000000000001E-3</v>
      </c>
      <c r="K26" s="1079">
        <f t="shared" si="3"/>
        <v>42069.21</v>
      </c>
      <c r="L26" s="1079"/>
      <c r="M26" s="875">
        <v>0</v>
      </c>
      <c r="N26" s="875">
        <v>0.01</v>
      </c>
      <c r="O26" s="875">
        <v>84138.42</v>
      </c>
      <c r="P26" s="1079"/>
      <c r="Q26" s="1430">
        <v>0</v>
      </c>
      <c r="R26" s="1430">
        <v>0</v>
      </c>
      <c r="S26" s="1430">
        <v>0</v>
      </c>
    </row>
    <row r="27" spans="1:19">
      <c r="A27" s="1107">
        <f t="shared" si="4"/>
        <v>2.1099999999999977</v>
      </c>
      <c r="B27" s="875" t="s">
        <v>1107</v>
      </c>
      <c r="C27" s="1079">
        <f t="shared" si="0"/>
        <v>-0.01</v>
      </c>
      <c r="D27" s="1079">
        <f t="shared" si="1"/>
        <v>0</v>
      </c>
      <c r="E27" s="1079"/>
      <c r="F27" s="1079"/>
      <c r="G27" s="1079">
        <f t="shared" si="2"/>
        <v>0</v>
      </c>
      <c r="H27" s="1079"/>
      <c r="I27" s="1079">
        <f t="shared" si="3"/>
        <v>0</v>
      </c>
      <c r="J27" s="1079">
        <f t="shared" si="3"/>
        <v>-5.0000000000000001E-3</v>
      </c>
      <c r="K27" s="1079">
        <f t="shared" si="3"/>
        <v>0</v>
      </c>
      <c r="L27" s="1079"/>
      <c r="M27" s="875">
        <v>0</v>
      </c>
      <c r="N27" s="875">
        <v>-0.01</v>
      </c>
      <c r="O27" s="875">
        <v>0</v>
      </c>
      <c r="P27" s="1079"/>
      <c r="Q27" s="1430">
        <v>0</v>
      </c>
      <c r="R27" s="1430">
        <v>0</v>
      </c>
      <c r="S27" s="1430">
        <v>0</v>
      </c>
    </row>
    <row r="28" spans="1:19">
      <c r="A28" s="1107">
        <f t="shared" si="4"/>
        <v>2.1199999999999974</v>
      </c>
      <c r="B28" s="875" t="s">
        <v>948</v>
      </c>
      <c r="C28" s="1079">
        <f t="shared" si="0"/>
        <v>0.04</v>
      </c>
      <c r="D28" s="1079">
        <f t="shared" si="1"/>
        <v>0</v>
      </c>
      <c r="E28" s="1079"/>
      <c r="F28" s="1079"/>
      <c r="G28" s="1079">
        <f t="shared" si="2"/>
        <v>0</v>
      </c>
      <c r="H28" s="1079"/>
      <c r="I28" s="1079">
        <f t="shared" si="3"/>
        <v>0</v>
      </c>
      <c r="J28" s="1079">
        <f t="shared" si="3"/>
        <v>0.02</v>
      </c>
      <c r="K28" s="1079">
        <f t="shared" si="3"/>
        <v>0</v>
      </c>
      <c r="L28" s="1079"/>
      <c r="M28" s="875">
        <v>0</v>
      </c>
      <c r="N28" s="875">
        <v>0.04</v>
      </c>
      <c r="O28" s="875">
        <v>0</v>
      </c>
      <c r="P28" s="1079"/>
      <c r="Q28" s="1430">
        <v>0</v>
      </c>
      <c r="R28" s="1430">
        <v>0</v>
      </c>
      <c r="S28" s="1430">
        <v>0</v>
      </c>
    </row>
    <row r="29" spans="1:19">
      <c r="A29" s="1107">
        <f t="shared" si="4"/>
        <v>2.1299999999999972</v>
      </c>
      <c r="B29" s="875" t="s">
        <v>949</v>
      </c>
      <c r="C29" s="1079">
        <f t="shared" si="0"/>
        <v>0</v>
      </c>
      <c r="D29" s="1079">
        <f t="shared" si="1"/>
        <v>0</v>
      </c>
      <c r="E29" s="1079"/>
      <c r="F29" s="1079"/>
      <c r="G29" s="1079">
        <f t="shared" si="2"/>
        <v>0</v>
      </c>
      <c r="H29" s="1079"/>
      <c r="I29" s="1079">
        <f t="shared" si="3"/>
        <v>0</v>
      </c>
      <c r="J29" s="1079">
        <f t="shared" si="3"/>
        <v>0</v>
      </c>
      <c r="K29" s="1079">
        <f t="shared" si="3"/>
        <v>0</v>
      </c>
      <c r="L29" s="1079"/>
      <c r="M29" s="875">
        <v>0</v>
      </c>
      <c r="N29" s="875">
        <v>0</v>
      </c>
      <c r="O29" s="875">
        <v>0</v>
      </c>
      <c r="P29" s="1079"/>
      <c r="Q29" s="1430">
        <v>0</v>
      </c>
      <c r="R29" s="1430">
        <v>0</v>
      </c>
      <c r="S29" s="1430">
        <v>0</v>
      </c>
    </row>
    <row r="30" spans="1:19">
      <c r="A30" s="1107">
        <f t="shared" si="4"/>
        <v>2.139999999999997</v>
      </c>
      <c r="B30" s="875" t="s">
        <v>950</v>
      </c>
      <c r="C30" s="1079">
        <f t="shared" si="0"/>
        <v>0</v>
      </c>
      <c r="D30" s="1079">
        <f t="shared" si="1"/>
        <v>0</v>
      </c>
      <c r="E30" s="1079"/>
      <c r="F30" s="1079"/>
      <c r="G30" s="1079">
        <f t="shared" si="2"/>
        <v>0</v>
      </c>
      <c r="H30" s="1079"/>
      <c r="I30" s="1079">
        <f t="shared" si="3"/>
        <v>0</v>
      </c>
      <c r="J30" s="1079">
        <f t="shared" si="3"/>
        <v>0</v>
      </c>
      <c r="K30" s="1079">
        <f t="shared" si="3"/>
        <v>0</v>
      </c>
      <c r="L30" s="1079"/>
      <c r="M30" s="875">
        <v>0</v>
      </c>
      <c r="N30" s="875">
        <v>0</v>
      </c>
      <c r="O30" s="875">
        <v>0</v>
      </c>
      <c r="P30" s="1079"/>
      <c r="Q30" s="1430">
        <v>0</v>
      </c>
      <c r="R30" s="1430">
        <v>0</v>
      </c>
      <c r="S30" s="1430">
        <v>0</v>
      </c>
    </row>
    <row r="31" spans="1:19">
      <c r="A31" s="1107">
        <f t="shared" si="4"/>
        <v>2.1499999999999968</v>
      </c>
      <c r="B31" s="875" t="s">
        <v>951</v>
      </c>
      <c r="C31" s="1079">
        <f t="shared" si="0"/>
        <v>0</v>
      </c>
      <c r="D31" s="1079">
        <f t="shared" si="1"/>
        <v>0</v>
      </c>
      <c r="E31" s="1079"/>
      <c r="F31" s="1079"/>
      <c r="G31" s="1079">
        <f t="shared" si="2"/>
        <v>0</v>
      </c>
      <c r="H31" s="1079"/>
      <c r="I31" s="1079">
        <f t="shared" si="3"/>
        <v>0</v>
      </c>
      <c r="J31" s="1079">
        <f t="shared" si="3"/>
        <v>0</v>
      </c>
      <c r="K31" s="1079">
        <f t="shared" si="3"/>
        <v>0</v>
      </c>
      <c r="L31" s="1079"/>
      <c r="M31" s="875">
        <v>0</v>
      </c>
      <c r="N31" s="875">
        <v>0</v>
      </c>
      <c r="O31" s="875">
        <v>0</v>
      </c>
      <c r="P31" s="1079"/>
      <c r="Q31" s="1430">
        <v>0</v>
      </c>
      <c r="R31" s="1430">
        <v>0</v>
      </c>
      <c r="S31" s="1430">
        <v>0</v>
      </c>
    </row>
    <row r="32" spans="1:19">
      <c r="A32" s="1107">
        <f t="shared" si="4"/>
        <v>2.1599999999999966</v>
      </c>
      <c r="B32" s="875" t="s">
        <v>1108</v>
      </c>
      <c r="C32" s="1079">
        <f t="shared" ref="C32" si="5">SUM(M32:O32)</f>
        <v>0</v>
      </c>
      <c r="D32" s="1079">
        <f t="shared" ref="D32" si="6">SUM(Q32:S32)</f>
        <v>0</v>
      </c>
      <c r="E32" s="1079"/>
      <c r="F32" s="1079"/>
      <c r="G32" s="1079">
        <f t="shared" ref="G32" si="7">ROUND(SUM(C32:F32)/2,0)</f>
        <v>0</v>
      </c>
      <c r="H32" s="1079"/>
      <c r="I32" s="1079">
        <f t="shared" ref="I32" si="8">(M32+Q32)/2</f>
        <v>0</v>
      </c>
      <c r="J32" s="1079">
        <f t="shared" ref="J32" si="9">(N32+R32)/2</f>
        <v>0</v>
      </c>
      <c r="K32" s="1079">
        <f t="shared" ref="K32" si="10">(O32+S32)/2</f>
        <v>0</v>
      </c>
      <c r="L32" s="1079"/>
      <c r="M32" s="875">
        <v>0</v>
      </c>
      <c r="N32" s="875">
        <v>0</v>
      </c>
      <c r="O32" s="875">
        <v>0</v>
      </c>
      <c r="P32" s="1079"/>
      <c r="Q32" s="1430">
        <v>0</v>
      </c>
      <c r="R32" s="1430">
        <v>0</v>
      </c>
      <c r="S32" s="1430">
        <v>0</v>
      </c>
    </row>
    <row r="33" spans="1:19">
      <c r="A33" s="1107">
        <f t="shared" si="4"/>
        <v>2.1699999999999964</v>
      </c>
      <c r="B33" s="875" t="s">
        <v>952</v>
      </c>
      <c r="C33" s="1079">
        <f t="shared" si="0"/>
        <v>0</v>
      </c>
      <c r="D33" s="1079">
        <f t="shared" si="1"/>
        <v>0</v>
      </c>
      <c r="E33" s="1079"/>
      <c r="F33" s="1079"/>
      <c r="G33" s="1079">
        <f t="shared" si="2"/>
        <v>0</v>
      </c>
      <c r="H33" s="1079"/>
      <c r="I33" s="1079">
        <f t="shared" si="3"/>
        <v>0</v>
      </c>
      <c r="J33" s="1079">
        <f t="shared" si="3"/>
        <v>0</v>
      </c>
      <c r="K33" s="1079">
        <f t="shared" si="3"/>
        <v>0</v>
      </c>
      <c r="L33" s="1079"/>
      <c r="M33" s="875">
        <v>0</v>
      </c>
      <c r="N33" s="875">
        <v>0</v>
      </c>
      <c r="O33" s="875">
        <v>0</v>
      </c>
      <c r="P33" s="1079"/>
      <c r="Q33" s="1430">
        <v>0</v>
      </c>
      <c r="R33" s="1430">
        <v>0</v>
      </c>
      <c r="S33" s="1430">
        <v>0</v>
      </c>
    </row>
    <row r="34" spans="1:19">
      <c r="A34" s="1107">
        <f t="shared" si="4"/>
        <v>2.1799999999999962</v>
      </c>
      <c r="B34" s="875" t="s">
        <v>953</v>
      </c>
      <c r="C34" s="1079">
        <f t="shared" si="0"/>
        <v>33228.269999999997</v>
      </c>
      <c r="D34" s="1079">
        <f t="shared" si="1"/>
        <v>0</v>
      </c>
      <c r="E34" s="1079"/>
      <c r="F34" s="1079"/>
      <c r="G34" s="1079">
        <f t="shared" si="2"/>
        <v>16614</v>
      </c>
      <c r="H34" s="1079"/>
      <c r="I34" s="1079">
        <f t="shared" si="3"/>
        <v>0</v>
      </c>
      <c r="J34" s="1079">
        <f t="shared" si="3"/>
        <v>234.27</v>
      </c>
      <c r="K34" s="1079">
        <f t="shared" si="3"/>
        <v>16379.865</v>
      </c>
      <c r="L34" s="1079"/>
      <c r="M34" s="875">
        <v>0</v>
      </c>
      <c r="N34" s="875">
        <v>468.54</v>
      </c>
      <c r="O34" s="875">
        <v>32759.73</v>
      </c>
      <c r="P34" s="1079"/>
      <c r="Q34" s="1430">
        <v>0</v>
      </c>
      <c r="R34" s="1430">
        <v>0</v>
      </c>
      <c r="S34" s="1430">
        <v>0</v>
      </c>
    </row>
    <row r="35" spans="1:19">
      <c r="A35" s="1107">
        <f t="shared" si="4"/>
        <v>2.1899999999999959</v>
      </c>
      <c r="B35" s="875" t="s">
        <v>954</v>
      </c>
      <c r="C35" s="1079">
        <f t="shared" si="0"/>
        <v>-208.37</v>
      </c>
      <c r="D35" s="1079">
        <f t="shared" si="1"/>
        <v>0</v>
      </c>
      <c r="E35" s="1079"/>
      <c r="F35" s="1079"/>
      <c r="G35" s="1079">
        <f t="shared" si="2"/>
        <v>-104</v>
      </c>
      <c r="H35" s="1079"/>
      <c r="I35" s="1079">
        <f t="shared" si="3"/>
        <v>0</v>
      </c>
      <c r="J35" s="1079">
        <f t="shared" si="3"/>
        <v>-150.15</v>
      </c>
      <c r="K35" s="1079">
        <f t="shared" si="3"/>
        <v>45.965000000000003</v>
      </c>
      <c r="L35" s="1079"/>
      <c r="M35" s="875">
        <v>0</v>
      </c>
      <c r="N35" s="875">
        <v>-300.3</v>
      </c>
      <c r="O35" s="875">
        <v>91.93</v>
      </c>
      <c r="P35" s="1079"/>
      <c r="Q35" s="1430">
        <v>0</v>
      </c>
      <c r="R35" s="1430">
        <v>0</v>
      </c>
      <c r="S35" s="1430">
        <v>0</v>
      </c>
    </row>
    <row r="36" spans="1:19">
      <c r="A36" s="1107">
        <f t="shared" si="4"/>
        <v>2.1999999999999957</v>
      </c>
      <c r="B36" s="875" t="s">
        <v>955</v>
      </c>
      <c r="C36" s="1079">
        <f t="shared" si="0"/>
        <v>117200.58</v>
      </c>
      <c r="D36" s="1079">
        <f t="shared" si="1"/>
        <v>0</v>
      </c>
      <c r="E36" s="1079"/>
      <c r="F36" s="1079"/>
      <c r="G36" s="1079">
        <f t="shared" si="2"/>
        <v>58600</v>
      </c>
      <c r="H36" s="1079"/>
      <c r="I36" s="1079">
        <f t="shared" si="3"/>
        <v>0</v>
      </c>
      <c r="J36" s="1079">
        <f t="shared" si="3"/>
        <v>-1442.7</v>
      </c>
      <c r="K36" s="1079">
        <f t="shared" si="3"/>
        <v>60042.99</v>
      </c>
      <c r="L36" s="1079"/>
      <c r="M36" s="875">
        <v>0</v>
      </c>
      <c r="N36" s="875">
        <v>-2885.4</v>
      </c>
      <c r="O36" s="875">
        <v>120085.98</v>
      </c>
      <c r="P36" s="1079"/>
      <c r="Q36" s="1430">
        <v>0</v>
      </c>
      <c r="R36" s="1430">
        <v>0</v>
      </c>
      <c r="S36" s="1430">
        <v>0</v>
      </c>
    </row>
    <row r="37" spans="1:19">
      <c r="A37" s="1107">
        <f t="shared" si="4"/>
        <v>2.2099999999999955</v>
      </c>
      <c r="B37" s="875" t="s">
        <v>956</v>
      </c>
      <c r="C37" s="1079">
        <f t="shared" si="0"/>
        <v>-455789.23000000004</v>
      </c>
      <c r="D37" s="1079">
        <f t="shared" si="1"/>
        <v>0</v>
      </c>
      <c r="E37" s="1079"/>
      <c r="F37" s="1079"/>
      <c r="G37" s="1079">
        <f t="shared" si="2"/>
        <v>-227895</v>
      </c>
      <c r="H37" s="1079"/>
      <c r="I37" s="1079">
        <f t="shared" si="3"/>
        <v>0</v>
      </c>
      <c r="J37" s="1079">
        <f t="shared" si="3"/>
        <v>-59275.224999999999</v>
      </c>
      <c r="K37" s="1079">
        <f t="shared" si="3"/>
        <v>-168619.39</v>
      </c>
      <c r="L37" s="1079"/>
      <c r="M37" s="875">
        <v>0</v>
      </c>
      <c r="N37" s="875">
        <v>-118550.45</v>
      </c>
      <c r="O37" s="875">
        <v>-337238.78</v>
      </c>
      <c r="P37" s="1079"/>
      <c r="Q37" s="1430">
        <v>0</v>
      </c>
      <c r="R37" s="1430">
        <v>0</v>
      </c>
      <c r="S37" s="1430">
        <v>0</v>
      </c>
    </row>
    <row r="38" spans="1:19">
      <c r="A38" s="1107">
        <f t="shared" si="4"/>
        <v>2.2199999999999953</v>
      </c>
      <c r="B38" s="875" t="s">
        <v>957</v>
      </c>
      <c r="C38" s="1079">
        <f t="shared" si="0"/>
        <v>207084.15</v>
      </c>
      <c r="D38" s="1079">
        <f t="shared" si="1"/>
        <v>0</v>
      </c>
      <c r="E38" s="1079"/>
      <c r="F38" s="1079"/>
      <c r="G38" s="1079">
        <f t="shared" si="2"/>
        <v>103542</v>
      </c>
      <c r="H38" s="1079"/>
      <c r="I38" s="1079">
        <f t="shared" si="3"/>
        <v>0</v>
      </c>
      <c r="J38" s="1079">
        <f t="shared" si="3"/>
        <v>16193.73</v>
      </c>
      <c r="K38" s="1079">
        <f t="shared" si="3"/>
        <v>87348.345000000001</v>
      </c>
      <c r="L38" s="1079"/>
      <c r="M38" s="875">
        <v>0</v>
      </c>
      <c r="N38" s="875">
        <v>32387.46</v>
      </c>
      <c r="O38" s="875">
        <v>174696.69</v>
      </c>
      <c r="P38" s="1079"/>
      <c r="Q38" s="1430">
        <v>0</v>
      </c>
      <c r="R38" s="1430">
        <v>0</v>
      </c>
      <c r="S38" s="1430">
        <v>0</v>
      </c>
    </row>
    <row r="39" spans="1:19">
      <c r="A39" s="1107">
        <f t="shared" si="4"/>
        <v>2.2299999999999951</v>
      </c>
      <c r="B39" s="875" t="s">
        <v>958</v>
      </c>
      <c r="C39" s="1079">
        <f t="shared" si="0"/>
        <v>38243.310000000005</v>
      </c>
      <c r="D39" s="1079">
        <f t="shared" si="1"/>
        <v>0</v>
      </c>
      <c r="E39" s="1079"/>
      <c r="F39" s="1079"/>
      <c r="G39" s="1079">
        <f t="shared" si="2"/>
        <v>19122</v>
      </c>
      <c r="H39" s="1079"/>
      <c r="I39" s="1079">
        <f t="shared" si="3"/>
        <v>0</v>
      </c>
      <c r="J39" s="1079">
        <f t="shared" si="3"/>
        <v>29171.100000000002</v>
      </c>
      <c r="K39" s="1079">
        <f t="shared" si="3"/>
        <v>-10049.445</v>
      </c>
      <c r="L39" s="1079"/>
      <c r="M39" s="875">
        <v>0</v>
      </c>
      <c r="N39" s="875">
        <v>58342.200000000004</v>
      </c>
      <c r="O39" s="875">
        <v>-20098.89</v>
      </c>
      <c r="P39" s="1079"/>
      <c r="Q39" s="1430">
        <v>0</v>
      </c>
      <c r="R39" s="1430">
        <v>0</v>
      </c>
      <c r="S39" s="1430">
        <v>0</v>
      </c>
    </row>
    <row r="40" spans="1:19">
      <c r="A40" s="1107">
        <f t="shared" si="4"/>
        <v>2.2399999999999949</v>
      </c>
      <c r="B40" s="875" t="s">
        <v>959</v>
      </c>
      <c r="C40" s="1079">
        <f t="shared" ref="C40:C44" si="11">SUM(M40:O40)</f>
        <v>40162.5</v>
      </c>
      <c r="D40" s="1079">
        <f t="shared" ref="D40:D44" si="12">SUM(Q40:S40)</f>
        <v>0</v>
      </c>
      <c r="E40" s="1079"/>
      <c r="F40" s="1079"/>
      <c r="G40" s="1079">
        <f t="shared" ref="G40:G44" si="13">ROUND(SUM(C40:F40)/2,0)</f>
        <v>20081</v>
      </c>
      <c r="H40" s="1079"/>
      <c r="I40" s="1079">
        <f t="shared" si="3"/>
        <v>0</v>
      </c>
      <c r="J40" s="1079">
        <f t="shared" si="3"/>
        <v>1.4999999999999999E-2</v>
      </c>
      <c r="K40" s="1079">
        <f t="shared" si="3"/>
        <v>20081.235000000001</v>
      </c>
      <c r="L40" s="1079"/>
      <c r="M40" s="875">
        <v>0</v>
      </c>
      <c r="N40" s="875">
        <v>0.03</v>
      </c>
      <c r="O40" s="875">
        <v>40162.47</v>
      </c>
      <c r="P40" s="1079"/>
      <c r="Q40" s="1430">
        <v>0</v>
      </c>
      <c r="R40" s="1430">
        <v>0</v>
      </c>
      <c r="S40" s="1430">
        <v>0</v>
      </c>
    </row>
    <row r="41" spans="1:19">
      <c r="A41" s="1107">
        <f t="shared" si="4"/>
        <v>2.2499999999999947</v>
      </c>
      <c r="B41" s="875" t="s">
        <v>1109</v>
      </c>
      <c r="C41" s="1079">
        <f t="shared" si="11"/>
        <v>614.84</v>
      </c>
      <c r="D41" s="1079">
        <f t="shared" si="12"/>
        <v>0</v>
      </c>
      <c r="E41" s="1079"/>
      <c r="F41" s="1079"/>
      <c r="G41" s="1079">
        <f t="shared" si="13"/>
        <v>307</v>
      </c>
      <c r="H41" s="1079"/>
      <c r="I41" s="1079">
        <f t="shared" si="3"/>
        <v>0</v>
      </c>
      <c r="J41" s="1079">
        <f t="shared" si="3"/>
        <v>0</v>
      </c>
      <c r="K41" s="1079">
        <f t="shared" si="3"/>
        <v>307.42</v>
      </c>
      <c r="L41" s="1079"/>
      <c r="M41" s="875">
        <v>0</v>
      </c>
      <c r="N41" s="875">
        <v>0</v>
      </c>
      <c r="O41" s="875">
        <v>614.84</v>
      </c>
      <c r="P41" s="1079"/>
      <c r="Q41" s="1430">
        <v>0</v>
      </c>
      <c r="R41" s="1430">
        <v>0</v>
      </c>
      <c r="S41" s="1430">
        <v>0</v>
      </c>
    </row>
    <row r="42" spans="1:19">
      <c r="A42" s="1107">
        <f>A41+0.01</f>
        <v>2.2599999999999945</v>
      </c>
      <c r="B42" s="875" t="s">
        <v>1015</v>
      </c>
      <c r="C42" s="1079">
        <f t="shared" si="11"/>
        <v>408911.24</v>
      </c>
      <c r="D42" s="1079">
        <f t="shared" si="12"/>
        <v>0</v>
      </c>
      <c r="E42" s="1079"/>
      <c r="F42" s="1079"/>
      <c r="G42" s="1079">
        <f t="shared" si="13"/>
        <v>204456</v>
      </c>
      <c r="H42" s="1079"/>
      <c r="I42" s="1079">
        <f t="shared" ref="I42" si="14">(M42+Q42)/2</f>
        <v>0</v>
      </c>
      <c r="J42" s="1079">
        <f t="shared" ref="J42" si="15">(N42+R42)/2</f>
        <v>0</v>
      </c>
      <c r="K42" s="1079">
        <f t="shared" ref="K42" si="16">(O42+S42)/2</f>
        <v>204455.62</v>
      </c>
      <c r="L42" s="1079"/>
      <c r="M42" s="875">
        <v>0</v>
      </c>
      <c r="N42" s="875">
        <v>0</v>
      </c>
      <c r="O42" s="875">
        <v>408911.24</v>
      </c>
      <c r="P42" s="1079"/>
      <c r="Q42" s="1430">
        <v>0</v>
      </c>
      <c r="R42" s="1430">
        <v>0</v>
      </c>
      <c r="S42" s="1430">
        <v>0</v>
      </c>
    </row>
    <row r="43" spans="1:19">
      <c r="A43" s="1107">
        <f t="shared" si="4"/>
        <v>2.2699999999999942</v>
      </c>
      <c r="B43" s="875" t="s">
        <v>960</v>
      </c>
      <c r="C43" s="1079">
        <f t="shared" si="11"/>
        <v>0</v>
      </c>
      <c r="D43" s="1079">
        <f t="shared" si="12"/>
        <v>0</v>
      </c>
      <c r="E43" s="1079"/>
      <c r="F43" s="1079"/>
      <c r="G43" s="1079">
        <f t="shared" si="13"/>
        <v>0</v>
      </c>
      <c r="H43" s="1079"/>
      <c r="I43" s="1079">
        <f t="shared" si="3"/>
        <v>0</v>
      </c>
      <c r="J43" s="1079">
        <f t="shared" si="3"/>
        <v>0</v>
      </c>
      <c r="K43" s="1079">
        <f t="shared" si="3"/>
        <v>0</v>
      </c>
      <c r="L43" s="1079"/>
      <c r="M43" s="875">
        <v>0</v>
      </c>
      <c r="N43" s="875">
        <v>0</v>
      </c>
      <c r="O43" s="875">
        <v>0</v>
      </c>
      <c r="P43" s="1079"/>
      <c r="Q43" s="1430">
        <v>0</v>
      </c>
      <c r="R43" s="1430">
        <v>0</v>
      </c>
      <c r="S43" s="1430">
        <v>0</v>
      </c>
    </row>
    <row r="44" spans="1:19">
      <c r="A44" s="1107">
        <f t="shared" si="4"/>
        <v>2.279999999999994</v>
      </c>
      <c r="B44" s="875" t="s">
        <v>961</v>
      </c>
      <c r="C44" s="1079">
        <f t="shared" si="11"/>
        <v>0</v>
      </c>
      <c r="D44" s="1079">
        <f t="shared" si="12"/>
        <v>0</v>
      </c>
      <c r="E44" s="1079"/>
      <c r="F44" s="1079"/>
      <c r="G44" s="1079">
        <f t="shared" si="13"/>
        <v>0</v>
      </c>
      <c r="H44" s="1079"/>
      <c r="I44" s="1079">
        <f t="shared" si="3"/>
        <v>0</v>
      </c>
      <c r="J44" s="1079">
        <f t="shared" si="3"/>
        <v>0</v>
      </c>
      <c r="K44" s="1079">
        <f t="shared" si="3"/>
        <v>0</v>
      </c>
      <c r="L44" s="1079"/>
      <c r="M44" s="875">
        <v>0</v>
      </c>
      <c r="N44" s="875">
        <v>0</v>
      </c>
      <c r="O44" s="875">
        <v>0</v>
      </c>
      <c r="P44" s="1079"/>
      <c r="Q44" s="1430">
        <v>0</v>
      </c>
      <c r="R44" s="1430">
        <v>0</v>
      </c>
      <c r="S44" s="1430">
        <v>0</v>
      </c>
    </row>
    <row r="45" spans="1:19">
      <c r="A45" s="1107">
        <f t="shared" si="4"/>
        <v>2.2899999999999938</v>
      </c>
      <c r="B45" s="875" t="s">
        <v>962</v>
      </c>
      <c r="C45" s="1079">
        <f t="shared" si="0"/>
        <v>0</v>
      </c>
      <c r="D45" s="1079">
        <f t="shared" si="1"/>
        <v>0</v>
      </c>
      <c r="E45" s="1079"/>
      <c r="F45" s="1079"/>
      <c r="G45" s="1079">
        <f t="shared" si="2"/>
        <v>0</v>
      </c>
      <c r="H45" s="1079"/>
      <c r="I45" s="1079">
        <f t="shared" si="3"/>
        <v>0</v>
      </c>
      <c r="J45" s="1079">
        <f t="shared" si="3"/>
        <v>0</v>
      </c>
      <c r="K45" s="1079">
        <f t="shared" si="3"/>
        <v>0</v>
      </c>
      <c r="L45" s="1079"/>
      <c r="M45" s="875">
        <v>0</v>
      </c>
      <c r="N45" s="875">
        <v>0</v>
      </c>
      <c r="O45" s="875">
        <v>0</v>
      </c>
      <c r="P45" s="1079"/>
      <c r="Q45" s="1430">
        <v>0</v>
      </c>
      <c r="R45" s="1430">
        <v>0</v>
      </c>
      <c r="S45" s="1430">
        <v>0</v>
      </c>
    </row>
    <row r="46" spans="1:19">
      <c r="A46" s="1107">
        <f t="shared" si="4"/>
        <v>2.2999999999999936</v>
      </c>
      <c r="B46" s="875" t="s">
        <v>963</v>
      </c>
      <c r="C46" s="1079">
        <f t="shared" si="0"/>
        <v>0</v>
      </c>
      <c r="D46" s="1079">
        <f t="shared" si="1"/>
        <v>0</v>
      </c>
      <c r="E46" s="1079"/>
      <c r="F46" s="1079"/>
      <c r="G46" s="1079">
        <f t="shared" si="2"/>
        <v>0</v>
      </c>
      <c r="H46" s="1079"/>
      <c r="I46" s="1079">
        <f t="shared" si="3"/>
        <v>0</v>
      </c>
      <c r="J46" s="1079">
        <f t="shared" si="3"/>
        <v>0</v>
      </c>
      <c r="K46" s="1079">
        <f t="shared" si="3"/>
        <v>0</v>
      </c>
      <c r="L46" s="1079"/>
      <c r="M46" s="875">
        <v>0</v>
      </c>
      <c r="N46" s="875">
        <v>0</v>
      </c>
      <c r="O46" s="875">
        <v>0</v>
      </c>
      <c r="P46" s="1079"/>
      <c r="Q46" s="1430">
        <v>0</v>
      </c>
      <c r="R46" s="1430">
        <v>0</v>
      </c>
      <c r="S46" s="1430">
        <v>0</v>
      </c>
    </row>
    <row r="47" spans="1:19">
      <c r="A47" s="1107">
        <f t="shared" si="4"/>
        <v>2.3099999999999934</v>
      </c>
      <c r="B47" s="875" t="s">
        <v>964</v>
      </c>
      <c r="C47" s="1079">
        <f t="shared" si="0"/>
        <v>0.04</v>
      </c>
      <c r="D47" s="1079">
        <f t="shared" si="1"/>
        <v>0</v>
      </c>
      <c r="E47" s="1079"/>
      <c r="F47" s="1079"/>
      <c r="G47" s="1079">
        <f t="shared" si="2"/>
        <v>0</v>
      </c>
      <c r="H47" s="1079"/>
      <c r="I47" s="1079">
        <f t="shared" si="3"/>
        <v>0</v>
      </c>
      <c r="J47" s="1079">
        <f t="shared" si="3"/>
        <v>0</v>
      </c>
      <c r="K47" s="1079">
        <f t="shared" si="3"/>
        <v>0.02</v>
      </c>
      <c r="L47" s="1079"/>
      <c r="M47" s="875">
        <v>0</v>
      </c>
      <c r="N47" s="875">
        <v>0</v>
      </c>
      <c r="O47" s="875">
        <v>0.04</v>
      </c>
      <c r="P47" s="1079"/>
      <c r="Q47" s="1430">
        <v>0</v>
      </c>
      <c r="R47" s="1430">
        <v>0</v>
      </c>
      <c r="S47" s="1430">
        <v>0</v>
      </c>
    </row>
    <row r="48" spans="1:19">
      <c r="A48" s="1107">
        <f t="shared" si="4"/>
        <v>2.3199999999999932</v>
      </c>
      <c r="B48" s="875" t="s">
        <v>965</v>
      </c>
      <c r="C48" s="1079">
        <f t="shared" si="0"/>
        <v>0</v>
      </c>
      <c r="D48" s="1079">
        <f t="shared" si="1"/>
        <v>0</v>
      </c>
      <c r="E48" s="1079"/>
      <c r="F48" s="1079"/>
      <c r="G48" s="1079">
        <f t="shared" si="2"/>
        <v>0</v>
      </c>
      <c r="H48" s="1079"/>
      <c r="I48" s="1079">
        <f t="shared" si="3"/>
        <v>0</v>
      </c>
      <c r="J48" s="1079">
        <f t="shared" si="3"/>
        <v>0</v>
      </c>
      <c r="K48" s="1079">
        <f t="shared" si="3"/>
        <v>0</v>
      </c>
      <c r="L48" s="1079"/>
      <c r="M48" s="875">
        <v>0</v>
      </c>
      <c r="N48" s="875">
        <v>0</v>
      </c>
      <c r="O48" s="875">
        <v>0</v>
      </c>
      <c r="P48" s="1079"/>
      <c r="Q48" s="1430">
        <v>0</v>
      </c>
      <c r="R48" s="1430">
        <v>0</v>
      </c>
      <c r="S48" s="1430">
        <v>0</v>
      </c>
    </row>
    <row r="49" spans="1:19">
      <c r="A49" s="1432">
        <f t="shared" si="4"/>
        <v>2.329999999999993</v>
      </c>
      <c r="B49" s="875" t="s">
        <v>966</v>
      </c>
      <c r="C49" s="1079">
        <f t="shared" si="0"/>
        <v>0</v>
      </c>
      <c r="D49" s="1079">
        <f t="shared" si="1"/>
        <v>0</v>
      </c>
      <c r="E49" s="1079"/>
      <c r="F49" s="1079"/>
      <c r="G49" s="1079">
        <f t="shared" si="2"/>
        <v>0</v>
      </c>
      <c r="H49" s="1079"/>
      <c r="I49" s="1079">
        <f t="shared" si="3"/>
        <v>0</v>
      </c>
      <c r="J49" s="1079">
        <f t="shared" si="3"/>
        <v>0</v>
      </c>
      <c r="K49" s="1079">
        <f t="shared" si="3"/>
        <v>0</v>
      </c>
      <c r="L49" s="1079"/>
      <c r="M49" s="875">
        <v>0</v>
      </c>
      <c r="N49" s="875">
        <v>0</v>
      </c>
      <c r="O49" s="875">
        <v>0</v>
      </c>
      <c r="P49" s="1079"/>
      <c r="Q49" s="1430">
        <v>0</v>
      </c>
      <c r="R49" s="1430">
        <v>0</v>
      </c>
      <c r="S49" s="1430">
        <v>0</v>
      </c>
    </row>
    <row r="50" spans="1:19">
      <c r="A50" s="1432">
        <f t="shared" si="4"/>
        <v>2.3399999999999928</v>
      </c>
      <c r="B50" s="875" t="s">
        <v>967</v>
      </c>
      <c r="C50" s="1079">
        <f t="shared" si="0"/>
        <v>0</v>
      </c>
      <c r="D50" s="1079">
        <f t="shared" si="1"/>
        <v>0</v>
      </c>
      <c r="E50" s="1079"/>
      <c r="F50" s="1079"/>
      <c r="G50" s="1079">
        <f t="shared" si="2"/>
        <v>0</v>
      </c>
      <c r="H50" s="1079"/>
      <c r="I50" s="1079">
        <f t="shared" si="3"/>
        <v>0</v>
      </c>
      <c r="J50" s="1079">
        <f t="shared" si="3"/>
        <v>0</v>
      </c>
      <c r="K50" s="1079">
        <f t="shared" si="3"/>
        <v>0</v>
      </c>
      <c r="L50" s="1079"/>
      <c r="M50" s="1430">
        <v>0</v>
      </c>
      <c r="N50" s="1430">
        <v>0</v>
      </c>
      <c r="O50" s="1430">
        <v>0</v>
      </c>
      <c r="P50" s="1431"/>
      <c r="Q50" s="1430">
        <v>0</v>
      </c>
      <c r="R50" s="1430">
        <v>0</v>
      </c>
      <c r="S50" s="1430">
        <v>0</v>
      </c>
    </row>
    <row r="51" spans="1:19" s="1428" customFormat="1">
      <c r="A51" s="1432">
        <f t="shared" si="4"/>
        <v>2.3499999999999925</v>
      </c>
      <c r="B51" s="1430" t="s">
        <v>966</v>
      </c>
      <c r="C51" s="1431">
        <f t="shared" ref="C51" si="17">SUM(M51:O51)</f>
        <v>0</v>
      </c>
      <c r="D51" s="1431">
        <f t="shared" ref="D51" si="18">SUM(Q51:S51)</f>
        <v>0</v>
      </c>
      <c r="E51" s="1431"/>
      <c r="F51" s="1431"/>
      <c r="G51" s="1431">
        <f t="shared" ref="G51" si="19">ROUND(SUM(C51:F51)/2,0)</f>
        <v>0</v>
      </c>
      <c r="H51" s="1431"/>
      <c r="I51" s="1431">
        <f t="shared" ref="I51" si="20">(M51+Q51)/2</f>
        <v>0</v>
      </c>
      <c r="J51" s="1431">
        <f t="shared" ref="J51" si="21">(N51+R51)/2</f>
        <v>0</v>
      </c>
      <c r="K51" s="1431">
        <f t="shared" ref="K51" si="22">(O51+S51)/2</f>
        <v>0</v>
      </c>
      <c r="L51" s="1431"/>
      <c r="M51" s="1430">
        <v>0</v>
      </c>
      <c r="N51" s="1430">
        <v>0</v>
      </c>
      <c r="O51" s="1430">
        <v>0</v>
      </c>
      <c r="P51" s="1431"/>
      <c r="Q51" s="1430">
        <v>0</v>
      </c>
      <c r="R51" s="1430">
        <v>0</v>
      </c>
      <c r="S51" s="1430">
        <v>0</v>
      </c>
    </row>
    <row r="52" spans="1:19" s="1428" customFormat="1">
      <c r="A52" s="1432">
        <f t="shared" si="4"/>
        <v>2.3599999999999923</v>
      </c>
      <c r="B52" s="1430" t="s">
        <v>1226</v>
      </c>
      <c r="C52" s="1431">
        <f t="shared" ref="C52:C70" si="23">SUM(M52:O52)</f>
        <v>0</v>
      </c>
      <c r="D52" s="1431">
        <f t="shared" ref="D52:D70" si="24">SUM(Q52:S52)</f>
        <v>1180.68</v>
      </c>
      <c r="E52" s="1431"/>
      <c r="F52" s="1431"/>
      <c r="G52" s="1431">
        <f t="shared" ref="G52:G70" si="25">ROUND(SUM(C52:F52)/2,0)</f>
        <v>590</v>
      </c>
      <c r="H52" s="1431"/>
      <c r="I52" s="1431">
        <f t="shared" ref="I52:I70" si="26">(M52+Q52)/2</f>
        <v>0</v>
      </c>
      <c r="J52" s="1431">
        <f t="shared" ref="J52:J70" si="27">(N52+R52)/2</f>
        <v>590.35</v>
      </c>
      <c r="K52" s="1431">
        <f t="shared" ref="K52:K70" si="28">(O52+S52)/2</f>
        <v>-0.01</v>
      </c>
      <c r="L52" s="1431"/>
      <c r="M52" s="1430">
        <v>0</v>
      </c>
      <c r="N52" s="1430">
        <v>0</v>
      </c>
      <c r="O52" s="1430">
        <v>0</v>
      </c>
      <c r="P52" s="1431"/>
      <c r="Q52" s="1430">
        <v>0</v>
      </c>
      <c r="R52" s="1430">
        <v>1180.7</v>
      </c>
      <c r="S52" s="1430">
        <v>-0.02</v>
      </c>
    </row>
    <row r="53" spans="1:19" s="1428" customFormat="1">
      <c r="A53" s="1432">
        <f t="shared" si="4"/>
        <v>2.3699999999999921</v>
      </c>
      <c r="B53" s="1430" t="s">
        <v>1227</v>
      </c>
      <c r="C53" s="1431">
        <f t="shared" si="23"/>
        <v>0</v>
      </c>
      <c r="D53" s="1431">
        <f t="shared" si="24"/>
        <v>722352.73</v>
      </c>
      <c r="E53" s="1431"/>
      <c r="F53" s="1431"/>
      <c r="G53" s="1431">
        <f t="shared" si="25"/>
        <v>361176</v>
      </c>
      <c r="H53" s="1431"/>
      <c r="I53" s="1431">
        <f t="shared" si="26"/>
        <v>0</v>
      </c>
      <c r="J53" s="1431">
        <f t="shared" si="27"/>
        <v>120753.94</v>
      </c>
      <c r="K53" s="1431">
        <f t="shared" si="28"/>
        <v>240422.42500000002</v>
      </c>
      <c r="L53" s="1431"/>
      <c r="M53" s="1430">
        <v>0</v>
      </c>
      <c r="N53" s="1430">
        <v>0</v>
      </c>
      <c r="O53" s="1430">
        <v>0</v>
      </c>
      <c r="P53" s="1431"/>
      <c r="Q53" s="1430">
        <v>0</v>
      </c>
      <c r="R53" s="1430">
        <v>241507.88</v>
      </c>
      <c r="S53" s="1430">
        <v>480844.85000000003</v>
      </c>
    </row>
    <row r="54" spans="1:19" s="1428" customFormat="1">
      <c r="A54" s="1432">
        <f t="shared" si="4"/>
        <v>2.3799999999999919</v>
      </c>
      <c r="B54" s="1430" t="s">
        <v>1228</v>
      </c>
      <c r="C54" s="1431">
        <f t="shared" si="23"/>
        <v>0</v>
      </c>
      <c r="D54" s="1431">
        <f t="shared" si="24"/>
        <v>0</v>
      </c>
      <c r="E54" s="1431"/>
      <c r="F54" s="1431"/>
      <c r="G54" s="1431">
        <f t="shared" si="25"/>
        <v>0</v>
      </c>
      <c r="H54" s="1431"/>
      <c r="I54" s="1431">
        <f t="shared" si="26"/>
        <v>0</v>
      </c>
      <c r="J54" s="1431">
        <f t="shared" si="27"/>
        <v>0</v>
      </c>
      <c r="K54" s="1431">
        <f t="shared" si="28"/>
        <v>0</v>
      </c>
      <c r="L54" s="1431"/>
      <c r="M54" s="1430">
        <v>0</v>
      </c>
      <c r="N54" s="1430">
        <v>0</v>
      </c>
      <c r="O54" s="1430">
        <v>0</v>
      </c>
      <c r="P54" s="1431"/>
      <c r="Q54" s="1430">
        <v>0</v>
      </c>
      <c r="R54" s="1430">
        <v>0</v>
      </c>
      <c r="S54" s="1430"/>
    </row>
    <row r="55" spans="1:19" s="1428" customFormat="1">
      <c r="A55" s="1432">
        <f t="shared" si="4"/>
        <v>2.3899999999999917</v>
      </c>
      <c r="B55" s="1430" t="s">
        <v>1229</v>
      </c>
      <c r="C55" s="1431">
        <f t="shared" si="23"/>
        <v>0</v>
      </c>
      <c r="D55" s="1431">
        <f t="shared" si="24"/>
        <v>168604.64</v>
      </c>
      <c r="E55" s="1431"/>
      <c r="F55" s="1431"/>
      <c r="G55" s="1431">
        <f t="shared" si="25"/>
        <v>84302</v>
      </c>
      <c r="H55" s="1431"/>
      <c r="I55" s="1431">
        <f t="shared" si="26"/>
        <v>0</v>
      </c>
      <c r="J55" s="1431">
        <f t="shared" si="27"/>
        <v>0</v>
      </c>
      <c r="K55" s="1431">
        <f t="shared" si="28"/>
        <v>84302.32</v>
      </c>
      <c r="L55" s="1431"/>
      <c r="M55" s="1430">
        <v>0</v>
      </c>
      <c r="N55" s="1430">
        <v>0</v>
      </c>
      <c r="O55" s="1430">
        <v>0</v>
      </c>
      <c r="P55" s="1431"/>
      <c r="Q55" s="1430">
        <v>0</v>
      </c>
      <c r="R55" s="1430"/>
      <c r="S55" s="1430">
        <v>168604.64</v>
      </c>
    </row>
    <row r="56" spans="1:19" s="1428" customFormat="1">
      <c r="A56" s="1432">
        <f t="shared" si="4"/>
        <v>2.3999999999999915</v>
      </c>
      <c r="B56" s="1430" t="s">
        <v>1230</v>
      </c>
      <c r="C56" s="1431">
        <f t="shared" si="23"/>
        <v>0</v>
      </c>
      <c r="D56" s="1431">
        <f t="shared" si="24"/>
        <v>133283.19</v>
      </c>
      <c r="E56" s="1431"/>
      <c r="F56" s="1431"/>
      <c r="G56" s="1431">
        <f t="shared" si="25"/>
        <v>66642</v>
      </c>
      <c r="H56" s="1431"/>
      <c r="I56" s="1431">
        <f t="shared" si="26"/>
        <v>0</v>
      </c>
      <c r="J56" s="1431">
        <f t="shared" si="27"/>
        <v>66641.595000000001</v>
      </c>
      <c r="K56" s="1431">
        <f t="shared" si="28"/>
        <v>0</v>
      </c>
      <c r="L56" s="1431"/>
      <c r="M56" s="1430">
        <v>0</v>
      </c>
      <c r="N56" s="1430">
        <v>0</v>
      </c>
      <c r="O56" s="1430">
        <v>0</v>
      </c>
      <c r="P56" s="1431"/>
      <c r="Q56" s="1430">
        <v>0</v>
      </c>
      <c r="R56" s="1430">
        <v>133283.19</v>
      </c>
      <c r="S56" s="1430"/>
    </row>
    <row r="57" spans="1:19" s="1428" customFormat="1">
      <c r="A57" s="1432">
        <f t="shared" si="4"/>
        <v>2.4099999999999913</v>
      </c>
      <c r="B57" s="1430" t="s">
        <v>1231</v>
      </c>
      <c r="C57" s="1431">
        <f t="shared" si="23"/>
        <v>0</v>
      </c>
      <c r="D57" s="1431">
        <f t="shared" si="24"/>
        <v>-29767.27</v>
      </c>
      <c r="E57" s="1431"/>
      <c r="F57" s="1431"/>
      <c r="G57" s="1431">
        <f t="shared" si="25"/>
        <v>-14884</v>
      </c>
      <c r="H57" s="1431"/>
      <c r="I57" s="1431">
        <f t="shared" si="26"/>
        <v>0</v>
      </c>
      <c r="J57" s="1431">
        <f t="shared" si="27"/>
        <v>-584.73</v>
      </c>
      <c r="K57" s="1431">
        <f t="shared" si="28"/>
        <v>-14298.905000000001</v>
      </c>
      <c r="L57" s="1431"/>
      <c r="M57" s="1430">
        <v>0</v>
      </c>
      <c r="N57" s="1430">
        <v>0</v>
      </c>
      <c r="O57" s="1430">
        <v>0</v>
      </c>
      <c r="P57" s="1431"/>
      <c r="Q57" s="1430">
        <v>0</v>
      </c>
      <c r="R57" s="1430">
        <v>-1169.46</v>
      </c>
      <c r="S57" s="1430">
        <v>-28597.81</v>
      </c>
    </row>
    <row r="58" spans="1:19" s="1428" customFormat="1">
      <c r="A58" s="1432">
        <f t="shared" si="4"/>
        <v>2.419999999999991</v>
      </c>
      <c r="B58" s="1430" t="s">
        <v>1232</v>
      </c>
      <c r="C58" s="1431">
        <f t="shared" si="23"/>
        <v>0</v>
      </c>
      <c r="D58" s="1431">
        <f t="shared" si="24"/>
        <v>-551861.95000000007</v>
      </c>
      <c r="E58" s="1431"/>
      <c r="F58" s="1431"/>
      <c r="G58" s="1431">
        <f t="shared" si="25"/>
        <v>-275931</v>
      </c>
      <c r="H58" s="1431"/>
      <c r="I58" s="1431">
        <f t="shared" si="26"/>
        <v>0</v>
      </c>
      <c r="J58" s="1431">
        <f t="shared" si="27"/>
        <v>-43073.215000000004</v>
      </c>
      <c r="K58" s="1431">
        <f t="shared" si="28"/>
        <v>-232857.76</v>
      </c>
      <c r="L58" s="1431"/>
      <c r="M58" s="1430">
        <v>0</v>
      </c>
      <c r="N58" s="1430">
        <v>0</v>
      </c>
      <c r="O58" s="1430">
        <v>0</v>
      </c>
      <c r="P58" s="1431"/>
      <c r="Q58" s="1430">
        <v>0</v>
      </c>
      <c r="R58" s="1430">
        <v>-86146.430000000008</v>
      </c>
      <c r="S58" s="1430">
        <v>-465715.52</v>
      </c>
    </row>
    <row r="59" spans="1:19" s="1428" customFormat="1">
      <c r="A59" s="1432">
        <f t="shared" si="4"/>
        <v>2.4299999999999908</v>
      </c>
      <c r="B59" s="1430" t="s">
        <v>1233</v>
      </c>
      <c r="C59" s="1431">
        <f t="shared" si="23"/>
        <v>0</v>
      </c>
      <c r="D59" s="1431">
        <f t="shared" si="24"/>
        <v>50373.57</v>
      </c>
      <c r="E59" s="1431"/>
      <c r="F59" s="1431"/>
      <c r="G59" s="1431">
        <f t="shared" si="25"/>
        <v>25187</v>
      </c>
      <c r="H59" s="1431"/>
      <c r="I59" s="1431">
        <f t="shared" si="26"/>
        <v>0</v>
      </c>
      <c r="J59" s="1431">
        <f t="shared" si="27"/>
        <v>-0.09</v>
      </c>
      <c r="K59" s="1431">
        <f t="shared" si="28"/>
        <v>25186.875</v>
      </c>
      <c r="L59" s="1431"/>
      <c r="M59" s="1430">
        <v>0</v>
      </c>
      <c r="N59" s="1430">
        <v>0</v>
      </c>
      <c r="O59" s="1430">
        <v>0</v>
      </c>
      <c r="P59" s="1431"/>
      <c r="Q59" s="1430">
        <v>0</v>
      </c>
      <c r="R59" s="1430">
        <v>-0.18</v>
      </c>
      <c r="S59" s="1430">
        <v>50373.75</v>
      </c>
    </row>
    <row r="60" spans="1:19" s="1428" customFormat="1">
      <c r="A60" s="1432">
        <f t="shared" si="4"/>
        <v>2.4399999999999906</v>
      </c>
      <c r="B60" s="1430" t="s">
        <v>1234</v>
      </c>
      <c r="C60" s="1431">
        <f t="shared" si="23"/>
        <v>0</v>
      </c>
      <c r="D60" s="1431">
        <f t="shared" si="24"/>
        <v>65016.39</v>
      </c>
      <c r="E60" s="1431"/>
      <c r="F60" s="1431"/>
      <c r="G60" s="1431">
        <f t="shared" si="25"/>
        <v>32508</v>
      </c>
      <c r="H60" s="1431"/>
      <c r="I60" s="1431">
        <f t="shared" si="26"/>
        <v>0</v>
      </c>
      <c r="J60" s="1431">
        <f t="shared" si="27"/>
        <v>-5.0000000000000001E-3</v>
      </c>
      <c r="K60" s="1431">
        <f t="shared" si="28"/>
        <v>32508.2</v>
      </c>
      <c r="L60" s="1431"/>
      <c r="M60" s="1430">
        <v>0</v>
      </c>
      <c r="N60" s="1430">
        <v>0</v>
      </c>
      <c r="O60" s="1430">
        <v>0</v>
      </c>
      <c r="P60" s="1431"/>
      <c r="Q60" s="1430">
        <v>0</v>
      </c>
      <c r="R60" s="1430">
        <v>-0.01</v>
      </c>
      <c r="S60" s="1430">
        <v>65016.4</v>
      </c>
    </row>
    <row r="61" spans="1:19" s="1428" customFormat="1">
      <c r="A61" s="1432">
        <f t="shared" si="4"/>
        <v>2.4499999999999904</v>
      </c>
      <c r="B61" s="1430" t="s">
        <v>1235</v>
      </c>
      <c r="C61" s="1431">
        <f t="shared" si="23"/>
        <v>0</v>
      </c>
      <c r="D61" s="1431">
        <f t="shared" si="24"/>
        <v>0.04</v>
      </c>
      <c r="E61" s="1431"/>
      <c r="F61" s="1431"/>
      <c r="G61" s="1431">
        <f t="shared" si="25"/>
        <v>0</v>
      </c>
      <c r="H61" s="1431"/>
      <c r="I61" s="1431">
        <f t="shared" si="26"/>
        <v>0</v>
      </c>
      <c r="J61" s="1431">
        <f t="shared" si="27"/>
        <v>0.02</v>
      </c>
      <c r="K61" s="1431">
        <f t="shared" si="28"/>
        <v>0</v>
      </c>
      <c r="L61" s="1431"/>
      <c r="M61" s="1430">
        <v>0</v>
      </c>
      <c r="N61" s="1430">
        <v>0</v>
      </c>
      <c r="O61" s="1430">
        <v>0</v>
      </c>
      <c r="P61" s="1431"/>
      <c r="Q61" s="1430">
        <v>0</v>
      </c>
      <c r="R61" s="1430">
        <v>0.04</v>
      </c>
      <c r="S61" s="1430"/>
    </row>
    <row r="62" spans="1:19" s="1428" customFormat="1">
      <c r="A62" s="1432">
        <f t="shared" si="4"/>
        <v>2.4599999999999902</v>
      </c>
      <c r="B62" s="1430" t="s">
        <v>1236</v>
      </c>
      <c r="C62" s="1431">
        <f t="shared" si="23"/>
        <v>0</v>
      </c>
      <c r="D62" s="1431">
        <f t="shared" si="24"/>
        <v>33168.43</v>
      </c>
      <c r="E62" s="1431"/>
      <c r="F62" s="1431"/>
      <c r="G62" s="1431">
        <f t="shared" si="25"/>
        <v>16584</v>
      </c>
      <c r="H62" s="1431"/>
      <c r="I62" s="1431">
        <f t="shared" si="26"/>
        <v>0</v>
      </c>
      <c r="J62" s="1431">
        <f t="shared" si="27"/>
        <v>256.52499999999998</v>
      </c>
      <c r="K62" s="1431">
        <f t="shared" si="28"/>
        <v>16327.69</v>
      </c>
      <c r="L62" s="1431"/>
      <c r="M62" s="1430">
        <v>0</v>
      </c>
      <c r="N62" s="1430">
        <v>0</v>
      </c>
      <c r="O62" s="1430">
        <v>0</v>
      </c>
      <c r="P62" s="1431"/>
      <c r="Q62" s="1430">
        <v>0</v>
      </c>
      <c r="R62" s="1430">
        <v>513.04999999999995</v>
      </c>
      <c r="S62" s="1430">
        <v>32655.38</v>
      </c>
    </row>
    <row r="63" spans="1:19" s="1428" customFormat="1">
      <c r="A63" s="1432">
        <f t="shared" si="4"/>
        <v>2.46999999999999</v>
      </c>
      <c r="B63" s="1430" t="s">
        <v>1237</v>
      </c>
      <c r="C63" s="1431">
        <f t="shared" si="23"/>
        <v>0</v>
      </c>
      <c r="D63" s="1431">
        <f t="shared" si="24"/>
        <v>-485068.49</v>
      </c>
      <c r="E63" s="1431"/>
      <c r="F63" s="1431"/>
      <c r="G63" s="1431">
        <f t="shared" si="25"/>
        <v>-242534</v>
      </c>
      <c r="H63" s="1431"/>
      <c r="I63" s="1431">
        <f t="shared" si="26"/>
        <v>0</v>
      </c>
      <c r="J63" s="1431">
        <f t="shared" si="27"/>
        <v>-62440.56</v>
      </c>
      <c r="K63" s="1431">
        <f t="shared" si="28"/>
        <v>-180093.685</v>
      </c>
      <c r="L63" s="1431"/>
      <c r="M63" s="1430">
        <v>0</v>
      </c>
      <c r="N63" s="1430">
        <v>0</v>
      </c>
      <c r="O63" s="1430">
        <v>0</v>
      </c>
      <c r="P63" s="1431"/>
      <c r="Q63" s="1430">
        <v>0</v>
      </c>
      <c r="R63" s="1430">
        <v>-124881.12</v>
      </c>
      <c r="S63" s="1430">
        <v>-360187.37</v>
      </c>
    </row>
    <row r="64" spans="1:19" s="1428" customFormat="1">
      <c r="A64" s="1432">
        <f t="shared" si="4"/>
        <v>2.4799999999999898</v>
      </c>
      <c r="B64" s="1430" t="s">
        <v>1238</v>
      </c>
      <c r="C64" s="1431">
        <f t="shared" si="23"/>
        <v>0</v>
      </c>
      <c r="D64" s="1431">
        <f t="shared" si="24"/>
        <v>-167420.61000000002</v>
      </c>
      <c r="E64" s="1431"/>
      <c r="F64" s="1431"/>
      <c r="G64" s="1431">
        <f t="shared" si="25"/>
        <v>-83710</v>
      </c>
      <c r="H64" s="1431"/>
      <c r="I64" s="1431">
        <f t="shared" si="26"/>
        <v>0</v>
      </c>
      <c r="J64" s="1431">
        <f t="shared" si="27"/>
        <v>21760.2</v>
      </c>
      <c r="K64" s="1431">
        <f t="shared" si="28"/>
        <v>-105470.505</v>
      </c>
      <c r="L64" s="1431"/>
      <c r="M64" s="1430">
        <v>0</v>
      </c>
      <c r="N64" s="1430">
        <v>0</v>
      </c>
      <c r="O64" s="1430">
        <v>0</v>
      </c>
      <c r="P64" s="1431"/>
      <c r="Q64" s="1430">
        <v>0</v>
      </c>
      <c r="R64" s="1430">
        <v>43520.4</v>
      </c>
      <c r="S64" s="1430">
        <v>-210941.01</v>
      </c>
    </row>
    <row r="65" spans="1:21" s="1428" customFormat="1">
      <c r="A65" s="1432">
        <f t="shared" si="4"/>
        <v>2.4899999999999896</v>
      </c>
      <c r="B65" s="1430" t="s">
        <v>1239</v>
      </c>
      <c r="C65" s="1431">
        <f t="shared" si="23"/>
        <v>0</v>
      </c>
      <c r="D65" s="1431">
        <f t="shared" si="24"/>
        <v>38640.21</v>
      </c>
      <c r="E65" s="1431"/>
      <c r="F65" s="1431"/>
      <c r="G65" s="1431">
        <f t="shared" si="25"/>
        <v>19320</v>
      </c>
      <c r="H65" s="1431"/>
      <c r="I65" s="1431">
        <f t="shared" si="26"/>
        <v>0</v>
      </c>
      <c r="J65" s="1431">
        <f t="shared" si="27"/>
        <v>1.4999999999999999E-2</v>
      </c>
      <c r="K65" s="1431">
        <f t="shared" si="28"/>
        <v>19320.09</v>
      </c>
      <c r="L65" s="1431"/>
      <c r="M65" s="1430">
        <v>0</v>
      </c>
      <c r="N65" s="1430">
        <v>0</v>
      </c>
      <c r="O65" s="1430">
        <v>0</v>
      </c>
      <c r="P65" s="1431"/>
      <c r="Q65" s="1430">
        <v>0</v>
      </c>
      <c r="R65" s="1430">
        <v>0.03</v>
      </c>
      <c r="S65" s="1430">
        <v>38640.18</v>
      </c>
    </row>
    <row r="66" spans="1:21" s="1428" customFormat="1">
      <c r="A66" s="1432">
        <f t="shared" si="4"/>
        <v>2.4999999999999893</v>
      </c>
      <c r="B66" s="1430" t="s">
        <v>1240</v>
      </c>
      <c r="C66" s="1431">
        <f t="shared" si="23"/>
        <v>0</v>
      </c>
      <c r="D66" s="1431">
        <f t="shared" si="24"/>
        <v>651.66999999999996</v>
      </c>
      <c r="E66" s="1431"/>
      <c r="F66" s="1431"/>
      <c r="G66" s="1431">
        <f t="shared" si="25"/>
        <v>326</v>
      </c>
      <c r="H66" s="1431"/>
      <c r="I66" s="1431">
        <f t="shared" si="26"/>
        <v>0</v>
      </c>
      <c r="J66" s="1431">
        <f t="shared" si="27"/>
        <v>0</v>
      </c>
      <c r="K66" s="1431">
        <f t="shared" si="28"/>
        <v>325.83499999999998</v>
      </c>
      <c r="L66" s="1431"/>
      <c r="M66" s="1430">
        <v>0</v>
      </c>
      <c r="N66" s="1430">
        <v>0</v>
      </c>
      <c r="O66" s="1430">
        <v>0</v>
      </c>
      <c r="P66" s="1431"/>
      <c r="Q66" s="1430">
        <v>0</v>
      </c>
      <c r="R66" s="1430"/>
      <c r="S66" s="1430">
        <v>651.66999999999996</v>
      </c>
    </row>
    <row r="67" spans="1:21" s="1428" customFormat="1">
      <c r="A67" s="1432">
        <f t="shared" si="4"/>
        <v>2.5099999999999891</v>
      </c>
      <c r="B67" s="1430" t="s">
        <v>1241</v>
      </c>
      <c r="C67" s="1431">
        <f t="shared" si="23"/>
        <v>0</v>
      </c>
      <c r="D67" s="1431">
        <f t="shared" si="24"/>
        <v>360610.33</v>
      </c>
      <c r="E67" s="1431"/>
      <c r="F67" s="1431"/>
      <c r="G67" s="1431">
        <f t="shared" si="25"/>
        <v>180305</v>
      </c>
      <c r="H67" s="1431"/>
      <c r="I67" s="1431">
        <f t="shared" si="26"/>
        <v>0</v>
      </c>
      <c r="J67" s="1431">
        <f t="shared" si="27"/>
        <v>0</v>
      </c>
      <c r="K67" s="1431">
        <f t="shared" si="28"/>
        <v>180305.16500000001</v>
      </c>
      <c r="L67" s="1431"/>
      <c r="M67" s="1430">
        <v>0</v>
      </c>
      <c r="N67" s="1430">
        <v>0</v>
      </c>
      <c r="O67" s="1430">
        <v>0</v>
      </c>
      <c r="P67" s="1431"/>
      <c r="Q67" s="1430">
        <v>0</v>
      </c>
      <c r="R67" s="1430"/>
      <c r="S67" s="1430">
        <v>360610.33</v>
      </c>
    </row>
    <row r="68" spans="1:21" s="1428" customFormat="1">
      <c r="A68" s="1432">
        <f t="shared" si="4"/>
        <v>2.5199999999999889</v>
      </c>
      <c r="B68" s="1430" t="s">
        <v>1242</v>
      </c>
      <c r="C68" s="1431">
        <f t="shared" si="23"/>
        <v>0</v>
      </c>
      <c r="D68" s="1431">
        <f t="shared" si="24"/>
        <v>0.04</v>
      </c>
      <c r="E68" s="1431"/>
      <c r="F68" s="1431"/>
      <c r="G68" s="1431">
        <f t="shared" si="25"/>
        <v>0</v>
      </c>
      <c r="H68" s="1431"/>
      <c r="I68" s="1431">
        <f t="shared" si="26"/>
        <v>0</v>
      </c>
      <c r="J68" s="1431">
        <f t="shared" si="27"/>
        <v>0</v>
      </c>
      <c r="K68" s="1431">
        <f t="shared" si="28"/>
        <v>0.02</v>
      </c>
      <c r="L68" s="1431"/>
      <c r="M68" s="1430">
        <v>0</v>
      </c>
      <c r="N68" s="1430">
        <v>0</v>
      </c>
      <c r="O68" s="1430">
        <v>0</v>
      </c>
      <c r="P68" s="1431"/>
      <c r="Q68" s="1430">
        <v>0</v>
      </c>
      <c r="R68" s="1430"/>
      <c r="S68" s="1430">
        <v>0.04</v>
      </c>
    </row>
    <row r="69" spans="1:21" s="1428" customFormat="1">
      <c r="A69" s="1432">
        <f t="shared" si="4"/>
        <v>2.5299999999999887</v>
      </c>
      <c r="B69" s="1430" t="s">
        <v>1243</v>
      </c>
      <c r="C69" s="1431">
        <f t="shared" si="23"/>
        <v>0</v>
      </c>
      <c r="D69" s="1431">
        <f t="shared" si="24"/>
        <v>-0.01</v>
      </c>
      <c r="E69" s="1431"/>
      <c r="F69" s="1431"/>
      <c r="G69" s="1431">
        <f t="shared" si="25"/>
        <v>0</v>
      </c>
      <c r="H69" s="1431"/>
      <c r="I69" s="1431">
        <f t="shared" si="26"/>
        <v>0</v>
      </c>
      <c r="J69" s="1431">
        <f t="shared" si="27"/>
        <v>0</v>
      </c>
      <c r="K69" s="1431">
        <f t="shared" si="28"/>
        <v>-5.0000000000000001E-3</v>
      </c>
      <c r="L69" s="1431"/>
      <c r="M69" s="1430">
        <v>0</v>
      </c>
      <c r="N69" s="1430">
        <v>0</v>
      </c>
      <c r="O69" s="1430">
        <v>0</v>
      </c>
      <c r="P69" s="1431"/>
      <c r="Q69" s="1430">
        <v>0</v>
      </c>
      <c r="R69" s="1430"/>
      <c r="S69" s="1430">
        <v>-0.01</v>
      </c>
    </row>
    <row r="70" spans="1:21" s="1428" customFormat="1">
      <c r="A70" s="1432">
        <f t="shared" si="4"/>
        <v>2.5399999999999885</v>
      </c>
      <c r="B70" s="1430" t="s">
        <v>1244</v>
      </c>
      <c r="C70" s="1431">
        <f t="shared" si="23"/>
        <v>0</v>
      </c>
      <c r="D70" s="1431">
        <f t="shared" si="24"/>
        <v>208826.51</v>
      </c>
      <c r="E70" s="1431"/>
      <c r="F70" s="1431"/>
      <c r="G70" s="1431">
        <f t="shared" si="25"/>
        <v>104413</v>
      </c>
      <c r="H70" s="1431"/>
      <c r="I70" s="1431">
        <f t="shared" si="26"/>
        <v>0</v>
      </c>
      <c r="J70" s="1431">
        <f t="shared" si="27"/>
        <v>16193.73</v>
      </c>
      <c r="K70" s="1431">
        <f t="shared" si="28"/>
        <v>88219.525000000009</v>
      </c>
      <c r="L70" s="1431"/>
      <c r="M70" s="1430">
        <v>0</v>
      </c>
      <c r="N70" s="1430">
        <v>0</v>
      </c>
      <c r="O70" s="1430">
        <v>0</v>
      </c>
      <c r="P70" s="1431"/>
      <c r="Q70" s="1430">
        <v>0</v>
      </c>
      <c r="R70" s="1430">
        <v>32387.46</v>
      </c>
      <c r="S70" s="1430">
        <v>176439.05000000002</v>
      </c>
    </row>
    <row r="71" spans="1:21" s="1428" customFormat="1">
      <c r="A71" s="1432">
        <f t="shared" si="4"/>
        <v>2.5499999999999883</v>
      </c>
      <c r="B71" s="1429" t="s">
        <v>1131</v>
      </c>
      <c r="C71" s="1434">
        <f t="shared" ref="C71" si="29">SUM(M71:O71)</f>
        <v>6096959.8754974371</v>
      </c>
      <c r="D71" s="1434">
        <f>SUM(Q71:S71)</f>
        <v>7041887.0681212861</v>
      </c>
      <c r="E71" s="1434"/>
      <c r="F71" s="1434"/>
      <c r="G71" s="1431">
        <f t="shared" ref="G71:G78" si="30">ROUND(SUM(C71:F71)/2,0)</f>
        <v>6569423</v>
      </c>
      <c r="H71" s="1431"/>
      <c r="I71" s="1431">
        <f t="shared" ref="I71:K71" si="31">(M71+Q71)/2</f>
        <v>0</v>
      </c>
      <c r="J71" s="1431">
        <f t="shared" si="31"/>
        <v>1348942.2191458349</v>
      </c>
      <c r="K71" s="1431">
        <f t="shared" si="31"/>
        <v>5220481.2526635267</v>
      </c>
      <c r="L71" s="1431"/>
      <c r="M71" s="1430">
        <v>0</v>
      </c>
      <c r="N71" s="1430">
        <v>1141559.4257876023</v>
      </c>
      <c r="O71" s="1430">
        <v>4955400.4497098345</v>
      </c>
      <c r="P71" s="1431"/>
      <c r="Q71" s="1430">
        <v>0</v>
      </c>
      <c r="R71" s="1430">
        <v>1556325.0125040675</v>
      </c>
      <c r="S71" s="1430">
        <v>5485562.0556172188</v>
      </c>
    </row>
    <row r="72" spans="1:21" s="1428" customFormat="1">
      <c r="A72" s="1432">
        <f t="shared" si="4"/>
        <v>2.5599999999999881</v>
      </c>
      <c r="B72" s="1429" t="s">
        <v>1132</v>
      </c>
      <c r="C72" s="1434">
        <f>-E72</f>
        <v>-6096959.8754974371</v>
      </c>
      <c r="D72" s="1434">
        <f>-F72</f>
        <v>-7041887.0681212861</v>
      </c>
      <c r="E72" s="1434">
        <f>C71</f>
        <v>6096959.8754974371</v>
      </c>
      <c r="F72" s="1434">
        <f>D71</f>
        <v>7041887.0681212861</v>
      </c>
      <c r="G72" s="1431">
        <f t="shared" si="30"/>
        <v>0</v>
      </c>
      <c r="H72" s="1431"/>
      <c r="I72" s="1431"/>
      <c r="J72" s="1431"/>
      <c r="K72" s="1431"/>
      <c r="L72" s="1431"/>
      <c r="M72" s="1433"/>
      <c r="N72" s="1433"/>
      <c r="O72" s="1433"/>
      <c r="P72" s="1431"/>
      <c r="Q72" s="1433"/>
      <c r="R72" s="1433"/>
      <c r="S72" s="1433"/>
    </row>
    <row r="73" spans="1:21">
      <c r="A73" s="1432">
        <f t="shared" si="4"/>
        <v>2.5699999999999878</v>
      </c>
      <c r="B73" s="875" t="s">
        <v>968</v>
      </c>
      <c r="C73" s="875">
        <f>-E73</f>
        <v>0</v>
      </c>
      <c r="D73" s="875">
        <f>-F73</f>
        <v>0</v>
      </c>
      <c r="E73" s="1431">
        <v>0</v>
      </c>
      <c r="F73" s="1079">
        <v>0</v>
      </c>
      <c r="G73" s="1079">
        <f t="shared" si="30"/>
        <v>0</v>
      </c>
      <c r="H73" s="1079"/>
      <c r="I73" s="1079"/>
      <c r="J73" s="1079"/>
      <c r="K73" s="1079"/>
      <c r="L73" s="1079"/>
      <c r="M73" s="1431"/>
      <c r="N73" s="1431"/>
      <c r="O73" s="1431"/>
      <c r="P73" s="1431"/>
      <c r="Q73" s="1431"/>
      <c r="R73" s="1431"/>
      <c r="S73" s="1431"/>
    </row>
    <row r="74" spans="1:21">
      <c r="A74" s="1432">
        <f t="shared" si="4"/>
        <v>2.5799999999999876</v>
      </c>
      <c r="B74" s="875" t="s">
        <v>969</v>
      </c>
      <c r="C74" s="875">
        <f t="shared" ref="C74:C78" si="32">-E74</f>
        <v>1756119.909</v>
      </c>
      <c r="D74" s="875">
        <f t="shared" ref="D74:D78" si="33">-F74</f>
        <v>1936833.2590000001</v>
      </c>
      <c r="E74" s="1431">
        <v>-1756119.909</v>
      </c>
      <c r="F74" s="1079">
        <v>-1936833.2590000001</v>
      </c>
      <c r="G74" s="1079">
        <f t="shared" si="30"/>
        <v>0</v>
      </c>
      <c r="H74" s="1079"/>
      <c r="I74" s="1079"/>
      <c r="J74" s="1079"/>
      <c r="K74" s="1079"/>
      <c r="L74" s="1079"/>
      <c r="M74" s="1431"/>
      <c r="N74" s="1431"/>
      <c r="O74" s="1431"/>
      <c r="P74" s="1431"/>
      <c r="Q74" s="1431"/>
      <c r="R74" s="1431"/>
      <c r="S74" s="1431"/>
    </row>
    <row r="75" spans="1:21">
      <c r="A75" s="1107">
        <f t="shared" si="4"/>
        <v>2.5899999999999874</v>
      </c>
      <c r="B75" s="875" t="s">
        <v>970</v>
      </c>
      <c r="C75" s="875">
        <f t="shared" si="32"/>
        <v>1934777.69</v>
      </c>
      <c r="D75" s="875">
        <f t="shared" si="33"/>
        <v>1881049.78</v>
      </c>
      <c r="E75" s="1431">
        <v>-1934777.69</v>
      </c>
      <c r="F75" s="1079">
        <v>-1881049.78</v>
      </c>
      <c r="G75" s="1079">
        <f t="shared" si="30"/>
        <v>0</v>
      </c>
      <c r="H75" s="1079"/>
      <c r="I75" s="1079"/>
      <c r="J75" s="1079"/>
      <c r="K75" s="1079"/>
      <c r="L75" s="1079"/>
      <c r="M75" s="1079"/>
      <c r="N75" s="1079"/>
      <c r="O75" s="1079"/>
      <c r="P75" s="1079"/>
      <c r="Q75" s="1079"/>
      <c r="R75" s="1079"/>
      <c r="S75" s="1079"/>
    </row>
    <row r="76" spans="1:21">
      <c r="A76" s="1107">
        <f t="shared" si="4"/>
        <v>2.5999999999999872</v>
      </c>
      <c r="B76" s="875" t="s">
        <v>1130</v>
      </c>
      <c r="C76" s="875">
        <f t="shared" ref="C76" si="34">-E76</f>
        <v>-334779.32</v>
      </c>
      <c r="D76" s="875">
        <f t="shared" ref="D76" si="35">-F76</f>
        <v>-337142.71</v>
      </c>
      <c r="E76" s="1431">
        <v>334779.32</v>
      </c>
      <c r="F76" s="1079">
        <v>337142.71</v>
      </c>
      <c r="G76" s="1079">
        <f t="shared" si="30"/>
        <v>0</v>
      </c>
      <c r="H76" s="1079"/>
      <c r="I76" s="1079"/>
      <c r="J76" s="1079"/>
      <c r="K76" s="1079"/>
      <c r="L76" s="1079"/>
      <c r="M76" s="1079"/>
      <c r="N76" s="1079"/>
      <c r="O76" s="1079"/>
      <c r="P76" s="1079"/>
      <c r="Q76" s="1079"/>
      <c r="R76" s="1079"/>
      <c r="S76" s="1079"/>
    </row>
    <row r="77" spans="1:21">
      <c r="A77" s="1107">
        <f t="shared" si="4"/>
        <v>2.609999999999987</v>
      </c>
      <c r="B77" s="875" t="s">
        <v>971</v>
      </c>
      <c r="C77" s="875">
        <f t="shared" si="32"/>
        <v>0</v>
      </c>
      <c r="D77" s="875">
        <f t="shared" si="33"/>
        <v>0</v>
      </c>
      <c r="E77" s="1431">
        <v>0</v>
      </c>
      <c r="F77" s="1079">
        <v>0</v>
      </c>
      <c r="G77" s="1079">
        <f t="shared" si="30"/>
        <v>0</v>
      </c>
      <c r="H77" s="1079"/>
      <c r="I77" s="1079"/>
      <c r="J77" s="1079"/>
      <c r="K77" s="1079"/>
      <c r="L77" s="1079"/>
      <c r="M77" s="1079"/>
      <c r="N77" s="1079"/>
      <c r="O77" s="1079"/>
      <c r="P77" s="1079"/>
      <c r="Q77" s="1079"/>
      <c r="R77" s="1079"/>
      <c r="S77" s="1079"/>
    </row>
    <row r="78" spans="1:21">
      <c r="A78" s="1107">
        <f t="shared" si="4"/>
        <v>2.6199999999999868</v>
      </c>
      <c r="B78" s="875" t="s">
        <v>972</v>
      </c>
      <c r="C78" s="875">
        <f t="shared" si="32"/>
        <v>0</v>
      </c>
      <c r="D78" s="875">
        <f t="shared" si="33"/>
        <v>0</v>
      </c>
      <c r="E78" s="1431">
        <v>0</v>
      </c>
      <c r="F78" s="1079">
        <v>0</v>
      </c>
      <c r="G78" s="1079">
        <f t="shared" si="30"/>
        <v>0</v>
      </c>
      <c r="H78" s="1079"/>
      <c r="I78" s="1079"/>
      <c r="J78" s="1079"/>
      <c r="K78" s="1079"/>
      <c r="L78" s="1079"/>
      <c r="M78" s="1079"/>
      <c r="N78" s="1079"/>
      <c r="O78" s="1079"/>
      <c r="P78" s="1079"/>
      <c r="Q78" s="1079"/>
      <c r="R78" s="1079"/>
      <c r="S78" s="1079"/>
    </row>
    <row r="79" spans="1:21">
      <c r="A79" s="1107">
        <f t="shared" si="4"/>
        <v>2.6299999999999866</v>
      </c>
      <c r="B79" s="1512" t="s">
        <v>967</v>
      </c>
      <c r="C79" s="1513">
        <f>SUM(M79:O79)</f>
        <v>2586673.9500000002</v>
      </c>
      <c r="D79" s="1513">
        <f>SUM(Q79:S79)</f>
        <v>2686313.5599999996</v>
      </c>
      <c r="E79" s="1513">
        <v>0</v>
      </c>
      <c r="F79" s="1513">
        <v>0</v>
      </c>
      <c r="G79" s="1513">
        <f>ROUND(SUM(C79:F79)/2,0)</f>
        <v>2636494</v>
      </c>
      <c r="H79" s="1513"/>
      <c r="I79" s="1513">
        <f>(M79+Q79)/2</f>
        <v>0</v>
      </c>
      <c r="J79" s="1513">
        <f>(N79+R79)/2</f>
        <v>3166179.56</v>
      </c>
      <c r="K79" s="1513">
        <f>(O79+S79)/2</f>
        <v>-529685.80500000005</v>
      </c>
      <c r="L79" s="1513"/>
      <c r="M79" s="1430">
        <v>0</v>
      </c>
      <c r="N79" s="1430">
        <v>2283119.37</v>
      </c>
      <c r="O79" s="1430">
        <v>303554.58</v>
      </c>
      <c r="P79" s="1431"/>
      <c r="Q79" s="1430">
        <v>0</v>
      </c>
      <c r="R79" s="1430">
        <v>4049239.75</v>
      </c>
      <c r="S79" s="1430">
        <v>-1362926.1900000002</v>
      </c>
      <c r="U79" s="1099"/>
    </row>
    <row r="80" spans="1:21">
      <c r="A80" s="1097"/>
      <c r="B80" s="1079"/>
      <c r="C80" s="1079"/>
      <c r="D80" s="1079"/>
      <c r="E80" s="1079"/>
      <c r="F80" s="1079"/>
      <c r="G80" s="1079"/>
      <c r="H80" s="1079"/>
      <c r="I80" s="1079"/>
      <c r="J80" s="1079"/>
      <c r="K80" s="1079"/>
      <c r="L80" s="1079"/>
      <c r="M80" s="1079"/>
      <c r="N80" s="1079"/>
      <c r="O80" s="1079"/>
      <c r="P80" s="1079"/>
      <c r="Q80" s="1079"/>
      <c r="R80" s="1079"/>
      <c r="S80" s="1079"/>
    </row>
    <row r="81" spans="1:256" ht="13.5" thickBot="1">
      <c r="A81" s="22">
        <v>3</v>
      </c>
      <c r="B81" s="1083" t="s">
        <v>741</v>
      </c>
      <c r="C81" s="1098">
        <f>SUM(C17:C80)</f>
        <v>6904255.5990000004</v>
      </c>
      <c r="D81" s="1098">
        <f>SUM(D17:D80)</f>
        <v>6715643.9889999991</v>
      </c>
      <c r="E81" s="1098">
        <f>SUM(E17:E80)</f>
        <v>2740841.596497437</v>
      </c>
      <c r="F81" s="1098">
        <f>SUM(F17:F80)</f>
        <v>3561146.7391212862</v>
      </c>
      <c r="G81" s="1098">
        <f>SUM(G17:G80)</f>
        <v>9960942</v>
      </c>
      <c r="H81" s="1079"/>
      <c r="I81" s="1098">
        <f>SUM(I17:I80)</f>
        <v>0</v>
      </c>
      <c r="J81" s="1098">
        <f>SUM(J17:J80)</f>
        <v>4845621.0341458349</v>
      </c>
      <c r="K81" s="1098">
        <f>SUM(K17:K80)</f>
        <v>5115322.9276635274</v>
      </c>
      <c r="L81" s="1079"/>
      <c r="M81" s="1098">
        <f>SUM(M17:M80)</f>
        <v>0</v>
      </c>
      <c r="N81" s="1098">
        <f>SUM(N17:N80)</f>
        <v>3845481.7557876026</v>
      </c>
      <c r="O81" s="1098">
        <f>SUM(O17:O80)</f>
        <v>5799615.4397098348</v>
      </c>
      <c r="P81" s="1079"/>
      <c r="Q81" s="1098">
        <f>SUM(Q17:Q80)</f>
        <v>0</v>
      </c>
      <c r="R81" s="1098">
        <f>SUM(R17:R80)</f>
        <v>5845760.312504068</v>
      </c>
      <c r="S81" s="1098">
        <f>SUM(S17:S80)</f>
        <v>4431030.4156172182</v>
      </c>
    </row>
    <row r="82" spans="1:256" ht="13.5" thickTop="1">
      <c r="A82" s="1">
        <v>4</v>
      </c>
      <c r="B82" s="1154" t="s">
        <v>744</v>
      </c>
      <c r="C82" s="1155">
        <v>0</v>
      </c>
      <c r="D82" s="1155">
        <v>0</v>
      </c>
      <c r="E82" s="1155">
        <v>0</v>
      </c>
      <c r="F82" s="1155">
        <v>0</v>
      </c>
      <c r="G82" s="1155">
        <v>0</v>
      </c>
      <c r="H82" s="6"/>
      <c r="I82" s="1155">
        <v>0</v>
      </c>
      <c r="J82" s="1155">
        <v>0</v>
      </c>
      <c r="K82" s="1155">
        <v>0</v>
      </c>
      <c r="L82" s="6"/>
      <c r="M82" s="1155">
        <v>0</v>
      </c>
      <c r="N82" s="1155">
        <v>0</v>
      </c>
      <c r="O82" s="1155">
        <v>0</v>
      </c>
      <c r="P82" s="6"/>
      <c r="Q82" s="1155">
        <v>0</v>
      </c>
      <c r="R82" s="1155">
        <v>0</v>
      </c>
      <c r="S82" s="1155">
        <v>0</v>
      </c>
      <c r="T82" s="6"/>
      <c r="IV82" s="1099"/>
    </row>
    <row r="83" spans="1:256">
      <c r="I83" s="1099"/>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80"/>
  <sheetViews>
    <sheetView topLeftCell="A9" zoomScale="85" zoomScaleNormal="85" workbookViewId="0">
      <selection activeCell="M47" sqref="M47"/>
    </sheetView>
  </sheetViews>
  <sheetFormatPr defaultColWidth="10" defaultRowHeight="12"/>
  <cols>
    <col min="1" max="1" width="9.42578125" style="1338" customWidth="1"/>
    <col min="2" max="2" width="20.85546875" style="1339" customWidth="1"/>
    <col min="3" max="3" width="35.5703125" style="1338" customWidth="1"/>
    <col min="4" max="4" width="12.85546875" style="1338" customWidth="1"/>
    <col min="5" max="5" width="10.42578125" style="1338" customWidth="1"/>
    <col min="6" max="6" width="16.42578125" style="1338" customWidth="1"/>
    <col min="7" max="7" width="12" style="1338" customWidth="1"/>
    <col min="8" max="8" width="14.28515625" style="1338" bestFit="1" customWidth="1"/>
    <col min="9" max="9" width="18.85546875" style="1338" customWidth="1"/>
    <col min="10" max="10" width="15.5703125" style="1338" customWidth="1"/>
    <col min="11" max="11" width="16.140625" style="1338" customWidth="1"/>
    <col min="12" max="13" width="15" style="1338" customWidth="1"/>
    <col min="14" max="14" width="13.5703125" style="1338" customWidth="1"/>
    <col min="15" max="15" width="15" style="1338" customWidth="1"/>
    <col min="16" max="17" width="17.5703125" style="1338" customWidth="1"/>
    <col min="18" max="18" width="33" style="1338" customWidth="1"/>
    <col min="19" max="19" width="15" style="1338" customWidth="1"/>
    <col min="20" max="21" width="14.5703125" style="1338" bestFit="1" customWidth="1"/>
    <col min="22" max="22" width="10.5703125" style="1338" bestFit="1" customWidth="1"/>
    <col min="23" max="16384" width="10" style="1338"/>
  </cols>
  <sheetData>
    <row r="1" spans="1:23" ht="12.75">
      <c r="A1" s="1338" t="s">
        <v>1019</v>
      </c>
      <c r="R1" s="1340"/>
    </row>
    <row r="2" spans="1:23" ht="12.75">
      <c r="A2" s="1338" t="s">
        <v>1020</v>
      </c>
      <c r="R2" s="1340"/>
      <c r="V2" s="1341"/>
    </row>
    <row r="3" spans="1:23" ht="12.75">
      <c r="A3" s="1338" t="s">
        <v>1021</v>
      </c>
      <c r="R3" s="1340"/>
      <c r="V3" s="1342"/>
    </row>
    <row r="4" spans="1:23">
      <c r="A4" s="1338" t="s">
        <v>1223</v>
      </c>
      <c r="G4" s="1343"/>
    </row>
    <row r="5" spans="1:23">
      <c r="A5" s="1338" t="s">
        <v>1022</v>
      </c>
      <c r="I5" s="1344"/>
      <c r="J5" s="1344"/>
      <c r="P5" s="1344"/>
      <c r="Q5" s="1344"/>
    </row>
    <row r="6" spans="1:23">
      <c r="J6" s="1344"/>
      <c r="K6" s="1345"/>
      <c r="L6" s="1339"/>
      <c r="M6" s="1339"/>
      <c r="N6" s="1339"/>
      <c r="O6" s="1339"/>
      <c r="P6" s="1339"/>
      <c r="Q6" s="1339"/>
    </row>
    <row r="7" spans="1:23">
      <c r="B7" s="1346"/>
      <c r="C7" s="1346"/>
      <c r="D7" s="1346"/>
      <c r="E7" s="1346"/>
      <c r="F7" s="1346"/>
      <c r="G7" s="1346"/>
      <c r="H7" s="1346"/>
      <c r="I7" s="1346"/>
      <c r="J7" s="1346"/>
      <c r="K7" s="1346"/>
      <c r="L7" s="1346"/>
      <c r="M7" s="1346"/>
      <c r="N7" s="1346"/>
      <c r="O7" s="1346"/>
      <c r="P7" s="1346"/>
      <c r="Q7" s="1339"/>
    </row>
    <row r="8" spans="1:23">
      <c r="A8" s="1339" t="s">
        <v>150</v>
      </c>
      <c r="B8" s="1339" t="s">
        <v>151</v>
      </c>
      <c r="C8" s="1339" t="s">
        <v>152</v>
      </c>
      <c r="D8" s="1339" t="s">
        <v>153</v>
      </c>
      <c r="E8" s="1339" t="s">
        <v>154</v>
      </c>
      <c r="F8" s="1339" t="s">
        <v>155</v>
      </c>
      <c r="G8" s="1339" t="s">
        <v>156</v>
      </c>
      <c r="H8" s="1339" t="s">
        <v>157</v>
      </c>
      <c r="I8" s="1339" t="s">
        <v>1023</v>
      </c>
      <c r="J8" s="1339" t="s">
        <v>1024</v>
      </c>
      <c r="K8" s="1339" t="s">
        <v>160</v>
      </c>
      <c r="L8" s="1339" t="s">
        <v>161</v>
      </c>
      <c r="M8" s="1339" t="s">
        <v>162</v>
      </c>
      <c r="N8" s="1339" t="s">
        <v>247</v>
      </c>
      <c r="O8" s="1339" t="s">
        <v>306</v>
      </c>
      <c r="P8" s="1339" t="s">
        <v>352</v>
      </c>
      <c r="Q8" s="1339" t="s">
        <v>353</v>
      </c>
      <c r="R8" s="1339" t="s">
        <v>354</v>
      </c>
    </row>
    <row r="9" spans="1:23" ht="14.45" customHeight="1">
      <c r="A9" s="1338" t="s">
        <v>1025</v>
      </c>
      <c r="B9" s="1347"/>
      <c r="C9" s="1347"/>
      <c r="D9" s="1347"/>
      <c r="E9" s="1347"/>
      <c r="I9" s="1557" t="s">
        <v>1224</v>
      </c>
      <c r="J9" s="1557"/>
      <c r="K9" s="1558" t="s">
        <v>1026</v>
      </c>
      <c r="L9" s="1558"/>
      <c r="M9" s="1558"/>
      <c r="N9" s="1559" t="s">
        <v>1027</v>
      </c>
      <c r="O9" s="1559"/>
      <c r="P9" s="1557" t="s">
        <v>1225</v>
      </c>
      <c r="Q9" s="1557"/>
    </row>
    <row r="10" spans="1:23" ht="72">
      <c r="A10" s="1348" t="s">
        <v>1028</v>
      </c>
      <c r="B10" s="1350" t="s">
        <v>1183</v>
      </c>
      <c r="C10" s="1349" t="s">
        <v>1029</v>
      </c>
      <c r="D10" s="1350" t="s">
        <v>1030</v>
      </c>
      <c r="E10" s="1350" t="s">
        <v>1031</v>
      </c>
      <c r="F10" s="1350" t="s">
        <v>1184</v>
      </c>
      <c r="G10" s="1350" t="s">
        <v>1185</v>
      </c>
      <c r="H10" s="1350" t="s">
        <v>1032</v>
      </c>
      <c r="I10" s="1481" t="s">
        <v>1186</v>
      </c>
      <c r="J10" s="1481" t="s">
        <v>1187</v>
      </c>
      <c r="K10" s="1351" t="s">
        <v>1033</v>
      </c>
      <c r="L10" s="1351">
        <v>182.3</v>
      </c>
      <c r="M10" s="1351">
        <v>254</v>
      </c>
      <c r="N10" s="1351" t="s">
        <v>1188</v>
      </c>
      <c r="O10" s="1351" t="s">
        <v>1034</v>
      </c>
      <c r="P10" s="1481" t="s">
        <v>1189</v>
      </c>
      <c r="Q10" s="1481" t="s">
        <v>1190</v>
      </c>
      <c r="R10" s="1352" t="s">
        <v>1035</v>
      </c>
      <c r="S10" s="1353"/>
    </row>
    <row r="11" spans="1:23">
      <c r="B11" s="1338"/>
      <c r="D11" s="1354"/>
      <c r="E11" s="1354"/>
      <c r="F11" s="1354"/>
      <c r="G11" s="1354"/>
      <c r="H11" s="1354"/>
      <c r="I11" s="1355"/>
      <c r="J11" s="1355"/>
      <c r="K11" s="1355"/>
      <c r="L11" s="1355"/>
      <c r="M11" s="1355"/>
      <c r="N11" s="1355"/>
      <c r="O11" s="1355"/>
      <c r="P11" s="1560" t="s">
        <v>1036</v>
      </c>
      <c r="Q11" s="1560"/>
      <c r="R11" s="1356"/>
      <c r="S11" s="1353"/>
    </row>
    <row r="12" spans="1:23" ht="15">
      <c r="B12" s="1357" t="s">
        <v>1037</v>
      </c>
      <c r="C12" s="1358"/>
      <c r="D12" s="1358"/>
      <c r="E12" s="1358"/>
      <c r="F12" s="1358"/>
      <c r="G12" s="1358"/>
      <c r="H12" s="1358"/>
      <c r="I12" s="1358"/>
      <c r="J12" s="1358"/>
      <c r="K12" s="1358"/>
      <c r="L12" s="1358"/>
      <c r="M12" s="1358"/>
      <c r="N12" s="1358"/>
      <c r="O12" s="1358"/>
      <c r="P12" s="1358"/>
      <c r="Q12" s="1358"/>
      <c r="R12" s="1342"/>
      <c r="S12" s="1359"/>
      <c r="T12" s="1342"/>
      <c r="U12" s="1342"/>
      <c r="V12" s="1342"/>
      <c r="W12" s="1342"/>
    </row>
    <row r="13" spans="1:23" ht="15">
      <c r="A13" s="1338" t="s">
        <v>1038</v>
      </c>
      <c r="B13" s="1360" t="s">
        <v>1039</v>
      </c>
      <c r="C13" s="1338" t="s">
        <v>1040</v>
      </c>
      <c r="D13" s="1361" t="s">
        <v>1041</v>
      </c>
      <c r="E13" s="1361" t="s">
        <v>1042</v>
      </c>
      <c r="F13" s="1362"/>
      <c r="G13" s="1361"/>
      <c r="H13" s="1361"/>
      <c r="I13" s="1363">
        <v>1934778.2740771831</v>
      </c>
      <c r="J13" s="1364" t="s">
        <v>116</v>
      </c>
      <c r="K13" s="1363"/>
      <c r="L13" s="1363"/>
      <c r="M13" s="1363">
        <v>-53728.22546187733</v>
      </c>
      <c r="N13" s="1363"/>
      <c r="O13" s="1363"/>
      <c r="P13" s="1365">
        <f>SUM(I13:O13)</f>
        <v>1881050.0486153057</v>
      </c>
      <c r="Q13" s="1364" t="s">
        <v>116</v>
      </c>
      <c r="R13" s="1366" t="s">
        <v>1197</v>
      </c>
      <c r="S13" s="1359"/>
      <c r="T13" s="1342"/>
      <c r="U13" s="1342"/>
      <c r="V13" s="1342"/>
      <c r="W13" s="1342"/>
    </row>
    <row r="14" spans="1:23" ht="15">
      <c r="A14" s="1361" t="s">
        <v>1043</v>
      </c>
      <c r="B14" s="1360" t="s">
        <v>1044</v>
      </c>
      <c r="C14" s="1338" t="s">
        <v>1040</v>
      </c>
      <c r="D14" s="1361" t="s">
        <v>1041</v>
      </c>
      <c r="E14" s="1361" t="s">
        <v>1042</v>
      </c>
      <c r="F14" s="1359"/>
      <c r="G14" s="1359"/>
      <c r="H14" s="1359"/>
      <c r="I14" s="1363">
        <v>0</v>
      </c>
      <c r="J14" s="1364" t="s">
        <v>116</v>
      </c>
      <c r="K14" s="1363"/>
      <c r="L14" s="1363"/>
      <c r="M14" s="1363"/>
      <c r="N14" s="1363"/>
      <c r="O14" s="1363"/>
      <c r="P14" s="1365">
        <f>SUM(I14:O14)</f>
        <v>0</v>
      </c>
      <c r="Q14" s="1364" t="s">
        <v>116</v>
      </c>
      <c r="R14" s="1366" t="s">
        <v>640</v>
      </c>
      <c r="S14" s="1359"/>
      <c r="T14" s="1342"/>
      <c r="U14" s="1342"/>
      <c r="V14" s="1342"/>
      <c r="W14" s="1342"/>
    </row>
    <row r="15" spans="1:23" s="1361" customFormat="1" ht="15">
      <c r="A15" s="1361" t="s">
        <v>1045</v>
      </c>
      <c r="B15" s="1360" t="s">
        <v>1046</v>
      </c>
      <c r="C15" s="1367" t="s">
        <v>1047</v>
      </c>
      <c r="D15" s="1367" t="s">
        <v>1048</v>
      </c>
      <c r="E15" s="1361" t="s">
        <v>1042</v>
      </c>
      <c r="F15" s="1362"/>
      <c r="I15" s="1364" t="s">
        <v>116</v>
      </c>
      <c r="J15" s="1366">
        <v>0</v>
      </c>
      <c r="K15" s="1368"/>
      <c r="L15" s="1368"/>
      <c r="M15" s="1368"/>
      <c r="N15" s="1368"/>
      <c r="O15" s="1368"/>
      <c r="P15" s="1364" t="s">
        <v>116</v>
      </c>
      <c r="Q15" s="1365">
        <f>SUM(I15:O15)</f>
        <v>0</v>
      </c>
      <c r="R15" s="1366"/>
      <c r="S15" s="1359"/>
      <c r="T15" s="1369"/>
      <c r="U15" s="1369"/>
      <c r="V15" s="1369"/>
      <c r="W15" s="1369"/>
    </row>
    <row r="16" spans="1:23" s="1361" customFormat="1">
      <c r="A16" s="1338" t="s">
        <v>1049</v>
      </c>
      <c r="B16" s="1360" t="s">
        <v>1050</v>
      </c>
      <c r="C16" s="1367" t="s">
        <v>1051</v>
      </c>
      <c r="D16" s="1367" t="s">
        <v>1048</v>
      </c>
      <c r="E16" s="1361" t="s">
        <v>1042</v>
      </c>
      <c r="F16" s="1362"/>
      <c r="I16" s="1366">
        <v>0</v>
      </c>
      <c r="J16" s="1364" t="s">
        <v>116</v>
      </c>
      <c r="K16" s="1368"/>
      <c r="L16" s="1368"/>
      <c r="M16" s="1368"/>
      <c r="N16" s="1368"/>
      <c r="O16" s="1368"/>
      <c r="P16" s="1365">
        <f>SUM(I16:O16)</f>
        <v>0</v>
      </c>
      <c r="Q16" s="1364" t="s">
        <v>116</v>
      </c>
      <c r="R16" s="1366"/>
      <c r="T16" s="1369"/>
      <c r="U16" s="1369"/>
      <c r="V16" s="1369"/>
      <c r="W16" s="1369"/>
    </row>
    <row r="17" spans="1:23">
      <c r="A17" s="1338" t="s">
        <v>1052</v>
      </c>
      <c r="B17" s="1360" t="s">
        <v>1053</v>
      </c>
      <c r="C17" s="1338" t="s">
        <v>1054</v>
      </c>
      <c r="D17" s="1361" t="s">
        <v>1048</v>
      </c>
      <c r="E17" s="1361" t="s">
        <v>1042</v>
      </c>
      <c r="F17" s="1370">
        <v>-9642271</v>
      </c>
      <c r="G17" s="1371" t="s">
        <v>1055</v>
      </c>
      <c r="H17" s="1371" t="s">
        <v>1056</v>
      </c>
      <c r="I17" s="1364" t="s">
        <v>116</v>
      </c>
      <c r="J17" s="1372">
        <v>-5498841.8707556799</v>
      </c>
      <c r="K17" s="1372"/>
      <c r="L17" s="1372"/>
      <c r="M17" s="1372"/>
      <c r="N17" s="1372">
        <v>116630.18497781263</v>
      </c>
      <c r="O17" s="1372">
        <v>0</v>
      </c>
      <c r="P17" s="1364" t="s">
        <v>116</v>
      </c>
      <c r="Q17" s="1365">
        <f>SUM(I17:O17)</f>
        <v>-5382211.6857778672</v>
      </c>
      <c r="R17" s="1562" t="s">
        <v>1200</v>
      </c>
      <c r="T17" s="1342"/>
      <c r="U17" s="1342"/>
      <c r="V17" s="1342"/>
      <c r="W17" s="1342"/>
    </row>
    <row r="18" spans="1:23">
      <c r="A18" s="1338" t="s">
        <v>1057</v>
      </c>
      <c r="B18" s="1360" t="s">
        <v>1053</v>
      </c>
      <c r="C18" s="1338" t="s">
        <v>1054</v>
      </c>
      <c r="D18" s="1361" t="s">
        <v>1058</v>
      </c>
      <c r="E18" s="1361" t="s">
        <v>1042</v>
      </c>
      <c r="F18" s="1370">
        <v>-2209294</v>
      </c>
      <c r="G18" s="1371" t="s">
        <v>1059</v>
      </c>
      <c r="H18" s="1371" t="s">
        <v>1060</v>
      </c>
      <c r="I18" s="1364" t="s">
        <v>116</v>
      </c>
      <c r="J18" s="1368">
        <v>-367423.08769515657</v>
      </c>
      <c r="K18" s="1368"/>
      <c r="L18" s="1368"/>
      <c r="M18" s="1368"/>
      <c r="N18" s="1368">
        <v>91509.498330377362</v>
      </c>
      <c r="O18" s="1368">
        <v>0</v>
      </c>
      <c r="P18" s="1364" t="s">
        <v>116</v>
      </c>
      <c r="Q18" s="1365">
        <f>SUM(I18:O18)</f>
        <v>-275913.58936477918</v>
      </c>
      <c r="R18" s="1562"/>
      <c r="T18" s="1342"/>
      <c r="U18" s="1342"/>
      <c r="V18" s="1342"/>
      <c r="W18" s="1342"/>
    </row>
    <row r="19" spans="1:23">
      <c r="A19" s="1338" t="s">
        <v>1061</v>
      </c>
      <c r="B19" s="1360" t="s">
        <v>1062</v>
      </c>
      <c r="C19" s="1338" t="s">
        <v>1063</v>
      </c>
      <c r="D19" s="1361" t="s">
        <v>1048</v>
      </c>
      <c r="E19" s="1361" t="s">
        <v>1042</v>
      </c>
      <c r="F19" s="1373"/>
      <c r="G19" s="1371"/>
      <c r="H19" s="1371"/>
      <c r="I19" s="1368">
        <v>5498841.870755679</v>
      </c>
      <c r="J19" s="1364" t="s">
        <v>116</v>
      </c>
      <c r="K19" s="1368"/>
      <c r="L19" s="1368"/>
      <c r="M19" s="1372">
        <v>-116630.18497781263</v>
      </c>
      <c r="N19" s="1368"/>
      <c r="O19" s="1368"/>
      <c r="P19" s="1365">
        <f>SUM(I19:O19)</f>
        <v>5382211.6857778663</v>
      </c>
      <c r="Q19" s="1364" t="s">
        <v>116</v>
      </c>
      <c r="R19" s="1564" t="s">
        <v>1201</v>
      </c>
      <c r="T19" s="1342"/>
      <c r="U19" s="1342"/>
      <c r="V19" s="1342"/>
      <c r="W19" s="1342"/>
    </row>
    <row r="20" spans="1:23">
      <c r="A20" s="1338" t="s">
        <v>1064</v>
      </c>
      <c r="B20" s="1360" t="s">
        <v>1062</v>
      </c>
      <c r="C20" s="1338" t="s">
        <v>1063</v>
      </c>
      <c r="D20" s="1361" t="s">
        <v>1058</v>
      </c>
      <c r="E20" s="1361" t="s">
        <v>1042</v>
      </c>
      <c r="F20" s="1373"/>
      <c r="G20" s="1371"/>
      <c r="H20" s="1371"/>
      <c r="I20" s="1368">
        <v>367423.08769515657</v>
      </c>
      <c r="J20" s="1364" t="s">
        <v>116</v>
      </c>
      <c r="K20" s="1368"/>
      <c r="L20" s="1368"/>
      <c r="M20" s="1368">
        <v>-91509.498330377362</v>
      </c>
      <c r="N20" s="1368"/>
      <c r="O20" s="1368"/>
      <c r="P20" s="1365">
        <f>SUM(I20:O20)</f>
        <v>275913.58936477918</v>
      </c>
      <c r="Q20" s="1364" t="s">
        <v>116</v>
      </c>
      <c r="R20" s="1564"/>
      <c r="T20" s="1342"/>
      <c r="U20" s="1342"/>
      <c r="V20" s="1342"/>
      <c r="W20" s="1342"/>
    </row>
    <row r="21" spans="1:23">
      <c r="A21" s="1338" t="s">
        <v>1065</v>
      </c>
      <c r="B21" s="1360" t="s">
        <v>1066</v>
      </c>
      <c r="C21" s="1338" t="s">
        <v>1067</v>
      </c>
      <c r="D21" s="1361" t="s">
        <v>1058</v>
      </c>
      <c r="E21" s="1361" t="s">
        <v>1042</v>
      </c>
      <c r="F21" s="1370">
        <v>-1624367</v>
      </c>
      <c r="G21" s="1371" t="s">
        <v>1059</v>
      </c>
      <c r="H21" s="1371" t="s">
        <v>1060</v>
      </c>
      <c r="I21" s="1364" t="s">
        <v>116</v>
      </c>
      <c r="J21" s="1368">
        <v>358548.08769515652</v>
      </c>
      <c r="K21" s="1368"/>
      <c r="L21" s="1368"/>
      <c r="M21" s="1368"/>
      <c r="N21" s="1368">
        <v>-17656.498330377373</v>
      </c>
      <c r="O21" s="1368">
        <v>0</v>
      </c>
      <c r="P21" s="1375" t="s">
        <v>116</v>
      </c>
      <c r="Q21" s="1365">
        <f>SUM(I21:O21)</f>
        <v>340891.58936477912</v>
      </c>
      <c r="R21" s="1376" t="s">
        <v>1202</v>
      </c>
      <c r="T21" s="1342"/>
      <c r="U21" s="1342"/>
      <c r="V21" s="1342"/>
      <c r="W21" s="1342"/>
    </row>
    <row r="22" spans="1:23">
      <c r="A22" s="1338" t="s">
        <v>1068</v>
      </c>
      <c r="B22" s="1377" t="s">
        <v>1069</v>
      </c>
      <c r="C22" s="1338" t="s">
        <v>1070</v>
      </c>
      <c r="D22" s="1361" t="s">
        <v>1058</v>
      </c>
      <c r="E22" s="1361" t="s">
        <v>1042</v>
      </c>
      <c r="F22" s="1370"/>
      <c r="G22" s="1371"/>
      <c r="H22" s="1371"/>
      <c r="I22" s="1368">
        <v>-358549.08769515652</v>
      </c>
      <c r="J22" s="1378"/>
      <c r="K22" s="1368"/>
      <c r="L22" s="1368"/>
      <c r="M22" s="1368">
        <v>17656.498330377373</v>
      </c>
      <c r="N22" s="1368"/>
      <c r="O22" s="1368"/>
      <c r="P22" s="1365">
        <f>SUM(I22:O22)</f>
        <v>-340892.58936477912</v>
      </c>
      <c r="Q22" s="1375"/>
      <c r="R22" s="1379" t="s">
        <v>1203</v>
      </c>
      <c r="T22" s="1342"/>
      <c r="U22" s="1342"/>
      <c r="V22" s="1342"/>
      <c r="W22" s="1342"/>
    </row>
    <row r="23" spans="1:23" ht="15">
      <c r="A23" s="1338" t="s">
        <v>1071</v>
      </c>
      <c r="B23" s="1380" t="s">
        <v>1191</v>
      </c>
      <c r="D23" s="1361"/>
      <c r="E23" s="1361"/>
      <c r="F23" s="1370"/>
      <c r="G23" s="1371"/>
      <c r="H23" s="1371"/>
      <c r="I23" s="1368"/>
      <c r="J23" s="1368"/>
      <c r="K23" s="1368"/>
      <c r="L23" s="1368"/>
      <c r="M23" s="1368"/>
      <c r="N23" s="1368"/>
      <c r="O23" s="1368"/>
      <c r="P23" s="1381"/>
      <c r="Q23" s="1374"/>
      <c r="R23" s="1379"/>
      <c r="S23" s="1359"/>
      <c r="T23" s="1342"/>
      <c r="U23" s="1342"/>
      <c r="V23" s="1342"/>
      <c r="W23" s="1342"/>
    </row>
    <row r="24" spans="1:23" ht="15">
      <c r="B24" s="1382"/>
      <c r="C24" s="1382"/>
      <c r="D24" s="1382"/>
      <c r="E24" s="1382"/>
      <c r="F24" s="1382"/>
      <c r="G24" s="1382"/>
      <c r="H24" s="1382"/>
      <c r="I24" s="1382"/>
      <c r="J24" s="1382"/>
      <c r="K24" s="1382"/>
      <c r="L24" s="1382"/>
      <c r="M24" s="1382"/>
      <c r="N24" s="1359"/>
      <c r="O24" s="1359"/>
      <c r="P24" s="1383"/>
      <c r="Q24" s="1359"/>
      <c r="R24" s="1359"/>
      <c r="S24" s="1359"/>
      <c r="T24" s="1342"/>
      <c r="U24" s="1342"/>
      <c r="V24" s="1342"/>
      <c r="W24" s="1342"/>
    </row>
    <row r="25" spans="1:23" s="1342" customFormat="1" ht="15">
      <c r="A25" s="1338"/>
      <c r="B25" s="1357" t="s">
        <v>1073</v>
      </c>
      <c r="Q25" s="1384"/>
      <c r="R25" s="1385"/>
      <c r="S25" s="1359"/>
    </row>
    <row r="26" spans="1:23" ht="11.45" customHeight="1">
      <c r="A26" s="1338" t="s">
        <v>1074</v>
      </c>
      <c r="B26" s="1386">
        <v>182.3</v>
      </c>
      <c r="C26" s="1387" t="s">
        <v>1075</v>
      </c>
      <c r="D26" s="1364" t="s">
        <v>116</v>
      </c>
      <c r="E26" s="1361" t="s">
        <v>1042</v>
      </c>
      <c r="F26" s="1364"/>
      <c r="G26" s="1364" t="s">
        <v>116</v>
      </c>
      <c r="H26" s="1364"/>
      <c r="I26" s="1388">
        <v>0</v>
      </c>
      <c r="J26" s="1364"/>
      <c r="K26" s="1368"/>
      <c r="L26" s="1368"/>
      <c r="M26" s="1368"/>
      <c r="N26" s="1364"/>
      <c r="O26" s="1364"/>
      <c r="P26" s="1381">
        <f>SUM(I26:O26)</f>
        <v>0</v>
      </c>
      <c r="Q26" s="1389"/>
      <c r="R26" s="1366" t="s">
        <v>1076</v>
      </c>
      <c r="S26" s="1359"/>
      <c r="T26" s="1342"/>
      <c r="U26" s="1342"/>
      <c r="V26" s="1342"/>
      <c r="W26" s="1342"/>
    </row>
    <row r="27" spans="1:23" ht="11.45" customHeight="1">
      <c r="A27" s="1338" t="s">
        <v>1077</v>
      </c>
      <c r="B27" s="1386">
        <v>254</v>
      </c>
      <c r="C27" s="1387" t="s">
        <v>1078</v>
      </c>
      <c r="D27" s="1364" t="s">
        <v>116</v>
      </c>
      <c r="E27" s="1361" t="s">
        <v>1042</v>
      </c>
      <c r="F27" s="1364"/>
      <c r="G27" s="1364" t="s">
        <v>116</v>
      </c>
      <c r="H27" s="1364"/>
      <c r="I27" s="1388">
        <v>-7442494.1448328625</v>
      </c>
      <c r="J27" s="1364"/>
      <c r="K27" s="1368"/>
      <c r="L27" s="1368"/>
      <c r="M27" s="1368">
        <v>244211.41043968996</v>
      </c>
      <c r="N27" s="1364"/>
      <c r="O27" s="1364"/>
      <c r="P27" s="1381">
        <f>SUM(I27:O27)</f>
        <v>-7198282.7343931729</v>
      </c>
      <c r="Q27" s="1389"/>
      <c r="R27" s="1366" t="s">
        <v>1076</v>
      </c>
      <c r="S27" s="1359"/>
      <c r="T27" s="1342"/>
      <c r="U27" s="1342"/>
      <c r="V27" s="1342"/>
      <c r="W27" s="1342"/>
    </row>
    <row r="28" spans="1:23" ht="11.45" customHeight="1">
      <c r="A28" s="1338" t="s">
        <v>1079</v>
      </c>
      <c r="B28" s="1380" t="s">
        <v>1191</v>
      </c>
      <c r="C28" s="1387"/>
      <c r="D28" s="1364"/>
      <c r="E28" s="1361"/>
      <c r="F28" s="1364"/>
      <c r="G28" s="1364"/>
      <c r="H28" s="1364"/>
      <c r="I28" s="1368"/>
      <c r="J28" s="1364" t="s">
        <v>116</v>
      </c>
      <c r="K28" s="1368"/>
      <c r="L28" s="1368"/>
      <c r="M28" s="1368"/>
      <c r="N28" s="1364"/>
      <c r="O28" s="1364"/>
      <c r="P28" s="1389"/>
      <c r="Q28" s="1389"/>
      <c r="R28" s="1366"/>
      <c r="S28" s="1359"/>
      <c r="T28" s="1342"/>
      <c r="U28" s="1342"/>
      <c r="V28" s="1342"/>
      <c r="W28" s="1342"/>
    </row>
    <row r="29" spans="1:23">
      <c r="B29" s="1386"/>
      <c r="C29" s="1387"/>
      <c r="D29" s="1346"/>
      <c r="E29" s="1346"/>
      <c r="F29" s="1346"/>
      <c r="G29" s="1346"/>
      <c r="H29" s="1346"/>
      <c r="I29" s="1346"/>
      <c r="J29" s="1346"/>
      <c r="K29" s="1346"/>
      <c r="L29" s="1346"/>
      <c r="M29" s="1346"/>
      <c r="N29" s="1346"/>
      <c r="O29" s="1346"/>
      <c r="P29" s="1346"/>
      <c r="Q29" s="1346"/>
      <c r="R29" s="1390"/>
      <c r="S29" s="1384"/>
      <c r="T29" s="1342"/>
      <c r="U29" s="1342"/>
      <c r="V29" s="1342"/>
      <c r="W29" s="1342"/>
    </row>
    <row r="30" spans="1:23" ht="12.75" thickBot="1">
      <c r="A30" s="1391">
        <v>3</v>
      </c>
      <c r="B30" s="1563" t="str">
        <f>"Total For Accounting Entires (Sum of Lines "&amp;A13&amp;" through "&amp;A27&amp;")"</f>
        <v>Total For Accounting Entires (Sum of Lines 1a through 2b)</v>
      </c>
      <c r="C30" s="1563"/>
      <c r="D30" s="1364"/>
      <c r="E30" s="1364"/>
      <c r="F30" s="1364"/>
      <c r="G30" s="1364"/>
      <c r="H30" s="1364"/>
      <c r="I30" s="1392">
        <f>SUM(I13:I28)</f>
        <v>0</v>
      </c>
      <c r="J30" s="1392">
        <f t="shared" ref="J30:Q30" si="0">SUM(J13:J28)</f>
        <v>-5507716.8707556799</v>
      </c>
      <c r="K30" s="1393">
        <f t="shared" si="0"/>
        <v>0</v>
      </c>
      <c r="L30" s="1393">
        <f t="shared" si="0"/>
        <v>0</v>
      </c>
      <c r="M30" s="1392">
        <f t="shared" si="0"/>
        <v>0</v>
      </c>
      <c r="N30" s="1394">
        <f>-SUM(N13:N28)</f>
        <v>-190483.18497781263</v>
      </c>
      <c r="O30" s="1392">
        <f>-SUM(O13:O28)</f>
        <v>0</v>
      </c>
      <c r="P30" s="1393">
        <f t="shared" si="0"/>
        <v>0</v>
      </c>
      <c r="Q30" s="1392">
        <f t="shared" si="0"/>
        <v>-5317233.6857778672</v>
      </c>
      <c r="R30" s="1395"/>
      <c r="S30" s="1384"/>
      <c r="T30" s="1342"/>
      <c r="U30" s="1342"/>
      <c r="V30" s="1342"/>
      <c r="W30" s="1342"/>
    </row>
    <row r="31" spans="1:23" ht="12.75" thickTop="1">
      <c r="B31" s="1386"/>
      <c r="C31" s="1387"/>
      <c r="D31" s="1346"/>
      <c r="E31" s="1346"/>
      <c r="F31" s="1346"/>
      <c r="G31" s="1346"/>
      <c r="H31" s="1346"/>
      <c r="I31" s="1396"/>
      <c r="J31" s="1373"/>
      <c r="K31" s="1397"/>
      <c r="L31" s="1397"/>
      <c r="M31" s="1397"/>
      <c r="N31" s="1398" t="s">
        <v>1072</v>
      </c>
      <c r="O31" s="1398"/>
      <c r="P31" s="1397"/>
      <c r="Q31" s="1399"/>
      <c r="R31" s="1395"/>
      <c r="S31" s="1384"/>
      <c r="T31" s="1342"/>
      <c r="U31" s="1342"/>
      <c r="V31" s="1342"/>
      <c r="W31" s="1342"/>
    </row>
    <row r="32" spans="1:23">
      <c r="A32" s="1380" t="s">
        <v>1080</v>
      </c>
      <c r="B32" s="1386"/>
      <c r="C32" s="1387"/>
      <c r="D32" s="1346"/>
      <c r="E32" s="1346"/>
      <c r="F32" s="1346"/>
      <c r="G32" s="1346"/>
      <c r="H32" s="1346"/>
      <c r="I32" s="1396"/>
      <c r="J32" s="1373"/>
      <c r="K32" s="1397"/>
      <c r="L32" s="1397"/>
      <c r="M32" s="1397"/>
      <c r="N32" s="1373"/>
      <c r="O32" s="1373"/>
      <c r="P32" s="1397"/>
      <c r="Q32" s="1399"/>
      <c r="R32" s="1395"/>
      <c r="S32" s="1384"/>
      <c r="T32" s="1342"/>
      <c r="U32" s="1342"/>
      <c r="V32" s="1342"/>
      <c r="W32" s="1342"/>
    </row>
    <row r="33" spans="1:23">
      <c r="B33" s="1338"/>
      <c r="D33" s="1354"/>
      <c r="E33" s="1354"/>
      <c r="F33" s="1354"/>
      <c r="G33" s="1354"/>
      <c r="H33" s="1354"/>
      <c r="I33" s="1355"/>
      <c r="J33" s="1355"/>
      <c r="K33" s="1355"/>
      <c r="L33" s="1355"/>
      <c r="M33" s="1355"/>
      <c r="N33" s="1355"/>
      <c r="O33" s="1355"/>
      <c r="P33" s="1560" t="s">
        <v>1036</v>
      </c>
      <c r="Q33" s="1560"/>
      <c r="R33" s="1352"/>
      <c r="S33" s="1384"/>
      <c r="T33" s="1342"/>
      <c r="U33" s="1342"/>
      <c r="V33" s="1342"/>
      <c r="W33" s="1342"/>
    </row>
    <row r="34" spans="1:23">
      <c r="B34" s="1357" t="s">
        <v>1037</v>
      </c>
      <c r="C34" s="1358"/>
      <c r="D34" s="1358"/>
      <c r="E34" s="1358"/>
      <c r="F34" s="1358"/>
      <c r="G34" s="1358"/>
      <c r="H34" s="1358"/>
      <c r="I34" s="1358"/>
      <c r="J34" s="1358"/>
      <c r="K34" s="1358"/>
      <c r="L34" s="1358"/>
      <c r="M34" s="1358"/>
      <c r="N34" s="1358"/>
      <c r="O34" s="1358"/>
      <c r="P34" s="1358"/>
      <c r="Q34" s="1358"/>
      <c r="R34" s="1342"/>
      <c r="S34" s="1384"/>
      <c r="T34" s="1342"/>
      <c r="U34" s="1342"/>
      <c r="V34" s="1342"/>
      <c r="W34" s="1342"/>
    </row>
    <row r="35" spans="1:23">
      <c r="A35" s="1338" t="s">
        <v>1081</v>
      </c>
      <c r="B35" s="1360" t="s">
        <v>1039</v>
      </c>
      <c r="C35" s="1338" t="s">
        <v>1040</v>
      </c>
      <c r="D35" s="1361" t="s">
        <v>1041</v>
      </c>
      <c r="E35" s="1361" t="s">
        <v>1042</v>
      </c>
      <c r="F35" s="1362"/>
      <c r="G35" s="1361"/>
      <c r="H35" s="1361"/>
      <c r="I35" s="1368">
        <v>817348.89290167333</v>
      </c>
      <c r="J35" s="1378" t="s">
        <v>116</v>
      </c>
      <c r="K35" s="1368"/>
      <c r="L35" s="1368"/>
      <c r="M35" s="1368">
        <v>-32076.100625505627</v>
      </c>
      <c r="N35" s="1368"/>
      <c r="O35" s="1368"/>
      <c r="P35" s="1365">
        <f>SUM(I35:O35)</f>
        <v>785272.79227616766</v>
      </c>
      <c r="Q35" s="1364" t="s">
        <v>116</v>
      </c>
      <c r="R35" s="1366" t="s">
        <v>640</v>
      </c>
      <c r="S35" s="1384"/>
      <c r="T35" s="1342"/>
      <c r="U35" s="1342"/>
      <c r="V35" s="1342"/>
      <c r="W35" s="1342"/>
    </row>
    <row r="36" spans="1:23">
      <c r="A36" s="1338" t="s">
        <v>1082</v>
      </c>
      <c r="B36" s="1360" t="s">
        <v>1053</v>
      </c>
      <c r="C36" s="1338" t="s">
        <v>1054</v>
      </c>
      <c r="D36" s="1361" t="s">
        <v>1048</v>
      </c>
      <c r="E36" s="1361" t="s">
        <v>1042</v>
      </c>
      <c r="F36" s="1370">
        <v>-2351751</v>
      </c>
      <c r="G36" s="1371" t="s">
        <v>1055</v>
      </c>
      <c r="H36" s="1371" t="s">
        <v>1056</v>
      </c>
      <c r="I36" s="1364" t="s">
        <v>116</v>
      </c>
      <c r="J36" s="1368">
        <v>-2031328.6793000009</v>
      </c>
      <c r="K36" s="1368"/>
      <c r="L36" s="1368"/>
      <c r="M36" s="1368"/>
      <c r="N36" s="1368">
        <v>33128</v>
      </c>
      <c r="O36" s="1368">
        <v>0</v>
      </c>
      <c r="P36" s="1364" t="s">
        <v>116</v>
      </c>
      <c r="Q36" s="1368">
        <f>SUM(I36:O36)</f>
        <v>-1998200.6793000009</v>
      </c>
      <c r="R36" s="1562" t="s">
        <v>1205</v>
      </c>
      <c r="S36" s="1384"/>
      <c r="T36" s="1342"/>
      <c r="U36" s="1342"/>
      <c r="V36" s="1342"/>
      <c r="W36" s="1342"/>
    </row>
    <row r="37" spans="1:23">
      <c r="A37" s="1338" t="s">
        <v>1083</v>
      </c>
      <c r="B37" s="1360" t="s">
        <v>1053</v>
      </c>
      <c r="C37" s="1338" t="s">
        <v>1054</v>
      </c>
      <c r="D37" s="1361" t="s">
        <v>1058</v>
      </c>
      <c r="E37" s="1361" t="s">
        <v>1042</v>
      </c>
      <c r="F37" s="1373">
        <v>-470396</v>
      </c>
      <c r="G37" s="1371" t="s">
        <v>1059</v>
      </c>
      <c r="H37" s="1371" t="s">
        <v>1060</v>
      </c>
      <c r="I37" s="1364" t="s">
        <v>116</v>
      </c>
      <c r="J37" s="1368">
        <v>-366037.08769515657</v>
      </c>
      <c r="K37" s="1368"/>
      <c r="L37" s="1368"/>
      <c r="M37" s="1368"/>
      <c r="N37" s="1368">
        <v>91509.498330377362</v>
      </c>
      <c r="O37" s="1368">
        <v>0</v>
      </c>
      <c r="P37" s="1364" t="s">
        <v>116</v>
      </c>
      <c r="Q37" s="1368">
        <f>SUM(I37:O37)</f>
        <v>-274527.58936477918</v>
      </c>
      <c r="R37" s="1562"/>
      <c r="S37" s="1384"/>
      <c r="T37" s="1342"/>
      <c r="U37" s="1342"/>
      <c r="V37" s="1342"/>
      <c r="W37" s="1342"/>
    </row>
    <row r="38" spans="1:23">
      <c r="A38" s="1338" t="s">
        <v>1084</v>
      </c>
      <c r="B38" s="1360" t="s">
        <v>1062</v>
      </c>
      <c r="C38" s="1338" t="s">
        <v>1063</v>
      </c>
      <c r="D38" s="1361" t="s">
        <v>1048</v>
      </c>
      <c r="E38" s="1361" t="s">
        <v>1042</v>
      </c>
      <c r="F38" s="1373"/>
      <c r="G38" s="1371"/>
      <c r="H38" s="1371"/>
      <c r="I38" s="1368">
        <v>2031328.6793000009</v>
      </c>
      <c r="J38" s="1364" t="s">
        <v>116</v>
      </c>
      <c r="K38" s="1368"/>
      <c r="L38" s="1368"/>
      <c r="M38" s="1368">
        <v>-33128</v>
      </c>
      <c r="N38" s="1368"/>
      <c r="O38" s="1368"/>
      <c r="P38" s="1368">
        <f>SUM(I38:O38)</f>
        <v>1998200.6793000009</v>
      </c>
      <c r="Q38" s="1364" t="s">
        <v>116</v>
      </c>
      <c r="R38" s="1564" t="s">
        <v>640</v>
      </c>
      <c r="S38" s="1384"/>
      <c r="T38" s="1342"/>
      <c r="U38" s="1342"/>
      <c r="V38" s="1342"/>
      <c r="W38" s="1342"/>
    </row>
    <row r="39" spans="1:23">
      <c r="A39" s="1338" t="s">
        <v>1085</v>
      </c>
      <c r="B39" s="1360" t="s">
        <v>1062</v>
      </c>
      <c r="C39" s="1338" t="s">
        <v>1063</v>
      </c>
      <c r="D39" s="1361" t="s">
        <v>1058</v>
      </c>
      <c r="E39" s="1361" t="s">
        <v>1042</v>
      </c>
      <c r="F39" s="1373"/>
      <c r="G39" s="1371"/>
      <c r="H39" s="1371"/>
      <c r="I39" s="1368">
        <v>366037.08769515657</v>
      </c>
      <c r="J39" s="1364" t="s">
        <v>116</v>
      </c>
      <c r="K39" s="1368"/>
      <c r="L39" s="1368"/>
      <c r="M39" s="1368">
        <v>-91509.498330377362</v>
      </c>
      <c r="N39" s="1368"/>
      <c r="O39" s="1368"/>
      <c r="P39" s="1368">
        <f>SUM(I39:O39)</f>
        <v>274527.58936477918</v>
      </c>
      <c r="Q39" s="1364" t="s">
        <v>116</v>
      </c>
      <c r="R39" s="1564"/>
      <c r="S39" s="1384"/>
      <c r="T39" s="1342"/>
      <c r="U39" s="1342"/>
      <c r="V39" s="1342"/>
      <c r="W39" s="1342"/>
    </row>
    <row r="40" spans="1:23">
      <c r="A40" s="1338" t="s">
        <v>1086</v>
      </c>
      <c r="B40" s="1360" t="s">
        <v>1066</v>
      </c>
      <c r="C40" s="1338" t="s">
        <v>1067</v>
      </c>
      <c r="D40" s="1361" t="s">
        <v>1058</v>
      </c>
      <c r="E40" s="1361" t="s">
        <v>1042</v>
      </c>
      <c r="F40" s="1373">
        <v>89682</v>
      </c>
      <c r="G40" s="1371" t="s">
        <v>1059</v>
      </c>
      <c r="H40" s="1371" t="s">
        <v>1060</v>
      </c>
      <c r="I40" s="1364" t="s">
        <v>116</v>
      </c>
      <c r="J40" s="1368">
        <v>70627.087695156544</v>
      </c>
      <c r="K40" s="1368"/>
      <c r="L40" s="1368"/>
      <c r="M40" s="1368"/>
      <c r="N40" s="1368">
        <v>-17656.498330377373</v>
      </c>
      <c r="O40" s="1368">
        <v>0</v>
      </c>
      <c r="P40" s="1375" t="s">
        <v>116</v>
      </c>
      <c r="Q40" s="1368">
        <f>SUM(I40:O40)</f>
        <v>52970.589364779167</v>
      </c>
      <c r="R40" s="1400" t="s">
        <v>1204</v>
      </c>
      <c r="S40" s="1384"/>
      <c r="T40" s="1342"/>
      <c r="U40" s="1342"/>
      <c r="V40" s="1342"/>
      <c r="W40" s="1342"/>
    </row>
    <row r="41" spans="1:23">
      <c r="A41" s="1338" t="s">
        <v>1087</v>
      </c>
      <c r="B41" s="1377" t="s">
        <v>1069</v>
      </c>
      <c r="C41" s="1338" t="s">
        <v>1070</v>
      </c>
      <c r="D41" s="1361" t="s">
        <v>1058</v>
      </c>
      <c r="E41" s="1361" t="s">
        <v>1042</v>
      </c>
      <c r="F41" s="1370"/>
      <c r="G41" s="1371"/>
      <c r="H41" s="1371"/>
      <c r="I41" s="1368">
        <v>-70627.087695156544</v>
      </c>
      <c r="J41" s="1378" t="s">
        <v>116</v>
      </c>
      <c r="K41" s="1368"/>
      <c r="L41" s="1368"/>
      <c r="M41" s="1368">
        <v>17656.498330377373</v>
      </c>
      <c r="N41" s="1368"/>
      <c r="O41" s="1368"/>
      <c r="P41" s="1368">
        <f>SUM(I41:O41)</f>
        <v>-52970.589364779167</v>
      </c>
      <c r="Q41" s="1375" t="s">
        <v>116</v>
      </c>
      <c r="R41" s="1366" t="s">
        <v>640</v>
      </c>
      <c r="S41" s="1384"/>
      <c r="T41" s="1342"/>
      <c r="U41" s="1342"/>
      <c r="V41" s="1342"/>
      <c r="W41" s="1342"/>
    </row>
    <row r="42" spans="1:23">
      <c r="A42" s="1338" t="s">
        <v>1088</v>
      </c>
      <c r="B42" s="1380" t="s">
        <v>1191</v>
      </c>
      <c r="D42" s="1361"/>
      <c r="E42" s="1361"/>
      <c r="F42" s="1370"/>
      <c r="G42" s="1371"/>
      <c r="H42" s="1371"/>
      <c r="I42" s="1368"/>
      <c r="J42" s="1368"/>
      <c r="K42" s="1368"/>
      <c r="L42" s="1368"/>
      <c r="M42" s="1368"/>
      <c r="N42" s="1368"/>
      <c r="O42" s="1368"/>
      <c r="P42" s="1381"/>
      <c r="Q42" s="1374"/>
      <c r="R42" s="1379"/>
      <c r="S42" s="1342"/>
      <c r="T42" s="1342"/>
      <c r="U42" s="1342"/>
      <c r="V42" s="1342"/>
      <c r="W42" s="1342"/>
    </row>
    <row r="43" spans="1:23" ht="15">
      <c r="B43" s="1382"/>
      <c r="C43" s="1382"/>
      <c r="D43" s="1382"/>
      <c r="E43" s="1382"/>
      <c r="F43" s="1382"/>
      <c r="G43" s="1382"/>
      <c r="H43" s="1382"/>
      <c r="I43" s="1382"/>
      <c r="J43" s="1382"/>
      <c r="K43" s="1382"/>
      <c r="L43" s="1382"/>
      <c r="M43" s="1382"/>
      <c r="N43" s="1359"/>
      <c r="O43" s="1359"/>
      <c r="P43" s="1359"/>
      <c r="Q43" s="1359"/>
      <c r="R43" s="1359"/>
      <c r="S43" s="1342"/>
      <c r="T43" s="1342"/>
      <c r="U43" s="1342"/>
      <c r="V43" s="1342"/>
      <c r="W43" s="1342"/>
    </row>
    <row r="44" spans="1:23">
      <c r="B44" s="1357" t="s">
        <v>1073</v>
      </c>
      <c r="C44" s="1342"/>
      <c r="D44" s="1342"/>
      <c r="E44" s="1342"/>
      <c r="F44" s="1342"/>
      <c r="G44" s="1342"/>
      <c r="H44" s="1342"/>
      <c r="I44" s="1342"/>
      <c r="J44" s="1342"/>
      <c r="K44" s="1342"/>
      <c r="L44" s="1342"/>
      <c r="M44" s="1342"/>
      <c r="N44" s="1342"/>
      <c r="O44" s="1342"/>
      <c r="P44" s="1342"/>
      <c r="Q44" s="1401"/>
      <c r="R44" s="1402"/>
      <c r="S44" s="1342"/>
      <c r="T44" s="1342"/>
      <c r="U44" s="1342"/>
      <c r="V44" s="1342"/>
      <c r="W44" s="1342"/>
    </row>
    <row r="45" spans="1:23">
      <c r="A45" s="1338" t="s">
        <v>623</v>
      </c>
      <c r="B45" s="1386">
        <v>182.3</v>
      </c>
      <c r="C45" s="1387" t="s">
        <v>1075</v>
      </c>
      <c r="D45" s="1364" t="s">
        <v>116</v>
      </c>
      <c r="E45" s="1361" t="s">
        <v>1042</v>
      </c>
      <c r="F45" s="1364"/>
      <c r="G45" s="1364" t="s">
        <v>116</v>
      </c>
      <c r="H45" s="1364"/>
      <c r="I45" s="1388">
        <v>0</v>
      </c>
      <c r="J45" s="1364"/>
      <c r="K45" s="1368"/>
      <c r="L45" s="1368"/>
      <c r="M45" s="1368"/>
      <c r="N45" s="1364"/>
      <c r="O45" s="1364"/>
      <c r="P45" s="1381">
        <f>SUM(I45:O45)</f>
        <v>0</v>
      </c>
      <c r="Q45" s="1389"/>
      <c r="R45" s="1366" t="s">
        <v>1076</v>
      </c>
      <c r="S45" s="1342"/>
      <c r="T45" s="1342"/>
      <c r="U45" s="1342"/>
      <c r="V45" s="1342"/>
      <c r="W45" s="1342"/>
    </row>
    <row r="46" spans="1:23">
      <c r="A46" s="1338" t="s">
        <v>624</v>
      </c>
      <c r="B46" s="1386">
        <v>254</v>
      </c>
      <c r="C46" s="1387" t="s">
        <v>1078</v>
      </c>
      <c r="D46" s="1364" t="s">
        <v>116</v>
      </c>
      <c r="E46" s="1361" t="s">
        <v>1042</v>
      </c>
      <c r="F46" s="1364"/>
      <c r="G46" s="1364" t="s">
        <v>116</v>
      </c>
      <c r="H46" s="1364"/>
      <c r="I46" s="1388">
        <v>-3144087.5722016739</v>
      </c>
      <c r="J46" s="1364"/>
      <c r="K46" s="1368"/>
      <c r="L46" s="1368"/>
      <c r="M46" s="1368">
        <v>139057.10062550564</v>
      </c>
      <c r="N46" s="1364"/>
      <c r="O46" s="1364"/>
      <c r="P46" s="1381">
        <f>SUM(I46:O46)</f>
        <v>-3005030.4715761682</v>
      </c>
      <c r="Q46" s="1389"/>
      <c r="R46" s="1366" t="s">
        <v>1076</v>
      </c>
      <c r="S46" s="1342"/>
      <c r="T46" s="1342"/>
      <c r="U46" s="1342"/>
      <c r="V46" s="1342"/>
      <c r="W46" s="1342"/>
    </row>
    <row r="47" spans="1:23">
      <c r="A47" s="1338" t="s">
        <v>1089</v>
      </c>
      <c r="B47" s="1380" t="s">
        <v>1191</v>
      </c>
      <c r="C47" s="1387"/>
      <c r="D47" s="1364"/>
      <c r="E47" s="1361"/>
      <c r="F47" s="1364"/>
      <c r="G47" s="1364"/>
      <c r="H47" s="1364"/>
      <c r="I47" s="1368"/>
      <c r="J47" s="1364" t="s">
        <v>116</v>
      </c>
      <c r="K47" s="1368"/>
      <c r="L47" s="1368"/>
      <c r="M47" s="1368"/>
      <c r="N47" s="1364" t="s">
        <v>116</v>
      </c>
      <c r="O47" s="1364" t="s">
        <v>116</v>
      </c>
      <c r="P47" s="1389"/>
      <c r="Q47" s="1389"/>
      <c r="R47" s="1366"/>
      <c r="S47" s="1342"/>
      <c r="T47" s="1342"/>
      <c r="U47" s="1342"/>
      <c r="V47" s="1342"/>
      <c r="W47" s="1342"/>
    </row>
    <row r="48" spans="1:23">
      <c r="B48" s="1386"/>
      <c r="C48" s="1387"/>
      <c r="D48" s="1346"/>
      <c r="E48" s="1346"/>
      <c r="F48" s="1346"/>
      <c r="G48" s="1346"/>
      <c r="H48" s="1346"/>
      <c r="I48" s="1346"/>
      <c r="J48" s="1346"/>
      <c r="K48" s="1346"/>
      <c r="L48" s="1346"/>
      <c r="M48" s="1346"/>
      <c r="N48" s="1403"/>
      <c r="O48" s="1346"/>
      <c r="P48" s="1346"/>
      <c r="Q48" s="1346"/>
      <c r="R48" s="1390"/>
      <c r="S48" s="1342"/>
      <c r="T48" s="1342"/>
      <c r="U48" s="1342"/>
      <c r="V48" s="1342"/>
      <c r="W48" s="1342"/>
    </row>
    <row r="49" spans="1:23" ht="12.75" thickBot="1">
      <c r="A49" s="1391">
        <v>6</v>
      </c>
      <c r="B49" s="1563" t="str">
        <f>"Total For Accounting Entires (Sum of Lines "&amp;A35&amp;" through "&amp;A46&amp;")"</f>
        <v>Total For Accounting Entires (Sum of Lines 4a through 5b)</v>
      </c>
      <c r="C49" s="1563"/>
      <c r="D49" s="1364"/>
      <c r="E49" s="1364"/>
      <c r="F49" s="1364"/>
      <c r="G49" s="1364"/>
      <c r="H49" s="1364"/>
      <c r="I49" s="1392">
        <f>SUM(I35:I47)</f>
        <v>0</v>
      </c>
      <c r="J49" s="1392">
        <f t="shared" ref="J49:Q49" si="1">SUM(J35:J47)</f>
        <v>-2326738.6793000009</v>
      </c>
      <c r="K49" s="1393">
        <f t="shared" si="1"/>
        <v>0</v>
      </c>
      <c r="L49" s="1393">
        <f t="shared" si="1"/>
        <v>0</v>
      </c>
      <c r="M49" s="1392">
        <f t="shared" si="1"/>
        <v>0</v>
      </c>
      <c r="N49" s="1394">
        <f>-SUM(N35:N47)</f>
        <v>-106980.99999999999</v>
      </c>
      <c r="O49" s="1392">
        <f>-SUM(O35:O47)</f>
        <v>0</v>
      </c>
      <c r="P49" s="1393">
        <f t="shared" si="1"/>
        <v>0</v>
      </c>
      <c r="Q49" s="1392">
        <f t="shared" si="1"/>
        <v>-2219757.6793000009</v>
      </c>
      <c r="R49" s="1395"/>
      <c r="S49" s="1342"/>
      <c r="T49" s="1342"/>
      <c r="U49" s="1342"/>
      <c r="V49" s="1342"/>
      <c r="W49" s="1342"/>
    </row>
    <row r="50" spans="1:23" ht="12.75" thickTop="1">
      <c r="B50" s="1386"/>
      <c r="C50" s="1387"/>
      <c r="D50" s="1346"/>
      <c r="E50" s="1346"/>
      <c r="F50" s="1346"/>
      <c r="G50" s="1346"/>
      <c r="H50" s="1346"/>
      <c r="I50" s="1396"/>
      <c r="J50" s="1373"/>
      <c r="K50" s="1397"/>
      <c r="L50" s="1397"/>
      <c r="M50" s="1397"/>
      <c r="N50" s="1398" t="s">
        <v>1072</v>
      </c>
      <c r="O50" s="1373"/>
      <c r="P50" s="1397"/>
      <c r="Q50" s="1399"/>
      <c r="R50" s="1395"/>
      <c r="S50" s="1342"/>
      <c r="T50" s="1342"/>
      <c r="U50" s="1342"/>
      <c r="V50" s="1342"/>
      <c r="W50" s="1342"/>
    </row>
    <row r="51" spans="1:23">
      <c r="B51" s="1386"/>
      <c r="C51" s="1387"/>
      <c r="D51" s="1346"/>
      <c r="E51" s="1346"/>
      <c r="F51" s="1346"/>
      <c r="G51" s="1346"/>
      <c r="H51" s="1346"/>
      <c r="I51" s="1396"/>
      <c r="J51" s="1373"/>
      <c r="K51" s="1397"/>
      <c r="L51" s="1397"/>
      <c r="M51" s="1397"/>
      <c r="N51" s="1373"/>
      <c r="O51" s="1373"/>
      <c r="P51" s="1397"/>
      <c r="Q51" s="1399"/>
      <c r="R51" s="1395"/>
      <c r="S51" s="1342"/>
      <c r="T51" s="1342"/>
      <c r="U51" s="1342"/>
      <c r="V51" s="1342"/>
      <c r="W51" s="1342"/>
    </row>
    <row r="52" spans="1:23" ht="18.600000000000001" customHeight="1">
      <c r="A52" s="1565" t="s">
        <v>1090</v>
      </c>
      <c r="B52" s="1565"/>
      <c r="C52" s="1565"/>
      <c r="D52" s="1565"/>
      <c r="E52" s="1565"/>
      <c r="F52" s="1565"/>
      <c r="G52" s="1565"/>
      <c r="H52" s="1565"/>
      <c r="I52" s="1565"/>
      <c r="J52" s="1565"/>
      <c r="K52" s="1397"/>
      <c r="L52" s="1397"/>
      <c r="M52" s="1397"/>
      <c r="N52" s="1373"/>
      <c r="O52" s="1373"/>
      <c r="P52" s="1397"/>
      <c r="Q52" s="1399"/>
      <c r="R52" s="1395"/>
      <c r="S52" s="1342"/>
      <c r="T52" s="1342"/>
      <c r="U52" s="1342"/>
      <c r="V52" s="1342"/>
      <c r="W52" s="1342"/>
    </row>
    <row r="53" spans="1:23" ht="23.1" customHeight="1">
      <c r="A53" s="1565"/>
      <c r="B53" s="1565"/>
      <c r="C53" s="1565"/>
      <c r="D53" s="1565"/>
      <c r="E53" s="1565"/>
      <c r="F53" s="1565"/>
      <c r="G53" s="1565"/>
      <c r="H53" s="1565"/>
      <c r="I53" s="1565"/>
      <c r="J53" s="1565"/>
      <c r="K53" s="1397"/>
      <c r="L53" s="1397"/>
      <c r="M53" s="1397"/>
      <c r="N53" s="1373"/>
      <c r="O53" s="1373"/>
      <c r="P53" s="1397"/>
      <c r="Q53" s="1399"/>
      <c r="R53" s="1395"/>
      <c r="S53" s="1342"/>
      <c r="T53" s="1342"/>
      <c r="U53" s="1342"/>
      <c r="V53" s="1342"/>
      <c r="W53" s="1342"/>
    </row>
    <row r="54" spans="1:23" ht="15" customHeight="1">
      <c r="B54" s="1386"/>
      <c r="C54" s="1387"/>
      <c r="D54" s="1346"/>
      <c r="E54" s="1346"/>
      <c r="F54" s="1346"/>
      <c r="G54" s="1346"/>
      <c r="H54" s="1346"/>
      <c r="I54" s="1396"/>
      <c r="J54" s="1373"/>
      <c r="K54" s="1397"/>
      <c r="L54" s="1397"/>
      <c r="M54" s="1397"/>
      <c r="N54" s="1373"/>
      <c r="O54" s="1373"/>
      <c r="P54" s="1397"/>
      <c r="Q54" s="1399"/>
      <c r="R54" s="1395"/>
      <c r="S54" s="1342"/>
      <c r="T54" s="1342"/>
      <c r="U54" s="1342"/>
      <c r="V54" s="1342"/>
      <c r="W54" s="1342"/>
    </row>
    <row r="55" spans="1:23">
      <c r="B55" s="1338"/>
      <c r="C55" s="1387"/>
      <c r="D55" s="1346"/>
      <c r="E55" s="1346"/>
      <c r="F55" s="1346"/>
      <c r="G55" s="1346"/>
      <c r="H55" s="1346"/>
      <c r="I55" s="1396"/>
      <c r="J55" s="1399"/>
      <c r="K55" s="1397"/>
      <c r="L55" s="1397"/>
      <c r="M55" s="1397"/>
      <c r="N55" s="1399"/>
      <c r="O55" s="1399"/>
      <c r="P55" s="1397"/>
      <c r="Q55" s="1399"/>
      <c r="R55" s="1395"/>
      <c r="S55" s="1342"/>
      <c r="T55" s="1342"/>
      <c r="U55" s="1342"/>
      <c r="V55" s="1342"/>
      <c r="W55" s="1342"/>
    </row>
    <row r="56" spans="1:23">
      <c r="A56" s="1404" t="s">
        <v>1091</v>
      </c>
      <c r="B56" s="1561" t="s">
        <v>1192</v>
      </c>
      <c r="C56" s="1561"/>
      <c r="D56" s="1561"/>
      <c r="E56" s="1561"/>
      <c r="F56" s="1561"/>
      <c r="G56" s="1561"/>
      <c r="H56" s="1561"/>
      <c r="I56" s="1561"/>
      <c r="J56" s="1561"/>
      <c r="K56" s="1404"/>
    </row>
    <row r="57" spans="1:23">
      <c r="B57" s="1561"/>
      <c r="C57" s="1561"/>
      <c r="D57" s="1561"/>
      <c r="E57" s="1561"/>
      <c r="F57" s="1561"/>
      <c r="G57" s="1561"/>
      <c r="H57" s="1561"/>
      <c r="I57" s="1561"/>
      <c r="J57" s="1561"/>
      <c r="K57" s="1404"/>
    </row>
    <row r="58" spans="1:23">
      <c r="B58" s="1561"/>
      <c r="C58" s="1561"/>
      <c r="D58" s="1561"/>
      <c r="E58" s="1561"/>
      <c r="F58" s="1561"/>
      <c r="G58" s="1561"/>
      <c r="H58" s="1561"/>
      <c r="I58" s="1561"/>
      <c r="J58" s="1561"/>
      <c r="K58" s="1404"/>
    </row>
    <row r="59" spans="1:23">
      <c r="B59" s="1561"/>
      <c r="C59" s="1561"/>
      <c r="D59" s="1561"/>
      <c r="E59" s="1561"/>
      <c r="F59" s="1561"/>
      <c r="G59" s="1561"/>
      <c r="H59" s="1561"/>
      <c r="I59" s="1561"/>
      <c r="J59" s="1561"/>
      <c r="K59" s="1404"/>
    </row>
    <row r="60" spans="1:23">
      <c r="B60" s="1561"/>
      <c r="C60" s="1561"/>
      <c r="D60" s="1561"/>
      <c r="E60" s="1561"/>
      <c r="F60" s="1561"/>
      <c r="G60" s="1561"/>
      <c r="H60" s="1561"/>
      <c r="I60" s="1561"/>
      <c r="J60" s="1561"/>
      <c r="K60" s="1404"/>
    </row>
    <row r="61" spans="1:23">
      <c r="B61" s="1405"/>
      <c r="C61" s="1405"/>
      <c r="D61" s="1405"/>
      <c r="E61" s="1405"/>
      <c r="F61" s="1405"/>
      <c r="G61" s="1405"/>
      <c r="H61" s="1405"/>
      <c r="I61" s="1405"/>
      <c r="J61" s="1405"/>
      <c r="K61" s="1404"/>
    </row>
    <row r="62" spans="1:23">
      <c r="A62" s="1338" t="s">
        <v>1092</v>
      </c>
      <c r="B62" s="1407" t="s">
        <v>1093</v>
      </c>
      <c r="C62" s="1407"/>
      <c r="D62" s="1407"/>
      <c r="E62" s="1407"/>
      <c r="F62" s="1407"/>
      <c r="G62" s="1407"/>
      <c r="H62" s="1407"/>
      <c r="I62" s="1407"/>
      <c r="J62" s="1407"/>
    </row>
    <row r="63" spans="1:23">
      <c r="B63" s="1407"/>
      <c r="C63" s="1407"/>
      <c r="D63" s="1407"/>
      <c r="E63" s="1407"/>
      <c r="F63" s="1407"/>
      <c r="G63" s="1407"/>
      <c r="H63" s="1407"/>
      <c r="I63" s="1407"/>
      <c r="J63" s="1407"/>
    </row>
    <row r="64" spans="1:23">
      <c r="A64" s="1338" t="s">
        <v>1094</v>
      </c>
      <c r="B64" s="1561" t="s">
        <v>1193</v>
      </c>
      <c r="C64" s="1561"/>
      <c r="D64" s="1561"/>
      <c r="E64" s="1561"/>
      <c r="F64" s="1561"/>
      <c r="G64" s="1561"/>
      <c r="H64" s="1561"/>
      <c r="I64" s="1561"/>
      <c r="J64" s="1561"/>
    </row>
    <row r="65" spans="1:10">
      <c r="B65" s="1561"/>
      <c r="C65" s="1561"/>
      <c r="D65" s="1561"/>
      <c r="E65" s="1561"/>
      <c r="F65" s="1561"/>
      <c r="G65" s="1561"/>
      <c r="H65" s="1561"/>
      <c r="I65" s="1561"/>
      <c r="J65" s="1561"/>
    </row>
    <row r="66" spans="1:10">
      <c r="B66" s="1405"/>
      <c r="C66" s="1405"/>
      <c r="D66" s="1405"/>
      <c r="E66" s="1405"/>
      <c r="F66" s="1405"/>
      <c r="G66" s="1405"/>
      <c r="H66" s="1405"/>
      <c r="I66" s="1405"/>
      <c r="J66" s="1405"/>
    </row>
    <row r="67" spans="1:10">
      <c r="A67" s="1338" t="s">
        <v>1095</v>
      </c>
      <c r="B67" s="1482" t="s">
        <v>1194</v>
      </c>
      <c r="C67" s="1482"/>
      <c r="D67" s="1482"/>
      <c r="E67" s="1482"/>
      <c r="F67" s="1482"/>
      <c r="G67" s="1482"/>
      <c r="H67" s="1482"/>
      <c r="I67" s="1482"/>
      <c r="J67" s="1482"/>
    </row>
    <row r="68" spans="1:10">
      <c r="B68" s="1408"/>
      <c r="C68" s="1405"/>
      <c r="D68" s="1405"/>
      <c r="E68" s="1405"/>
      <c r="F68" s="1405"/>
      <c r="G68" s="1405"/>
      <c r="H68" s="1405"/>
      <c r="I68" s="1405"/>
      <c r="J68" s="1405"/>
    </row>
    <row r="69" spans="1:10">
      <c r="A69" s="1391" t="s">
        <v>1096</v>
      </c>
      <c r="B69" s="1561" t="s">
        <v>1195</v>
      </c>
      <c r="C69" s="1561"/>
      <c r="D69" s="1561"/>
      <c r="E69" s="1561"/>
      <c r="F69" s="1561"/>
      <c r="G69" s="1561"/>
      <c r="H69" s="1561"/>
      <c r="I69" s="1561"/>
      <c r="J69" s="1405"/>
    </row>
    <row r="70" spans="1:10">
      <c r="B70" s="1561"/>
      <c r="C70" s="1561"/>
      <c r="D70" s="1561"/>
      <c r="E70" s="1561"/>
      <c r="F70" s="1561"/>
      <c r="G70" s="1561"/>
      <c r="H70" s="1561"/>
      <c r="I70" s="1561"/>
      <c r="J70" s="1405"/>
    </row>
    <row r="72" spans="1:10">
      <c r="A72" s="1391" t="s">
        <v>1097</v>
      </c>
      <c r="B72" s="1561" t="s">
        <v>1196</v>
      </c>
      <c r="C72" s="1561"/>
      <c r="D72" s="1561"/>
      <c r="E72" s="1561"/>
      <c r="F72" s="1561"/>
      <c r="G72" s="1561"/>
      <c r="H72" s="1561"/>
      <c r="I72" s="1561"/>
    </row>
    <row r="73" spans="1:10">
      <c r="B73" s="1561"/>
      <c r="C73" s="1561"/>
      <c r="D73" s="1561"/>
      <c r="E73" s="1561"/>
      <c r="F73" s="1561"/>
      <c r="G73" s="1561"/>
      <c r="H73" s="1561"/>
      <c r="I73" s="1561"/>
    </row>
    <row r="75" spans="1:10">
      <c r="B75" s="1391"/>
    </row>
    <row r="76" spans="1:10">
      <c r="B76" s="1406"/>
    </row>
    <row r="77" spans="1:10">
      <c r="B77" s="1406"/>
    </row>
    <row r="78" spans="1:10">
      <c r="B78" s="1406"/>
    </row>
    <row r="79" spans="1:10">
      <c r="B79" s="1406"/>
      <c r="D79" s="1353"/>
      <c r="E79" s="1353"/>
      <c r="F79" s="1353"/>
    </row>
    <row r="80" spans="1:10">
      <c r="A80" s="1409"/>
      <c r="B80" s="1404"/>
      <c r="C80" s="1404"/>
      <c r="D80" s="1404"/>
      <c r="E80" s="1404"/>
      <c r="F80" s="1404"/>
      <c r="G80" s="1404"/>
      <c r="H80" s="1404"/>
      <c r="I80" s="1404"/>
      <c r="J80" s="1404"/>
    </row>
  </sheetData>
  <mergeCells count="17">
    <mergeCell ref="B56:J60"/>
    <mergeCell ref="B64:J65"/>
    <mergeCell ref="B69:I70"/>
    <mergeCell ref="B72:I73"/>
    <mergeCell ref="R17:R18"/>
    <mergeCell ref="B49:C49"/>
    <mergeCell ref="R19:R20"/>
    <mergeCell ref="B30:C30"/>
    <mergeCell ref="P33:Q33"/>
    <mergeCell ref="R36:R37"/>
    <mergeCell ref="R38:R39"/>
    <mergeCell ref="A52:J53"/>
    <mergeCell ref="I9:J9"/>
    <mergeCell ref="K9:M9"/>
    <mergeCell ref="N9:O9"/>
    <mergeCell ref="P9:Q9"/>
    <mergeCell ref="P11:Q11"/>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Q65"/>
  <sheetViews>
    <sheetView view="pageBreakPreview" zoomScale="60" zoomScaleNormal="100" workbookViewId="0">
      <selection activeCell="H63" sqref="H63"/>
    </sheetView>
  </sheetViews>
  <sheetFormatPr defaultColWidth="11.85546875" defaultRowHeight="12.75"/>
  <cols>
    <col min="1" max="1" width="9" style="1435" customWidth="1"/>
    <col min="2" max="2" width="15" style="1436" bestFit="1" customWidth="1"/>
    <col min="3" max="3" width="4.140625" style="1436" customWidth="1"/>
    <col min="4" max="4" width="21" style="1436" bestFit="1" customWidth="1"/>
    <col min="5" max="5" width="29.7109375" style="1436" bestFit="1" customWidth="1"/>
    <col min="6" max="6" width="21.42578125" style="1436" customWidth="1"/>
    <col min="7" max="7" width="4.28515625" style="1436" customWidth="1"/>
    <col min="8" max="8" width="19.7109375" style="1436" customWidth="1"/>
    <col min="9" max="9" width="4" style="1436" customWidth="1"/>
    <col min="10" max="10" width="17.42578125" style="1436" customWidth="1"/>
    <col min="11" max="11" width="3.5703125" style="1436" customWidth="1"/>
    <col min="12" max="12" width="19.5703125" style="1436" customWidth="1"/>
    <col min="13" max="13" width="16" style="1436" customWidth="1"/>
    <col min="14" max="14" width="19.140625" style="1436" bestFit="1" customWidth="1"/>
    <col min="15" max="15" width="16" style="1439" bestFit="1" customWidth="1"/>
    <col min="16" max="16" width="15.28515625" style="1436" bestFit="1" customWidth="1"/>
    <col min="17" max="16384" width="11.85546875" style="1436"/>
  </cols>
  <sheetData>
    <row r="1" spans="1:17" ht="15">
      <c r="A1" s="1435" t="s">
        <v>1141</v>
      </c>
      <c r="L1" s="1437"/>
      <c r="N1" s="1438" t="s">
        <v>1142</v>
      </c>
    </row>
    <row r="2" spans="1:17">
      <c r="A2" s="1440" t="s">
        <v>787</v>
      </c>
      <c r="L2" s="1441"/>
      <c r="N2" s="1441" t="s">
        <v>1143</v>
      </c>
    </row>
    <row r="3" spans="1:17">
      <c r="A3" s="1435" t="s">
        <v>1144</v>
      </c>
      <c r="N3" s="1441" t="s">
        <v>1145</v>
      </c>
    </row>
    <row r="4" spans="1:17">
      <c r="A4" s="1435" t="s">
        <v>1146</v>
      </c>
      <c r="N4" s="1438" t="s">
        <v>1147</v>
      </c>
    </row>
    <row r="5" spans="1:17">
      <c r="A5" s="1435" t="s">
        <v>1148</v>
      </c>
    </row>
    <row r="6" spans="1:17">
      <c r="A6" s="1435" t="s">
        <v>1022</v>
      </c>
    </row>
    <row r="7" spans="1:17">
      <c r="A7" s="1567" t="s">
        <v>1149</v>
      </c>
      <c r="B7" s="1567"/>
      <c r="C7" s="1567"/>
      <c r="D7" s="1567"/>
      <c r="E7" s="1567"/>
      <c r="F7" s="1567"/>
      <c r="G7" s="1567"/>
      <c r="H7" s="1567"/>
      <c r="I7" s="1567"/>
      <c r="J7" s="1567"/>
      <c r="K7" s="1567"/>
      <c r="L7" s="1567"/>
      <c r="M7" s="1567"/>
      <c r="N7" s="1567"/>
    </row>
    <row r="9" spans="1:17">
      <c r="A9" s="1442" t="s">
        <v>150</v>
      </c>
      <c r="B9" s="1443" t="s">
        <v>151</v>
      </c>
      <c r="C9" s="1443"/>
      <c r="D9" s="1443" t="s">
        <v>152</v>
      </c>
      <c r="E9" s="1443" t="s">
        <v>153</v>
      </c>
      <c r="F9" s="1443" t="s">
        <v>154</v>
      </c>
      <c r="G9" s="1443"/>
      <c r="H9" s="1443" t="s">
        <v>1150</v>
      </c>
      <c r="I9" s="1443"/>
      <c r="J9" s="1443" t="s">
        <v>156</v>
      </c>
      <c r="K9" s="1443"/>
      <c r="L9" s="1443" t="s">
        <v>1151</v>
      </c>
      <c r="M9" s="1443" t="s">
        <v>158</v>
      </c>
      <c r="N9" s="1443" t="s">
        <v>1152</v>
      </c>
      <c r="Q9" s="1568"/>
    </row>
    <row r="10" spans="1:17">
      <c r="F10" s="1444"/>
      <c r="G10" s="1444"/>
      <c r="H10" s="1444"/>
      <c r="Q10" s="1568"/>
    </row>
    <row r="11" spans="1:17" ht="38.25">
      <c r="A11" s="1435" t="s">
        <v>1153</v>
      </c>
      <c r="B11" s="1436" t="s">
        <v>1154</v>
      </c>
      <c r="D11" s="1445" t="s">
        <v>1155</v>
      </c>
      <c r="E11" s="1443" t="s">
        <v>1035</v>
      </c>
      <c r="F11" s="1446" t="s">
        <v>1156</v>
      </c>
      <c r="G11" s="1446"/>
      <c r="H11" s="1446" t="s">
        <v>1157</v>
      </c>
      <c r="I11" s="1447"/>
      <c r="J11" s="1446" t="s">
        <v>1158</v>
      </c>
      <c r="K11" s="1448"/>
      <c r="L11" s="1446" t="s">
        <v>1159</v>
      </c>
      <c r="M11" s="1445" t="s">
        <v>1160</v>
      </c>
      <c r="N11" s="1449" t="s">
        <v>1161</v>
      </c>
    </row>
    <row r="12" spans="1:17" ht="15">
      <c r="D12" s="1445"/>
      <c r="E12" s="1443"/>
      <c r="F12" s="1446"/>
      <c r="G12" s="1446"/>
      <c r="H12" s="1450"/>
      <c r="I12" s="1448"/>
      <c r="J12" s="1446"/>
      <c r="K12" s="1448"/>
      <c r="L12" s="1445"/>
      <c r="N12" s="1451"/>
    </row>
    <row r="13" spans="1:17" ht="15">
      <c r="A13" s="1452" t="s">
        <v>1162</v>
      </c>
      <c r="D13" s="1445"/>
      <c r="E13" s="1443"/>
      <c r="F13" s="1446"/>
      <c r="G13" s="1446"/>
      <c r="H13" s="1450"/>
      <c r="I13" s="1448"/>
      <c r="J13" s="1446"/>
      <c r="K13" s="1448"/>
      <c r="L13" s="1445"/>
      <c r="N13" s="1451"/>
    </row>
    <row r="14" spans="1:17" ht="15">
      <c r="A14" s="1453"/>
      <c r="B14" s="1454"/>
      <c r="D14" s="1455"/>
      <c r="E14" s="1439"/>
      <c r="F14" s="1447"/>
      <c r="G14" s="1456"/>
      <c r="H14" s="1457"/>
      <c r="I14" s="1458"/>
      <c r="J14" s="1447"/>
      <c r="K14" s="1459"/>
      <c r="L14" s="1447"/>
      <c r="M14" s="1439"/>
      <c r="N14" s="1439"/>
    </row>
    <row r="15" spans="1:17">
      <c r="A15" s="1453">
        <v>1</v>
      </c>
      <c r="B15" s="1454" t="s">
        <v>1163</v>
      </c>
      <c r="D15" s="1455">
        <v>-703417</v>
      </c>
      <c r="E15" s="1439" t="s">
        <v>1164</v>
      </c>
      <c r="F15" s="1459">
        <v>-294476.15999999997</v>
      </c>
      <c r="G15" s="1460"/>
      <c r="H15" s="1457">
        <f>+F15/D15</f>
        <v>0.41863668350352634</v>
      </c>
      <c r="I15" s="1458"/>
      <c r="J15" s="1459">
        <f>-F15</f>
        <v>294476.15999999997</v>
      </c>
      <c r="K15" s="1459"/>
      <c r="L15" s="1459">
        <f>+F15+J15</f>
        <v>0</v>
      </c>
      <c r="M15" s="1439"/>
      <c r="N15" s="1439">
        <f>+D15-L15</f>
        <v>-703417</v>
      </c>
    </row>
    <row r="16" spans="1:17">
      <c r="A16" s="1453"/>
      <c r="B16" s="1454"/>
      <c r="D16" s="1455"/>
      <c r="E16" s="1439"/>
      <c r="F16" s="1461"/>
      <c r="G16" s="1456"/>
      <c r="H16" s="1457"/>
      <c r="I16" s="1458"/>
      <c r="J16" s="1459"/>
      <c r="K16" s="1459"/>
      <c r="L16" s="1459"/>
      <c r="M16" s="1439"/>
      <c r="N16" s="1439"/>
    </row>
    <row r="17" spans="1:15">
      <c r="A17" s="1453">
        <f>+A15+1</f>
        <v>2</v>
      </c>
      <c r="B17" s="1454" t="s">
        <v>1165</v>
      </c>
      <c r="D17" s="1439">
        <v>0</v>
      </c>
      <c r="E17" s="1439" t="s">
        <v>1166</v>
      </c>
      <c r="F17" s="1459">
        <v>0</v>
      </c>
      <c r="G17" s="1456"/>
      <c r="H17" s="1457"/>
      <c r="I17" s="1462"/>
      <c r="J17" s="1459">
        <v>0</v>
      </c>
      <c r="K17" s="1459"/>
      <c r="L17" s="1459">
        <f>+F17+J17</f>
        <v>0</v>
      </c>
      <c r="M17" s="1439"/>
      <c r="N17" s="1439">
        <f>+D17-L17</f>
        <v>0</v>
      </c>
    </row>
    <row r="18" spans="1:15">
      <c r="A18" s="1453"/>
      <c r="B18" s="1454"/>
      <c r="D18" s="1439"/>
      <c r="E18" s="1439"/>
      <c r="F18" s="1463"/>
      <c r="G18" s="1456"/>
      <c r="H18" s="1457"/>
      <c r="I18" s="1462"/>
      <c r="J18" s="1459">
        <v>0</v>
      </c>
      <c r="K18" s="1459"/>
      <c r="L18" s="1459"/>
      <c r="M18" s="1439"/>
      <c r="N18" s="1439"/>
    </row>
    <row r="19" spans="1:15">
      <c r="A19" s="1453">
        <f>+A17+1</f>
        <v>3</v>
      </c>
      <c r="B19" s="1454" t="s">
        <v>1167</v>
      </c>
      <c r="D19" s="1439">
        <v>-29612981</v>
      </c>
      <c r="E19" s="1439" t="s">
        <v>1168</v>
      </c>
      <c r="F19" s="1459">
        <v>-11851565.439999999</v>
      </c>
      <c r="G19" s="1464"/>
      <c r="H19" s="1457">
        <f>+F19/D19</f>
        <v>0.40021521102519192</v>
      </c>
      <c r="I19" s="1465"/>
      <c r="J19" s="1459"/>
      <c r="K19" s="1459"/>
      <c r="L19" s="1459">
        <f>+F19+J19-L20</f>
        <v>-9642271</v>
      </c>
      <c r="M19" s="1439" t="s">
        <v>1048</v>
      </c>
      <c r="N19" s="1439">
        <f>+D19-L19-L20</f>
        <v>-17761415.559999999</v>
      </c>
    </row>
    <row r="20" spans="1:15">
      <c r="A20" s="1453"/>
      <c r="B20" s="1454"/>
      <c r="D20" s="1439"/>
      <c r="E20" s="1439"/>
      <c r="F20" s="1459"/>
      <c r="G20" s="1464"/>
      <c r="H20" s="1457"/>
      <c r="I20" s="1465"/>
      <c r="J20" s="1459"/>
      <c r="K20" s="1459"/>
      <c r="L20" s="1459">
        <v>-2209294.44</v>
      </c>
      <c r="M20" s="1439" t="s">
        <v>1058</v>
      </c>
      <c r="N20" s="1439"/>
    </row>
    <row r="21" spans="1:15">
      <c r="A21" s="1453"/>
      <c r="B21" s="1454"/>
      <c r="D21" s="1439"/>
      <c r="E21" s="1439"/>
      <c r="F21" s="1448"/>
      <c r="G21" s="1466"/>
      <c r="H21" s="1457"/>
      <c r="I21" s="1465"/>
      <c r="J21" s="1459"/>
      <c r="K21" s="1459"/>
      <c r="L21" s="1459"/>
      <c r="M21" s="1439"/>
      <c r="N21" s="1439"/>
    </row>
    <row r="22" spans="1:15">
      <c r="A22" s="1453">
        <f>+A19+1</f>
        <v>4</v>
      </c>
      <c r="B22" s="1454" t="s">
        <v>1169</v>
      </c>
      <c r="D22" s="1439">
        <v>-3324727</v>
      </c>
      <c r="E22" s="1439" t="s">
        <v>1170</v>
      </c>
      <c r="F22" s="1459">
        <v>-1329890.83</v>
      </c>
      <c r="G22" s="1456"/>
      <c r="H22" s="1457">
        <f>+F22/D22</f>
        <v>0.4000000090232973</v>
      </c>
      <c r="I22" s="1467"/>
      <c r="J22" s="1459">
        <f>-J15</f>
        <v>-294476.15999999997</v>
      </c>
      <c r="K22" s="1459"/>
      <c r="L22" s="1459">
        <f>+F22+J22-L23</f>
        <v>-1624366.99</v>
      </c>
      <c r="M22" s="1439" t="s">
        <v>1058</v>
      </c>
      <c r="N22" s="1439">
        <f>+D22-L22</f>
        <v>-1700360.01</v>
      </c>
    </row>
    <row r="23" spans="1:15">
      <c r="A23" s="1453"/>
      <c r="D23" s="1439"/>
      <c r="E23" s="1439"/>
      <c r="F23" s="1461"/>
      <c r="G23" s="1456"/>
      <c r="H23" s="1457"/>
      <c r="I23" s="1459"/>
      <c r="J23" s="1459"/>
      <c r="K23" s="1459"/>
      <c r="L23" s="1459"/>
      <c r="M23" s="1439"/>
      <c r="N23" s="1439"/>
    </row>
    <row r="24" spans="1:15" ht="15">
      <c r="A24" s="1453">
        <f>+A22+1</f>
        <v>5</v>
      </c>
      <c r="B24" s="1436" t="s">
        <v>120</v>
      </c>
      <c r="D24" s="1468">
        <f>SUM(D14:D22)</f>
        <v>-33641125</v>
      </c>
      <c r="E24" s="1436" t="s">
        <v>1171</v>
      </c>
      <c r="F24" s="1468">
        <f>SUM(F14:F22)</f>
        <v>-13475932.43</v>
      </c>
      <c r="G24" s="1447"/>
      <c r="H24" s="1457"/>
      <c r="I24" s="1448"/>
      <c r="J24" s="1468">
        <f>SUM(J14:J22)</f>
        <v>0</v>
      </c>
      <c r="K24" s="1459"/>
      <c r="L24" s="1468">
        <f>SUM(L14:L22)</f>
        <v>-13475932.43</v>
      </c>
      <c r="M24" s="1439"/>
      <c r="N24" s="1468">
        <f>SUM(N14:N22)</f>
        <v>-20165192.57</v>
      </c>
    </row>
    <row r="25" spans="1:15" ht="15">
      <c r="A25" s="1453"/>
      <c r="D25" s="1439"/>
      <c r="E25" s="1439"/>
      <c r="F25" s="1461"/>
      <c r="G25" s="1461"/>
      <c r="H25" s="1450"/>
      <c r="I25" s="1459"/>
      <c r="J25" s="1459"/>
      <c r="K25" s="1459"/>
      <c r="L25" s="1459"/>
      <c r="M25" s="1439"/>
      <c r="N25" s="1439"/>
    </row>
    <row r="26" spans="1:15" ht="15">
      <c r="A26" s="1469" t="s">
        <v>1172</v>
      </c>
      <c r="F26" s="1448"/>
      <c r="G26" s="1448"/>
      <c r="H26" s="1450"/>
      <c r="I26" s="1459"/>
      <c r="J26" s="1459"/>
      <c r="K26" s="1459"/>
      <c r="L26" s="1448"/>
      <c r="M26" s="1439"/>
      <c r="N26" s="1439"/>
    </row>
    <row r="27" spans="1:15" ht="15">
      <c r="A27" s="1436"/>
      <c r="B27" s="1450"/>
      <c r="C27" s="1450"/>
      <c r="D27" s="1450"/>
      <c r="E27" s="1450"/>
      <c r="F27" s="1447"/>
      <c r="G27" s="1447"/>
      <c r="H27" s="1450"/>
      <c r="I27" s="1459"/>
      <c r="J27" s="1459"/>
      <c r="K27" s="1459"/>
      <c r="L27" s="1448"/>
      <c r="M27" s="1439"/>
      <c r="N27" s="1439"/>
    </row>
    <row r="28" spans="1:15">
      <c r="A28" s="1453">
        <f>+A24+1</f>
        <v>6</v>
      </c>
      <c r="B28" s="1454" t="s">
        <v>1163</v>
      </c>
      <c r="D28" s="1439">
        <v>-57262.28</v>
      </c>
      <c r="E28" s="1454" t="s">
        <v>640</v>
      </c>
      <c r="F28" s="1459">
        <v>-26344.1</v>
      </c>
      <c r="G28" s="1463"/>
      <c r="H28" s="1461">
        <f>+F28/D28</f>
        <v>0.46006027004163996</v>
      </c>
      <c r="I28" s="1448"/>
      <c r="J28" s="1459">
        <f>-F28</f>
        <v>26344.1</v>
      </c>
      <c r="K28" s="1459"/>
      <c r="L28" s="1459">
        <f>+F28+J28</f>
        <v>0</v>
      </c>
      <c r="M28" s="1439"/>
      <c r="N28" s="1439">
        <f>+D28-L28</f>
        <v>-57262.28</v>
      </c>
    </row>
    <row r="29" spans="1:15">
      <c r="A29" s="1453"/>
      <c r="B29" s="1454"/>
      <c r="D29" s="1439"/>
      <c r="E29" s="1439"/>
      <c r="F29" s="1461"/>
      <c r="G29" s="1461"/>
      <c r="H29" s="1461"/>
      <c r="I29" s="1448"/>
      <c r="J29" s="1459"/>
      <c r="K29" s="1459"/>
      <c r="L29" s="1459"/>
      <c r="N29" s="1439"/>
    </row>
    <row r="30" spans="1:15">
      <c r="A30" s="1453">
        <f>+A28+1</f>
        <v>7</v>
      </c>
      <c r="B30" s="1454" t="s">
        <v>1167</v>
      </c>
      <c r="D30" s="1439">
        <v>-7046755.5999999996</v>
      </c>
      <c r="E30" s="1454" t="s">
        <v>640</v>
      </c>
      <c r="F30" s="1459">
        <v>-2822147.4399999995</v>
      </c>
      <c r="G30" s="1470"/>
      <c r="H30" s="1461">
        <f>+F30/D30</f>
        <v>0.40048890584484009</v>
      </c>
      <c r="I30" s="1448"/>
      <c r="J30" s="1459">
        <v>0</v>
      </c>
      <c r="K30" s="1459"/>
      <c r="L30" s="1459">
        <f>+F30+J30-L31</f>
        <v>-2351751.4399999995</v>
      </c>
      <c r="M30" s="1439" t="s">
        <v>1048</v>
      </c>
      <c r="N30" s="1439">
        <f>+D30-L30-L31</f>
        <v>-4224608.16</v>
      </c>
    </row>
    <row r="31" spans="1:15">
      <c r="A31" s="1453"/>
      <c r="B31" s="1454"/>
      <c r="D31" s="1455"/>
      <c r="E31" s="1439"/>
      <c r="F31" s="1463"/>
      <c r="G31" s="1471"/>
      <c r="H31" s="1461"/>
      <c r="I31" s="1448"/>
      <c r="J31" s="1459"/>
      <c r="K31" s="1459"/>
      <c r="L31" s="1459">
        <v>-470396</v>
      </c>
      <c r="M31" s="1439" t="s">
        <v>1058</v>
      </c>
      <c r="N31" s="1439"/>
      <c r="O31" s="1472"/>
    </row>
    <row r="32" spans="1:15">
      <c r="A32" s="1453"/>
      <c r="B32" s="1454"/>
      <c r="D32" s="1455"/>
      <c r="E32" s="1439"/>
      <c r="F32" s="1463"/>
      <c r="G32" s="1471"/>
      <c r="H32" s="1461"/>
      <c r="I32" s="1448"/>
      <c r="J32" s="1459"/>
      <c r="K32" s="1459"/>
      <c r="L32" s="1459"/>
      <c r="M32" s="1439"/>
      <c r="N32" s="1439"/>
      <c r="O32" s="1472"/>
    </row>
    <row r="33" spans="1:14">
      <c r="A33" s="1453">
        <f>+A30+1</f>
        <v>8</v>
      </c>
      <c r="B33" s="1454" t="s">
        <v>1169</v>
      </c>
      <c r="D33" s="1455">
        <v>290066.11</v>
      </c>
      <c r="E33" s="1454" t="s">
        <v>640</v>
      </c>
      <c r="F33" s="1459">
        <v>116026.44000000002</v>
      </c>
      <c r="G33" s="1461"/>
      <c r="H33" s="1461">
        <f>+F33/D33</f>
        <v>0.39999998621004024</v>
      </c>
      <c r="I33" s="1448"/>
      <c r="J33" s="1459">
        <f>-J28-J30</f>
        <v>-26344.1</v>
      </c>
      <c r="K33" s="1459"/>
      <c r="L33" s="1459">
        <f>+F33+J33</f>
        <v>89682.340000000026</v>
      </c>
      <c r="M33" s="1439" t="s">
        <v>1058</v>
      </c>
      <c r="N33" s="1439">
        <f>+D33-L33</f>
        <v>200383.76999999996</v>
      </c>
    </row>
    <row r="34" spans="1:14">
      <c r="A34" s="1453"/>
      <c r="D34" s="1473"/>
      <c r="E34" s="1439"/>
      <c r="F34" s="1461"/>
      <c r="G34" s="1461"/>
      <c r="H34" s="1461"/>
      <c r="I34" s="1448"/>
      <c r="J34" s="1459"/>
      <c r="K34" s="1459"/>
      <c r="L34" s="1459"/>
      <c r="N34" s="1439"/>
    </row>
    <row r="35" spans="1:14">
      <c r="A35" s="1453">
        <f>+A33+1</f>
        <v>9</v>
      </c>
      <c r="B35" s="1436" t="s">
        <v>120</v>
      </c>
      <c r="D35" s="1468">
        <f>SUM(D28:D33)</f>
        <v>-6813951.7699999996</v>
      </c>
      <c r="E35" s="1439" t="s">
        <v>1173</v>
      </c>
      <c r="F35" s="1468">
        <f>SUM(F28:F33)</f>
        <v>-2732465.0999999996</v>
      </c>
      <c r="G35" s="1448"/>
      <c r="H35" s="1448"/>
      <c r="I35" s="1448"/>
      <c r="J35" s="1468">
        <f>SUM(J28:J33)</f>
        <v>0</v>
      </c>
      <c r="K35" s="1459"/>
      <c r="L35" s="1468">
        <f>SUM(L28:L33)</f>
        <v>-2732465.0999999996</v>
      </c>
      <c r="N35" s="1468">
        <f>SUM(N28:N33)</f>
        <v>-4081486.6700000004</v>
      </c>
    </row>
    <row r="36" spans="1:14" ht="15">
      <c r="A36" s="1474"/>
      <c r="B36" s="1450"/>
      <c r="C36" s="1450"/>
      <c r="D36" s="1475"/>
      <c r="E36" s="1450"/>
      <c r="F36" s="1447"/>
      <c r="G36" s="1476"/>
      <c r="H36" s="1448"/>
      <c r="I36" s="1448"/>
      <c r="J36" s="1448"/>
      <c r="K36" s="1448"/>
      <c r="L36" s="1448"/>
      <c r="N36" s="1439"/>
    </row>
    <row r="37" spans="1:14" ht="15">
      <c r="A37" s="1474"/>
      <c r="B37" s="1450"/>
      <c r="C37" s="1450"/>
      <c r="D37" s="1475"/>
      <c r="E37" s="1450"/>
      <c r="F37" s="1450"/>
      <c r="G37" s="1477"/>
      <c r="L37" s="1448"/>
      <c r="N37" s="1439"/>
    </row>
    <row r="38" spans="1:14" ht="15">
      <c r="A38" s="1474"/>
      <c r="B38" s="1450"/>
      <c r="C38" s="1450"/>
      <c r="D38" s="1475"/>
      <c r="E38" s="1450"/>
      <c r="F38" s="1450"/>
      <c r="G38" s="1477"/>
      <c r="L38" s="1448"/>
      <c r="N38" s="1439"/>
    </row>
    <row r="39" spans="1:14" ht="15">
      <c r="A39" s="1474"/>
      <c r="B39" s="1450"/>
      <c r="C39" s="1450"/>
      <c r="D39" s="1475"/>
      <c r="E39" s="1450"/>
      <c r="F39" s="1450"/>
      <c r="G39" s="1477"/>
      <c r="L39" s="1448"/>
      <c r="N39" s="1439"/>
    </row>
    <row r="40" spans="1:14" ht="15">
      <c r="A40" s="1474"/>
      <c r="B40" s="1450"/>
      <c r="C40" s="1450"/>
      <c r="D40" s="1475"/>
      <c r="E40" s="1450"/>
      <c r="F40" s="1450"/>
      <c r="G40" s="1477"/>
      <c r="L40" s="1448"/>
      <c r="N40" s="1439"/>
    </row>
    <row r="41" spans="1:14" ht="15">
      <c r="A41" s="1474"/>
      <c r="B41" s="1450"/>
      <c r="C41" s="1450"/>
      <c r="D41" s="1475"/>
      <c r="E41" s="1450"/>
      <c r="F41" s="1450"/>
      <c r="G41" s="1477"/>
      <c r="L41" s="1448"/>
      <c r="N41" s="1439"/>
    </row>
    <row r="42" spans="1:14" ht="15">
      <c r="A42" s="1474"/>
      <c r="B42" s="1450"/>
      <c r="C42" s="1450"/>
      <c r="D42" s="1475"/>
      <c r="E42" s="1450"/>
      <c r="F42" s="1450"/>
      <c r="G42" s="1477"/>
      <c r="L42" s="1448"/>
      <c r="N42" s="1439"/>
    </row>
    <row r="43" spans="1:14">
      <c r="A43" s="1569" t="s">
        <v>1174</v>
      </c>
      <c r="B43" s="1569"/>
      <c r="C43" s="1569"/>
      <c r="D43" s="1569"/>
      <c r="E43" s="1569"/>
      <c r="F43" s="1569"/>
      <c r="G43" s="1569"/>
      <c r="H43" s="1569"/>
      <c r="I43" s="1448"/>
      <c r="L43" s="1448"/>
    </row>
    <row r="44" spans="1:14">
      <c r="A44" s="1569"/>
      <c r="B44" s="1569"/>
      <c r="C44" s="1569"/>
      <c r="D44" s="1569"/>
      <c r="E44" s="1569"/>
      <c r="F44" s="1569"/>
      <c r="G44" s="1569"/>
      <c r="H44" s="1569"/>
      <c r="I44" s="1448"/>
      <c r="L44" s="1448"/>
    </row>
    <row r="45" spans="1:14">
      <c r="A45" s="1569"/>
      <c r="B45" s="1569"/>
      <c r="C45" s="1569"/>
      <c r="D45" s="1569"/>
      <c r="E45" s="1569"/>
      <c r="F45" s="1569"/>
      <c r="G45" s="1569"/>
      <c r="H45" s="1569"/>
      <c r="I45" s="1448"/>
      <c r="L45" s="1448"/>
    </row>
    <row r="46" spans="1:14">
      <c r="A46" s="1569"/>
      <c r="B46" s="1569"/>
      <c r="C46" s="1569"/>
      <c r="D46" s="1569"/>
      <c r="E46" s="1569"/>
      <c r="F46" s="1569"/>
      <c r="G46" s="1569"/>
      <c r="H46" s="1569"/>
      <c r="I46" s="1448"/>
      <c r="L46" s="1448"/>
    </row>
    <row r="47" spans="1:14">
      <c r="A47" s="1453"/>
      <c r="F47" s="1448"/>
      <c r="G47" s="1448"/>
      <c r="H47" s="1448"/>
      <c r="I47" s="1448"/>
      <c r="L47" s="1448"/>
    </row>
    <row r="48" spans="1:14">
      <c r="A48" s="1435" t="s">
        <v>1175</v>
      </c>
      <c r="B48" s="1569" t="s">
        <v>1176</v>
      </c>
      <c r="C48" s="1569"/>
      <c r="D48" s="1569"/>
      <c r="E48" s="1569"/>
      <c r="F48" s="1569"/>
      <c r="G48" s="1569"/>
      <c r="H48" s="1569"/>
      <c r="I48" s="1448"/>
      <c r="L48" s="1448"/>
    </row>
    <row r="49" spans="1:17" ht="15.6" customHeight="1">
      <c r="B49" s="1569"/>
      <c r="C49" s="1569"/>
      <c r="D49" s="1569"/>
      <c r="E49" s="1569"/>
      <c r="F49" s="1569"/>
      <c r="G49" s="1569"/>
      <c r="H49" s="1569"/>
      <c r="I49" s="1448"/>
      <c r="J49" s="1450"/>
      <c r="K49" s="1450"/>
      <c r="L49" s="1447"/>
      <c r="M49" s="1450"/>
      <c r="N49" s="1450"/>
      <c r="O49" s="1450"/>
      <c r="P49" s="1450"/>
    </row>
    <row r="50" spans="1:17" ht="12.95" customHeight="1">
      <c r="B50" s="1569"/>
      <c r="C50" s="1569"/>
      <c r="D50" s="1569"/>
      <c r="E50" s="1569"/>
      <c r="F50" s="1569"/>
      <c r="G50" s="1569"/>
      <c r="H50" s="1569"/>
      <c r="I50" s="1448"/>
      <c r="J50" s="1450"/>
      <c r="K50" s="1450"/>
      <c r="L50" s="1447"/>
      <c r="M50" s="1450"/>
      <c r="N50" s="1450"/>
      <c r="O50" s="1450"/>
      <c r="P50" s="1450"/>
    </row>
    <row r="51" spans="1:17" ht="15">
      <c r="A51" s="1436"/>
      <c r="I51" s="1450"/>
      <c r="J51" s="1450"/>
      <c r="K51" s="1450"/>
      <c r="L51" s="1447"/>
      <c r="M51" s="1450"/>
      <c r="N51" s="1450"/>
      <c r="O51" s="1450"/>
      <c r="P51" s="1450"/>
    </row>
    <row r="52" spans="1:17" ht="15.6" customHeight="1">
      <c r="A52" s="1435" t="s">
        <v>1177</v>
      </c>
      <c r="B52" s="1569" t="s">
        <v>1178</v>
      </c>
      <c r="C52" s="1569"/>
      <c r="D52" s="1569"/>
      <c r="E52" s="1569"/>
      <c r="F52" s="1569"/>
      <c r="G52" s="1569"/>
      <c r="H52" s="1569"/>
      <c r="J52" s="1450"/>
      <c r="K52" s="1450"/>
      <c r="L52" s="1447"/>
      <c r="M52" s="1450"/>
      <c r="N52" s="1450"/>
      <c r="O52" s="1450"/>
      <c r="P52" s="1450"/>
    </row>
    <row r="53" spans="1:17" ht="15">
      <c r="B53" s="1569"/>
      <c r="C53" s="1569"/>
      <c r="D53" s="1569"/>
      <c r="E53" s="1569"/>
      <c r="F53" s="1569"/>
      <c r="G53" s="1569"/>
      <c r="H53" s="1569"/>
      <c r="J53" s="1450"/>
      <c r="K53" s="1450"/>
      <c r="L53" s="1447"/>
      <c r="M53" s="1450"/>
      <c r="N53" s="1450"/>
      <c r="O53" s="1450"/>
      <c r="P53" s="1450"/>
    </row>
    <row r="54" spans="1:17" ht="15">
      <c r="A54" s="1436"/>
      <c r="J54" s="1450"/>
      <c r="K54" s="1450"/>
      <c r="L54" s="1447"/>
      <c r="M54" s="1450"/>
      <c r="N54" s="1450"/>
      <c r="O54" s="1450"/>
      <c r="P54" s="1450"/>
    </row>
    <row r="55" spans="1:17" ht="15">
      <c r="A55" s="1435" t="s">
        <v>1179</v>
      </c>
      <c r="B55" s="1569" t="s">
        <v>1180</v>
      </c>
      <c r="C55" s="1569"/>
      <c r="D55" s="1569"/>
      <c r="E55" s="1569"/>
      <c r="F55" s="1569"/>
      <c r="G55" s="1569"/>
      <c r="H55" s="1569"/>
      <c r="I55" s="1569"/>
      <c r="J55" s="1450"/>
      <c r="K55" s="1450"/>
      <c r="L55" s="1447"/>
      <c r="M55" s="1450"/>
      <c r="N55" s="1450"/>
      <c r="O55" s="1450"/>
      <c r="P55" s="1450"/>
    </row>
    <row r="56" spans="1:17" ht="15">
      <c r="A56" s="1478"/>
      <c r="B56" s="1569"/>
      <c r="C56" s="1569"/>
      <c r="D56" s="1569"/>
      <c r="E56" s="1569"/>
      <c r="F56" s="1569"/>
      <c r="G56" s="1569"/>
      <c r="H56" s="1569"/>
      <c r="I56" s="1569"/>
      <c r="J56" s="1450"/>
      <c r="K56" s="1450"/>
      <c r="L56" s="1447"/>
      <c r="M56" s="1450"/>
      <c r="N56" s="1450"/>
      <c r="O56" s="1450"/>
      <c r="P56" s="1450"/>
    </row>
    <row r="57" spans="1:17" ht="15">
      <c r="A57" s="1436"/>
      <c r="J57" s="1450"/>
      <c r="K57" s="1450"/>
      <c r="L57" s="1447"/>
      <c r="M57" s="1450"/>
      <c r="N57" s="1450"/>
      <c r="O57" s="1450"/>
      <c r="P57" s="1450"/>
    </row>
    <row r="58" spans="1:17" ht="15" customHeight="1">
      <c r="A58" s="1436" t="s">
        <v>1181</v>
      </c>
      <c r="B58" s="1566" t="s">
        <v>1182</v>
      </c>
      <c r="C58" s="1566"/>
      <c r="D58" s="1566"/>
      <c r="E58" s="1566"/>
      <c r="F58" s="1566"/>
      <c r="J58" s="1450"/>
      <c r="K58" s="1450"/>
      <c r="L58" s="1447"/>
      <c r="M58" s="1450"/>
      <c r="N58" s="1450"/>
      <c r="O58" s="1450"/>
      <c r="P58" s="1450"/>
    </row>
    <row r="59" spans="1:17" s="1439" customFormat="1" ht="15">
      <c r="A59" s="1435"/>
      <c r="B59" s="1566"/>
      <c r="C59" s="1566"/>
      <c r="D59" s="1566"/>
      <c r="E59" s="1566"/>
      <c r="F59" s="1566"/>
      <c r="G59" s="1436"/>
      <c r="H59" s="1436"/>
      <c r="I59" s="1436"/>
      <c r="J59" s="1450"/>
      <c r="K59" s="1450"/>
      <c r="L59" s="1447"/>
      <c r="M59" s="1450"/>
      <c r="N59" s="1450"/>
      <c r="O59" s="1450"/>
      <c r="P59" s="1450"/>
      <c r="Q59" s="1436"/>
    </row>
    <row r="60" spans="1:17" s="1439" customFormat="1" ht="15">
      <c r="A60" s="1450"/>
      <c r="B60" s="1450"/>
      <c r="C60" s="1450"/>
      <c r="D60" s="1450"/>
      <c r="E60" s="1450"/>
      <c r="F60" s="1450"/>
      <c r="G60" s="1450"/>
      <c r="H60" s="1450"/>
      <c r="I60" s="1450"/>
      <c r="J60" s="1450"/>
      <c r="K60" s="1450"/>
      <c r="L60" s="1447"/>
      <c r="M60" s="1450"/>
      <c r="N60" s="1450"/>
      <c r="O60" s="1450"/>
      <c r="P60" s="1450"/>
      <c r="Q60" s="1436"/>
    </row>
    <row r="61" spans="1:17" s="1439" customFormat="1" ht="15">
      <c r="A61" s="1478"/>
      <c r="B61" s="1450"/>
      <c r="C61" s="1450"/>
      <c r="D61" s="1450"/>
      <c r="E61" s="1450"/>
      <c r="F61" s="1450"/>
      <c r="G61" s="1450"/>
      <c r="H61" s="1450"/>
      <c r="I61" s="1450"/>
      <c r="J61" s="1450"/>
      <c r="K61" s="1450"/>
      <c r="L61" s="1447"/>
      <c r="M61" s="1450"/>
      <c r="N61" s="1450"/>
      <c r="O61" s="1450"/>
      <c r="P61" s="1450"/>
      <c r="Q61" s="1436"/>
    </row>
    <row r="62" spans="1:17" s="1439" customFormat="1" ht="15">
      <c r="A62" s="1478"/>
      <c r="B62" s="1450"/>
      <c r="C62" s="1450"/>
      <c r="D62" s="1450"/>
      <c r="E62" s="1450"/>
      <c r="F62" s="1450"/>
      <c r="G62" s="1450"/>
      <c r="H62" s="1450"/>
      <c r="I62" s="1450"/>
      <c r="J62" s="1450"/>
      <c r="K62" s="1450"/>
      <c r="L62" s="1447"/>
      <c r="M62" s="1450"/>
      <c r="N62" s="1450"/>
      <c r="O62" s="1450"/>
      <c r="P62" s="1450"/>
      <c r="Q62" s="1436"/>
    </row>
    <row r="63" spans="1:17" s="1439" customFormat="1" ht="15">
      <c r="A63" s="1478"/>
      <c r="B63" s="1450"/>
      <c r="C63" s="1450"/>
      <c r="D63" s="1450"/>
      <c r="E63" s="1450"/>
      <c r="F63" s="1450"/>
      <c r="G63" s="1450"/>
      <c r="H63" s="1450"/>
      <c r="I63" s="1450"/>
      <c r="J63" s="1450"/>
      <c r="K63" s="1450"/>
      <c r="L63" s="1447"/>
      <c r="M63" s="1450"/>
      <c r="N63" s="1450"/>
      <c r="O63" s="1450"/>
      <c r="P63" s="1450"/>
      <c r="Q63" s="1436"/>
    </row>
    <row r="64" spans="1:17" s="1439" customFormat="1" ht="15">
      <c r="A64" s="1478"/>
      <c r="B64" s="1450"/>
      <c r="C64" s="1450"/>
      <c r="D64" s="1450"/>
      <c r="E64" s="1450"/>
      <c r="F64" s="1450"/>
      <c r="G64" s="1450"/>
      <c r="H64" s="1450"/>
      <c r="I64" s="1450"/>
      <c r="J64" s="1450"/>
      <c r="K64" s="1450"/>
      <c r="L64" s="1450"/>
      <c r="M64" s="1450"/>
      <c r="N64" s="1450"/>
      <c r="O64" s="1450"/>
      <c r="P64" s="1450"/>
      <c r="Q64" s="1436"/>
    </row>
    <row r="65" spans="1:17" s="1439" customFormat="1" ht="15">
      <c r="A65" s="1478"/>
      <c r="B65" s="1450"/>
      <c r="C65" s="1450"/>
      <c r="D65" s="1450"/>
      <c r="E65" s="1450"/>
      <c r="F65" s="1450"/>
      <c r="G65" s="1450"/>
      <c r="H65" s="1450"/>
      <c r="I65" s="1450"/>
      <c r="J65" s="1450"/>
      <c r="K65" s="1450"/>
      <c r="L65" s="1450"/>
      <c r="M65" s="1450"/>
      <c r="N65" s="1450"/>
      <c r="O65" s="1450"/>
      <c r="P65" s="1450"/>
      <c r="Q65" s="1436"/>
    </row>
  </sheetData>
  <mergeCells count="7">
    <mergeCell ref="B58:F59"/>
    <mergeCell ref="A7:N7"/>
    <mergeCell ref="Q9:Q10"/>
    <mergeCell ref="A43:H46"/>
    <mergeCell ref="B48:H50"/>
    <mergeCell ref="B52:H53"/>
    <mergeCell ref="B55:I56"/>
  </mergeCells>
  <pageMargins left="0.7" right="0.7" top="0.75" bottom="0.75" header="0.3" footer="0.3"/>
  <pageSetup scale="6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O126"/>
  <sheetViews>
    <sheetView view="pageBreakPreview" topLeftCell="A50" zoomScale="85" zoomScaleNormal="85" zoomScaleSheetLayoutView="85" workbookViewId="0">
      <selection activeCell="E20" sqref="E20"/>
    </sheetView>
  </sheetViews>
  <sheetFormatPr defaultColWidth="11.42578125" defaultRowHeight="12.75"/>
  <cols>
    <col min="1" max="1" width="8.140625" style="68" customWidth="1"/>
    <col min="2" max="2" width="16.5703125" style="69" bestFit="1" customWidth="1"/>
    <col min="3" max="3" width="44.140625" style="69" customWidth="1"/>
    <col min="4" max="4" width="29.5703125" style="69" customWidth="1"/>
    <col min="5" max="5" width="24.42578125" style="78" customWidth="1"/>
    <col min="6" max="6" width="1" style="78" customWidth="1"/>
    <col min="7" max="7" width="20.85546875" style="69" customWidth="1"/>
    <col min="8" max="8" width="1" style="69" customWidth="1"/>
    <col min="9" max="9" width="19.140625" style="69" customWidth="1"/>
    <col min="10" max="10" width="16.5703125" style="69" customWidth="1"/>
    <col min="11" max="11" width="15.42578125" style="69" customWidth="1"/>
    <col min="12" max="12" width="33.5703125" style="69" customWidth="1"/>
    <col min="13" max="14" width="13.42578125" style="69" customWidth="1"/>
    <col min="15" max="15" width="13.5703125" style="69" customWidth="1"/>
    <col min="16" max="16384" width="11.42578125" style="69"/>
  </cols>
  <sheetData>
    <row r="1" spans="1:15" ht="15.75">
      <c r="A1" s="933" t="s">
        <v>116</v>
      </c>
    </row>
    <row r="2" spans="1:15" ht="15.75">
      <c r="A2" s="933" t="s">
        <v>116</v>
      </c>
    </row>
    <row r="3" spans="1:15" ht="15">
      <c r="A3" s="1543" t="str">
        <f>+'WS B ADIT &amp; ITC'!A3:I3</f>
        <v>AEP East Companies</v>
      </c>
      <c r="B3" s="1543"/>
      <c r="C3" s="1543"/>
      <c r="D3" s="1543"/>
      <c r="E3" s="1543"/>
      <c r="F3" s="1543"/>
      <c r="G3" s="1543"/>
      <c r="H3" s="1543"/>
      <c r="I3" s="1543"/>
      <c r="J3" s="1543"/>
      <c r="K3" s="1543"/>
      <c r="L3" s="1543"/>
      <c r="M3" s="40"/>
      <c r="N3" s="40"/>
      <c r="O3" s="40"/>
    </row>
    <row r="4" spans="1:15" ht="15">
      <c r="A4" s="1544" t="str">
        <f>"Cost of Service Formula Rate Using Actual/Projected FF1 Balances"</f>
        <v>Cost of Service Formula Rate Using Actual/Projected FF1 Balances</v>
      </c>
      <c r="B4" s="1544"/>
      <c r="C4" s="1544"/>
      <c r="D4" s="1544"/>
      <c r="E4" s="1544"/>
      <c r="F4" s="1544"/>
      <c r="G4" s="1544"/>
      <c r="H4" s="1544"/>
      <c r="I4" s="1544"/>
      <c r="J4" s="1544"/>
      <c r="K4" s="1544"/>
      <c r="L4" s="1544"/>
      <c r="M4" s="96"/>
      <c r="N4" s="96"/>
      <c r="O4" s="96"/>
    </row>
    <row r="5" spans="1:15" ht="15">
      <c r="A5" s="1544" t="s">
        <v>497</v>
      </c>
      <c r="B5" s="1544"/>
      <c r="C5" s="1544"/>
      <c r="D5" s="1544"/>
      <c r="E5" s="1544"/>
      <c r="F5" s="1544"/>
      <c r="G5" s="1544"/>
      <c r="H5" s="1544"/>
      <c r="I5" s="1544"/>
      <c r="J5" s="1544"/>
      <c r="K5" s="1544"/>
      <c r="L5" s="1544"/>
      <c r="M5" s="95"/>
      <c r="N5" s="95"/>
      <c r="O5" s="95"/>
    </row>
    <row r="6" spans="1:15" ht="15">
      <c r="A6" s="1555" t="str">
        <f>TCOS!F9</f>
        <v>KINGSPORT POWER COMPANY</v>
      </c>
      <c r="B6" s="1555"/>
      <c r="C6" s="1555"/>
      <c r="D6" s="1555"/>
      <c r="E6" s="1555"/>
      <c r="F6" s="1555"/>
      <c r="G6" s="1555"/>
      <c r="H6" s="1555"/>
      <c r="I6" s="1555"/>
      <c r="J6" s="1555"/>
      <c r="K6" s="1555"/>
      <c r="L6" s="1555"/>
      <c r="M6" s="4"/>
      <c r="N6" s="4"/>
      <c r="O6" s="4"/>
    </row>
    <row r="7" spans="1:15" ht="15">
      <c r="A7" s="4"/>
      <c r="B7" s="4"/>
      <c r="C7" s="4"/>
      <c r="D7" s="4"/>
      <c r="E7" s="4"/>
      <c r="F7" s="4"/>
      <c r="G7" s="4"/>
      <c r="H7" s="3"/>
      <c r="I7" s="67"/>
      <c r="J7" s="67"/>
      <c r="K7" s="67"/>
      <c r="L7" s="67"/>
      <c r="M7" s="67"/>
      <c r="N7" s="67"/>
      <c r="O7" s="67"/>
    </row>
    <row r="8" spans="1:15" ht="12.75" customHeight="1">
      <c r="A8" s="93"/>
      <c r="B8" s="93" t="s">
        <v>164</v>
      </c>
      <c r="C8" s="93" t="s">
        <v>165</v>
      </c>
      <c r="D8" s="91" t="s">
        <v>4</v>
      </c>
      <c r="E8" s="91" t="s">
        <v>167</v>
      </c>
      <c r="F8" s="93"/>
      <c r="G8" s="93" t="s">
        <v>85</v>
      </c>
      <c r="H8" s="93"/>
      <c r="I8" s="93" t="s">
        <v>86</v>
      </c>
      <c r="J8" s="93" t="s">
        <v>87</v>
      </c>
      <c r="K8" s="93" t="s">
        <v>92</v>
      </c>
      <c r="L8" s="93" t="s">
        <v>502</v>
      </c>
      <c r="M8" s="93"/>
      <c r="N8" s="93"/>
      <c r="O8" s="93"/>
    </row>
    <row r="9" spans="1:15">
      <c r="A9" s="66"/>
      <c r="F9" s="78" t="s">
        <v>116</v>
      </c>
      <c r="G9" s="69" t="s">
        <v>116</v>
      </c>
    </row>
    <row r="10" spans="1:15" ht="18">
      <c r="A10" s="90"/>
      <c r="B10" s="1573" t="s">
        <v>209</v>
      </c>
      <c r="C10" s="1573"/>
      <c r="D10" s="1573"/>
      <c r="E10" s="1573"/>
      <c r="F10" s="1573"/>
      <c r="G10" s="1573"/>
      <c r="H10" s="1573"/>
      <c r="I10" s="1573"/>
      <c r="J10" s="1573"/>
      <c r="K10" s="1573"/>
      <c r="O10" s="78"/>
    </row>
    <row r="11" spans="1:15">
      <c r="A11" s="90"/>
      <c r="I11" s="16"/>
      <c r="J11" s="16"/>
      <c r="O11" s="78"/>
    </row>
    <row r="12" spans="1:15" ht="12.75" customHeight="1">
      <c r="A12" s="12" t="s">
        <v>171</v>
      </c>
      <c r="B12" s="71"/>
      <c r="C12" s="79"/>
      <c r="D12" s="199"/>
      <c r="E12" s="1570" t="str">
        <f>"Balance @ December 31, "&amp;TCOS!L4&amp;""</f>
        <v>Balance @ December 31, 2024</v>
      </c>
      <c r="F12" s="199"/>
      <c r="G12" s="1570" t="str">
        <f>"Balance @ December 31, "&amp;TCOS!L4-1&amp;""</f>
        <v>Balance @ December 31, 2023</v>
      </c>
      <c r="H12" s="251"/>
      <c r="I12" s="1556" t="str">
        <f>"Average Balance for "&amp;TCOS!L4&amp;""</f>
        <v>Average Balance for 2024</v>
      </c>
      <c r="J12" s="101"/>
      <c r="K12" s="74"/>
      <c r="L12" s="80"/>
      <c r="M12" s="74"/>
      <c r="N12" s="74"/>
      <c r="O12" s="78"/>
    </row>
    <row r="13" spans="1:15">
      <c r="A13" s="12" t="s">
        <v>107</v>
      </c>
      <c r="B13" s="75"/>
      <c r="C13" s="71"/>
      <c r="D13" s="200" t="s">
        <v>208</v>
      </c>
      <c r="E13" s="1571"/>
      <c r="F13" s="201"/>
      <c r="G13" s="1571"/>
      <c r="H13" s="202"/>
      <c r="I13" s="1554"/>
      <c r="J13" s="101"/>
      <c r="K13" s="81"/>
      <c r="L13" s="82"/>
      <c r="M13" s="72"/>
      <c r="N13" s="72"/>
    </row>
    <row r="14" spans="1:15">
      <c r="A14" s="75"/>
      <c r="B14" s="75"/>
      <c r="C14" s="71"/>
      <c r="D14" s="77"/>
      <c r="E14" s="70"/>
      <c r="F14" s="70"/>
      <c r="G14" s="224"/>
      <c r="H14" s="76"/>
      <c r="J14" s="16"/>
      <c r="K14" s="81"/>
      <c r="L14" s="82"/>
      <c r="M14" s="72"/>
      <c r="N14" s="72"/>
    </row>
    <row r="15" spans="1:15">
      <c r="A15" s="75">
        <v>1</v>
      </c>
      <c r="B15" s="75"/>
      <c r="D15" s="60"/>
      <c r="E15" s="32"/>
      <c r="F15" s="32"/>
      <c r="G15" s="32"/>
      <c r="H15" s="32"/>
      <c r="I15" s="32"/>
      <c r="K15" s="32"/>
      <c r="L15" s="32"/>
      <c r="M15" s="72"/>
      <c r="N15" s="72"/>
    </row>
    <row r="16" spans="1:15">
      <c r="A16" s="75"/>
      <c r="B16" s="75"/>
      <c r="C16" s="60"/>
      <c r="D16" s="60"/>
      <c r="E16" s="32"/>
      <c r="F16" s="32"/>
      <c r="G16" s="32"/>
      <c r="H16" s="32"/>
      <c r="I16" s="32"/>
      <c r="K16" s="32"/>
      <c r="L16" s="32"/>
      <c r="M16" s="72"/>
      <c r="N16" s="72"/>
    </row>
    <row r="17" spans="1:14">
      <c r="A17" s="75">
        <f>+A15+1</f>
        <v>2</v>
      </c>
      <c r="B17" s="75"/>
      <c r="C17" s="60" t="s">
        <v>529</v>
      </c>
      <c r="D17" s="73" t="s">
        <v>437</v>
      </c>
      <c r="E17" s="877">
        <v>0</v>
      </c>
      <c r="F17" s="32"/>
      <c r="G17" s="877">
        <v>0</v>
      </c>
      <c r="H17" s="32"/>
      <c r="I17" s="137">
        <f>IF(G17="",0,(E17+G17)/2)</f>
        <v>0</v>
      </c>
      <c r="J17"/>
      <c r="K17" s="137"/>
      <c r="L17" s="32"/>
      <c r="M17" s="72"/>
      <c r="N17" s="72"/>
    </row>
    <row r="18" spans="1:14">
      <c r="A18" s="75"/>
      <c r="B18" s="75"/>
      <c r="C18" s="60"/>
      <c r="D18"/>
      <c r="E18"/>
      <c r="F18"/>
      <c r="G18" s="1428"/>
      <c r="H18"/>
      <c r="I18" s="5"/>
      <c r="J18"/>
      <c r="K18"/>
      <c r="L18" s="32"/>
      <c r="M18" s="72"/>
      <c r="N18" s="72"/>
    </row>
    <row r="19" spans="1:14">
      <c r="A19" s="75">
        <f>+A17+1</f>
        <v>3</v>
      </c>
      <c r="B19" s="75"/>
      <c r="C19" s="60" t="s">
        <v>531</v>
      </c>
      <c r="D19" s="73" t="s">
        <v>438</v>
      </c>
      <c r="E19" s="877">
        <v>60</v>
      </c>
      <c r="F19" s="32"/>
      <c r="G19" s="877">
        <v>2782</v>
      </c>
      <c r="H19" s="76"/>
      <c r="I19" s="137">
        <f>IF(G19="",0,(E19+G19)/2)</f>
        <v>1421</v>
      </c>
      <c r="J19" s="16"/>
      <c r="K19" s="81"/>
      <c r="L19" s="82"/>
      <c r="M19" s="72"/>
      <c r="N19" s="72"/>
    </row>
    <row r="20" spans="1:14">
      <c r="A20" s="75"/>
      <c r="B20" s="75"/>
      <c r="C20" s="60"/>
      <c r="D20" s="73"/>
      <c r="E20"/>
      <c r="F20"/>
      <c r="G20" s="1428"/>
      <c r="H20"/>
      <c r="I20"/>
      <c r="J20"/>
      <c r="K20" s="81"/>
      <c r="L20" s="82"/>
      <c r="M20" s="72"/>
      <c r="N20" s="72"/>
    </row>
    <row r="21" spans="1:14">
      <c r="A21" s="75">
        <f>+A19+1</f>
        <v>4</v>
      </c>
      <c r="B21" s="75"/>
      <c r="C21" s="60" t="s">
        <v>761</v>
      </c>
      <c r="D21" s="73" t="s">
        <v>439</v>
      </c>
      <c r="E21" s="877">
        <v>0</v>
      </c>
      <c r="F21" s="32"/>
      <c r="G21" s="877">
        <v>0</v>
      </c>
      <c r="H21" s="76"/>
      <c r="I21" s="137">
        <f>IF(G21="",0,(E21+G21)/2)</f>
        <v>0</v>
      </c>
      <c r="J21" s="16"/>
      <c r="K21" s="81"/>
      <c r="L21" s="82"/>
      <c r="M21" s="72"/>
      <c r="N21" s="72"/>
    </row>
    <row r="22" spans="1:14">
      <c r="A22" s="75"/>
      <c r="B22" s="75"/>
      <c r="C22" s="71"/>
      <c r="D22" s="77"/>
      <c r="E22" s="70"/>
      <c r="F22" s="70"/>
      <c r="G22" s="78"/>
      <c r="H22" s="76"/>
      <c r="I22" s="78"/>
      <c r="J22" s="16"/>
      <c r="K22" s="81"/>
      <c r="L22" s="82"/>
      <c r="M22" s="72"/>
      <c r="N22" s="72"/>
    </row>
    <row r="23" spans="1:14">
      <c r="A23" s="189"/>
      <c r="B23" s="189"/>
      <c r="C23" s="190"/>
      <c r="D23" s="191"/>
      <c r="E23" s="192"/>
      <c r="F23" s="192"/>
      <c r="G23" s="193"/>
      <c r="H23" s="194"/>
      <c r="I23" s="193"/>
      <c r="J23" s="195"/>
      <c r="K23" s="196"/>
      <c r="L23" s="197"/>
      <c r="M23" s="72"/>
      <c r="N23" s="72"/>
    </row>
    <row r="24" spans="1:14" ht="18">
      <c r="A24" s="75"/>
      <c r="B24" s="1573" t="s">
        <v>760</v>
      </c>
      <c r="C24" s="1573"/>
      <c r="D24" s="1573"/>
      <c r="E24" s="1573"/>
      <c r="F24" s="1573"/>
      <c r="G24" s="1573"/>
      <c r="H24" s="1573"/>
      <c r="I24" s="1573"/>
      <c r="J24" s="1573"/>
      <c r="K24" s="1573"/>
      <c r="L24" s="82"/>
      <c r="M24" s="72"/>
      <c r="N24" s="72"/>
    </row>
    <row r="25" spans="1:14" ht="12.75" customHeight="1">
      <c r="A25" s="75"/>
      <c r="B25" s="149"/>
      <c r="C25" s="71"/>
      <c r="D25" s="26"/>
      <c r="E25" s="10"/>
      <c r="F25" s="69"/>
      <c r="G25" s="10" t="s">
        <v>88</v>
      </c>
      <c r="I25" s="8" t="s">
        <v>117</v>
      </c>
      <c r="J25" s="8" t="s">
        <v>117</v>
      </c>
      <c r="K25" s="8" t="s">
        <v>181</v>
      </c>
      <c r="L25" s="82"/>
      <c r="M25" s="72"/>
      <c r="N25" s="72"/>
    </row>
    <row r="26" spans="1:14" ht="12.75" customHeight="1">
      <c r="A26" s="75"/>
      <c r="B26" s="149"/>
      <c r="C26" s="71"/>
      <c r="D26" s="147" t="s">
        <v>503</v>
      </c>
      <c r="E26" s="8" t="s">
        <v>533</v>
      </c>
      <c r="F26" s="69"/>
      <c r="G26" s="8" t="s">
        <v>117</v>
      </c>
      <c r="I26" s="8" t="s">
        <v>525</v>
      </c>
      <c r="J26" s="8" t="s">
        <v>163</v>
      </c>
      <c r="K26" s="8" t="s">
        <v>182</v>
      </c>
      <c r="L26" s="82"/>
      <c r="M26" s="72"/>
      <c r="N26" s="72"/>
    </row>
    <row r="27" spans="1:14" ht="12.75" customHeight="1">
      <c r="A27" s="75">
        <f>+A21+1</f>
        <v>5</v>
      </c>
      <c r="B27" s="149"/>
      <c r="C27" s="71"/>
      <c r="D27" s="13" t="s">
        <v>89</v>
      </c>
      <c r="E27" s="13" t="s">
        <v>504</v>
      </c>
      <c r="F27" s="69"/>
      <c r="G27" s="13" t="s">
        <v>526</v>
      </c>
      <c r="I27" s="13" t="s">
        <v>526</v>
      </c>
      <c r="J27" s="13" t="s">
        <v>526</v>
      </c>
      <c r="K27" s="13" t="s">
        <v>527</v>
      </c>
      <c r="L27" s="82"/>
      <c r="M27" s="72"/>
      <c r="N27" s="72"/>
    </row>
    <row r="28" spans="1:14">
      <c r="A28" s="75"/>
      <c r="B28" s="75"/>
      <c r="C28" s="71"/>
      <c r="D28" s="77"/>
      <c r="E28" s="70"/>
      <c r="F28" s="70"/>
      <c r="G28" s="78"/>
      <c r="H28" s="76"/>
      <c r="I28" s="78"/>
      <c r="J28" s="16"/>
      <c r="K28" s="225"/>
      <c r="L28" s="82"/>
      <c r="M28" s="72"/>
      <c r="N28" s="72"/>
    </row>
    <row r="29" spans="1:14">
      <c r="A29" s="75">
        <f>+A27+1</f>
        <v>6</v>
      </c>
      <c r="B29" s="75"/>
      <c r="C29" s="69" t="str">
        <f>"Totals as of December 31, "&amp;TCOS!L4&amp;""</f>
        <v>Totals as of December 31, 2024</v>
      </c>
      <c r="D29" s="150">
        <f>ROUND(D55,0)</f>
        <v>3634970</v>
      </c>
      <c r="E29" s="232">
        <f>ROUND(E55,0)</f>
        <v>-3449634</v>
      </c>
      <c r="F29" s="151"/>
      <c r="G29" s="150">
        <f>ROUND(G55,0)</f>
        <v>0</v>
      </c>
      <c r="H29" s="76"/>
      <c r="I29" s="150">
        <f>ROUND(I55,0)</f>
        <v>272930</v>
      </c>
      <c r="J29" s="152">
        <f>+J55</f>
        <v>6811674.5800000001</v>
      </c>
      <c r="K29" s="150">
        <f>ROUND(K55,0)</f>
        <v>7084604</v>
      </c>
      <c r="L29" s="82"/>
      <c r="M29" s="72"/>
      <c r="N29" s="72"/>
    </row>
    <row r="30" spans="1:14">
      <c r="A30" s="75">
        <f>+A29+1</f>
        <v>7</v>
      </c>
      <c r="B30" s="75"/>
      <c r="C30" s="69" t="str">
        <f>"Totals as of December 31, "&amp;TCOS!L4-1&amp;""</f>
        <v>Totals as of December 31, 2023</v>
      </c>
      <c r="D30" s="155">
        <f>IF(D80="","",D80)</f>
        <v>2721984.9879999999</v>
      </c>
      <c r="E30" s="233">
        <f>IF(E80="","",E80)</f>
        <v>-4492317.3</v>
      </c>
      <c r="F30" s="70"/>
      <c r="G30" s="155" t="str">
        <f>IF(G80="","",G80)</f>
        <v/>
      </c>
      <c r="H30" s="76"/>
      <c r="I30" s="155">
        <f>IF(I80="","",I80)</f>
        <v>151584.20799999998</v>
      </c>
      <c r="J30" s="155">
        <f>IF(J80="","",J80)</f>
        <v>7062718.0800000001</v>
      </c>
      <c r="K30" s="155">
        <f>IF(K80="","",K80)</f>
        <v>7214302.2880000006</v>
      </c>
      <c r="L30" s="82"/>
      <c r="M30" s="72"/>
      <c r="N30" s="72"/>
    </row>
    <row r="31" spans="1:14" ht="13.5" thickBot="1">
      <c r="A31" s="75">
        <f>+A30+1</f>
        <v>8</v>
      </c>
      <c r="B31" s="75"/>
      <c r="C31" s="98" t="s">
        <v>215</v>
      </c>
      <c r="D31" s="156">
        <f>IF(D30="",0,(D29+D30)/2)</f>
        <v>3178477.4939999999</v>
      </c>
      <c r="E31" s="156">
        <f>IF(E30="",0,(E29+E30)/2)</f>
        <v>-3970975.65</v>
      </c>
      <c r="F31" s="157"/>
      <c r="G31" s="156">
        <f>IF(G30="",0,(G29+G30)/2)</f>
        <v>0</v>
      </c>
      <c r="H31" s="92"/>
      <c r="I31" s="156">
        <f>IF(I30="",0,(I29+I30)/2)</f>
        <v>212257.10399999999</v>
      </c>
      <c r="J31" s="156">
        <f>IF(J30="",0,(J29+J30)/2)</f>
        <v>6937196.3300000001</v>
      </c>
      <c r="K31" s="156">
        <f>IF(K30="",0,(K29+K30)/2)</f>
        <v>7149453.1440000003</v>
      </c>
      <c r="L31" s="82"/>
      <c r="M31" s="72"/>
      <c r="N31" s="72"/>
    </row>
    <row r="32" spans="1:14" ht="13.5" thickTop="1">
      <c r="A32" s="75"/>
      <c r="B32" s="75"/>
      <c r="D32" s="77"/>
      <c r="E32" s="70"/>
      <c r="F32" s="70"/>
      <c r="G32" s="78"/>
      <c r="H32" s="76"/>
      <c r="I32" s="78"/>
      <c r="J32" s="16"/>
      <c r="K32" s="81"/>
      <c r="L32" s="82"/>
      <c r="M32" s="72"/>
      <c r="N32" s="72"/>
    </row>
    <row r="33" spans="1:14">
      <c r="A33" s="69"/>
      <c r="E33" s="69"/>
      <c r="F33" s="69"/>
      <c r="J33" s="16"/>
      <c r="K33" s="81"/>
      <c r="L33" s="82"/>
      <c r="M33" s="72"/>
      <c r="N33" s="72"/>
    </row>
    <row r="34" spans="1:14" ht="18">
      <c r="A34" s="75"/>
      <c r="B34" s="1574" t="str">
        <f>"Prepayments Account 165 - Balance @ 12/31/"&amp;D36&amp;""</f>
        <v>Prepayments Account 165 - Balance @ 12/31/2024</v>
      </c>
      <c r="C34" s="1575"/>
      <c r="D34" s="1575"/>
      <c r="E34" s="1575"/>
      <c r="F34" s="1575"/>
      <c r="G34" s="1575"/>
      <c r="H34" s="1575"/>
      <c r="I34" s="1575"/>
      <c r="J34" s="1575"/>
      <c r="K34" s="81"/>
      <c r="L34" s="82"/>
      <c r="M34" s="72"/>
      <c r="N34" s="72"/>
    </row>
    <row r="35" spans="1:14">
      <c r="A35" s="75"/>
      <c r="B35" s="143"/>
      <c r="C35" s="145"/>
      <c r="D35" s="26"/>
      <c r="E35" s="10"/>
      <c r="F35" s="69"/>
      <c r="G35" s="10" t="s">
        <v>88</v>
      </c>
      <c r="I35" s="8" t="s">
        <v>117</v>
      </c>
      <c r="J35" s="8" t="s">
        <v>117</v>
      </c>
      <c r="K35" s="8" t="s">
        <v>181</v>
      </c>
      <c r="L35"/>
      <c r="M35" s="72"/>
      <c r="N35" s="72"/>
    </row>
    <row r="36" spans="1:14">
      <c r="A36" s="75"/>
      <c r="B36" s="143"/>
      <c r="C36" s="146"/>
      <c r="D36" s="147" t="str">
        <f>""&amp;TCOS!L4</f>
        <v>2024</v>
      </c>
      <c r="E36" s="8" t="s">
        <v>533</v>
      </c>
      <c r="F36" s="69"/>
      <c r="G36" s="8" t="s">
        <v>117</v>
      </c>
      <c r="I36" s="8" t="s">
        <v>525</v>
      </c>
      <c r="J36" s="8" t="s">
        <v>163</v>
      </c>
      <c r="K36" s="8" t="s">
        <v>182</v>
      </c>
      <c r="L36"/>
      <c r="M36" s="72"/>
      <c r="N36" s="72"/>
    </row>
    <row r="37" spans="1:14">
      <c r="A37" s="75">
        <f>+A31+1</f>
        <v>9</v>
      </c>
      <c r="B37" s="13" t="s">
        <v>91</v>
      </c>
      <c r="C37" s="13" t="s">
        <v>169</v>
      </c>
      <c r="D37" s="13" t="s">
        <v>89</v>
      </c>
      <c r="E37" s="13" t="s">
        <v>504</v>
      </c>
      <c r="F37" s="69"/>
      <c r="G37" s="13" t="s">
        <v>526</v>
      </c>
      <c r="I37" s="13" t="s">
        <v>526</v>
      </c>
      <c r="J37" s="13" t="s">
        <v>526</v>
      </c>
      <c r="K37" s="13" t="s">
        <v>527</v>
      </c>
      <c r="L37" s="13" t="s">
        <v>40</v>
      </c>
      <c r="M37" s="72"/>
      <c r="N37" s="72"/>
    </row>
    <row r="38" spans="1:14">
      <c r="A38" s="75"/>
      <c r="B38" s="143"/>
      <c r="C38" s="145"/>
      <c r="D38" s="145"/>
      <c r="E38" s="145"/>
      <c r="F38" s="69"/>
      <c r="G38" s="145"/>
      <c r="I38" s="145"/>
      <c r="J38" s="145"/>
      <c r="K38" s="225"/>
      <c r="L38"/>
      <c r="M38" s="72"/>
      <c r="N38" s="72"/>
    </row>
    <row r="39" spans="1:14" ht="14.25">
      <c r="A39" s="75">
        <f>+A37+1</f>
        <v>10</v>
      </c>
      <c r="B39" s="1283" t="s">
        <v>871</v>
      </c>
      <c r="C39" s="1281" t="s">
        <v>872</v>
      </c>
      <c r="D39" s="1282">
        <v>141749.49</v>
      </c>
      <c r="E39" s="1267">
        <f>+D39-K39</f>
        <v>0</v>
      </c>
      <c r="F39" s="1268"/>
      <c r="G39" s="1269"/>
      <c r="H39" s="1268"/>
      <c r="I39" s="1269">
        <f>D39</f>
        <v>141749.49</v>
      </c>
      <c r="J39" s="1269"/>
      <c r="K39" s="1269">
        <f t="shared" ref="K39:K46" si="0">+G39+I39+J39</f>
        <v>141749.49</v>
      </c>
      <c r="L39" t="s">
        <v>534</v>
      </c>
      <c r="M39" s="72"/>
      <c r="N39" s="72"/>
    </row>
    <row r="40" spans="1:14" ht="14.25">
      <c r="A40" s="75">
        <f t="shared" ref="A40:A52" si="1">+A39+1</f>
        <v>11</v>
      </c>
      <c r="B40" s="1283">
        <v>165000223</v>
      </c>
      <c r="C40" s="1281" t="s">
        <v>873</v>
      </c>
      <c r="D40" s="1282">
        <v>0</v>
      </c>
      <c r="E40" s="1267">
        <f>D40</f>
        <v>0</v>
      </c>
      <c r="F40" s="1268"/>
      <c r="G40" s="1269"/>
      <c r="H40" s="1268"/>
      <c r="I40" s="1269"/>
      <c r="J40" s="1269"/>
      <c r="K40" s="1269">
        <f t="shared" si="0"/>
        <v>0</v>
      </c>
      <c r="L40" t="s">
        <v>598</v>
      </c>
      <c r="M40" s="72"/>
      <c r="N40" s="72"/>
    </row>
    <row r="41" spans="1:14" ht="14.25">
      <c r="A41" s="75">
        <f t="shared" si="1"/>
        <v>12</v>
      </c>
      <c r="B41" s="1283">
        <v>165000224</v>
      </c>
      <c r="C41" s="1281" t="s">
        <v>873</v>
      </c>
      <c r="D41" s="1282">
        <v>3323334</v>
      </c>
      <c r="E41" s="1267">
        <f>+D41-K41</f>
        <v>3323334</v>
      </c>
      <c r="F41" s="1268"/>
      <c r="G41" s="1269"/>
      <c r="H41" s="1268"/>
      <c r="I41" s="1269"/>
      <c r="J41" s="1269"/>
      <c r="K41" s="1269">
        <f t="shared" si="0"/>
        <v>0</v>
      </c>
      <c r="L41" t="s">
        <v>598</v>
      </c>
      <c r="M41" s="72"/>
      <c r="N41" s="72"/>
    </row>
    <row r="42" spans="1:14" ht="14.25">
      <c r="A42" s="75">
        <f t="shared" si="1"/>
        <v>13</v>
      </c>
      <c r="B42" s="1283" t="s">
        <v>897</v>
      </c>
      <c r="C42" s="1281" t="s">
        <v>898</v>
      </c>
      <c r="D42" s="1282">
        <v>0</v>
      </c>
      <c r="E42" s="1269">
        <f>D42</f>
        <v>0</v>
      </c>
      <c r="F42" s="1268"/>
      <c r="G42" s="1269"/>
      <c r="H42" s="1268"/>
      <c r="I42" s="1269"/>
      <c r="J42" s="1269"/>
      <c r="K42" s="1269">
        <f t="shared" si="0"/>
        <v>0</v>
      </c>
      <c r="L42"/>
      <c r="M42" s="72"/>
      <c r="N42" s="72"/>
    </row>
    <row r="43" spans="1:14" ht="14.25">
      <c r="A43" s="75">
        <f t="shared" si="1"/>
        <v>14</v>
      </c>
      <c r="B43" s="1283" t="s">
        <v>899</v>
      </c>
      <c r="C43" s="1281" t="s">
        <v>900</v>
      </c>
      <c r="D43" s="1282">
        <v>0</v>
      </c>
      <c r="E43" s="1269">
        <v>0</v>
      </c>
      <c r="F43" s="1268"/>
      <c r="G43" s="1269"/>
      <c r="H43" s="1268"/>
      <c r="I43" s="1269"/>
      <c r="J43" s="1269"/>
      <c r="K43" s="1269">
        <f t="shared" si="0"/>
        <v>0</v>
      </c>
      <c r="L43"/>
      <c r="M43" s="72"/>
      <c r="N43" s="72"/>
    </row>
    <row r="44" spans="1:14" ht="14.25">
      <c r="A44" s="75">
        <f t="shared" si="1"/>
        <v>15</v>
      </c>
      <c r="B44" s="1283" t="s">
        <v>874</v>
      </c>
      <c r="C44" s="1281" t="s">
        <v>875</v>
      </c>
      <c r="D44" s="1282">
        <v>0</v>
      </c>
      <c r="E44" s="1269">
        <f>+D44-K44</f>
        <v>0</v>
      </c>
      <c r="F44" s="1268"/>
      <c r="G44" s="1269"/>
      <c r="H44" s="1268"/>
      <c r="I44" s="1269"/>
      <c r="J44" s="1269"/>
      <c r="K44" s="1269">
        <f t="shared" si="0"/>
        <v>0</v>
      </c>
      <c r="L44" s="21"/>
      <c r="M44" s="72"/>
      <c r="N44" s="72"/>
    </row>
    <row r="45" spans="1:14" ht="14.25">
      <c r="A45" s="75">
        <f t="shared" si="1"/>
        <v>16</v>
      </c>
      <c r="B45" s="1283" t="s">
        <v>901</v>
      </c>
      <c r="C45" s="1281" t="s">
        <v>902</v>
      </c>
      <c r="D45" s="1282">
        <v>0</v>
      </c>
      <c r="E45" s="1269">
        <f>D45</f>
        <v>0</v>
      </c>
      <c r="F45" s="1268"/>
      <c r="G45" s="1269"/>
      <c r="H45" s="1268"/>
      <c r="I45" s="1269"/>
      <c r="J45" s="1269"/>
      <c r="K45" s="1269">
        <f t="shared" si="0"/>
        <v>0</v>
      </c>
      <c r="L45" s="21" t="s">
        <v>915</v>
      </c>
      <c r="M45" s="72"/>
      <c r="N45" s="72"/>
    </row>
    <row r="46" spans="1:14" ht="14.25">
      <c r="A46" s="75">
        <f t="shared" si="1"/>
        <v>17</v>
      </c>
      <c r="B46" s="1283" t="s">
        <v>903</v>
      </c>
      <c r="C46" s="1281" t="s">
        <v>904</v>
      </c>
      <c r="D46" s="1282">
        <v>38706.35</v>
      </c>
      <c r="E46" s="1269">
        <f>D46</f>
        <v>38706.35</v>
      </c>
      <c r="F46" s="1268"/>
      <c r="G46" s="1269"/>
      <c r="H46" s="1268"/>
      <c r="I46" s="1269"/>
      <c r="J46" s="1269"/>
      <c r="K46" s="1269">
        <f t="shared" si="0"/>
        <v>0</v>
      </c>
      <c r="L46" s="21" t="s">
        <v>599</v>
      </c>
      <c r="M46" s="72"/>
      <c r="N46" s="72"/>
    </row>
    <row r="47" spans="1:14" ht="14.25">
      <c r="A47" s="75">
        <f t="shared" si="1"/>
        <v>18</v>
      </c>
      <c r="B47" s="1283" t="s">
        <v>876</v>
      </c>
      <c r="C47" s="1281" t="s">
        <v>877</v>
      </c>
      <c r="D47" s="1282">
        <v>3263062.58</v>
      </c>
      <c r="E47" s="1269">
        <v>0</v>
      </c>
      <c r="F47" s="1268"/>
      <c r="G47" s="1269"/>
      <c r="H47" s="1268"/>
      <c r="I47" s="1269"/>
      <c r="J47" s="1269">
        <f>D47</f>
        <v>3263062.58</v>
      </c>
      <c r="K47" s="1269">
        <f t="shared" ref="K47:K54" si="2">+G47+I47+J47</f>
        <v>3263062.58</v>
      </c>
      <c r="L47" s="5" t="s">
        <v>528</v>
      </c>
      <c r="M47" s="72"/>
      <c r="N47" s="72"/>
    </row>
    <row r="48" spans="1:14" ht="14.25">
      <c r="A48" s="75">
        <f t="shared" si="1"/>
        <v>19</v>
      </c>
      <c r="B48" s="1283" t="s">
        <v>878</v>
      </c>
      <c r="C48" s="1281" t="s">
        <v>879</v>
      </c>
      <c r="D48" s="1282">
        <v>-3263062.58</v>
      </c>
      <c r="E48" s="1269">
        <f>D48</f>
        <v>-3263062.58</v>
      </c>
      <c r="F48" s="1268"/>
      <c r="G48" s="1269"/>
      <c r="H48" s="1268"/>
      <c r="I48" s="1269"/>
      <c r="J48" s="1269"/>
      <c r="K48" s="1269">
        <f t="shared" si="2"/>
        <v>0</v>
      </c>
      <c r="L48" s="21" t="s">
        <v>31</v>
      </c>
      <c r="M48" s="72"/>
      <c r="N48" s="72"/>
    </row>
    <row r="49" spans="1:15" ht="14.25">
      <c r="A49" s="75">
        <f t="shared" si="1"/>
        <v>20</v>
      </c>
      <c r="B49" s="1283" t="s">
        <v>880</v>
      </c>
      <c r="C49" s="1281" t="s">
        <v>881</v>
      </c>
      <c r="D49" s="1282">
        <v>0</v>
      </c>
      <c r="E49" s="1269">
        <f>+D49-K49</f>
        <v>0</v>
      </c>
      <c r="F49" s="1268"/>
      <c r="G49" s="1269"/>
      <c r="H49" s="1268"/>
      <c r="I49" s="1269"/>
      <c r="J49" s="1269"/>
      <c r="K49" s="1269">
        <f t="shared" si="2"/>
        <v>0</v>
      </c>
      <c r="L49" s="21"/>
      <c r="M49" s="72"/>
      <c r="N49" s="72"/>
    </row>
    <row r="50" spans="1:15" ht="14.25">
      <c r="A50" s="75">
        <f t="shared" si="1"/>
        <v>21</v>
      </c>
      <c r="B50" s="1283" t="s">
        <v>882</v>
      </c>
      <c r="C50" s="1281" t="s">
        <v>883</v>
      </c>
      <c r="D50" s="1282">
        <v>131180.05799999999</v>
      </c>
      <c r="E50" s="1269">
        <v>0</v>
      </c>
      <c r="F50" s="1268"/>
      <c r="G50" s="1269"/>
      <c r="H50" s="1268"/>
      <c r="I50" s="1269">
        <f>D50</f>
        <v>131180.05799999999</v>
      </c>
      <c r="J50" s="1269"/>
      <c r="K50" s="1269">
        <f t="shared" si="2"/>
        <v>131180.05799999999</v>
      </c>
      <c r="L50" s="21" t="s">
        <v>916</v>
      </c>
      <c r="M50" s="72"/>
      <c r="N50" s="72"/>
    </row>
    <row r="51" spans="1:15" ht="14.25">
      <c r="A51" s="75">
        <f t="shared" si="1"/>
        <v>22</v>
      </c>
      <c r="B51" s="1283" t="s">
        <v>905</v>
      </c>
      <c r="C51" s="1281" t="s">
        <v>906</v>
      </c>
      <c r="D51" s="1282">
        <v>0</v>
      </c>
      <c r="E51" s="1267">
        <f>+D51-K51</f>
        <v>0</v>
      </c>
      <c r="F51" s="1268"/>
      <c r="G51" s="1269"/>
      <c r="H51" s="1268"/>
      <c r="I51" s="1269"/>
      <c r="J51" s="1269"/>
      <c r="K51" s="1269">
        <f t="shared" si="2"/>
        <v>0</v>
      </c>
      <c r="L51" s="21" t="s">
        <v>116</v>
      </c>
      <c r="M51" s="72"/>
      <c r="N51" s="72"/>
    </row>
    <row r="52" spans="1:15" ht="14.25">
      <c r="A52" s="75">
        <f t="shared" si="1"/>
        <v>23</v>
      </c>
      <c r="B52" s="1283">
        <v>1650035</v>
      </c>
      <c r="C52" s="1281" t="s">
        <v>884</v>
      </c>
      <c r="D52" s="1282">
        <v>3548612</v>
      </c>
      <c r="E52" s="1269">
        <v>0</v>
      </c>
      <c r="F52" s="1268"/>
      <c r="G52" s="1269"/>
      <c r="H52" s="1268"/>
      <c r="I52" s="1269"/>
      <c r="J52" s="1269">
        <f>D52</f>
        <v>3548612</v>
      </c>
      <c r="K52" s="1269">
        <f t="shared" si="2"/>
        <v>3548612</v>
      </c>
      <c r="L52" s="21" t="s">
        <v>917</v>
      </c>
      <c r="M52" s="72"/>
      <c r="N52" s="72"/>
    </row>
    <row r="53" spans="1:15" ht="14.25">
      <c r="A53" s="75">
        <f>A52+1</f>
        <v>24</v>
      </c>
      <c r="B53" s="1283">
        <v>1650036</v>
      </c>
      <c r="C53" s="1281" t="s">
        <v>885</v>
      </c>
      <c r="D53" s="1282">
        <v>0</v>
      </c>
      <c r="E53" s="1269">
        <v>0</v>
      </c>
      <c r="F53" s="1268"/>
      <c r="G53" s="1269"/>
      <c r="H53" s="1268"/>
      <c r="I53" s="1269"/>
      <c r="J53" s="1269"/>
      <c r="K53" s="1269">
        <f t="shared" si="2"/>
        <v>0</v>
      </c>
      <c r="L53" s="21"/>
      <c r="M53" s="72"/>
      <c r="N53" s="72"/>
    </row>
    <row r="54" spans="1:15" ht="15" thickBot="1">
      <c r="A54" s="75">
        <f>A53+1</f>
        <v>25</v>
      </c>
      <c r="B54" s="1283">
        <v>1650037</v>
      </c>
      <c r="C54" s="1281" t="s">
        <v>886</v>
      </c>
      <c r="D54" s="1282">
        <v>-3548612</v>
      </c>
      <c r="E54" s="1269">
        <f>D54</f>
        <v>-3548612</v>
      </c>
      <c r="F54" s="1268"/>
      <c r="G54" s="1269"/>
      <c r="H54" s="1268"/>
      <c r="I54" s="1269"/>
      <c r="J54" s="1269"/>
      <c r="K54" s="1269">
        <f t="shared" si="2"/>
        <v>0</v>
      </c>
      <c r="L54" s="21" t="s">
        <v>31</v>
      </c>
      <c r="M54" s="72"/>
      <c r="N54" s="72"/>
    </row>
    <row r="55" spans="1:15" ht="14.25">
      <c r="A55" s="75"/>
      <c r="B55" s="143"/>
      <c r="C55" s="35" t="s">
        <v>505</v>
      </c>
      <c r="D55" s="878">
        <f>SUM(D39:D54)</f>
        <v>3634969.898</v>
      </c>
      <c r="E55" s="1270">
        <f>SUM(E39:E54)</f>
        <v>-3449634.23</v>
      </c>
      <c r="F55" s="1268"/>
      <c r="G55" s="878">
        <f>SUM(G39:G54)</f>
        <v>0</v>
      </c>
      <c r="H55" s="1268"/>
      <c r="I55" s="878">
        <f>SUM(I39:I54)</f>
        <v>272929.54799999995</v>
      </c>
      <c r="J55" s="878">
        <f>SUM(J39:J54)</f>
        <v>6811674.5800000001</v>
      </c>
      <c r="K55" s="878">
        <f>SUM(K39:K54)</f>
        <v>7084604.1280000005</v>
      </c>
      <c r="L55"/>
      <c r="M55" s="72"/>
      <c r="N55" s="72"/>
    </row>
    <row r="56" spans="1:15">
      <c r="A56" s="75"/>
      <c r="K56" s="148"/>
      <c r="L56"/>
      <c r="M56" s="72"/>
      <c r="N56" s="72"/>
    </row>
    <row r="57" spans="1:15">
      <c r="A57" s="75"/>
      <c r="B57"/>
      <c r="C57"/>
      <c r="D57"/>
      <c r="E57"/>
      <c r="F57"/>
      <c r="G57"/>
      <c r="H57"/>
      <c r="I57"/>
      <c r="J57"/>
      <c r="K57"/>
      <c r="L57"/>
      <c r="M57" s="21"/>
      <c r="N57" s="21"/>
      <c r="O57"/>
    </row>
    <row r="58" spans="1:15" ht="18">
      <c r="A58" s="75"/>
      <c r="B58" s="1574" t="str">
        <f>"Prepayments Account 165 - Balance @ 12/31/ "&amp;D60&amp;""</f>
        <v>Prepayments Account 165 - Balance @ 12/31/ 2023</v>
      </c>
      <c r="C58" s="1574"/>
      <c r="D58" s="1574"/>
      <c r="E58" s="1574"/>
      <c r="F58" s="1574"/>
      <c r="G58" s="1574"/>
      <c r="H58" s="1574"/>
      <c r="I58" s="1574"/>
      <c r="J58" s="1574"/>
      <c r="K58" s="81"/>
      <c r="L58" s="82"/>
      <c r="M58" s="72"/>
      <c r="N58" s="21"/>
      <c r="O58"/>
    </row>
    <row r="59" spans="1:15">
      <c r="A59" s="75"/>
      <c r="B59" s="244"/>
      <c r="C59" s="245"/>
      <c r="D59" s="246"/>
      <c r="E59" s="10"/>
      <c r="F59" s="69"/>
      <c r="G59" s="10" t="s">
        <v>88</v>
      </c>
      <c r="I59" s="8" t="s">
        <v>117</v>
      </c>
      <c r="J59" s="8" t="s">
        <v>117</v>
      </c>
      <c r="K59" s="8" t="s">
        <v>181</v>
      </c>
      <c r="L59"/>
      <c r="M59" s="72"/>
      <c r="N59" s="21"/>
      <c r="O59"/>
    </row>
    <row r="60" spans="1:15">
      <c r="A60" s="75"/>
      <c r="B60" s="244"/>
      <c r="C60" s="247"/>
      <c r="D60" s="8" t="str">
        <f>""&amp;TCOS!L4-1</f>
        <v>2023</v>
      </c>
      <c r="E60" s="8" t="s">
        <v>533</v>
      </c>
      <c r="F60" s="69"/>
      <c r="G60" s="8" t="s">
        <v>117</v>
      </c>
      <c r="I60" s="8" t="s">
        <v>525</v>
      </c>
      <c r="J60" s="8" t="s">
        <v>163</v>
      </c>
      <c r="K60" s="8" t="s">
        <v>182</v>
      </c>
      <c r="L60"/>
      <c r="M60" s="72"/>
      <c r="N60" s="21"/>
      <c r="O60"/>
    </row>
    <row r="61" spans="1:15">
      <c r="A61" s="75">
        <f>A54+1</f>
        <v>26</v>
      </c>
      <c r="B61" s="13" t="s">
        <v>91</v>
      </c>
      <c r="C61" s="13" t="s">
        <v>169</v>
      </c>
      <c r="D61" s="13" t="s">
        <v>89</v>
      </c>
      <c r="E61" s="13" t="s">
        <v>504</v>
      </c>
      <c r="F61" s="69"/>
      <c r="G61" s="13" t="s">
        <v>526</v>
      </c>
      <c r="I61" s="13" t="s">
        <v>526</v>
      </c>
      <c r="J61" s="13" t="s">
        <v>526</v>
      </c>
      <c r="K61" s="13" t="s">
        <v>527</v>
      </c>
      <c r="L61" s="13" t="s">
        <v>40</v>
      </c>
      <c r="M61" s="72"/>
      <c r="N61" s="21"/>
      <c r="O61"/>
    </row>
    <row r="62" spans="1:15">
      <c r="A62" s="75"/>
      <c r="B62" s="143"/>
      <c r="C62" s="145"/>
      <c r="D62" s="145"/>
      <c r="E62" s="145"/>
      <c r="F62" s="69"/>
      <c r="G62" s="145"/>
      <c r="I62" s="145"/>
      <c r="J62" s="145"/>
      <c r="K62" s="145"/>
      <c r="L62"/>
      <c r="M62" s="72"/>
      <c r="N62" s="21"/>
      <c r="O62"/>
    </row>
    <row r="63" spans="1:15" ht="14.25">
      <c r="A63" s="75">
        <f>+A61+1</f>
        <v>27</v>
      </c>
      <c r="B63" s="1283" t="s">
        <v>871</v>
      </c>
      <c r="C63" s="1281" t="s">
        <v>872</v>
      </c>
      <c r="D63" s="1282">
        <v>60152.22</v>
      </c>
      <c r="E63" s="1267">
        <f>+D63-K63</f>
        <v>0</v>
      </c>
      <c r="F63" s="1268"/>
      <c r="G63" s="1269"/>
      <c r="H63" s="1268"/>
      <c r="I63" s="1269">
        <f>D63</f>
        <v>60152.22</v>
      </c>
      <c r="J63" s="1269"/>
      <c r="K63" s="1269">
        <f t="shared" ref="K63:K78" si="3">+G63+I63+J63</f>
        <v>60152.22</v>
      </c>
      <c r="L63" s="1428" t="s">
        <v>534</v>
      </c>
      <c r="M63" s="72"/>
      <c r="N63" s="21"/>
      <c r="O63"/>
    </row>
    <row r="64" spans="1:15" ht="14.25">
      <c r="A64" s="75">
        <f t="shared" ref="A64:A78" si="4">+A63+1</f>
        <v>28</v>
      </c>
      <c r="B64" s="1283">
        <v>165000223</v>
      </c>
      <c r="C64" s="1281" t="s">
        <v>873</v>
      </c>
      <c r="D64" s="1282">
        <v>2439057.98</v>
      </c>
      <c r="E64" s="1267">
        <f>D64</f>
        <v>2439057.98</v>
      </c>
      <c r="F64" s="1268"/>
      <c r="G64" s="1269"/>
      <c r="H64" s="1268"/>
      <c r="I64" s="1269"/>
      <c r="J64" s="1269"/>
      <c r="K64" s="1269">
        <f t="shared" si="3"/>
        <v>0</v>
      </c>
      <c r="L64" s="1428" t="s">
        <v>598</v>
      </c>
      <c r="M64" s="72"/>
      <c r="N64" s="21"/>
      <c r="O64"/>
    </row>
    <row r="65" spans="1:15" ht="14.25">
      <c r="A65" s="75">
        <f t="shared" si="4"/>
        <v>29</v>
      </c>
      <c r="B65" s="1283">
        <v>165000224</v>
      </c>
      <c r="C65" s="1281" t="s">
        <v>873</v>
      </c>
      <c r="D65" s="1282">
        <v>94677</v>
      </c>
      <c r="E65" s="1267">
        <f>+D65-K65</f>
        <v>94677</v>
      </c>
      <c r="F65" s="1268"/>
      <c r="G65" s="1269"/>
      <c r="H65" s="1268"/>
      <c r="I65" s="1269"/>
      <c r="J65" s="1269"/>
      <c r="K65" s="1269">
        <f t="shared" si="3"/>
        <v>0</v>
      </c>
      <c r="L65" s="1428" t="s">
        <v>598</v>
      </c>
      <c r="M65" s="72"/>
      <c r="N65" s="21"/>
      <c r="O65"/>
    </row>
    <row r="66" spans="1:15" ht="14.25">
      <c r="A66" s="75">
        <f t="shared" si="4"/>
        <v>30</v>
      </c>
      <c r="B66" s="1283" t="s">
        <v>897</v>
      </c>
      <c r="C66" s="1281" t="s">
        <v>898</v>
      </c>
      <c r="D66" s="1282">
        <v>0</v>
      </c>
      <c r="E66" s="1269">
        <f>D66</f>
        <v>0</v>
      </c>
      <c r="F66" s="1268"/>
      <c r="G66" s="1269"/>
      <c r="H66" s="1268"/>
      <c r="I66" s="1269"/>
      <c r="J66" s="1269"/>
      <c r="K66" s="1269">
        <f t="shared" si="3"/>
        <v>0</v>
      </c>
      <c r="L66" s="1428"/>
      <c r="M66" s="72"/>
      <c r="N66" s="21"/>
      <c r="O66"/>
    </row>
    <row r="67" spans="1:15" ht="14.25">
      <c r="A67" s="75">
        <f t="shared" si="4"/>
        <v>31</v>
      </c>
      <c r="B67" s="1283" t="s">
        <v>899</v>
      </c>
      <c r="C67" s="1281" t="s">
        <v>900</v>
      </c>
      <c r="D67" s="1282">
        <v>0</v>
      </c>
      <c r="E67" s="1269">
        <v>0</v>
      </c>
      <c r="F67" s="1268"/>
      <c r="G67" s="1269"/>
      <c r="H67" s="1268"/>
      <c r="I67" s="1269"/>
      <c r="J67" s="1269"/>
      <c r="K67" s="1269">
        <f t="shared" si="3"/>
        <v>0</v>
      </c>
      <c r="L67" s="1428"/>
      <c r="M67" s="72"/>
      <c r="N67" s="21"/>
      <c r="O67"/>
    </row>
    <row r="68" spans="1:15" ht="14.25">
      <c r="A68" s="75">
        <f t="shared" si="4"/>
        <v>32</v>
      </c>
      <c r="B68" s="1283" t="s">
        <v>874</v>
      </c>
      <c r="C68" s="1281" t="s">
        <v>875</v>
      </c>
      <c r="D68" s="1282">
        <v>0</v>
      </c>
      <c r="E68" s="1269">
        <f>+D68-K68</f>
        <v>0</v>
      </c>
      <c r="F68" s="1268"/>
      <c r="G68" s="1269"/>
      <c r="H68" s="1268"/>
      <c r="I68" s="1269"/>
      <c r="J68" s="1269"/>
      <c r="K68" s="1269">
        <f t="shared" si="3"/>
        <v>0</v>
      </c>
      <c r="L68" s="1427"/>
      <c r="M68" s="72"/>
      <c r="N68" s="21"/>
      <c r="O68"/>
    </row>
    <row r="69" spans="1:15" ht="14.25">
      <c r="A69" s="75">
        <f t="shared" si="4"/>
        <v>33</v>
      </c>
      <c r="B69" s="1283" t="s">
        <v>901</v>
      </c>
      <c r="C69" s="1281" t="s">
        <v>902</v>
      </c>
      <c r="D69" s="1282">
        <v>0</v>
      </c>
      <c r="E69" s="1269">
        <f>D69</f>
        <v>0</v>
      </c>
      <c r="F69" s="1268"/>
      <c r="G69" s="1269"/>
      <c r="H69" s="1268"/>
      <c r="I69" s="1269"/>
      <c r="J69" s="1269"/>
      <c r="K69" s="1269">
        <f t="shared" si="3"/>
        <v>0</v>
      </c>
      <c r="L69" s="1427" t="s">
        <v>915</v>
      </c>
      <c r="M69" s="72"/>
      <c r="N69" s="21"/>
      <c r="O69"/>
    </row>
    <row r="70" spans="1:15" ht="14.25">
      <c r="A70" s="75">
        <f t="shared" si="4"/>
        <v>34</v>
      </c>
      <c r="B70" s="1283" t="s">
        <v>903</v>
      </c>
      <c r="C70" s="1281" t="s">
        <v>904</v>
      </c>
      <c r="D70" s="1282">
        <v>36660.959999999999</v>
      </c>
      <c r="E70" s="1269">
        <f>D70</f>
        <v>36660.959999999999</v>
      </c>
      <c r="F70" s="1268"/>
      <c r="G70" s="1269"/>
      <c r="H70" s="1268"/>
      <c r="I70" s="1269"/>
      <c r="J70" s="1269"/>
      <c r="K70" s="1269">
        <f t="shared" si="3"/>
        <v>0</v>
      </c>
      <c r="L70" s="1427" t="s">
        <v>599</v>
      </c>
      <c r="M70" s="72"/>
      <c r="N70" s="21"/>
      <c r="O70"/>
    </row>
    <row r="71" spans="1:15" ht="14.25">
      <c r="A71" s="75">
        <f t="shared" si="4"/>
        <v>35</v>
      </c>
      <c r="B71" s="1283" t="s">
        <v>876</v>
      </c>
      <c r="C71" s="1281" t="s">
        <v>877</v>
      </c>
      <c r="D71" s="1282">
        <v>3754802.08</v>
      </c>
      <c r="E71" s="1269">
        <v>0</v>
      </c>
      <c r="F71" s="1268"/>
      <c r="G71" s="1269"/>
      <c r="H71" s="1268"/>
      <c r="I71" s="1269"/>
      <c r="J71" s="1269">
        <f>D71</f>
        <v>3754802.08</v>
      </c>
      <c r="K71" s="1269">
        <f t="shared" si="3"/>
        <v>3754802.08</v>
      </c>
      <c r="L71" s="5" t="s">
        <v>528</v>
      </c>
      <c r="M71" s="72"/>
      <c r="N71" s="21"/>
      <c r="O71"/>
    </row>
    <row r="72" spans="1:15" ht="14.25">
      <c r="A72" s="75">
        <f t="shared" si="4"/>
        <v>36</v>
      </c>
      <c r="B72" s="1283" t="s">
        <v>878</v>
      </c>
      <c r="C72" s="1281" t="s">
        <v>879</v>
      </c>
      <c r="D72" s="1282">
        <v>-3754802.08</v>
      </c>
      <c r="E72" s="1269">
        <f>D72</f>
        <v>-3754802.08</v>
      </c>
      <c r="F72" s="1268"/>
      <c r="G72" s="1269"/>
      <c r="H72" s="1268"/>
      <c r="I72" s="1269"/>
      <c r="J72" s="1269"/>
      <c r="K72" s="1269">
        <f t="shared" si="3"/>
        <v>0</v>
      </c>
      <c r="L72" s="1427" t="s">
        <v>31</v>
      </c>
      <c r="M72" s="72"/>
      <c r="N72" s="21"/>
      <c r="O72"/>
    </row>
    <row r="73" spans="1:15" ht="14.25">
      <c r="A73" s="75">
        <f t="shared" si="4"/>
        <v>37</v>
      </c>
      <c r="B73" s="1283" t="s">
        <v>880</v>
      </c>
      <c r="C73" s="1281" t="s">
        <v>881</v>
      </c>
      <c r="D73" s="1282">
        <v>0</v>
      </c>
      <c r="E73" s="1269">
        <f>+D73-K73</f>
        <v>0</v>
      </c>
      <c r="F73" s="1268"/>
      <c r="G73" s="1269"/>
      <c r="H73" s="1268"/>
      <c r="I73" s="1269"/>
      <c r="J73" s="1269"/>
      <c r="K73" s="1269">
        <f t="shared" si="3"/>
        <v>0</v>
      </c>
      <c r="L73" s="1427"/>
      <c r="M73" s="72"/>
      <c r="N73" s="21"/>
      <c r="O73"/>
    </row>
    <row r="74" spans="1:15" ht="14.25">
      <c r="A74" s="75">
        <f t="shared" si="4"/>
        <v>38</v>
      </c>
      <c r="B74" s="1283" t="s">
        <v>882</v>
      </c>
      <c r="C74" s="1281" t="s">
        <v>883</v>
      </c>
      <c r="D74" s="1282">
        <v>91431.987999999998</v>
      </c>
      <c r="E74" s="1269">
        <v>0</v>
      </c>
      <c r="F74" s="1268"/>
      <c r="G74" s="1269"/>
      <c r="H74" s="1268"/>
      <c r="I74" s="1269">
        <f>D74</f>
        <v>91431.987999999998</v>
      </c>
      <c r="J74" s="1269"/>
      <c r="K74" s="1269">
        <f t="shared" si="3"/>
        <v>91431.987999999998</v>
      </c>
      <c r="L74" s="1427" t="s">
        <v>916</v>
      </c>
      <c r="M74" s="72"/>
      <c r="N74" s="21"/>
      <c r="O74"/>
    </row>
    <row r="75" spans="1:15" ht="14.25">
      <c r="A75" s="75">
        <f t="shared" si="4"/>
        <v>39</v>
      </c>
      <c r="B75" s="1283" t="s">
        <v>905</v>
      </c>
      <c r="C75" s="1281" t="s">
        <v>906</v>
      </c>
      <c r="D75" s="1282">
        <v>4.84</v>
      </c>
      <c r="E75" s="1267">
        <f>+D75-K75</f>
        <v>4.84</v>
      </c>
      <c r="F75" s="1268"/>
      <c r="G75" s="1269"/>
      <c r="H75" s="1268"/>
      <c r="I75" s="1269"/>
      <c r="J75" s="1269"/>
      <c r="K75" s="1269">
        <f t="shared" si="3"/>
        <v>0</v>
      </c>
      <c r="L75" s="1427" t="s">
        <v>116</v>
      </c>
      <c r="M75" s="72"/>
      <c r="N75" s="21"/>
      <c r="O75"/>
    </row>
    <row r="76" spans="1:15" ht="14.25">
      <c r="A76" s="75">
        <f t="shared" si="4"/>
        <v>40</v>
      </c>
      <c r="B76" s="1283">
        <v>1650035</v>
      </c>
      <c r="C76" s="1281" t="s">
        <v>884</v>
      </c>
      <c r="D76" s="1282">
        <v>3307916</v>
      </c>
      <c r="E76" s="1269">
        <v>0</v>
      </c>
      <c r="F76" s="1268"/>
      <c r="G76" s="1269"/>
      <c r="H76" s="1268"/>
      <c r="I76" s="1269"/>
      <c r="J76" s="1269">
        <f>D76</f>
        <v>3307916</v>
      </c>
      <c r="K76" s="1269">
        <f t="shared" si="3"/>
        <v>3307916</v>
      </c>
      <c r="L76" s="1427" t="s">
        <v>917</v>
      </c>
      <c r="M76" s="72"/>
      <c r="N76" s="21"/>
      <c r="O76"/>
    </row>
    <row r="77" spans="1:15" ht="14.25">
      <c r="A77" s="75">
        <f t="shared" si="4"/>
        <v>41</v>
      </c>
      <c r="B77" s="1283">
        <v>1650036</v>
      </c>
      <c r="C77" s="1281" t="s">
        <v>885</v>
      </c>
      <c r="D77" s="1282">
        <v>0</v>
      </c>
      <c r="E77" s="1269">
        <v>0</v>
      </c>
      <c r="F77" s="1268"/>
      <c r="G77" s="1269"/>
      <c r="H77" s="1268"/>
      <c r="I77" s="1269"/>
      <c r="J77" s="1269"/>
      <c r="K77" s="1269">
        <f t="shared" si="3"/>
        <v>0</v>
      </c>
      <c r="L77" s="1427"/>
      <c r="M77" s="72"/>
      <c r="N77" s="21"/>
      <c r="O77"/>
    </row>
    <row r="78" spans="1:15" ht="14.25">
      <c r="A78" s="75">
        <f t="shared" si="4"/>
        <v>42</v>
      </c>
      <c r="B78" s="1283">
        <v>1650037</v>
      </c>
      <c r="C78" s="1281" t="s">
        <v>886</v>
      </c>
      <c r="D78" s="1282">
        <v>-3307916</v>
      </c>
      <c r="E78" s="1269">
        <f>D78</f>
        <v>-3307916</v>
      </c>
      <c r="F78" s="1268"/>
      <c r="G78" s="1269"/>
      <c r="H78" s="1268"/>
      <c r="I78" s="1269"/>
      <c r="J78" s="1269"/>
      <c r="K78" s="1269">
        <f t="shared" si="3"/>
        <v>0</v>
      </c>
      <c r="L78" s="1427" t="s">
        <v>31</v>
      </c>
      <c r="M78" s="72"/>
      <c r="N78" s="21"/>
      <c r="O78"/>
    </row>
    <row r="79" spans="1:15" ht="15" thickBot="1">
      <c r="A79" s="75"/>
      <c r="B79" s="29"/>
      <c r="C79" s="29"/>
      <c r="D79" s="140"/>
      <c r="E79" s="1267"/>
      <c r="F79" s="1268"/>
      <c r="G79" s="1269"/>
      <c r="H79" s="1268"/>
      <c r="I79" s="1269"/>
      <c r="J79" s="1269"/>
      <c r="K79" s="1269"/>
      <c r="L79"/>
      <c r="M79" s="72"/>
      <c r="N79" s="21"/>
      <c r="O79"/>
    </row>
    <row r="80" spans="1:15" ht="14.25">
      <c r="A80" s="75"/>
      <c r="B80" s="143"/>
      <c r="C80" s="35" t="s">
        <v>385</v>
      </c>
      <c r="D80" s="878">
        <f>IF(SUM(D63:D79)=0,"",SUM(D63:D79))</f>
        <v>2721984.9879999999</v>
      </c>
      <c r="E80" s="1270">
        <f>IF(SUM(E63:E79)=0,"",SUM(E63:E79))</f>
        <v>-4492317.3</v>
      </c>
      <c r="F80" s="1268"/>
      <c r="G80" s="878" t="str">
        <f>IF(SUM(G63:G79)=0,"",SUM(G63:G79))</f>
        <v/>
      </c>
      <c r="H80" s="1268"/>
      <c r="I80" s="878">
        <f>IF(SUM(I63:I79)=0,"",SUM(I63:I79))</f>
        <v>151584.20799999998</v>
      </c>
      <c r="J80" s="878">
        <f>IF(SUM(J63:J79)=0,"",SUM(J63:J79))</f>
        <v>7062718.0800000001</v>
      </c>
      <c r="K80" s="878">
        <f>IF(SUM(K63:K79)=0,"",SUM(K63:K79))</f>
        <v>7214302.2880000006</v>
      </c>
      <c r="L80"/>
      <c r="M80" s="72"/>
      <c r="N80" s="21"/>
      <c r="O80"/>
    </row>
    <row r="81" spans="1:15">
      <c r="A81" s="75"/>
      <c r="B81" s="75"/>
      <c r="C81"/>
      <c r="D81"/>
      <c r="E81"/>
      <c r="F81"/>
      <c r="G81"/>
      <c r="H81"/>
      <c r="I81"/>
      <c r="J81"/>
      <c r="K81"/>
      <c r="L81"/>
      <c r="M81" s="21"/>
      <c r="N81" s="21"/>
      <c r="O81"/>
    </row>
    <row r="82" spans="1:15" ht="18.75" customHeight="1">
      <c r="A82" s="75" t="s">
        <v>634</v>
      </c>
      <c r="B82" s="1572" t="s">
        <v>824</v>
      </c>
      <c r="C82" s="1572"/>
      <c r="D82" s="1572"/>
      <c r="E82" s="1572"/>
      <c r="F82" s="1572"/>
      <c r="G82" s="1572"/>
      <c r="H82" s="1572"/>
      <c r="I82" s="1572"/>
      <c r="J82" s="1572"/>
      <c r="K82" s="1572"/>
      <c r="L82" s="1572"/>
      <c r="M82" s="21"/>
      <c r="N82" s="21"/>
      <c r="O82"/>
    </row>
    <row r="83" spans="1:15" ht="18.75" customHeight="1">
      <c r="A83" s="5"/>
      <c r="B83" s="1572"/>
      <c r="C83" s="1572"/>
      <c r="D83" s="1572"/>
      <c r="E83" s="1572"/>
      <c r="F83" s="1572"/>
      <c r="G83" s="1572"/>
      <c r="H83" s="1572"/>
      <c r="I83" s="1572"/>
      <c r="J83" s="1572"/>
      <c r="K83" s="1572"/>
      <c r="L83" s="1572"/>
      <c r="M83" s="21"/>
      <c r="N83" s="21"/>
      <c r="O83"/>
    </row>
    <row r="84" spans="1:15" ht="18">
      <c r="E84" s="934"/>
      <c r="F84" s="934"/>
      <c r="G84" s="934"/>
      <c r="H84" s="934"/>
      <c r="I84" s="934"/>
      <c r="J84" s="934"/>
      <c r="K84" s="934"/>
      <c r="L84" s="82"/>
      <c r="M84" s="72"/>
      <c r="N84" s="72"/>
    </row>
    <row r="85" spans="1:15" ht="12.75" customHeight="1">
      <c r="E85" s="8"/>
      <c r="F85" s="69"/>
      <c r="G85" s="8"/>
      <c r="H85" s="72"/>
      <c r="I85" s="72"/>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G12:G13"/>
    <mergeCell ref="B82:L83"/>
    <mergeCell ref="B10:K10"/>
    <mergeCell ref="A3:L3"/>
    <mergeCell ref="A4:L4"/>
    <mergeCell ref="A5:L5"/>
    <mergeCell ref="A6:L6"/>
    <mergeCell ref="B58:J58"/>
    <mergeCell ref="B24:K24"/>
    <mergeCell ref="E12:E13"/>
    <mergeCell ref="I12:I13"/>
    <mergeCell ref="B34:J34"/>
  </mergeCells>
  <phoneticPr fontId="7" type="noConversion"/>
  <pageMargins left="1.08" right="0.75" top="1" bottom="0.41" header="0.86" footer="0.27"/>
  <pageSetup scale="45"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38"/>
  <sheetViews>
    <sheetView view="pageBreakPreview" zoomScaleNormal="100" zoomScaleSheetLayoutView="100" workbookViewId="0">
      <selection activeCell="A3" sqref="A3:E3"/>
    </sheetView>
  </sheetViews>
  <sheetFormatPr defaultColWidth="8.85546875" defaultRowHeight="12.75"/>
  <cols>
    <col min="1" max="1" width="9.42578125" style="442" bestFit="1" customWidth="1"/>
    <col min="2" max="2" width="65.140625" style="348" bestFit="1" customWidth="1"/>
    <col min="3" max="3" width="12.5703125" style="348" bestFit="1" customWidth="1"/>
    <col min="4" max="4" width="1.5703125" style="348" customWidth="1"/>
    <col min="5" max="5" width="15" style="348" bestFit="1" customWidth="1"/>
    <col min="6" max="16384" width="8.85546875" style="348"/>
  </cols>
  <sheetData>
    <row r="1" spans="1:15" ht="15.75">
      <c r="A1" s="933" t="s">
        <v>116</v>
      </c>
    </row>
    <row r="2" spans="1:15" ht="15.75">
      <c r="A2" s="933" t="s">
        <v>116</v>
      </c>
    </row>
    <row r="3" spans="1:15" ht="15">
      <c r="A3" s="1576" t="str">
        <f>+'WS C  - Working Capital'!A3:L3</f>
        <v>AEP East Companies</v>
      </c>
      <c r="B3" s="1576"/>
      <c r="C3" s="1576"/>
      <c r="D3" s="1576"/>
      <c r="E3" s="1576"/>
      <c r="F3" s="551"/>
      <c r="G3" s="551"/>
      <c r="H3" s="551"/>
      <c r="I3" s="551"/>
      <c r="J3" s="551"/>
      <c r="K3" s="551"/>
      <c r="L3" s="551"/>
      <c r="M3" s="551"/>
      <c r="N3" s="551"/>
      <c r="O3" s="551"/>
    </row>
    <row r="4" spans="1:15" ht="15">
      <c r="A4" s="1577" t="str">
        <f>"Cost of Service Formula Rate Using Actual/Projected FF1 Balances"</f>
        <v>Cost of Service Formula Rate Using Actual/Projected FF1 Balances</v>
      </c>
      <c r="B4" s="1577"/>
      <c r="C4" s="1577"/>
      <c r="D4" s="1577"/>
      <c r="E4" s="1577"/>
      <c r="F4" s="552"/>
      <c r="G4" s="552"/>
      <c r="H4" s="552"/>
      <c r="I4" s="552"/>
      <c r="J4" s="552"/>
      <c r="K4" s="552"/>
      <c r="L4" s="552"/>
      <c r="M4" s="553"/>
      <c r="N4" s="553"/>
      <c r="O4" s="553"/>
    </row>
    <row r="5" spans="1:15" ht="15">
      <c r="A5" s="1577" t="s">
        <v>229</v>
      </c>
      <c r="B5" s="1577"/>
      <c r="C5" s="1577"/>
      <c r="D5" s="1577"/>
      <c r="E5" s="1577"/>
      <c r="F5" s="552"/>
      <c r="G5" s="552"/>
      <c r="H5" s="552"/>
      <c r="I5" s="552"/>
      <c r="J5" s="552"/>
      <c r="K5" s="552"/>
      <c r="L5" s="552"/>
      <c r="M5" s="552"/>
      <c r="N5" s="552"/>
      <c r="O5" s="552"/>
    </row>
    <row r="6" spans="1:15" ht="15">
      <c r="A6" s="1578" t="str">
        <f>TCOS!F9</f>
        <v>KINGSPORT POWER COMPANY</v>
      </c>
      <c r="B6" s="1578"/>
      <c r="C6" s="1578"/>
      <c r="D6" s="1578"/>
      <c r="E6" s="1578"/>
      <c r="F6" s="344"/>
      <c r="G6" s="344"/>
      <c r="H6" s="344"/>
      <c r="I6" s="344"/>
      <c r="J6" s="344"/>
      <c r="K6" s="344"/>
      <c r="L6" s="344"/>
      <c r="M6" s="344"/>
      <c r="N6" s="344"/>
      <c r="O6" s="344"/>
    </row>
    <row r="8" spans="1:15">
      <c r="A8" s="554" t="s">
        <v>171</v>
      </c>
      <c r="B8" s="555" t="s">
        <v>164</v>
      </c>
      <c r="C8" s="555" t="s">
        <v>165</v>
      </c>
    </row>
    <row r="9" spans="1:15">
      <c r="A9" s="554" t="s">
        <v>107</v>
      </c>
      <c r="B9" s="554" t="s">
        <v>169</v>
      </c>
      <c r="C9" s="554">
        <f>+TCOS!L4</f>
        <v>2024</v>
      </c>
      <c r="F9" s="563" t="s">
        <v>116</v>
      </c>
    </row>
    <row r="10" spans="1:15">
      <c r="A10" s="556"/>
      <c r="B10" s="557"/>
      <c r="C10" s="555"/>
      <c r="F10" s="430"/>
    </row>
    <row r="11" spans="1:15">
      <c r="A11" s="442">
        <v>1</v>
      </c>
      <c r="B11" s="1156" t="str">
        <f>"Net Funds from IPP Customers 12/31/"&amp;TCOS!L4-1&amp;" ("&amp;TCOS!L4&amp;" FORM 1, P269)"</f>
        <v>Net Funds from IPP Customers 12/31/2023 (2024 FORM 1, P269)</v>
      </c>
      <c r="C11" s="877">
        <v>0</v>
      </c>
      <c r="D11" s="430"/>
      <c r="F11" s="430"/>
    </row>
    <row r="12" spans="1:15">
      <c r="B12" s="599"/>
      <c r="C12" s="879"/>
      <c r="D12" s="430"/>
      <c r="F12" s="430"/>
    </row>
    <row r="13" spans="1:15">
      <c r="A13" s="442">
        <v>2</v>
      </c>
      <c r="B13" s="1156" t="s">
        <v>72</v>
      </c>
      <c r="C13" s="877">
        <v>0</v>
      </c>
      <c r="D13" s="430"/>
      <c r="F13" s="430"/>
    </row>
    <row r="14" spans="1:15">
      <c r="B14" s="1156"/>
      <c r="C14" s="879"/>
      <c r="D14" s="430"/>
      <c r="F14" s="430"/>
    </row>
    <row r="15" spans="1:15">
      <c r="A15" s="442">
        <f>+A13+1</f>
        <v>3</v>
      </c>
      <c r="B15" s="1156" t="s">
        <v>73</v>
      </c>
      <c r="C15" s="877">
        <v>0</v>
      </c>
      <c r="D15" s="430"/>
      <c r="F15" s="430"/>
    </row>
    <row r="16" spans="1:15">
      <c r="B16" s="1156"/>
      <c r="C16" s="879"/>
      <c r="D16" s="430"/>
      <c r="F16" s="430"/>
    </row>
    <row r="17" spans="1:6">
      <c r="A17" s="442">
        <f>+A15+1</f>
        <v>4</v>
      </c>
      <c r="B17" s="1157" t="s">
        <v>230</v>
      </c>
      <c r="C17" s="879"/>
      <c r="D17" s="430"/>
      <c r="F17" s="430"/>
    </row>
    <row r="18" spans="1:6">
      <c r="A18" s="442">
        <f>+A17+1</f>
        <v>5</v>
      </c>
      <c r="B18" s="1156" t="s">
        <v>74</v>
      </c>
      <c r="C18" s="877">
        <v>0</v>
      </c>
      <c r="D18" s="430"/>
      <c r="F18" s="430"/>
    </row>
    <row r="19" spans="1:6">
      <c r="A19" s="442">
        <f>+A18+1</f>
        <v>6</v>
      </c>
      <c r="B19" s="1149" t="s">
        <v>116</v>
      </c>
      <c r="C19" s="880">
        <v>0</v>
      </c>
      <c r="D19" s="430"/>
      <c r="F19" s="430"/>
    </row>
    <row r="20" spans="1:6">
      <c r="B20" s="599"/>
      <c r="C20" s="881"/>
      <c r="D20" s="430"/>
      <c r="F20" s="430"/>
    </row>
    <row r="21" spans="1:6">
      <c r="A21" s="442">
        <f>+A19+1</f>
        <v>7</v>
      </c>
      <c r="B21" s="1156" t="str">
        <f>"Net Funds from IPP Customers 12/31/"&amp;TCOS!L4&amp;" ("&amp;TCOS!L4&amp;" FORM 1, P269)"</f>
        <v>Net Funds from IPP Customers 12/31/2024 (2024 FORM 1, P269)</v>
      </c>
      <c r="C21" s="559">
        <f>+C11+C13+C15+C18+C19</f>
        <v>0</v>
      </c>
      <c r="D21" s="560"/>
      <c r="F21" s="430"/>
    </row>
    <row r="22" spans="1:6">
      <c r="B22" s="599"/>
      <c r="C22" s="559"/>
      <c r="D22" s="430"/>
      <c r="F22" s="430"/>
    </row>
    <row r="23" spans="1:6">
      <c r="A23" s="442">
        <f>+A21+1</f>
        <v>8</v>
      </c>
      <c r="B23" s="1156" t="str">
        <f>"Average Balance for Year as Indicated in Column B ((ln "&amp;A11&amp;" + ln "&amp;A21&amp;")/2)"</f>
        <v>Average Balance for Year as Indicated in Column B ((ln 1 + ln 7)/2)</v>
      </c>
      <c r="C23" s="561">
        <f>AVERAGE(C21,C11)</f>
        <v>0</v>
      </c>
      <c r="D23" s="430"/>
      <c r="F23" s="430"/>
    </row>
    <row r="24" spans="1:6">
      <c r="B24" s="599"/>
      <c r="D24" s="430"/>
    </row>
    <row r="25" spans="1:6">
      <c r="B25" s="386"/>
      <c r="C25" s="562"/>
      <c r="D25" s="430"/>
    </row>
    <row r="26" spans="1:6" ht="15">
      <c r="A26" s="336" t="s">
        <v>501</v>
      </c>
      <c r="B26" s="1533" t="str">
        <f>"On this worksheet Company Records refers to  "&amp;A6&amp;"'s general ledger."</f>
        <v>On this worksheet Company Records refers to  KINGSPORT POWER COMPANY's general ledger.</v>
      </c>
      <c r="D26" s="430"/>
    </row>
    <row r="27" spans="1:6">
      <c r="B27" s="1526"/>
      <c r="D27" s="430"/>
    </row>
    <row r="28" spans="1:6">
      <c r="B28" s="563"/>
      <c r="D28" s="430"/>
    </row>
    <row r="29" spans="1:6">
      <c r="D29" s="430"/>
    </row>
    <row r="30" spans="1:6">
      <c r="D30" s="430"/>
    </row>
    <row r="31" spans="1:6">
      <c r="D31" s="430"/>
    </row>
    <row r="32" spans="1:6">
      <c r="D32" s="564"/>
    </row>
    <row r="33" spans="1:4">
      <c r="D33" s="430"/>
    </row>
    <row r="34" spans="1:4">
      <c r="D34" s="430"/>
    </row>
    <row r="35" spans="1:4">
      <c r="D35" s="430"/>
    </row>
    <row r="36" spans="1:4">
      <c r="A36" s="556"/>
      <c r="B36" s="430"/>
      <c r="C36" s="430"/>
      <c r="D36" s="430"/>
    </row>
    <row r="37" spans="1:4">
      <c r="A37" s="556"/>
      <c r="B37" s="430"/>
      <c r="C37" s="430"/>
    </row>
    <row r="38" spans="1:4">
      <c r="C38" s="565"/>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C8yMDIyIDE6MDA6NDg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0EBAE601-966E-4B68-BF7A-A86FCF42CA3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967F972-F5D6-4D81-899F-B579B6A9193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TCOS</vt:lpstr>
      <vt:lpstr>WS A - RB Support</vt:lpstr>
      <vt:lpstr>WS B ADIT &amp; ITC</vt:lpstr>
      <vt:lpstr>WS B-1 - Actual Stmt. AF</vt:lpstr>
      <vt:lpstr>WS B-2 - Actual Stmt. AG</vt:lpstr>
      <vt:lpstr>WS B-3</vt:lpstr>
      <vt:lpstr>WS B-3-A</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'KgPCO WS Q Interest'!Print_Area</vt:lpstr>
      <vt:lpstr>TCOS!Print_Area</vt:lpstr>
      <vt:lpstr>'WS B-3'!Print_Area</vt:lpstr>
      <vt:lpstr>'WS B-3-A'!Print_Area</vt:lpstr>
      <vt:lpstr>'WS D IPP Credits'!Print_Area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2025-05-22T17:53:12Z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94c9e1d0-2487-4f89-bcf9-0f6cae1ea1e8</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{0EBAE601-966E-4B68-BF7A-A86FCF42CA3E}</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