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FA"/>
  <workbookPr filterPrivacy="1" showInkAnnotation="0" codeName="ThisWorkbook" defaultThemeVersion="124226"/>
  <bookViews>
    <workbookView xWindow="110" yWindow="110" windowWidth="17340" windowHeight="10730"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state="hidden" r:id="rId15"/>
    <sheet name="WS K TRUE-UP RTEP RR" sheetId="13"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42" r:id="rId22"/>
    <sheet name="KGP - WS P Dep. Rates" sheetId="43" r:id="rId23"/>
    <sheet name="KPC - WS P Dep. Rates" sheetId="44" r:id="rId24"/>
    <sheet name="OPC - WS P Dep. Rates" sheetId="45" r:id="rId25"/>
    <sheet name="WPC-WS P Dep. Rates" sheetId="46" r:id="rId26"/>
    <sheet name="WSQ NSPL" sheetId="47" r:id="rId27"/>
    <sheet name="WSQ Schedule 12" sheetId="49" r:id="rId28"/>
    <sheet name="WSQ Schedule 1A" sheetId="50" r:id="rId29"/>
  </sheets>
  <externalReferences>
    <externalReference r:id="rId30"/>
    <externalReference r:id="rId31"/>
    <externalReference r:id="rId32"/>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2">'KGP - WS P Dep. Rates'!$A$1:$G$49</definedName>
    <definedName name="_xlnm.Print_Area" localSheetId="0">TCOS!$A$1:$M$376</definedName>
    <definedName name="_xlnm.Print_Area" localSheetId="25">'WPC-WS P Dep. Rates'!#REF!</definedName>
    <definedName name="_xlnm.Print_Area" localSheetId="5">'WS B-3'!$A$1:$R$72</definedName>
    <definedName name="_xlnm.Print_Area" localSheetId="10">'WS G  State Tax Rate'!$A$1:$H$42</definedName>
    <definedName name="_xlnm.Print_Area" localSheetId="19">'WS O - PBOP'!$A$1:$K$57</definedName>
    <definedName name="_xlnm.Print_Area" localSheetId="26">'WSQ NSPL'!$A$1:$K$62</definedName>
    <definedName name="_xlnm.Print_Area" localSheetId="27">'WSQ Schedule 12'!$A$1:$K$64</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Amts'!$A$3:$F$124</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M40" i="11" l="1"/>
  <c r="E122" i="30"/>
  <c r="I52" i="30" l="1"/>
  <c r="I53" i="30"/>
  <c r="I54" i="30"/>
  <c r="E49" i="30"/>
  <c r="H40" i="30"/>
  <c r="H34" i="30" l="1"/>
  <c r="H32" i="30"/>
  <c r="E43" i="5"/>
  <c r="J878" i="13"/>
  <c r="J791" i="13"/>
  <c r="J704" i="13"/>
  <c r="J617" i="13"/>
  <c r="J530" i="13"/>
  <c r="J443" i="13"/>
  <c r="J356" i="13"/>
  <c r="J269" i="13"/>
  <c r="J182" i="13"/>
  <c r="B72" i="51" l="1"/>
  <c r="O48" i="51"/>
  <c r="N48" i="51"/>
  <c r="L48" i="51"/>
  <c r="K48" i="51"/>
  <c r="J48" i="51"/>
  <c r="I48" i="51"/>
  <c r="B48" i="51"/>
  <c r="M45" i="51"/>
  <c r="M48" i="51" s="1"/>
  <c r="P44" i="51"/>
  <c r="P40" i="51"/>
  <c r="Q39" i="51"/>
  <c r="P38" i="51"/>
  <c r="P37" i="51"/>
  <c r="Q36" i="51"/>
  <c r="Q35" i="51"/>
  <c r="Q48" i="51" s="1"/>
  <c r="P34" i="51"/>
  <c r="O29" i="51"/>
  <c r="N29" i="51"/>
  <c r="L29" i="51"/>
  <c r="K29" i="51"/>
  <c r="J29" i="51"/>
  <c r="I29" i="51"/>
  <c r="B29" i="51"/>
  <c r="M26" i="51"/>
  <c r="M29" i="51" s="1"/>
  <c r="P25" i="51"/>
  <c r="P21" i="51"/>
  <c r="Q20" i="51"/>
  <c r="P19" i="51"/>
  <c r="P18" i="51"/>
  <c r="Q17" i="51"/>
  <c r="Q16" i="51"/>
  <c r="P15" i="51"/>
  <c r="R11" i="51" s="1"/>
  <c r="Q14" i="51"/>
  <c r="Q29" i="51" s="1"/>
  <c r="P13" i="51"/>
  <c r="P45" i="51" l="1"/>
  <c r="P48" i="51" s="1"/>
  <c r="P26" i="51"/>
  <c r="P29" i="51" s="1"/>
  <c r="C42" i="38" l="1"/>
  <c r="D42" i="38"/>
  <c r="G42" i="38" s="1"/>
  <c r="I42" i="38"/>
  <c r="J42" i="38"/>
  <c r="K42" i="38"/>
  <c r="A42" i="38"/>
  <c r="A43" i="38" s="1"/>
  <c r="A44" i="38" s="1"/>
  <c r="A45" i="38" s="1"/>
  <c r="A46" i="38" s="1"/>
  <c r="S78" i="38"/>
  <c r="U105" i="39"/>
  <c r="C198" i="38" l="1"/>
  <c r="D198" i="38"/>
  <c r="I198" i="38"/>
  <c r="J198" i="38"/>
  <c r="K198" i="38"/>
  <c r="G198" i="38" l="1"/>
  <c r="Q39" i="31" l="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I21" i="31"/>
  <c r="S21" i="31" s="1"/>
  <c r="E20" i="31"/>
  <c r="S20" i="31" s="1"/>
  <c r="A9" i="31"/>
  <c r="F61" i="9" l="1"/>
  <c r="E183" i="2"/>
  <c r="L95" i="2"/>
  <c r="C193" i="38" l="1"/>
  <c r="D193" i="38"/>
  <c r="G193" i="38" s="1"/>
  <c r="I193" i="38"/>
  <c r="J193" i="38"/>
  <c r="K193" i="38"/>
  <c r="C182" i="38"/>
  <c r="D182" i="38"/>
  <c r="I182" i="38"/>
  <c r="J182" i="38"/>
  <c r="K182" i="38"/>
  <c r="C183" i="38"/>
  <c r="D183" i="38"/>
  <c r="I183" i="38"/>
  <c r="J183" i="38"/>
  <c r="K183" i="38"/>
  <c r="C110" i="38"/>
  <c r="D110" i="38"/>
  <c r="I110" i="38"/>
  <c r="J110" i="38"/>
  <c r="K110" i="38"/>
  <c r="G110" i="38" l="1"/>
  <c r="G183" i="38"/>
  <c r="G182" i="38"/>
  <c r="C105" i="39"/>
  <c r="D105" i="39"/>
  <c r="G105" i="39" s="1"/>
  <c r="I105" i="39"/>
  <c r="J105" i="39"/>
  <c r="K105" i="39"/>
  <c r="L105" i="39"/>
  <c r="M105" i="39"/>
  <c r="A105" i="39"/>
  <c r="A106" i="39" s="1"/>
  <c r="A107" i="39" s="1"/>
  <c r="C38" i="38" l="1"/>
  <c r="D38" i="38"/>
  <c r="G38" i="38"/>
  <c r="I38" i="38"/>
  <c r="J38" i="38"/>
  <c r="K38" i="38"/>
  <c r="C32" i="38"/>
  <c r="D32" i="38"/>
  <c r="G32" i="38" s="1"/>
  <c r="I32" i="38"/>
  <c r="J32" i="38"/>
  <c r="K32" i="38"/>
  <c r="C78" i="38"/>
  <c r="D78" i="38"/>
  <c r="I78" i="38"/>
  <c r="J78" i="38"/>
  <c r="K78" i="38"/>
  <c r="E20" i="38"/>
  <c r="E19" i="38"/>
  <c r="G78" i="38" l="1"/>
  <c r="G172" i="2"/>
  <c r="G142" i="2"/>
  <c r="G44" i="48" l="1"/>
  <c r="J43" i="48"/>
  <c r="I43" i="48"/>
  <c r="H43" i="48"/>
  <c r="G43" i="48"/>
  <c r="F43" i="48"/>
  <c r="D43" i="48"/>
  <c r="K85" i="6" l="1"/>
  <c r="E85" i="6"/>
  <c r="J84" i="6"/>
  <c r="K84" i="6" s="1"/>
  <c r="E84" i="6" s="1"/>
  <c r="K83" i="6"/>
  <c r="E83" i="6"/>
  <c r="K82" i="6"/>
  <c r="E82" i="6" s="1"/>
  <c r="I81" i="6"/>
  <c r="K81" i="6" s="1"/>
  <c r="E81" i="6" s="1"/>
  <c r="K80" i="6"/>
  <c r="E80" i="6"/>
  <c r="I79" i="6"/>
  <c r="K79" i="6" s="1"/>
  <c r="E79" i="6" s="1"/>
  <c r="K78" i="6"/>
  <c r="E78" i="6"/>
  <c r="K77" i="6"/>
  <c r="E77" i="6" s="1"/>
  <c r="K76" i="6"/>
  <c r="E76" i="6"/>
  <c r="K75" i="6"/>
  <c r="E75" i="6" s="1"/>
  <c r="J75" i="6"/>
  <c r="E74" i="6"/>
  <c r="K73" i="6"/>
  <c r="E73" i="6" s="1"/>
  <c r="K72" i="6"/>
  <c r="E72" i="6"/>
  <c r="K71" i="6"/>
  <c r="E71" i="6" s="1"/>
  <c r="K70" i="6"/>
  <c r="E70" i="6"/>
  <c r="K69" i="6"/>
  <c r="E69" i="6" s="1"/>
  <c r="I68" i="6"/>
  <c r="K68" i="6" s="1"/>
  <c r="E68" i="6" s="1"/>
  <c r="P140" i="39" l="1"/>
  <c r="Q140" i="39"/>
  <c r="R140" i="39"/>
  <c r="S140" i="39"/>
  <c r="V140" i="39"/>
  <c r="W140" i="39"/>
  <c r="X140" i="39"/>
  <c r="Y140" i="39"/>
  <c r="Y141" i="39"/>
  <c r="X141" i="39"/>
  <c r="W141" i="39"/>
  <c r="V141" i="39"/>
  <c r="U141" i="39"/>
  <c r="S141" i="39"/>
  <c r="R141" i="39"/>
  <c r="Q141" i="39"/>
  <c r="G42" i="5" s="1"/>
  <c r="P141" i="39"/>
  <c r="O141" i="39"/>
  <c r="E141" i="39"/>
  <c r="F141" i="39"/>
  <c r="C131" i="39"/>
  <c r="D131" i="39"/>
  <c r="C132" i="39"/>
  <c r="D132" i="39"/>
  <c r="C133" i="39"/>
  <c r="D133" i="39"/>
  <c r="C134" i="39"/>
  <c r="D134" i="39"/>
  <c r="C135" i="39"/>
  <c r="D135" i="39"/>
  <c r="C136" i="39"/>
  <c r="D136" i="39"/>
  <c r="C137" i="39"/>
  <c r="D137" i="39"/>
  <c r="C138" i="39"/>
  <c r="D138" i="39"/>
  <c r="D130" i="39"/>
  <c r="C130" i="39"/>
  <c r="M129" i="39"/>
  <c r="M128" i="39"/>
  <c r="M127" i="39"/>
  <c r="M126" i="39"/>
  <c r="M125" i="39"/>
  <c r="M124" i="39"/>
  <c r="M123" i="39"/>
  <c r="M122" i="39"/>
  <c r="M121" i="39"/>
  <c r="M120" i="39"/>
  <c r="M119" i="39"/>
  <c r="M118" i="39"/>
  <c r="M117" i="39"/>
  <c r="M116" i="39"/>
  <c r="M115" i="39"/>
  <c r="M114" i="39"/>
  <c r="M113" i="39"/>
  <c r="M112" i="39"/>
  <c r="M111" i="39"/>
  <c r="M110" i="39"/>
  <c r="M109" i="39"/>
  <c r="M108" i="39"/>
  <c r="M107" i="39"/>
  <c r="M106" i="39"/>
  <c r="M104" i="39"/>
  <c r="M103" i="39"/>
  <c r="M102" i="39"/>
  <c r="M101" i="39"/>
  <c r="M100" i="39"/>
  <c r="M99" i="39"/>
  <c r="M98" i="39"/>
  <c r="M97" i="39"/>
  <c r="M96" i="39"/>
  <c r="M95" i="39"/>
  <c r="M94" i="39"/>
  <c r="M93" i="39"/>
  <c r="M92" i="39"/>
  <c r="M91" i="39"/>
  <c r="M90" i="39"/>
  <c r="M89" i="39"/>
  <c r="M88" i="39"/>
  <c r="M87" i="39"/>
  <c r="M86" i="39"/>
  <c r="M85" i="39"/>
  <c r="M84" i="39"/>
  <c r="M83" i="39"/>
  <c r="M82" i="39"/>
  <c r="M81" i="39"/>
  <c r="M80" i="39"/>
  <c r="M79" i="39"/>
  <c r="M78" i="39"/>
  <c r="M77" i="39"/>
  <c r="M76" i="39"/>
  <c r="M75" i="39"/>
  <c r="M74" i="39"/>
  <c r="M73" i="39"/>
  <c r="M72" i="39"/>
  <c r="M71" i="39"/>
  <c r="M70" i="39"/>
  <c r="M69" i="39"/>
  <c r="M68" i="39"/>
  <c r="M67" i="39"/>
  <c r="M66" i="39"/>
  <c r="M65" i="39"/>
  <c r="M64" i="39"/>
  <c r="M63" i="39"/>
  <c r="M62" i="39"/>
  <c r="M61" i="39"/>
  <c r="M60" i="39"/>
  <c r="M59" i="39"/>
  <c r="M58"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J45" i="39"/>
  <c r="J46" i="39"/>
  <c r="J47" i="39"/>
  <c r="J48" i="39"/>
  <c r="J49" i="39"/>
  <c r="J50" i="39"/>
  <c r="J51" i="39"/>
  <c r="J52" i="39"/>
  <c r="J53" i="39"/>
  <c r="J54" i="39"/>
  <c r="J55" i="39"/>
  <c r="J56" i="39"/>
  <c r="J57" i="39"/>
  <c r="J58" i="39"/>
  <c r="J59" i="39"/>
  <c r="J60" i="39"/>
  <c r="J61" i="39"/>
  <c r="J62" i="39"/>
  <c r="J63" i="39"/>
  <c r="J64" i="39"/>
  <c r="J65" i="39"/>
  <c r="J66" i="39"/>
  <c r="J67" i="39"/>
  <c r="J68" i="39"/>
  <c r="J69" i="39"/>
  <c r="J70" i="39"/>
  <c r="J71" i="39"/>
  <c r="J72" i="39"/>
  <c r="J73" i="39"/>
  <c r="J74" i="39"/>
  <c r="J75" i="39"/>
  <c r="J76" i="39"/>
  <c r="J77" i="39"/>
  <c r="J78" i="39"/>
  <c r="J79" i="39"/>
  <c r="J80" i="39"/>
  <c r="J81" i="39"/>
  <c r="J82" i="39"/>
  <c r="J83" i="39"/>
  <c r="J84" i="39"/>
  <c r="J85" i="39"/>
  <c r="J86" i="39"/>
  <c r="J87" i="39"/>
  <c r="J88" i="39"/>
  <c r="J89" i="39"/>
  <c r="J90" i="39"/>
  <c r="J91" i="39"/>
  <c r="J92" i="39"/>
  <c r="J93" i="39"/>
  <c r="J94" i="39"/>
  <c r="J95" i="39"/>
  <c r="J96" i="39"/>
  <c r="J97" i="39"/>
  <c r="J98" i="39"/>
  <c r="J99" i="39"/>
  <c r="J100" i="39"/>
  <c r="J101" i="39"/>
  <c r="J102" i="39"/>
  <c r="J103" i="39"/>
  <c r="J104" i="39"/>
  <c r="J106" i="39"/>
  <c r="J107" i="39"/>
  <c r="J108" i="39"/>
  <c r="J109" i="39"/>
  <c r="J110" i="39"/>
  <c r="J111" i="39"/>
  <c r="J112" i="39"/>
  <c r="J113" i="39"/>
  <c r="J114" i="39"/>
  <c r="J115" i="39"/>
  <c r="J116" i="39"/>
  <c r="J117" i="39"/>
  <c r="J118" i="39"/>
  <c r="J119" i="39"/>
  <c r="J120" i="39"/>
  <c r="J121" i="39"/>
  <c r="J122" i="39"/>
  <c r="J123" i="39"/>
  <c r="J124" i="39"/>
  <c r="J125" i="39"/>
  <c r="J126" i="39"/>
  <c r="J127" i="39"/>
  <c r="J128" i="39"/>
  <c r="J129" i="39"/>
  <c r="C89" i="39"/>
  <c r="D89" i="39"/>
  <c r="I89" i="39"/>
  <c r="K89" i="39"/>
  <c r="L89" i="39"/>
  <c r="C90" i="39"/>
  <c r="D90" i="39"/>
  <c r="I90" i="39"/>
  <c r="K90" i="39"/>
  <c r="L90" i="39"/>
  <c r="C91" i="39"/>
  <c r="D91" i="39"/>
  <c r="I91" i="39"/>
  <c r="K91" i="39"/>
  <c r="L91" i="39"/>
  <c r="C92" i="39"/>
  <c r="D92" i="39"/>
  <c r="I92" i="39"/>
  <c r="K92" i="39"/>
  <c r="L92" i="39"/>
  <c r="C93" i="39"/>
  <c r="D93" i="39"/>
  <c r="I93" i="39"/>
  <c r="K93" i="39"/>
  <c r="L93" i="39"/>
  <c r="C94" i="39"/>
  <c r="D94" i="39"/>
  <c r="I94" i="39"/>
  <c r="K94" i="39"/>
  <c r="L94" i="39"/>
  <c r="C95" i="39"/>
  <c r="D95" i="39"/>
  <c r="I95" i="39"/>
  <c r="K95" i="39"/>
  <c r="L95" i="39"/>
  <c r="C96" i="39"/>
  <c r="D96" i="39"/>
  <c r="I96" i="39"/>
  <c r="K96" i="39"/>
  <c r="L96" i="39"/>
  <c r="C97" i="39"/>
  <c r="D97" i="39"/>
  <c r="I97" i="39"/>
  <c r="K97" i="39"/>
  <c r="L97" i="39"/>
  <c r="C98" i="39"/>
  <c r="D98" i="39"/>
  <c r="I98" i="39"/>
  <c r="K98" i="39"/>
  <c r="L98" i="39"/>
  <c r="C99" i="39"/>
  <c r="D99" i="39"/>
  <c r="I99" i="39"/>
  <c r="K99" i="39"/>
  <c r="L99" i="39"/>
  <c r="C100" i="39"/>
  <c r="D100" i="39"/>
  <c r="I100" i="39"/>
  <c r="K100" i="39"/>
  <c r="L100" i="39"/>
  <c r="C101" i="39"/>
  <c r="D101" i="39"/>
  <c r="I101" i="39"/>
  <c r="K101" i="39"/>
  <c r="L101" i="39"/>
  <c r="C102" i="39"/>
  <c r="D102" i="39"/>
  <c r="I102" i="39"/>
  <c r="K102" i="39"/>
  <c r="L102" i="39"/>
  <c r="C103" i="39"/>
  <c r="G103" i="39" s="1"/>
  <c r="D103" i="39"/>
  <c r="I103" i="39"/>
  <c r="K103" i="39"/>
  <c r="L103" i="39"/>
  <c r="C104" i="39"/>
  <c r="D104" i="39"/>
  <c r="I104" i="39"/>
  <c r="K104" i="39"/>
  <c r="L104" i="39"/>
  <c r="C106" i="39"/>
  <c r="D106" i="39"/>
  <c r="I106" i="39"/>
  <c r="K106" i="39"/>
  <c r="L106" i="39"/>
  <c r="C107" i="39"/>
  <c r="D107" i="39"/>
  <c r="I107" i="39"/>
  <c r="K107" i="39"/>
  <c r="L107" i="39"/>
  <c r="C108" i="39"/>
  <c r="D108" i="39"/>
  <c r="I108" i="39"/>
  <c r="K108" i="39"/>
  <c r="L108" i="39"/>
  <c r="C109" i="39"/>
  <c r="D109" i="39"/>
  <c r="I109" i="39"/>
  <c r="K109" i="39"/>
  <c r="L109" i="39"/>
  <c r="C110" i="39"/>
  <c r="D110" i="39"/>
  <c r="I110" i="39"/>
  <c r="K110" i="39"/>
  <c r="L110" i="39"/>
  <c r="C111" i="39"/>
  <c r="D111" i="39"/>
  <c r="I111" i="39"/>
  <c r="K111" i="39"/>
  <c r="L111" i="39"/>
  <c r="C112" i="39"/>
  <c r="D112" i="39"/>
  <c r="I112" i="39"/>
  <c r="K112" i="39"/>
  <c r="L112" i="39"/>
  <c r="C113" i="39"/>
  <c r="D113" i="39"/>
  <c r="I113" i="39"/>
  <c r="K113" i="39"/>
  <c r="L113" i="39"/>
  <c r="C114" i="39"/>
  <c r="D114" i="39"/>
  <c r="I114" i="39"/>
  <c r="K114" i="39"/>
  <c r="L114" i="39"/>
  <c r="C115" i="39"/>
  <c r="D115" i="39"/>
  <c r="I115" i="39"/>
  <c r="K115" i="39"/>
  <c r="L115" i="39"/>
  <c r="C116" i="39"/>
  <c r="D116" i="39"/>
  <c r="I116" i="39"/>
  <c r="K116" i="39"/>
  <c r="L116" i="39"/>
  <c r="C117" i="39"/>
  <c r="D117" i="39"/>
  <c r="I117" i="39"/>
  <c r="K117" i="39"/>
  <c r="L117" i="39"/>
  <c r="C118" i="39"/>
  <c r="D118" i="39"/>
  <c r="I118" i="39"/>
  <c r="K118" i="39"/>
  <c r="L118" i="39"/>
  <c r="C119" i="39"/>
  <c r="D119" i="39"/>
  <c r="I119" i="39"/>
  <c r="K119" i="39"/>
  <c r="L119" i="39"/>
  <c r="C120" i="39"/>
  <c r="D120" i="39"/>
  <c r="I120" i="39"/>
  <c r="K120" i="39"/>
  <c r="L120" i="39"/>
  <c r="C121" i="39"/>
  <c r="D121" i="39"/>
  <c r="I121" i="39"/>
  <c r="K121" i="39"/>
  <c r="L121" i="39"/>
  <c r="C122" i="39"/>
  <c r="D122" i="39"/>
  <c r="G122" i="39" s="1"/>
  <c r="I122" i="39"/>
  <c r="K122" i="39"/>
  <c r="L122" i="39"/>
  <c r="G95" i="39" l="1"/>
  <c r="G91" i="39"/>
  <c r="E42" i="5"/>
  <c r="G113" i="39"/>
  <c r="J141" i="39"/>
  <c r="G97" i="39"/>
  <c r="G104" i="39"/>
  <c r="G101" i="39"/>
  <c r="G99" i="39"/>
  <c r="G89" i="39"/>
  <c r="G120" i="39"/>
  <c r="G116" i="39"/>
  <c r="G112" i="39"/>
  <c r="G108" i="39"/>
  <c r="G121" i="39"/>
  <c r="G118" i="39"/>
  <c r="G114" i="39"/>
  <c r="G110" i="39"/>
  <c r="G106" i="39"/>
  <c r="G96" i="39"/>
  <c r="G93" i="39"/>
  <c r="G115" i="39"/>
  <c r="G107" i="39"/>
  <c r="G90" i="39"/>
  <c r="G109" i="39"/>
  <c r="G100" i="39"/>
  <c r="G92" i="39"/>
  <c r="G98" i="39"/>
  <c r="G117" i="39"/>
  <c r="G119" i="39"/>
  <c r="G111" i="39"/>
  <c r="G102" i="39"/>
  <c r="G94" i="39"/>
  <c r="D21" i="38"/>
  <c r="E18" i="5" l="1"/>
  <c r="G18" i="5"/>
  <c r="W237" i="38"/>
  <c r="V237" i="38"/>
  <c r="E34" i="5" s="1"/>
  <c r="U237" i="38"/>
  <c r="T237" i="38"/>
  <c r="S237" i="38"/>
  <c r="Q237" i="38"/>
  <c r="P237" i="38"/>
  <c r="O237" i="38"/>
  <c r="N237" i="38"/>
  <c r="M237" i="38"/>
  <c r="G34" i="5" s="1"/>
  <c r="E237" i="38"/>
  <c r="F237" i="38"/>
  <c r="D234" i="38"/>
  <c r="C234" i="38"/>
  <c r="C224" i="38"/>
  <c r="G224" i="38" s="1"/>
  <c r="D224" i="38"/>
  <c r="C225" i="38"/>
  <c r="D225" i="38"/>
  <c r="C226" i="38"/>
  <c r="D226" i="38"/>
  <c r="C227" i="38"/>
  <c r="D227" i="38"/>
  <c r="D223" i="38"/>
  <c r="C223" i="38"/>
  <c r="G223" i="38"/>
  <c r="G226" i="38"/>
  <c r="C214" i="38"/>
  <c r="D214" i="38"/>
  <c r="I214" i="38"/>
  <c r="J214" i="38"/>
  <c r="K214" i="38"/>
  <c r="C215" i="38"/>
  <c r="D215" i="38"/>
  <c r="I215" i="38"/>
  <c r="J215" i="38"/>
  <c r="K215" i="38"/>
  <c r="C216" i="38"/>
  <c r="D216" i="38"/>
  <c r="I216" i="38"/>
  <c r="J216" i="38"/>
  <c r="K216" i="38"/>
  <c r="C217" i="38"/>
  <c r="D217" i="38"/>
  <c r="I217" i="38"/>
  <c r="J217" i="38"/>
  <c r="K217" i="38"/>
  <c r="C218" i="38"/>
  <c r="D218" i="38"/>
  <c r="I218" i="38"/>
  <c r="J218" i="38"/>
  <c r="K218" i="38"/>
  <c r="C219" i="38"/>
  <c r="D219" i="38"/>
  <c r="I219" i="38"/>
  <c r="J219" i="38"/>
  <c r="K219" i="38"/>
  <c r="C220" i="38"/>
  <c r="D220" i="38"/>
  <c r="G220" i="38" s="1"/>
  <c r="I220" i="38"/>
  <c r="J220" i="38"/>
  <c r="K220" i="38"/>
  <c r="C221" i="38"/>
  <c r="D221" i="38"/>
  <c r="I221" i="38"/>
  <c r="J221" i="38"/>
  <c r="K221" i="38"/>
  <c r="C222" i="38"/>
  <c r="D222" i="38"/>
  <c r="I222" i="38"/>
  <c r="J222" i="38"/>
  <c r="K222" i="38"/>
  <c r="C194" i="38"/>
  <c r="D194" i="38"/>
  <c r="I194" i="38"/>
  <c r="J194" i="38"/>
  <c r="K194" i="38"/>
  <c r="C195" i="38"/>
  <c r="D195" i="38"/>
  <c r="I195" i="38"/>
  <c r="J195" i="38"/>
  <c r="K195" i="38"/>
  <c r="C196" i="38"/>
  <c r="D196" i="38"/>
  <c r="I196" i="38"/>
  <c r="J196" i="38"/>
  <c r="K196" i="38"/>
  <c r="C197" i="38"/>
  <c r="D197" i="38"/>
  <c r="I197" i="38"/>
  <c r="J197" i="38"/>
  <c r="K197" i="38"/>
  <c r="C199" i="38"/>
  <c r="D199" i="38"/>
  <c r="I199" i="38"/>
  <c r="J199" i="38"/>
  <c r="K199" i="38"/>
  <c r="C200" i="38"/>
  <c r="D200" i="38"/>
  <c r="I200" i="38"/>
  <c r="J200" i="38"/>
  <c r="K200" i="38"/>
  <c r="C201" i="38"/>
  <c r="D201" i="38"/>
  <c r="I201" i="38"/>
  <c r="J201" i="38"/>
  <c r="K201" i="38"/>
  <c r="C202" i="38"/>
  <c r="D202" i="38"/>
  <c r="I202" i="38"/>
  <c r="J202" i="38"/>
  <c r="K202" i="38"/>
  <c r="C203" i="38"/>
  <c r="D203" i="38"/>
  <c r="I203" i="38"/>
  <c r="J203" i="38"/>
  <c r="K203" i="38"/>
  <c r="C204" i="38"/>
  <c r="D204" i="38"/>
  <c r="I204" i="38"/>
  <c r="J204" i="38"/>
  <c r="K204" i="38"/>
  <c r="C205" i="38"/>
  <c r="D205" i="38"/>
  <c r="I205" i="38"/>
  <c r="J205" i="38"/>
  <c r="K205" i="38"/>
  <c r="C206" i="38"/>
  <c r="D206" i="38"/>
  <c r="I206" i="38"/>
  <c r="J206" i="38"/>
  <c r="K206" i="38"/>
  <c r="C207" i="38"/>
  <c r="D207" i="38"/>
  <c r="I207" i="38"/>
  <c r="J207" i="38"/>
  <c r="K207" i="38"/>
  <c r="C208" i="38"/>
  <c r="D208" i="38"/>
  <c r="I208" i="38"/>
  <c r="J208" i="38"/>
  <c r="K208" i="38"/>
  <c r="C209" i="38"/>
  <c r="D209" i="38"/>
  <c r="I209" i="38"/>
  <c r="J209" i="38"/>
  <c r="K209" i="38"/>
  <c r="C210" i="38"/>
  <c r="D210" i="38"/>
  <c r="I210" i="38"/>
  <c r="J210" i="38"/>
  <c r="K210" i="38"/>
  <c r="C211" i="38"/>
  <c r="D211" i="38"/>
  <c r="I211" i="38"/>
  <c r="J211" i="38"/>
  <c r="K211" i="38"/>
  <c r="C212" i="38"/>
  <c r="D212" i="38"/>
  <c r="I212" i="38"/>
  <c r="J212" i="38"/>
  <c r="K212" i="38"/>
  <c r="C213" i="38"/>
  <c r="D213" i="38"/>
  <c r="I213" i="38"/>
  <c r="J213" i="38"/>
  <c r="K213" i="38"/>
  <c r="W94" i="38"/>
  <c r="V94" i="38"/>
  <c r="U94" i="38"/>
  <c r="T94" i="38"/>
  <c r="E26" i="5" s="1"/>
  <c r="S94" i="38"/>
  <c r="Q94" i="38"/>
  <c r="P94" i="38"/>
  <c r="O94" i="38"/>
  <c r="N94" i="38"/>
  <c r="M94" i="38"/>
  <c r="F94" i="38"/>
  <c r="E94" i="38"/>
  <c r="C88" i="38"/>
  <c r="D88" i="38"/>
  <c r="C89" i="38"/>
  <c r="D89" i="38"/>
  <c r="D87" i="38"/>
  <c r="C87" i="38"/>
  <c r="N253" i="38"/>
  <c r="O253" i="38"/>
  <c r="P253" i="38"/>
  <c r="Q253" i="38"/>
  <c r="T253" i="38"/>
  <c r="U253" i="38"/>
  <c r="V253" i="38"/>
  <c r="W253" i="38"/>
  <c r="T230" i="38"/>
  <c r="T236" i="38" s="1"/>
  <c r="U230" i="38"/>
  <c r="U236" i="38" s="1"/>
  <c r="V230" i="38"/>
  <c r="V236" i="38" s="1"/>
  <c r="W230" i="38"/>
  <c r="W236" i="38" s="1"/>
  <c r="N230" i="38"/>
  <c r="N236" i="38" s="1"/>
  <c r="O230" i="38"/>
  <c r="O236" i="38" s="1"/>
  <c r="P230" i="38"/>
  <c r="P236" i="38" s="1"/>
  <c r="Q230" i="38"/>
  <c r="Q236" i="38" s="1"/>
  <c r="T93" i="38"/>
  <c r="U93" i="38"/>
  <c r="V93" i="38"/>
  <c r="W93" i="38"/>
  <c r="N93" i="38"/>
  <c r="O93" i="38"/>
  <c r="P93" i="38"/>
  <c r="Q93" i="38"/>
  <c r="T23" i="38"/>
  <c r="N23" i="38"/>
  <c r="W23" i="38"/>
  <c r="Q23" i="38"/>
  <c r="C69" i="38"/>
  <c r="D69" i="38"/>
  <c r="I69" i="38"/>
  <c r="J69" i="38"/>
  <c r="K69" i="38"/>
  <c r="C70" i="38"/>
  <c r="D70" i="38"/>
  <c r="I70" i="38"/>
  <c r="J70" i="38"/>
  <c r="K70" i="38"/>
  <c r="C71" i="38"/>
  <c r="D71" i="38"/>
  <c r="I71" i="38"/>
  <c r="J71" i="38"/>
  <c r="K71" i="38"/>
  <c r="C72" i="38"/>
  <c r="D72" i="38"/>
  <c r="I72" i="38"/>
  <c r="J72" i="38"/>
  <c r="K72" i="38"/>
  <c r="C73" i="38"/>
  <c r="D73" i="38"/>
  <c r="I73" i="38"/>
  <c r="J73" i="38"/>
  <c r="K73" i="38"/>
  <c r="C74" i="38"/>
  <c r="D74" i="38"/>
  <c r="I74" i="38"/>
  <c r="J74" i="38"/>
  <c r="K74" i="38"/>
  <c r="C75" i="38"/>
  <c r="D75" i="38"/>
  <c r="I75" i="38"/>
  <c r="J75" i="38"/>
  <c r="K75" i="38"/>
  <c r="C76" i="38"/>
  <c r="D76" i="38"/>
  <c r="I76" i="38"/>
  <c r="J76" i="38"/>
  <c r="K76" i="38"/>
  <c r="C77" i="38"/>
  <c r="D77" i="38"/>
  <c r="I77" i="38"/>
  <c r="J77" i="38"/>
  <c r="K77" i="38"/>
  <c r="C79" i="38"/>
  <c r="D79" i="38"/>
  <c r="I79" i="38"/>
  <c r="J79" i="38"/>
  <c r="K79" i="38"/>
  <c r="C80" i="38"/>
  <c r="D80" i="38"/>
  <c r="I80" i="38"/>
  <c r="J80" i="38"/>
  <c r="K80" i="38"/>
  <c r="C81" i="38"/>
  <c r="D81" i="38"/>
  <c r="I81" i="38"/>
  <c r="J81" i="38"/>
  <c r="K81" i="38"/>
  <c r="C82" i="38"/>
  <c r="D82" i="38"/>
  <c r="I82" i="38"/>
  <c r="J82" i="38"/>
  <c r="K82" i="38"/>
  <c r="C83" i="38"/>
  <c r="D83" i="38"/>
  <c r="I83" i="38"/>
  <c r="J83" i="38"/>
  <c r="K83" i="38"/>
  <c r="C84" i="38"/>
  <c r="D84" i="38"/>
  <c r="I84" i="38"/>
  <c r="J84" i="38"/>
  <c r="K84" i="38"/>
  <c r="C85" i="38"/>
  <c r="D85" i="38"/>
  <c r="I85" i="38"/>
  <c r="J85" i="38"/>
  <c r="K85" i="38"/>
  <c r="C86" i="38"/>
  <c r="D86" i="38"/>
  <c r="I86" i="38"/>
  <c r="J86" i="38"/>
  <c r="K86" i="38"/>
  <c r="C21" i="38"/>
  <c r="F11" i="10"/>
  <c r="G26" i="5" l="1"/>
  <c r="G213" i="38"/>
  <c r="G209" i="38"/>
  <c r="G205" i="38"/>
  <c r="G201" i="38"/>
  <c r="G225" i="38"/>
  <c r="G214" i="38"/>
  <c r="G84" i="38"/>
  <c r="G80" i="38"/>
  <c r="G88" i="38"/>
  <c r="G87" i="38"/>
  <c r="G89" i="38"/>
  <c r="G86" i="38"/>
  <c r="G69" i="38"/>
  <c r="G77" i="38"/>
  <c r="G76" i="38"/>
  <c r="G227" i="38"/>
  <c r="G197" i="38"/>
  <c r="G222" i="38"/>
  <c r="G75" i="38"/>
  <c r="G216" i="38"/>
  <c r="G212" i="38"/>
  <c r="G208" i="38"/>
  <c r="G204" i="38"/>
  <c r="G200" i="38"/>
  <c r="G196" i="38"/>
  <c r="G219" i="38"/>
  <c r="G215" i="38"/>
  <c r="G221" i="38"/>
  <c r="G218" i="38"/>
  <c r="G210" i="38"/>
  <c r="G206" i="38"/>
  <c r="G202" i="38"/>
  <c r="G194" i="38"/>
  <c r="G217" i="38"/>
  <c r="G211" i="38"/>
  <c r="G207" i="38"/>
  <c r="G203" i="38"/>
  <c r="G199" i="38"/>
  <c r="G195" i="38"/>
  <c r="G82" i="38"/>
  <c r="G71" i="38"/>
  <c r="G73" i="38"/>
  <c r="G85" i="38"/>
  <c r="G81" i="38"/>
  <c r="G72" i="38"/>
  <c r="G79" i="38"/>
  <c r="G70" i="38"/>
  <c r="G83" i="38"/>
  <c r="G74" i="38"/>
  <c r="I37" i="30"/>
  <c r="I36" i="30"/>
  <c r="I35" i="30"/>
  <c r="I34" i="30"/>
  <c r="I32" i="30"/>
  <c r="E85" i="30"/>
  <c r="E28" i="30"/>
  <c r="E15" i="30"/>
  <c r="F39" i="9" l="1"/>
  <c r="O944" i="13" l="1"/>
  <c r="M944" i="13"/>
  <c r="O943" i="13"/>
  <c r="M943" i="13"/>
  <c r="O942" i="13"/>
  <c r="M942" i="13"/>
  <c r="O941" i="13"/>
  <c r="M941" i="13"/>
  <c r="O940" i="13"/>
  <c r="M940" i="13"/>
  <c r="O939" i="13"/>
  <c r="M939" i="13"/>
  <c r="O938" i="13"/>
  <c r="M938" i="13"/>
  <c r="O937" i="13"/>
  <c r="M937" i="13"/>
  <c r="O936" i="13"/>
  <c r="M936" i="13"/>
  <c r="O935" i="13"/>
  <c r="M935" i="13"/>
  <c r="O934" i="13"/>
  <c r="M934" i="13"/>
  <c r="O933" i="13"/>
  <c r="M933" i="13"/>
  <c r="O932" i="13"/>
  <c r="M932" i="13"/>
  <c r="O931" i="13"/>
  <c r="M931" i="13"/>
  <c r="O930" i="13"/>
  <c r="M930" i="13"/>
  <c r="O929" i="13"/>
  <c r="M929" i="13"/>
  <c r="O928" i="13"/>
  <c r="M928" i="13"/>
  <c r="O927" i="13"/>
  <c r="M927" i="13"/>
  <c r="O926" i="13"/>
  <c r="M926" i="13"/>
  <c r="O925" i="13"/>
  <c r="M925" i="13"/>
  <c r="O924" i="13"/>
  <c r="M924" i="13"/>
  <c r="O923" i="13"/>
  <c r="M923" i="13"/>
  <c r="O922" i="13"/>
  <c r="M922" i="13"/>
  <c r="O921" i="13"/>
  <c r="M921" i="13"/>
  <c r="O920" i="13"/>
  <c r="M920" i="13"/>
  <c r="O919" i="13"/>
  <c r="M919" i="13"/>
  <c r="O918" i="13"/>
  <c r="M918" i="13"/>
  <c r="O917" i="13"/>
  <c r="M917" i="13"/>
  <c r="O916" i="13"/>
  <c r="M916" i="13"/>
  <c r="O915" i="13"/>
  <c r="M915" i="13"/>
  <c r="O914" i="13"/>
  <c r="M914" i="13"/>
  <c r="O913" i="13"/>
  <c r="M913" i="13"/>
  <c r="O912" i="13"/>
  <c r="M912" i="13"/>
  <c r="O911" i="13"/>
  <c r="M911" i="13"/>
  <c r="O910" i="13"/>
  <c r="M910" i="13"/>
  <c r="O909" i="13"/>
  <c r="M909" i="13"/>
  <c r="O908" i="13"/>
  <c r="M908" i="13"/>
  <c r="O907" i="13"/>
  <c r="M907" i="13"/>
  <c r="O906" i="13"/>
  <c r="M906" i="13"/>
  <c r="O905" i="13"/>
  <c r="M905" i="13"/>
  <c r="O904" i="13"/>
  <c r="M904" i="13"/>
  <c r="O903" i="13"/>
  <c r="M903" i="13"/>
  <c r="O902" i="13"/>
  <c r="M902" i="13"/>
  <c r="O901" i="13"/>
  <c r="M901" i="13"/>
  <c r="O900" i="13"/>
  <c r="M900" i="13"/>
  <c r="O899" i="13"/>
  <c r="M899" i="13"/>
  <c r="O898" i="13"/>
  <c r="M898" i="13"/>
  <c r="O897" i="13"/>
  <c r="M897" i="13"/>
  <c r="O896" i="13"/>
  <c r="M896" i="13"/>
  <c r="O895" i="13"/>
  <c r="M895" i="13"/>
  <c r="O894" i="13"/>
  <c r="M894" i="13"/>
  <c r="O893" i="13"/>
  <c r="M893" i="13"/>
  <c r="O892" i="13"/>
  <c r="M892" i="13"/>
  <c r="O891" i="13"/>
  <c r="M891" i="13"/>
  <c r="O890" i="13"/>
  <c r="M890" i="13"/>
  <c r="O889" i="13"/>
  <c r="M889" i="13"/>
  <c r="O888" i="13"/>
  <c r="M888" i="13"/>
  <c r="O887" i="13"/>
  <c r="M887" i="13"/>
  <c r="O885" i="13"/>
  <c r="M885" i="13"/>
  <c r="D885" i="13"/>
  <c r="C885" i="13"/>
  <c r="C886" i="13" s="1"/>
  <c r="C887" i="13" s="1"/>
  <c r="C888" i="13" s="1"/>
  <c r="C889" i="13" s="1"/>
  <c r="C890" i="13" s="1"/>
  <c r="C891" i="13" s="1"/>
  <c r="C892" i="13" s="1"/>
  <c r="C893" i="13" s="1"/>
  <c r="C894" i="13" s="1"/>
  <c r="C895" i="13" s="1"/>
  <c r="C896" i="13" s="1"/>
  <c r="C897" i="13" s="1"/>
  <c r="C898" i="13" s="1"/>
  <c r="C899" i="13" s="1"/>
  <c r="C900" i="13" s="1"/>
  <c r="C901" i="13" s="1"/>
  <c r="C902" i="13" s="1"/>
  <c r="C903" i="13" s="1"/>
  <c r="C904" i="13" s="1"/>
  <c r="C905" i="13" s="1"/>
  <c r="C906" i="13" s="1"/>
  <c r="C907" i="13" s="1"/>
  <c r="C908" i="13" s="1"/>
  <c r="C909" i="13" s="1"/>
  <c r="C910" i="13" s="1"/>
  <c r="C911" i="13" s="1"/>
  <c r="C912" i="13" s="1"/>
  <c r="C913" i="13" s="1"/>
  <c r="C914" i="13" s="1"/>
  <c r="L880" i="13"/>
  <c r="L872" i="13"/>
  <c r="P866" i="13"/>
  <c r="O866" i="13"/>
  <c r="O857" i="13"/>
  <c r="M857" i="13"/>
  <c r="O856" i="13"/>
  <c r="M856" i="13"/>
  <c r="O855" i="13"/>
  <c r="M855" i="13"/>
  <c r="O854" i="13"/>
  <c r="M854" i="13"/>
  <c r="O853" i="13"/>
  <c r="M853" i="13"/>
  <c r="O852" i="13"/>
  <c r="M852" i="13"/>
  <c r="O851" i="13"/>
  <c r="M851" i="13"/>
  <c r="O850" i="13"/>
  <c r="M850" i="13"/>
  <c r="O849" i="13"/>
  <c r="M849" i="13"/>
  <c r="O848" i="13"/>
  <c r="M848" i="13"/>
  <c r="O847" i="13"/>
  <c r="M847" i="13"/>
  <c r="O846" i="13"/>
  <c r="M846" i="13"/>
  <c r="O845" i="13"/>
  <c r="M845" i="13"/>
  <c r="O844" i="13"/>
  <c r="M844" i="13"/>
  <c r="O843" i="13"/>
  <c r="M843" i="13"/>
  <c r="O842" i="13"/>
  <c r="M842" i="13"/>
  <c r="O841" i="13"/>
  <c r="M841" i="13"/>
  <c r="O840" i="13"/>
  <c r="M840" i="13"/>
  <c r="O839" i="13"/>
  <c r="M839" i="13"/>
  <c r="O838" i="13"/>
  <c r="M838" i="13"/>
  <c r="O837" i="13"/>
  <c r="M837" i="13"/>
  <c r="O836" i="13"/>
  <c r="M836" i="13"/>
  <c r="O835" i="13"/>
  <c r="M835" i="13"/>
  <c r="O834" i="13"/>
  <c r="M834" i="13"/>
  <c r="O833" i="13"/>
  <c r="M833" i="13"/>
  <c r="O832" i="13"/>
  <c r="M832" i="13"/>
  <c r="O831" i="13"/>
  <c r="M831" i="13"/>
  <c r="O830" i="13"/>
  <c r="M830" i="13"/>
  <c r="O829" i="13"/>
  <c r="M829" i="13"/>
  <c r="O828" i="13"/>
  <c r="M828" i="13"/>
  <c r="O827" i="13"/>
  <c r="M827" i="13"/>
  <c r="O826" i="13"/>
  <c r="M826" i="13"/>
  <c r="O825" i="13"/>
  <c r="M825" i="13"/>
  <c r="O824" i="13"/>
  <c r="M824" i="13"/>
  <c r="O823" i="13"/>
  <c r="M823" i="13"/>
  <c r="O822" i="13"/>
  <c r="M822" i="13"/>
  <c r="O821" i="13"/>
  <c r="M821" i="13"/>
  <c r="O820" i="13"/>
  <c r="M820" i="13"/>
  <c r="O819" i="13"/>
  <c r="M819" i="13"/>
  <c r="O818" i="13"/>
  <c r="M818" i="13"/>
  <c r="O817" i="13"/>
  <c r="M817" i="13"/>
  <c r="O816" i="13"/>
  <c r="M816" i="13"/>
  <c r="O815" i="13"/>
  <c r="M815" i="13"/>
  <c r="O814" i="13"/>
  <c r="M814" i="13"/>
  <c r="O813" i="13"/>
  <c r="M813" i="13"/>
  <c r="O812" i="13"/>
  <c r="M812" i="13"/>
  <c r="O811" i="13"/>
  <c r="M811" i="13"/>
  <c r="O810" i="13"/>
  <c r="M810" i="13"/>
  <c r="O809" i="13"/>
  <c r="M809" i="13"/>
  <c r="O808" i="13"/>
  <c r="M808" i="13"/>
  <c r="O807" i="13"/>
  <c r="M807" i="13"/>
  <c r="O806" i="13"/>
  <c r="M806" i="13"/>
  <c r="O805" i="13"/>
  <c r="M805" i="13"/>
  <c r="O804" i="13"/>
  <c r="M804" i="13"/>
  <c r="O803" i="13"/>
  <c r="M803" i="13"/>
  <c r="O802" i="13"/>
  <c r="M802" i="13"/>
  <c r="O801" i="13"/>
  <c r="M801" i="13"/>
  <c r="D798" i="13"/>
  <c r="C798" i="13"/>
  <c r="C799" i="13" s="1"/>
  <c r="C800" i="13" s="1"/>
  <c r="C801" i="13" s="1"/>
  <c r="C802" i="13" s="1"/>
  <c r="C803" i="13" s="1"/>
  <c r="C804" i="13" s="1"/>
  <c r="C805" i="13" s="1"/>
  <c r="C806" i="13" s="1"/>
  <c r="C807" i="13" s="1"/>
  <c r="C808" i="13" s="1"/>
  <c r="C809" i="13" s="1"/>
  <c r="C810" i="13" s="1"/>
  <c r="C811" i="13" s="1"/>
  <c r="C812" i="13" s="1"/>
  <c r="C813" i="13" s="1"/>
  <c r="C814" i="13" s="1"/>
  <c r="C815" i="13" s="1"/>
  <c r="C816" i="13" s="1"/>
  <c r="C817" i="13" s="1"/>
  <c r="C818" i="13" s="1"/>
  <c r="C819" i="13" s="1"/>
  <c r="C820" i="13" s="1"/>
  <c r="C821" i="13" s="1"/>
  <c r="C822" i="13" s="1"/>
  <c r="C823" i="13" s="1"/>
  <c r="C824" i="13" s="1"/>
  <c r="C825" i="13" s="1"/>
  <c r="C826" i="13" s="1"/>
  <c r="C827" i="13" s="1"/>
  <c r="L793" i="13"/>
  <c r="L785" i="13"/>
  <c r="P779" i="13"/>
  <c r="O779" i="13"/>
  <c r="P903" i="13" l="1"/>
  <c r="P935" i="13"/>
  <c r="P911" i="13"/>
  <c r="P919" i="13"/>
  <c r="P892" i="13"/>
  <c r="P904" i="13"/>
  <c r="P944" i="13"/>
  <c r="P905" i="13"/>
  <c r="P929" i="13"/>
  <c r="P937" i="13"/>
  <c r="P941" i="13"/>
  <c r="P898" i="13"/>
  <c r="P902" i="13"/>
  <c r="P894" i="13"/>
  <c r="P891" i="13"/>
  <c r="P910" i="13"/>
  <c r="P918" i="13"/>
  <c r="P926" i="13"/>
  <c r="P942" i="13"/>
  <c r="P895" i="13"/>
  <c r="P922" i="13"/>
  <c r="P930" i="13"/>
  <c r="P934" i="13"/>
  <c r="P888" i="13"/>
  <c r="P896" i="13"/>
  <c r="P915" i="13"/>
  <c r="P923" i="13"/>
  <c r="P889" i="13"/>
  <c r="P897" i="13"/>
  <c r="P908" i="13"/>
  <c r="P912" i="13"/>
  <c r="P920" i="13"/>
  <c r="P928" i="13"/>
  <c r="P936" i="13"/>
  <c r="P913" i="13"/>
  <c r="P924" i="13"/>
  <c r="P931" i="13"/>
  <c r="P900" i="13"/>
  <c r="P907" i="13"/>
  <c r="P914" i="13"/>
  <c r="P921" i="13"/>
  <c r="P925" i="13"/>
  <c r="P899" i="13"/>
  <c r="P938" i="13"/>
  <c r="P939" i="13"/>
  <c r="P943" i="13"/>
  <c r="P890" i="13"/>
  <c r="P933" i="13"/>
  <c r="P906" i="13"/>
  <c r="P887" i="13"/>
  <c r="P927" i="13"/>
  <c r="C915" i="13"/>
  <c r="C916" i="13" s="1"/>
  <c r="C917" i="13" s="1"/>
  <c r="C918" i="13" s="1"/>
  <c r="C919" i="13" s="1"/>
  <c r="C920" i="13" s="1"/>
  <c r="C921" i="13" s="1"/>
  <c r="C922" i="13" s="1"/>
  <c r="C923" i="13" s="1"/>
  <c r="C924" i="13" s="1"/>
  <c r="C925" i="13" s="1"/>
  <c r="C926" i="13" s="1"/>
  <c r="C927" i="13" s="1"/>
  <c r="C928" i="13" s="1"/>
  <c r="C929" i="13" s="1"/>
  <c r="C930" i="13" s="1"/>
  <c r="C931" i="13" s="1"/>
  <c r="C932" i="13" s="1"/>
  <c r="C933" i="13" s="1"/>
  <c r="C934" i="13" s="1"/>
  <c r="C935" i="13" s="1"/>
  <c r="C936" i="13" s="1"/>
  <c r="C937" i="13" s="1"/>
  <c r="C938" i="13" s="1"/>
  <c r="C939" i="13" s="1"/>
  <c r="C940" i="13" s="1"/>
  <c r="C941" i="13" s="1"/>
  <c r="C942" i="13" s="1"/>
  <c r="C943" i="13" s="1"/>
  <c r="C944" i="13" s="1"/>
  <c r="M873" i="13"/>
  <c r="N873" i="13"/>
  <c r="P901" i="13"/>
  <c r="P932" i="13"/>
  <c r="P885" i="13"/>
  <c r="P893" i="13"/>
  <c r="P917" i="13"/>
  <c r="P940" i="13"/>
  <c r="P916" i="13"/>
  <c r="P909" i="13"/>
  <c r="P804" i="13"/>
  <c r="P820" i="13"/>
  <c r="P829" i="13"/>
  <c r="P841" i="13"/>
  <c r="P831" i="13"/>
  <c r="P835" i="13"/>
  <c r="P839" i="13"/>
  <c r="P843" i="13"/>
  <c r="P824" i="13"/>
  <c r="P828" i="13"/>
  <c r="P832" i="13"/>
  <c r="P836" i="13"/>
  <c r="P840" i="13"/>
  <c r="P844" i="13"/>
  <c r="P848" i="13"/>
  <c r="P803" i="13"/>
  <c r="P815" i="13"/>
  <c r="P850" i="13"/>
  <c r="P853" i="13"/>
  <c r="P857" i="13"/>
  <c r="P808" i="13"/>
  <c r="P812" i="13"/>
  <c r="P816" i="13"/>
  <c r="P852" i="13"/>
  <c r="P856" i="13"/>
  <c r="P805" i="13"/>
  <c r="P847" i="13"/>
  <c r="P802" i="13"/>
  <c r="P823" i="13"/>
  <c r="P851" i="13"/>
  <c r="P813" i="13"/>
  <c r="P827" i="13"/>
  <c r="P837" i="13"/>
  <c r="P855" i="13"/>
  <c r="P819" i="13"/>
  <c r="P807" i="13"/>
  <c r="P821" i="13"/>
  <c r="P842" i="13"/>
  <c r="P849" i="13"/>
  <c r="P838" i="13"/>
  <c r="P845" i="13"/>
  <c r="P811" i="13"/>
  <c r="N786" i="13"/>
  <c r="M786" i="13"/>
  <c r="C828" i="13"/>
  <c r="C829" i="13" s="1"/>
  <c r="C830" i="13" s="1"/>
  <c r="C831" i="13" s="1"/>
  <c r="C832" i="13" s="1"/>
  <c r="C833" i="13" s="1"/>
  <c r="C834" i="13" s="1"/>
  <c r="C835" i="13" s="1"/>
  <c r="C836" i="13" s="1"/>
  <c r="C837" i="13" s="1"/>
  <c r="C838" i="13" s="1"/>
  <c r="C839" i="13" s="1"/>
  <c r="C840" i="13" s="1"/>
  <c r="C841" i="13" s="1"/>
  <c r="C842" i="13" s="1"/>
  <c r="C843" i="13" s="1"/>
  <c r="C844" i="13" s="1"/>
  <c r="C845" i="13" s="1"/>
  <c r="C846" i="13" s="1"/>
  <c r="C847" i="13" s="1"/>
  <c r="C848" i="13" s="1"/>
  <c r="C849" i="13" s="1"/>
  <c r="C850" i="13" s="1"/>
  <c r="C851" i="13" s="1"/>
  <c r="C852" i="13" s="1"/>
  <c r="C853" i="13" s="1"/>
  <c r="C854" i="13" s="1"/>
  <c r="C855" i="13" s="1"/>
  <c r="C856" i="13" s="1"/>
  <c r="C857" i="13" s="1"/>
  <c r="P810" i="13"/>
  <c r="P825" i="13"/>
  <c r="P834" i="13"/>
  <c r="P806" i="13"/>
  <c r="P809" i="13"/>
  <c r="P818" i="13"/>
  <c r="P830" i="13"/>
  <c r="P833" i="13"/>
  <c r="P846" i="13"/>
  <c r="P801" i="13"/>
  <c r="P822" i="13"/>
  <c r="P814" i="13"/>
  <c r="P817" i="13"/>
  <c r="P826" i="13"/>
  <c r="P854" i="13"/>
  <c r="O873" i="13" l="1"/>
  <c r="O786" i="13"/>
  <c r="E45" i="9"/>
  <c r="E46" i="9"/>
  <c r="E47" i="9"/>
  <c r="E48" i="9"/>
  <c r="E49" i="9"/>
  <c r="E50" i="9"/>
  <c r="E51" i="9"/>
  <c r="E52" i="9"/>
  <c r="E53" i="9"/>
  <c r="E54" i="9"/>
  <c r="E55" i="9"/>
  <c r="E56" i="9"/>
  <c r="E57" i="9"/>
  <c r="E69" i="9"/>
  <c r="I52" i="6"/>
  <c r="K52" i="6" s="1"/>
  <c r="E52" i="6" s="1"/>
  <c r="I50" i="6"/>
  <c r="I60" i="6" s="1"/>
  <c r="I39" i="6"/>
  <c r="J55" i="6"/>
  <c r="J46" i="6"/>
  <c r="E40" i="6"/>
  <c r="E41" i="6"/>
  <c r="E42" i="6"/>
  <c r="E43" i="6"/>
  <c r="E44" i="6"/>
  <c r="E45" i="6"/>
  <c r="E46" i="6"/>
  <c r="E47" i="6"/>
  <c r="E48" i="6"/>
  <c r="E49" i="6"/>
  <c r="E51" i="6"/>
  <c r="E53" i="6"/>
  <c r="E54" i="6"/>
  <c r="E56" i="6"/>
  <c r="K39" i="6"/>
  <c r="K40" i="6"/>
  <c r="K41" i="6"/>
  <c r="K42" i="6"/>
  <c r="K43" i="6"/>
  <c r="K44" i="6"/>
  <c r="K46" i="6"/>
  <c r="K47" i="6"/>
  <c r="K48" i="6"/>
  <c r="K49" i="6"/>
  <c r="K50" i="6"/>
  <c r="E50" i="6" s="1"/>
  <c r="K51" i="6"/>
  <c r="K53" i="6"/>
  <c r="K54" i="6"/>
  <c r="K55" i="6"/>
  <c r="E55" i="6" s="1"/>
  <c r="K56" i="6"/>
  <c r="D60" i="6"/>
  <c r="G60" i="6"/>
  <c r="J60" i="6"/>
  <c r="E39" i="6" l="1"/>
  <c r="E60" i="6" s="1"/>
  <c r="K60" i="6"/>
  <c r="O770" i="13" l="1"/>
  <c r="M770" i="13"/>
  <c r="O769" i="13"/>
  <c r="M769" i="13"/>
  <c r="O768" i="13"/>
  <c r="M768" i="13"/>
  <c r="O767" i="13"/>
  <c r="M767" i="13"/>
  <c r="O766" i="13"/>
  <c r="M766" i="13"/>
  <c r="O765" i="13"/>
  <c r="M765" i="13"/>
  <c r="O764" i="13"/>
  <c r="M764" i="13"/>
  <c r="O763" i="13"/>
  <c r="M763" i="13"/>
  <c r="O762" i="13"/>
  <c r="M762" i="13"/>
  <c r="O761" i="13"/>
  <c r="M761" i="13"/>
  <c r="O760" i="13"/>
  <c r="M760" i="13"/>
  <c r="O759" i="13"/>
  <c r="M759" i="13"/>
  <c r="O758" i="13"/>
  <c r="M758" i="13"/>
  <c r="O757" i="13"/>
  <c r="M757" i="13"/>
  <c r="O756" i="13"/>
  <c r="M756" i="13"/>
  <c r="O755" i="13"/>
  <c r="M755" i="13"/>
  <c r="O754" i="13"/>
  <c r="M754" i="13"/>
  <c r="O753" i="13"/>
  <c r="M753" i="13"/>
  <c r="O752" i="13"/>
  <c r="M752" i="13"/>
  <c r="O751" i="13"/>
  <c r="M751" i="13"/>
  <c r="O750" i="13"/>
  <c r="M750" i="13"/>
  <c r="O749" i="13"/>
  <c r="M749" i="13"/>
  <c r="O748" i="13"/>
  <c r="M748" i="13"/>
  <c r="O747" i="13"/>
  <c r="M747" i="13"/>
  <c r="O746" i="13"/>
  <c r="M746" i="13"/>
  <c r="O745" i="13"/>
  <c r="M745" i="13"/>
  <c r="O744" i="13"/>
  <c r="M744" i="13"/>
  <c r="O743" i="13"/>
  <c r="M743" i="13"/>
  <c r="O742" i="13"/>
  <c r="M742" i="13"/>
  <c r="O741" i="13"/>
  <c r="M741" i="13"/>
  <c r="O740" i="13"/>
  <c r="M740" i="13"/>
  <c r="O739" i="13"/>
  <c r="M739" i="13"/>
  <c r="O738" i="13"/>
  <c r="M738" i="13"/>
  <c r="O737" i="13"/>
  <c r="M737" i="13"/>
  <c r="O736" i="13"/>
  <c r="M736" i="13"/>
  <c r="O735" i="13"/>
  <c r="M735" i="13"/>
  <c r="O734" i="13"/>
  <c r="M734" i="13"/>
  <c r="O733" i="13"/>
  <c r="M733" i="13"/>
  <c r="O732" i="13"/>
  <c r="M732" i="13"/>
  <c r="O731" i="13"/>
  <c r="M731" i="13"/>
  <c r="O730" i="13"/>
  <c r="M730" i="13"/>
  <c r="O729" i="13"/>
  <c r="M729" i="13"/>
  <c r="O728" i="13"/>
  <c r="M728" i="13"/>
  <c r="O727" i="13"/>
  <c r="M727" i="13"/>
  <c r="O726" i="13"/>
  <c r="M726" i="13"/>
  <c r="O725" i="13"/>
  <c r="M725" i="13"/>
  <c r="O724" i="13"/>
  <c r="M724" i="13"/>
  <c r="O723" i="13"/>
  <c r="M723" i="13"/>
  <c r="O722" i="13"/>
  <c r="M722" i="13"/>
  <c r="O721" i="13"/>
  <c r="M721" i="13"/>
  <c r="O720" i="13"/>
  <c r="M720" i="13"/>
  <c r="O719" i="13"/>
  <c r="M719" i="13"/>
  <c r="O718" i="13"/>
  <c r="M718" i="13"/>
  <c r="O717" i="13"/>
  <c r="M717" i="13"/>
  <c r="O716" i="13"/>
  <c r="M716" i="13"/>
  <c r="O715" i="13"/>
  <c r="M715" i="13"/>
  <c r="O714" i="13"/>
  <c r="M714" i="13"/>
  <c r="D711" i="13"/>
  <c r="C711" i="13"/>
  <c r="C712" i="13" s="1"/>
  <c r="C713" i="13" s="1"/>
  <c r="C714" i="13" s="1"/>
  <c r="C715" i="13" s="1"/>
  <c r="C716" i="13" s="1"/>
  <c r="C717" i="13" s="1"/>
  <c r="C718" i="13" s="1"/>
  <c r="C719" i="13" s="1"/>
  <c r="C720" i="13" s="1"/>
  <c r="C721" i="13" s="1"/>
  <c r="C722" i="13" s="1"/>
  <c r="C723" i="13" s="1"/>
  <c r="C724" i="13" s="1"/>
  <c r="C725" i="13" s="1"/>
  <c r="C726" i="13" s="1"/>
  <c r="C727" i="13" s="1"/>
  <c r="C728" i="13" s="1"/>
  <c r="C729" i="13" s="1"/>
  <c r="C730" i="13" s="1"/>
  <c r="C731" i="13" s="1"/>
  <c r="C732" i="13" s="1"/>
  <c r="C733" i="13" s="1"/>
  <c r="C734" i="13" s="1"/>
  <c r="C735" i="13" s="1"/>
  <c r="C736" i="13" s="1"/>
  <c r="C737" i="13" s="1"/>
  <c r="C738" i="13" s="1"/>
  <c r="C739" i="13" s="1"/>
  <c r="C740" i="13" s="1"/>
  <c r="C741" i="13" s="1"/>
  <c r="C742" i="13" s="1"/>
  <c r="C743" i="13" s="1"/>
  <c r="C744" i="13" s="1"/>
  <c r="C745" i="13" s="1"/>
  <c r="C746" i="13" s="1"/>
  <c r="C747" i="13" s="1"/>
  <c r="C748" i="13" s="1"/>
  <c r="C749" i="13" s="1"/>
  <c r="C750" i="13" s="1"/>
  <c r="C751" i="13" s="1"/>
  <c r="C752" i="13" s="1"/>
  <c r="C753" i="13" s="1"/>
  <c r="C754" i="13" s="1"/>
  <c r="C755" i="13" s="1"/>
  <c r="C756" i="13" s="1"/>
  <c r="C757" i="13" s="1"/>
  <c r="C758" i="13" s="1"/>
  <c r="C759" i="13" s="1"/>
  <c r="C760" i="13" s="1"/>
  <c r="C761" i="13" s="1"/>
  <c r="C762" i="13" s="1"/>
  <c r="C763" i="13" s="1"/>
  <c r="C764" i="13" s="1"/>
  <c r="C765" i="13" s="1"/>
  <c r="C766" i="13" s="1"/>
  <c r="C767" i="13" s="1"/>
  <c r="C768" i="13" s="1"/>
  <c r="C769" i="13" s="1"/>
  <c r="C770" i="13" s="1"/>
  <c r="L706" i="13"/>
  <c r="L698" i="13"/>
  <c r="P692" i="13"/>
  <c r="O692" i="13"/>
  <c r="O683" i="13"/>
  <c r="M683" i="13"/>
  <c r="O682" i="13"/>
  <c r="M682" i="13"/>
  <c r="O681" i="13"/>
  <c r="M681" i="13"/>
  <c r="O680" i="13"/>
  <c r="M680" i="13"/>
  <c r="O679" i="13"/>
  <c r="M679" i="13"/>
  <c r="O678" i="13"/>
  <c r="M678" i="13"/>
  <c r="O677" i="13"/>
  <c r="M677" i="13"/>
  <c r="O676" i="13"/>
  <c r="M676" i="13"/>
  <c r="O675" i="13"/>
  <c r="M675" i="13"/>
  <c r="O674" i="13"/>
  <c r="M674" i="13"/>
  <c r="O673" i="13"/>
  <c r="M673" i="13"/>
  <c r="O672" i="13"/>
  <c r="M672" i="13"/>
  <c r="O671" i="13"/>
  <c r="M671" i="13"/>
  <c r="O670" i="13"/>
  <c r="M670" i="13"/>
  <c r="O669" i="13"/>
  <c r="M669" i="13"/>
  <c r="O668" i="13"/>
  <c r="M668" i="13"/>
  <c r="O667" i="13"/>
  <c r="M667" i="13"/>
  <c r="O666" i="13"/>
  <c r="M666" i="13"/>
  <c r="O665" i="13"/>
  <c r="M665" i="13"/>
  <c r="O664" i="13"/>
  <c r="M664" i="13"/>
  <c r="O663" i="13"/>
  <c r="M663" i="13"/>
  <c r="O662" i="13"/>
  <c r="M662" i="13"/>
  <c r="O661" i="13"/>
  <c r="M661" i="13"/>
  <c r="O660" i="13"/>
  <c r="M660" i="13"/>
  <c r="O659" i="13"/>
  <c r="M659" i="13"/>
  <c r="O658" i="13"/>
  <c r="M658" i="13"/>
  <c r="O657" i="13"/>
  <c r="M657" i="13"/>
  <c r="O656" i="13"/>
  <c r="M656" i="13"/>
  <c r="O655" i="13"/>
  <c r="M655" i="13"/>
  <c r="O654" i="13"/>
  <c r="M654" i="13"/>
  <c r="O653" i="13"/>
  <c r="M653" i="13"/>
  <c r="O652" i="13"/>
  <c r="M652" i="13"/>
  <c r="O651" i="13"/>
  <c r="M651" i="13"/>
  <c r="O650" i="13"/>
  <c r="M650" i="13"/>
  <c r="O649" i="13"/>
  <c r="M649" i="13"/>
  <c r="O648" i="13"/>
  <c r="M648" i="13"/>
  <c r="O647" i="13"/>
  <c r="M647" i="13"/>
  <c r="O646" i="13"/>
  <c r="M646" i="13"/>
  <c r="O645" i="13"/>
  <c r="M645" i="13"/>
  <c r="O644" i="13"/>
  <c r="M644" i="13"/>
  <c r="O643" i="13"/>
  <c r="M643" i="13"/>
  <c r="O642" i="13"/>
  <c r="M642" i="13"/>
  <c r="O641" i="13"/>
  <c r="M641" i="13"/>
  <c r="O640" i="13"/>
  <c r="M640" i="13"/>
  <c r="O639" i="13"/>
  <c r="M639" i="13"/>
  <c r="O638" i="13"/>
  <c r="M638" i="13"/>
  <c r="O637" i="13"/>
  <c r="M637" i="13"/>
  <c r="O636" i="13"/>
  <c r="M636" i="13"/>
  <c r="O635" i="13"/>
  <c r="M635" i="13"/>
  <c r="O634" i="13"/>
  <c r="M634" i="13"/>
  <c r="O633" i="13"/>
  <c r="M633" i="13"/>
  <c r="O632" i="13"/>
  <c r="M632" i="13"/>
  <c r="O631" i="13"/>
  <c r="M631" i="13"/>
  <c r="O630" i="13"/>
  <c r="M630" i="13"/>
  <c r="O629" i="13"/>
  <c r="M629" i="13"/>
  <c r="O628" i="13"/>
  <c r="M628" i="13"/>
  <c r="D624" i="13"/>
  <c r="C624" i="13"/>
  <c r="C625" i="13"/>
  <c r="C626" i="13" s="1"/>
  <c r="C627" i="13" s="1"/>
  <c r="C628" i="13" s="1"/>
  <c r="C629" i="13" s="1"/>
  <c r="C630" i="13" s="1"/>
  <c r="C631" i="13" s="1"/>
  <c r="C632" i="13" s="1"/>
  <c r="C633" i="13" s="1"/>
  <c r="C634" i="13" s="1"/>
  <c r="C635" i="13" s="1"/>
  <c r="C636" i="13" s="1"/>
  <c r="C637" i="13" s="1"/>
  <c r="C638" i="13" s="1"/>
  <c r="C639" i="13" s="1"/>
  <c r="C640" i="13" s="1"/>
  <c r="C641" i="13" s="1"/>
  <c r="C642" i="13" s="1"/>
  <c r="C643" i="13" s="1"/>
  <c r="C644" i="13" s="1"/>
  <c r="C645" i="13" s="1"/>
  <c r="C646" i="13" s="1"/>
  <c r="C647" i="13" s="1"/>
  <c r="C648" i="13" s="1"/>
  <c r="C649" i="13" s="1"/>
  <c r="C650" i="13" s="1"/>
  <c r="C651" i="13" s="1"/>
  <c r="C652" i="13" s="1"/>
  <c r="C653" i="13"/>
  <c r="L619" i="13"/>
  <c r="L611" i="13"/>
  <c r="P605" i="13"/>
  <c r="O605" i="13"/>
  <c r="O596" i="13"/>
  <c r="M596" i="13"/>
  <c r="O595" i="13"/>
  <c r="M595" i="13"/>
  <c r="O594" i="13"/>
  <c r="M594" i="13"/>
  <c r="O593" i="13"/>
  <c r="M593" i="13"/>
  <c r="O592" i="13"/>
  <c r="M592" i="13"/>
  <c r="O591" i="13"/>
  <c r="M591" i="13"/>
  <c r="O590" i="13"/>
  <c r="M590" i="13"/>
  <c r="O589" i="13"/>
  <c r="M589" i="13"/>
  <c r="O588" i="13"/>
  <c r="M588" i="13"/>
  <c r="O587" i="13"/>
  <c r="M587" i="13"/>
  <c r="O586" i="13"/>
  <c r="M586" i="13"/>
  <c r="O585" i="13"/>
  <c r="M585" i="13"/>
  <c r="O584" i="13"/>
  <c r="M584" i="13"/>
  <c r="O583" i="13"/>
  <c r="M583" i="13"/>
  <c r="O582" i="13"/>
  <c r="M582" i="13"/>
  <c r="O581" i="13"/>
  <c r="M581" i="13"/>
  <c r="O580" i="13"/>
  <c r="M580" i="13"/>
  <c r="O579" i="13"/>
  <c r="M579" i="13"/>
  <c r="O578" i="13"/>
  <c r="M578" i="13"/>
  <c r="O577" i="13"/>
  <c r="M577" i="13"/>
  <c r="O576" i="13"/>
  <c r="M576" i="13"/>
  <c r="O575" i="13"/>
  <c r="M575" i="13"/>
  <c r="O574" i="13"/>
  <c r="M574" i="13"/>
  <c r="O573" i="13"/>
  <c r="M573" i="13"/>
  <c r="O572" i="13"/>
  <c r="M572" i="13"/>
  <c r="O571" i="13"/>
  <c r="M571" i="13"/>
  <c r="O570" i="13"/>
  <c r="M570" i="13"/>
  <c r="O569" i="13"/>
  <c r="M569" i="13"/>
  <c r="O568" i="13"/>
  <c r="M568" i="13"/>
  <c r="O567" i="13"/>
  <c r="M567" i="13"/>
  <c r="O566" i="13"/>
  <c r="M566" i="13"/>
  <c r="O565" i="13"/>
  <c r="M565" i="13"/>
  <c r="O564" i="13"/>
  <c r="M564" i="13"/>
  <c r="O563" i="13"/>
  <c r="M563" i="13"/>
  <c r="O562" i="13"/>
  <c r="M562" i="13"/>
  <c r="O561" i="13"/>
  <c r="M561" i="13"/>
  <c r="O560" i="13"/>
  <c r="M560" i="13"/>
  <c r="O559" i="13"/>
  <c r="M559" i="13"/>
  <c r="O558" i="13"/>
  <c r="M558" i="13"/>
  <c r="O557" i="13"/>
  <c r="M557" i="13"/>
  <c r="O556" i="13"/>
  <c r="M556" i="13"/>
  <c r="O555" i="13"/>
  <c r="M555" i="13"/>
  <c r="O554" i="13"/>
  <c r="M554" i="13"/>
  <c r="O553" i="13"/>
  <c r="M553" i="13"/>
  <c r="O552" i="13"/>
  <c r="M552" i="13"/>
  <c r="O551" i="13"/>
  <c r="M551" i="13"/>
  <c r="O550" i="13"/>
  <c r="M550" i="13"/>
  <c r="O549" i="13"/>
  <c r="M549" i="13"/>
  <c r="O548" i="13"/>
  <c r="M548" i="13"/>
  <c r="O547" i="13"/>
  <c r="M547" i="13"/>
  <c r="O546" i="13"/>
  <c r="M546" i="13"/>
  <c r="O545" i="13"/>
  <c r="M545" i="13"/>
  <c r="O544" i="13"/>
  <c r="M544" i="13"/>
  <c r="O543" i="13"/>
  <c r="M543" i="13"/>
  <c r="C541" i="13"/>
  <c r="C542" i="13" s="1"/>
  <c r="C543" i="13" s="1"/>
  <c r="C544" i="13" s="1"/>
  <c r="C545" i="13"/>
  <c r="C546" i="13" s="1"/>
  <c r="C547" i="13" s="1"/>
  <c r="C548" i="13" s="1"/>
  <c r="C549" i="13" s="1"/>
  <c r="C550" i="13" s="1"/>
  <c r="C551" i="13" s="1"/>
  <c r="C552" i="13" s="1"/>
  <c r="C553" i="13" s="1"/>
  <c r="C554" i="13" s="1"/>
  <c r="C555" i="13" s="1"/>
  <c r="C556" i="13" s="1"/>
  <c r="C557" i="13" s="1"/>
  <c r="C558" i="13" s="1"/>
  <c r="C559" i="13" s="1"/>
  <c r="C560" i="13" s="1"/>
  <c r="C561" i="13" s="1"/>
  <c r="C562" i="13" s="1"/>
  <c r="C563" i="13" s="1"/>
  <c r="C564" i="13" s="1"/>
  <c r="C565" i="13" s="1"/>
  <c r="C566" i="13" s="1"/>
  <c r="O537" i="13"/>
  <c r="M537" i="13"/>
  <c r="D537" i="13"/>
  <c r="C537" i="13"/>
  <c r="C538" i="13" s="1"/>
  <c r="C539" i="13" s="1"/>
  <c r="C540" i="13" s="1"/>
  <c r="L532" i="13"/>
  <c r="L524" i="13"/>
  <c r="P518" i="13"/>
  <c r="O518" i="13"/>
  <c r="O509" i="13"/>
  <c r="M509" i="13"/>
  <c r="O508" i="13"/>
  <c r="M508" i="13"/>
  <c r="O507" i="13"/>
  <c r="M507" i="13"/>
  <c r="O506" i="13"/>
  <c r="M506" i="13"/>
  <c r="O505" i="13"/>
  <c r="M505" i="13"/>
  <c r="O504" i="13"/>
  <c r="M504" i="13"/>
  <c r="O503" i="13"/>
  <c r="M503" i="13"/>
  <c r="O502" i="13"/>
  <c r="M502" i="13"/>
  <c r="O501" i="13"/>
  <c r="M501" i="13"/>
  <c r="O500" i="13"/>
  <c r="M500" i="13"/>
  <c r="O499" i="13"/>
  <c r="M499" i="13"/>
  <c r="O498" i="13"/>
  <c r="M498" i="13"/>
  <c r="O497" i="13"/>
  <c r="M497" i="13"/>
  <c r="O496" i="13"/>
  <c r="M496" i="13"/>
  <c r="O495" i="13"/>
  <c r="M495" i="13"/>
  <c r="O494" i="13"/>
  <c r="M494" i="13"/>
  <c r="O493" i="13"/>
  <c r="M493" i="13"/>
  <c r="O492" i="13"/>
  <c r="M492" i="13"/>
  <c r="O491" i="13"/>
  <c r="M491" i="13"/>
  <c r="O490" i="13"/>
  <c r="M490" i="13"/>
  <c r="O489" i="13"/>
  <c r="M489" i="13"/>
  <c r="O488" i="13"/>
  <c r="M488" i="13"/>
  <c r="O487" i="13"/>
  <c r="M487" i="13"/>
  <c r="O486" i="13"/>
  <c r="M486" i="13"/>
  <c r="O485" i="13"/>
  <c r="M485" i="13"/>
  <c r="O484" i="13"/>
  <c r="M484" i="13"/>
  <c r="O483" i="13"/>
  <c r="M483" i="13"/>
  <c r="O482" i="13"/>
  <c r="M482" i="13"/>
  <c r="O481" i="13"/>
  <c r="M481" i="13"/>
  <c r="O480" i="13"/>
  <c r="M480" i="13"/>
  <c r="O479" i="13"/>
  <c r="M479" i="13"/>
  <c r="O478" i="13"/>
  <c r="M478" i="13"/>
  <c r="O477" i="13"/>
  <c r="M477" i="13"/>
  <c r="O476" i="13"/>
  <c r="M476" i="13"/>
  <c r="O475" i="13"/>
  <c r="M475" i="13"/>
  <c r="O474" i="13"/>
  <c r="M474" i="13"/>
  <c r="O473" i="13"/>
  <c r="M473" i="13"/>
  <c r="O472" i="13"/>
  <c r="M472" i="13"/>
  <c r="O471" i="13"/>
  <c r="M471" i="13"/>
  <c r="O470" i="13"/>
  <c r="M470" i="13"/>
  <c r="O469" i="13"/>
  <c r="M469" i="13"/>
  <c r="O468" i="13"/>
  <c r="M468" i="13"/>
  <c r="O467" i="13"/>
  <c r="M467" i="13"/>
  <c r="O466" i="13"/>
  <c r="M466" i="13"/>
  <c r="O465" i="13"/>
  <c r="M465" i="13"/>
  <c r="O464" i="13"/>
  <c r="M464" i="13"/>
  <c r="O463" i="13"/>
  <c r="M463" i="13"/>
  <c r="O462" i="13"/>
  <c r="M462" i="13"/>
  <c r="O461" i="13"/>
  <c r="M461" i="13"/>
  <c r="O460" i="13"/>
  <c r="M460" i="13"/>
  <c r="O459" i="13"/>
  <c r="M459" i="13"/>
  <c r="O458" i="13"/>
  <c r="M458" i="13"/>
  <c r="O457" i="13"/>
  <c r="M457" i="13"/>
  <c r="C451" i="13"/>
  <c r="C452" i="13"/>
  <c r="C453" i="13" s="1"/>
  <c r="C454" i="13" s="1"/>
  <c r="C455" i="13" s="1"/>
  <c r="C456" i="13" s="1"/>
  <c r="C457" i="13" s="1"/>
  <c r="C458" i="13" s="1"/>
  <c r="C459" i="13" s="1"/>
  <c r="C460" i="13" s="1"/>
  <c r="C461" i="13" s="1"/>
  <c r="C462" i="13" s="1"/>
  <c r="C463" i="13" s="1"/>
  <c r="C464" i="13" s="1"/>
  <c r="C465" i="13" s="1"/>
  <c r="C466" i="13" s="1"/>
  <c r="C467" i="13" s="1"/>
  <c r="C468" i="13" s="1"/>
  <c r="C469" i="13" s="1"/>
  <c r="C470" i="13" s="1"/>
  <c r="C471" i="13" s="1"/>
  <c r="C472" i="13" s="1"/>
  <c r="C473" i="13" s="1"/>
  <c r="C474" i="13" s="1"/>
  <c r="C475" i="13" s="1"/>
  <c r="C476" i="13" s="1"/>
  <c r="C477" i="13" s="1"/>
  <c r="C478" i="13" s="1"/>
  <c r="C479" i="13" s="1"/>
  <c r="C480" i="13" s="1"/>
  <c r="C481" i="13" s="1"/>
  <c r="C482" i="13" s="1"/>
  <c r="C483" i="13" s="1"/>
  <c r="C484" i="13" s="1"/>
  <c r="C485" i="13" s="1"/>
  <c r="C486" i="13" s="1"/>
  <c r="C487" i="13" s="1"/>
  <c r="C488" i="13" s="1"/>
  <c r="C489" i="13" s="1"/>
  <c r="C490" i="13" s="1"/>
  <c r="C491" i="13" s="1"/>
  <c r="C492" i="13" s="1"/>
  <c r="C493" i="13" s="1"/>
  <c r="C494" i="13" s="1"/>
  <c r="C495" i="13" s="1"/>
  <c r="C496" i="13" s="1"/>
  <c r="C497" i="13" s="1"/>
  <c r="C498" i="13" s="1"/>
  <c r="C499" i="13" s="1"/>
  <c r="C500" i="13" s="1"/>
  <c r="C501" i="13" s="1"/>
  <c r="C502" i="13" s="1"/>
  <c r="C503" i="13" s="1"/>
  <c r="C504" i="13" s="1"/>
  <c r="C505" i="13" s="1"/>
  <c r="C506" i="13" s="1"/>
  <c r="C507" i="13" s="1"/>
  <c r="C508" i="13" s="1"/>
  <c r="C509" i="13" s="1"/>
  <c r="D450" i="13"/>
  <c r="C450" i="13"/>
  <c r="L445" i="13"/>
  <c r="L437" i="13"/>
  <c r="P431" i="13"/>
  <c r="O431" i="13"/>
  <c r="O422" i="13"/>
  <c r="M422" i="13"/>
  <c r="O421" i="13"/>
  <c r="M421" i="13"/>
  <c r="O420" i="13"/>
  <c r="M420" i="13"/>
  <c r="O419" i="13"/>
  <c r="M419" i="13"/>
  <c r="O418" i="13"/>
  <c r="M418" i="13"/>
  <c r="O417" i="13"/>
  <c r="M417" i="13"/>
  <c r="O416" i="13"/>
  <c r="M416" i="13"/>
  <c r="O415" i="13"/>
  <c r="M415" i="13"/>
  <c r="O414" i="13"/>
  <c r="M414" i="13"/>
  <c r="O413" i="13"/>
  <c r="M413" i="13"/>
  <c r="O412" i="13"/>
  <c r="M412" i="13"/>
  <c r="O411" i="13"/>
  <c r="M411" i="13"/>
  <c r="O410" i="13"/>
  <c r="M410" i="13"/>
  <c r="O409" i="13"/>
  <c r="M409" i="13"/>
  <c r="O408" i="13"/>
  <c r="M408" i="13"/>
  <c r="O407" i="13"/>
  <c r="M407" i="13"/>
  <c r="O406" i="13"/>
  <c r="M406" i="13"/>
  <c r="O405" i="13"/>
  <c r="M405" i="13"/>
  <c r="O404" i="13"/>
  <c r="M404" i="13"/>
  <c r="O403" i="13"/>
  <c r="M403" i="13"/>
  <c r="O402" i="13"/>
  <c r="M402" i="13"/>
  <c r="O401" i="13"/>
  <c r="M401" i="13"/>
  <c r="O400" i="13"/>
  <c r="M400" i="13"/>
  <c r="O399" i="13"/>
  <c r="M399" i="13"/>
  <c r="O398" i="13"/>
  <c r="M398" i="13"/>
  <c r="O397" i="13"/>
  <c r="M397" i="13"/>
  <c r="O396" i="13"/>
  <c r="M396" i="13"/>
  <c r="O395" i="13"/>
  <c r="M395" i="13"/>
  <c r="O394" i="13"/>
  <c r="M394" i="13"/>
  <c r="O393" i="13"/>
  <c r="M393" i="13"/>
  <c r="O392" i="13"/>
  <c r="M392" i="13"/>
  <c r="O391" i="13"/>
  <c r="M391" i="13"/>
  <c r="O390" i="13"/>
  <c r="M390" i="13"/>
  <c r="O389" i="13"/>
  <c r="M389" i="13"/>
  <c r="O388" i="13"/>
  <c r="M388" i="13"/>
  <c r="O387" i="13"/>
  <c r="M387" i="13"/>
  <c r="O386" i="13"/>
  <c r="M386" i="13"/>
  <c r="O385" i="13"/>
  <c r="M385" i="13"/>
  <c r="O384" i="13"/>
  <c r="M384" i="13"/>
  <c r="O383" i="13"/>
  <c r="M383" i="13"/>
  <c r="O382" i="13"/>
  <c r="M382" i="13"/>
  <c r="O381" i="13"/>
  <c r="M381" i="13"/>
  <c r="O380" i="13"/>
  <c r="M380" i="13"/>
  <c r="O379" i="13"/>
  <c r="M379" i="13"/>
  <c r="O378" i="13"/>
  <c r="M378" i="13"/>
  <c r="O377" i="13"/>
  <c r="M377" i="13"/>
  <c r="O376" i="13"/>
  <c r="M376" i="13"/>
  <c r="O375" i="13"/>
  <c r="M375" i="13"/>
  <c r="O374" i="13"/>
  <c r="M374" i="13"/>
  <c r="O373" i="13"/>
  <c r="M373" i="13"/>
  <c r="O372" i="13"/>
  <c r="M372" i="13"/>
  <c r="O371" i="13"/>
  <c r="M371" i="13"/>
  <c r="O370" i="13"/>
  <c r="M370" i="13"/>
  <c r="O369" i="13"/>
  <c r="M369" i="13"/>
  <c r="O368" i="13"/>
  <c r="M368" i="13"/>
  <c r="O367" i="13"/>
  <c r="M367" i="13"/>
  <c r="D363" i="13"/>
  <c r="C363" i="13"/>
  <c r="C364" i="13"/>
  <c r="C365" i="13"/>
  <c r="C366" i="13" s="1"/>
  <c r="C367" i="13" s="1"/>
  <c r="C368" i="13" s="1"/>
  <c r="C369" i="13"/>
  <c r="C370" i="13" s="1"/>
  <c r="C371" i="13" s="1"/>
  <c r="C372" i="13" s="1"/>
  <c r="C373" i="13" s="1"/>
  <c r="C374" i="13" s="1"/>
  <c r="C375" i="13" s="1"/>
  <c r="C376" i="13" s="1"/>
  <c r="C377" i="13" s="1"/>
  <c r="C378" i="13" s="1"/>
  <c r="C379" i="13" s="1"/>
  <c r="C380" i="13" s="1"/>
  <c r="C381" i="13" s="1"/>
  <c r="C382" i="13" s="1"/>
  <c r="C383" i="13" s="1"/>
  <c r="C384" i="13" s="1"/>
  <c r="C385" i="13" s="1"/>
  <c r="C386" i="13" s="1"/>
  <c r="C387" i="13" s="1"/>
  <c r="C388" i="13" s="1"/>
  <c r="C389" i="13" s="1"/>
  <c r="C390" i="13" s="1"/>
  <c r="C391" i="13" s="1"/>
  <c r="C392" i="13" s="1"/>
  <c r="C393" i="13" s="1"/>
  <c r="C394" i="13" s="1"/>
  <c r="L358" i="13"/>
  <c r="L350" i="13"/>
  <c r="P344" i="13"/>
  <c r="O344" i="13"/>
  <c r="O335" i="13"/>
  <c r="M335" i="13"/>
  <c r="O334" i="13"/>
  <c r="M334" i="13"/>
  <c r="O333" i="13"/>
  <c r="M333" i="13"/>
  <c r="O332" i="13"/>
  <c r="M332" i="13"/>
  <c r="O331" i="13"/>
  <c r="M331" i="13"/>
  <c r="O330" i="13"/>
  <c r="M330" i="13"/>
  <c r="O329" i="13"/>
  <c r="M329" i="13"/>
  <c r="O328" i="13"/>
  <c r="M328" i="13"/>
  <c r="O327" i="13"/>
  <c r="M327" i="13"/>
  <c r="O326" i="13"/>
  <c r="M326" i="13"/>
  <c r="O325" i="13"/>
  <c r="M325" i="13"/>
  <c r="O324" i="13"/>
  <c r="M324" i="13"/>
  <c r="O323" i="13"/>
  <c r="M323" i="13"/>
  <c r="O322" i="13"/>
  <c r="M322" i="13"/>
  <c r="O321" i="13"/>
  <c r="M321" i="13"/>
  <c r="O320" i="13"/>
  <c r="M320" i="13"/>
  <c r="O319" i="13"/>
  <c r="M319" i="13"/>
  <c r="O318" i="13"/>
  <c r="M318" i="13"/>
  <c r="O317" i="13"/>
  <c r="M317" i="13"/>
  <c r="O316" i="13"/>
  <c r="M316" i="13"/>
  <c r="O315" i="13"/>
  <c r="M315" i="13"/>
  <c r="O314" i="13"/>
  <c r="M314" i="13"/>
  <c r="O313" i="13"/>
  <c r="M313" i="13"/>
  <c r="O312" i="13"/>
  <c r="M312" i="13"/>
  <c r="O311" i="13"/>
  <c r="M311" i="13"/>
  <c r="O310" i="13"/>
  <c r="M310" i="13"/>
  <c r="O309" i="13"/>
  <c r="M309" i="13"/>
  <c r="O308" i="13"/>
  <c r="M308" i="13"/>
  <c r="O307" i="13"/>
  <c r="M307" i="13"/>
  <c r="O306" i="13"/>
  <c r="M306" i="13"/>
  <c r="O305" i="13"/>
  <c r="M305" i="13"/>
  <c r="O304" i="13"/>
  <c r="M304" i="13"/>
  <c r="O303" i="13"/>
  <c r="M303" i="13"/>
  <c r="O302" i="13"/>
  <c r="M302" i="13"/>
  <c r="O301" i="13"/>
  <c r="M301" i="13"/>
  <c r="O300" i="13"/>
  <c r="M300" i="13"/>
  <c r="O299" i="13"/>
  <c r="M299" i="13"/>
  <c r="O298" i="13"/>
  <c r="M298" i="13"/>
  <c r="O297" i="13"/>
  <c r="M297" i="13"/>
  <c r="O296" i="13"/>
  <c r="M296" i="13"/>
  <c r="O295" i="13"/>
  <c r="M295" i="13"/>
  <c r="O294" i="13"/>
  <c r="M294" i="13"/>
  <c r="O293" i="13"/>
  <c r="M293" i="13"/>
  <c r="O292" i="13"/>
  <c r="M292" i="13"/>
  <c r="O291" i="13"/>
  <c r="M291" i="13"/>
  <c r="O290" i="13"/>
  <c r="M290" i="13"/>
  <c r="O289" i="13"/>
  <c r="M289" i="13"/>
  <c r="O288" i="13"/>
  <c r="M288" i="13"/>
  <c r="O287" i="13"/>
  <c r="M287" i="13"/>
  <c r="O286" i="13"/>
  <c r="M286" i="13"/>
  <c r="O285" i="13"/>
  <c r="M285" i="13"/>
  <c r="O284" i="13"/>
  <c r="M284" i="13"/>
  <c r="O283" i="13"/>
  <c r="M283" i="13"/>
  <c r="D276" i="13"/>
  <c r="C276" i="13"/>
  <c r="C277" i="13"/>
  <c r="C278" i="13"/>
  <c r="C279" i="13" s="1"/>
  <c r="C280" i="13" s="1"/>
  <c r="C281" i="13" s="1"/>
  <c r="C282" i="13"/>
  <c r="C283" i="13" s="1"/>
  <c r="C284" i="13" s="1"/>
  <c r="C285" i="13" s="1"/>
  <c r="C286" i="13"/>
  <c r="C287" i="13" s="1"/>
  <c r="C288" i="13" s="1"/>
  <c r="C289" i="13" s="1"/>
  <c r="C290" i="13" s="1"/>
  <c r="C291" i="13" s="1"/>
  <c r="C292" i="13" s="1"/>
  <c r="C293" i="13" s="1"/>
  <c r="C294" i="13" s="1"/>
  <c r="C295" i="13" s="1"/>
  <c r="C296" i="13" s="1"/>
  <c r="C297" i="13" s="1"/>
  <c r="C298" i="13" s="1"/>
  <c r="C299" i="13" s="1"/>
  <c r="C300" i="13" s="1"/>
  <c r="C301" i="13" s="1"/>
  <c r="C302" i="13" s="1"/>
  <c r="C303" i="13" s="1"/>
  <c r="C304" i="13" s="1"/>
  <c r="C305" i="13" s="1"/>
  <c r="C306" i="13" s="1"/>
  <c r="C307" i="13" s="1"/>
  <c r="C308" i="13" s="1"/>
  <c r="C309" i="13" s="1"/>
  <c r="C310" i="13" s="1"/>
  <c r="C311" i="13" s="1"/>
  <c r="L271" i="13"/>
  <c r="L263" i="13"/>
  <c r="P257" i="13"/>
  <c r="O257" i="13"/>
  <c r="O248" i="13"/>
  <c r="M248" i="13"/>
  <c r="O247" i="13"/>
  <c r="M247" i="13"/>
  <c r="O246" i="13"/>
  <c r="M246" i="13"/>
  <c r="O245" i="13"/>
  <c r="M245" i="13"/>
  <c r="O244" i="13"/>
  <c r="M244" i="13"/>
  <c r="O243" i="13"/>
  <c r="M243" i="13"/>
  <c r="O242" i="13"/>
  <c r="M242" i="13"/>
  <c r="O241" i="13"/>
  <c r="M241" i="13"/>
  <c r="O240" i="13"/>
  <c r="M240" i="13"/>
  <c r="O239" i="13"/>
  <c r="M239" i="13"/>
  <c r="O238" i="13"/>
  <c r="M238" i="13"/>
  <c r="O237" i="13"/>
  <c r="M237" i="13"/>
  <c r="O236" i="13"/>
  <c r="M236" i="13"/>
  <c r="O235" i="13"/>
  <c r="M235" i="13"/>
  <c r="O234" i="13"/>
  <c r="M234" i="13"/>
  <c r="O233" i="13"/>
  <c r="M233" i="13"/>
  <c r="O232" i="13"/>
  <c r="M232" i="13"/>
  <c r="O231" i="13"/>
  <c r="M231" i="13"/>
  <c r="O230" i="13"/>
  <c r="M230" i="13"/>
  <c r="O229" i="13"/>
  <c r="M229" i="13"/>
  <c r="O228" i="13"/>
  <c r="M228" i="13"/>
  <c r="O227" i="13"/>
  <c r="M227" i="13"/>
  <c r="O226" i="13"/>
  <c r="M226" i="13"/>
  <c r="O225" i="13"/>
  <c r="M225" i="13"/>
  <c r="O224" i="13"/>
  <c r="M224" i="13"/>
  <c r="O223" i="13"/>
  <c r="M223" i="13"/>
  <c r="O222" i="13"/>
  <c r="M222" i="13"/>
  <c r="O221" i="13"/>
  <c r="M221" i="13"/>
  <c r="O220" i="13"/>
  <c r="M220" i="13"/>
  <c r="O219" i="13"/>
  <c r="M219" i="13"/>
  <c r="O218" i="13"/>
  <c r="M218" i="13"/>
  <c r="O217" i="13"/>
  <c r="M217" i="13"/>
  <c r="O216" i="13"/>
  <c r="M216" i="13"/>
  <c r="O215" i="13"/>
  <c r="M215" i="13"/>
  <c r="O214" i="13"/>
  <c r="M214" i="13"/>
  <c r="O213" i="13"/>
  <c r="M213" i="13"/>
  <c r="O212" i="13"/>
  <c r="M212" i="13"/>
  <c r="O211" i="13"/>
  <c r="M211" i="13"/>
  <c r="O210" i="13"/>
  <c r="M210" i="13"/>
  <c r="O209" i="13"/>
  <c r="M209" i="13"/>
  <c r="O208" i="13"/>
  <c r="M208" i="13"/>
  <c r="O207" i="13"/>
  <c r="M207" i="13"/>
  <c r="O206" i="13"/>
  <c r="M206" i="13"/>
  <c r="O205" i="13"/>
  <c r="M205" i="13"/>
  <c r="O204" i="13"/>
  <c r="M204" i="13"/>
  <c r="O203" i="13"/>
  <c r="M203" i="13"/>
  <c r="O202" i="13"/>
  <c r="M202" i="13"/>
  <c r="O201" i="13"/>
  <c r="M201" i="13"/>
  <c r="O200" i="13"/>
  <c r="M200" i="13"/>
  <c r="O199" i="13"/>
  <c r="M199" i="13"/>
  <c r="O198" i="13"/>
  <c r="M198" i="13"/>
  <c r="O197" i="13"/>
  <c r="M197" i="13"/>
  <c r="O196" i="13"/>
  <c r="M196" i="13"/>
  <c r="D189" i="13"/>
  <c r="C189" i="13"/>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L184" i="13"/>
  <c r="L176" i="13"/>
  <c r="P170" i="13"/>
  <c r="O170" i="13"/>
  <c r="A8" i="50"/>
  <c r="A8" i="49"/>
  <c r="A8" i="47"/>
  <c r="G155" i="2"/>
  <c r="G154" i="2"/>
  <c r="G153" i="2"/>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D637" i="20"/>
  <c r="C637" i="20"/>
  <c r="C638" i="20"/>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K632" i="20"/>
  <c r="I631" i="20"/>
  <c r="O618" i="20"/>
  <c r="N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C476" i="20"/>
  <c r="C477" i="20" s="1"/>
  <c r="C478" i="20" s="1"/>
  <c r="C479" i="20" s="1"/>
  <c r="C480" i="20" s="1"/>
  <c r="C481" i="20" s="1"/>
  <c r="C482" i="20" s="1"/>
  <c r="C483" i="20" s="1"/>
  <c r="C484" i="20" s="1"/>
  <c r="C485" i="20" s="1"/>
  <c r="C486" i="20" s="1"/>
  <c r="C487" i="20" s="1"/>
  <c r="C488" i="20" s="1"/>
  <c r="C489" i="20" s="1"/>
  <c r="D459" i="20"/>
  <c r="C459" i="20"/>
  <c r="C460" i="20" s="1"/>
  <c r="C461" i="20"/>
  <c r="C462" i="20" s="1"/>
  <c r="C463" i="20" s="1"/>
  <c r="C464" i="20" s="1"/>
  <c r="C465" i="20" s="1"/>
  <c r="C466" i="20" s="1"/>
  <c r="C467" i="20" s="1"/>
  <c r="C468" i="20" s="1"/>
  <c r="C469" i="20" s="1"/>
  <c r="C470" i="20" s="1"/>
  <c r="C471" i="20" s="1"/>
  <c r="C472" i="20" s="1"/>
  <c r="C473" i="20" s="1"/>
  <c r="C474" i="20" s="1"/>
  <c r="C475" i="20" s="1"/>
  <c r="K454" i="20"/>
  <c r="I453" i="20"/>
  <c r="O440" i="20"/>
  <c r="N440" i="20"/>
  <c r="D370" i="20"/>
  <c r="C370" i="20"/>
  <c r="C371" i="20" s="1"/>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K365" i="20"/>
  <c r="I364" i="20"/>
  <c r="O351" i="20"/>
  <c r="N351" i="20"/>
  <c r="D281" i="20"/>
  <c r="C281" i="20"/>
  <c r="C282" i="20" s="1"/>
  <c r="C283" i="20" s="1"/>
  <c r="C284" i="20" s="1"/>
  <c r="C285" i="20" s="1"/>
  <c r="C286" i="20" s="1"/>
  <c r="C287" i="20" s="1"/>
  <c r="C288" i="20"/>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K276" i="20"/>
  <c r="I275" i="20"/>
  <c r="O262" i="20"/>
  <c r="N262" i="20"/>
  <c r="D192" i="20"/>
  <c r="C192" i="20"/>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K187" i="20"/>
  <c r="I186" i="20"/>
  <c r="O173" i="20"/>
  <c r="N173" i="20"/>
  <c r="D103" i="20"/>
  <c r="C103" i="20"/>
  <c r="C104" i="20"/>
  <c r="C105" i="20" s="1"/>
  <c r="C106" i="20" s="1"/>
  <c r="C107" i="20" s="1"/>
  <c r="C108" i="20" s="1"/>
  <c r="C109" i="20" s="1"/>
  <c r="C110" i="20" s="1"/>
  <c r="C111" i="20" s="1"/>
  <c r="C112" i="20"/>
  <c r="C113" i="20" s="1"/>
  <c r="C114" i="20" s="1"/>
  <c r="C115" i="20" s="1"/>
  <c r="C116" i="20" s="1"/>
  <c r="C117" i="20" s="1"/>
  <c r="C118" i="20" s="1"/>
  <c r="C119" i="20" s="1"/>
  <c r="C120" i="20"/>
  <c r="C121" i="20" s="1"/>
  <c r="C122" i="20" s="1"/>
  <c r="C123" i="20" s="1"/>
  <c r="C124" i="20" s="1"/>
  <c r="C125" i="20" s="1"/>
  <c r="C126" i="20" s="1"/>
  <c r="C127" i="20" s="1"/>
  <c r="C128" i="20"/>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C161" i="20" s="1"/>
  <c r="C162" i="20" s="1"/>
  <c r="K98" i="20"/>
  <c r="I97" i="20"/>
  <c r="O84" i="20"/>
  <c r="N84" i="20"/>
  <c r="B41" i="50"/>
  <c r="B42" i="50" s="1"/>
  <c r="B43" i="50" s="1"/>
  <c r="B44" i="50" s="1"/>
  <c r="B45" i="50" s="1"/>
  <c r="B46" i="50" s="1"/>
  <c r="B47" i="50" s="1"/>
  <c r="B48" i="50" s="1"/>
  <c r="B49" i="50"/>
  <c r="B50" i="50" s="1"/>
  <c r="B39" i="50"/>
  <c r="B40" i="50" s="1"/>
  <c r="B36" i="50"/>
  <c r="G22" i="50"/>
  <c r="G23" i="50" s="1"/>
  <c r="G24" i="50" s="1"/>
  <c r="G25" i="50" s="1"/>
  <c r="G26" i="50"/>
  <c r="G27" i="50" s="1"/>
  <c r="G28" i="50" s="1"/>
  <c r="G29" i="50" s="1"/>
  <c r="G30" i="50" s="1"/>
  <c r="G31" i="50" s="1"/>
  <c r="G32" i="50" s="1"/>
  <c r="F21" i="50"/>
  <c r="F22" i="50"/>
  <c r="F23" i="50" s="1"/>
  <c r="F24" i="50" s="1"/>
  <c r="B21" i="50"/>
  <c r="B22" i="50" s="1"/>
  <c r="B23" i="50" s="1"/>
  <c r="B24" i="50" s="1"/>
  <c r="B25" i="50" s="1"/>
  <c r="B26" i="50"/>
  <c r="B27" i="50" s="1"/>
  <c r="B28" i="50" s="1"/>
  <c r="B29" i="50" s="1"/>
  <c r="B30" i="50" s="1"/>
  <c r="B31" i="50" s="1"/>
  <c r="B32" i="50" s="1"/>
  <c r="H10" i="50"/>
  <c r="D21" i="50"/>
  <c r="D22" i="50" s="1"/>
  <c r="F10" i="50"/>
  <c r="B10" i="50"/>
  <c r="B39" i="49"/>
  <c r="B40" i="49" s="1"/>
  <c r="B41" i="49" s="1"/>
  <c r="B42" i="49" s="1"/>
  <c r="B43" i="49" s="1"/>
  <c r="B44" i="49" s="1"/>
  <c r="B45" i="49" s="1"/>
  <c r="B46" i="49" s="1"/>
  <c r="B47" i="49" s="1"/>
  <c r="B48" i="49" s="1"/>
  <c r="B49" i="49" s="1"/>
  <c r="B50" i="49" s="1"/>
  <c r="B36" i="49"/>
  <c r="G22" i="49"/>
  <c r="G23" i="49" s="1"/>
  <c r="G24" i="49" s="1"/>
  <c r="G25" i="49" s="1"/>
  <c r="G26" i="49" s="1"/>
  <c r="G27" i="49" s="1"/>
  <c r="G28" i="49" s="1"/>
  <c r="G29" i="49" s="1"/>
  <c r="G30" i="49" s="1"/>
  <c r="G31" i="49" s="1"/>
  <c r="G32" i="49" s="1"/>
  <c r="F21" i="49"/>
  <c r="F22" i="49" s="1"/>
  <c r="B21" i="49"/>
  <c r="B22" i="49" s="1"/>
  <c r="B23" i="49" s="1"/>
  <c r="B24" i="49" s="1"/>
  <c r="B25" i="49" s="1"/>
  <c r="B26" i="49" s="1"/>
  <c r="B27" i="49" s="1"/>
  <c r="B28" i="49" s="1"/>
  <c r="B29" i="49" s="1"/>
  <c r="B30" i="49" s="1"/>
  <c r="B31" i="49"/>
  <c r="B32" i="49" s="1"/>
  <c r="H10" i="49"/>
  <c r="D21" i="49" s="1"/>
  <c r="D22" i="49" s="1"/>
  <c r="D23" i="49" s="1"/>
  <c r="D24" i="49" s="1"/>
  <c r="D25" i="49" s="1"/>
  <c r="D26" i="49" s="1"/>
  <c r="D27" i="49" s="1"/>
  <c r="D28" i="49" s="1"/>
  <c r="D29" i="49" s="1"/>
  <c r="D30" i="49" s="1"/>
  <c r="D31" i="49" s="1"/>
  <c r="D32" i="49" s="1"/>
  <c r="F10" i="49"/>
  <c r="B10" i="49"/>
  <c r="B39" i="47"/>
  <c r="B40" i="47" s="1"/>
  <c r="B41" i="47" s="1"/>
  <c r="B42" i="47" s="1"/>
  <c r="B43" i="47" s="1"/>
  <c r="B44" i="47" s="1"/>
  <c r="B45" i="47" s="1"/>
  <c r="B46" i="47" s="1"/>
  <c r="B47" i="47" s="1"/>
  <c r="B48" i="47" s="1"/>
  <c r="B49" i="47" s="1"/>
  <c r="B50" i="47" s="1"/>
  <c r="B36" i="47"/>
  <c r="G22" i="47"/>
  <c r="G23" i="47"/>
  <c r="G24" i="47"/>
  <c r="G25" i="47" s="1"/>
  <c r="G26" i="47" s="1"/>
  <c r="G27" i="47" s="1"/>
  <c r="G28" i="47" s="1"/>
  <c r="G29" i="47" s="1"/>
  <c r="G30" i="47" s="1"/>
  <c r="G31" i="47" s="1"/>
  <c r="G32" i="47"/>
  <c r="F21" i="47"/>
  <c r="F22" i="47" s="1"/>
  <c r="F23" i="47" s="1"/>
  <c r="F24" i="47" s="1"/>
  <c r="B21" i="47"/>
  <c r="B22" i="47" s="1"/>
  <c r="B23" i="47" s="1"/>
  <c r="B24" i="47" s="1"/>
  <c r="B25" i="47" s="1"/>
  <c r="B26" i="47" s="1"/>
  <c r="B27" i="47" s="1"/>
  <c r="B28" i="47" s="1"/>
  <c r="B29" i="47" s="1"/>
  <c r="B30" i="47" s="1"/>
  <c r="B31" i="47" s="1"/>
  <c r="B32" i="47" s="1"/>
  <c r="F10" i="47"/>
  <c r="B10" i="47"/>
  <c r="H10" i="47"/>
  <c r="I54" i="47" s="1"/>
  <c r="F36" i="10"/>
  <c r="F73" i="9"/>
  <c r="G163" i="2" s="1"/>
  <c r="L163" i="2" s="1"/>
  <c r="D73" i="9"/>
  <c r="D23" i="35"/>
  <c r="G67" i="2" s="1"/>
  <c r="L67" i="2" s="1"/>
  <c r="G42" i="41"/>
  <c r="F42" i="41"/>
  <c r="E42" i="41"/>
  <c r="D42" i="41"/>
  <c r="C42" i="41"/>
  <c r="F23" i="41"/>
  <c r="L251" i="2" s="1"/>
  <c r="E23" i="41"/>
  <c r="L250" i="2" s="1"/>
  <c r="D23" i="41"/>
  <c r="L249" i="2" s="1"/>
  <c r="C23" i="41"/>
  <c r="L248" i="2" s="1"/>
  <c r="F62" i="35"/>
  <c r="E62" i="35"/>
  <c r="L227" i="2" s="1"/>
  <c r="D62" i="35"/>
  <c r="C62" i="35"/>
  <c r="K42" i="35"/>
  <c r="J42" i="35"/>
  <c r="I42" i="35"/>
  <c r="G84" i="2" s="1"/>
  <c r="H42" i="35"/>
  <c r="G42" i="35"/>
  <c r="G82" i="2" s="1"/>
  <c r="L82" i="2" s="1"/>
  <c r="F42" i="35"/>
  <c r="G81" i="2" s="1"/>
  <c r="E42" i="35"/>
  <c r="G80" i="2" s="1"/>
  <c r="D42" i="35"/>
  <c r="G79" i="2" s="1"/>
  <c r="L79" i="2" s="1"/>
  <c r="C42" i="35"/>
  <c r="G78" i="2" s="1"/>
  <c r="K23" i="35"/>
  <c r="J23" i="35"/>
  <c r="I23" i="35"/>
  <c r="G72" i="2" s="1"/>
  <c r="H23" i="35"/>
  <c r="G71" i="2" s="1"/>
  <c r="L71" i="2" s="1"/>
  <c r="G23" i="35"/>
  <c r="G70" i="2" s="1"/>
  <c r="F23" i="35"/>
  <c r="E23" i="35"/>
  <c r="G68" i="2"/>
  <c r="L226" i="2" s="1"/>
  <c r="C23" i="35"/>
  <c r="F24" i="10"/>
  <c r="F17" i="48"/>
  <c r="B14" i="48"/>
  <c r="A6" i="48"/>
  <c r="I47" i="48"/>
  <c r="C26" i="48" s="1"/>
  <c r="H47" i="48"/>
  <c r="C25" i="48" s="1"/>
  <c r="D47" i="48"/>
  <c r="C22" i="48" s="1"/>
  <c r="K45" i="48"/>
  <c r="K41" i="48"/>
  <c r="J47" i="48"/>
  <c r="C27" i="48" s="1"/>
  <c r="G47" i="48"/>
  <c r="C24" i="48" s="1"/>
  <c r="F47" i="48"/>
  <c r="C23" i="48" s="1"/>
  <c r="G23" i="48" s="1"/>
  <c r="K37" i="48"/>
  <c r="E28" i="48"/>
  <c r="G26" i="48"/>
  <c r="A24" i="48"/>
  <c r="A25" i="48" s="1"/>
  <c r="A26" i="48" s="1"/>
  <c r="A27" i="48" s="1"/>
  <c r="B28" i="48" s="1"/>
  <c r="A23" i="48"/>
  <c r="E20" i="48"/>
  <c r="A4" i="48"/>
  <c r="C63" i="41"/>
  <c r="B48" i="41"/>
  <c r="M27" i="42"/>
  <c r="I27" i="42"/>
  <c r="E27" i="42"/>
  <c r="M26" i="42"/>
  <c r="I26" i="42"/>
  <c r="E26" i="42"/>
  <c r="M25" i="42"/>
  <c r="I25" i="42"/>
  <c r="E25" i="42"/>
  <c r="M24" i="42"/>
  <c r="I24" i="42"/>
  <c r="E24" i="42"/>
  <c r="M23" i="42"/>
  <c r="I23" i="42"/>
  <c r="E23" i="42"/>
  <c r="M22" i="42"/>
  <c r="I22" i="42"/>
  <c r="E22" i="42"/>
  <c r="M21" i="42"/>
  <c r="I21" i="42"/>
  <c r="E21" i="42"/>
  <c r="O21" i="42" s="1"/>
  <c r="M20" i="42"/>
  <c r="I20" i="42"/>
  <c r="O20" i="42" s="1"/>
  <c r="E20" i="42"/>
  <c r="M19" i="42"/>
  <c r="I19" i="42"/>
  <c r="E19" i="42"/>
  <c r="I30" i="30"/>
  <c r="I31" i="30"/>
  <c r="A6" i="11"/>
  <c r="A4" i="41"/>
  <c r="A6" i="13"/>
  <c r="A6" i="20"/>
  <c r="A6" i="10"/>
  <c r="A6" i="9"/>
  <c r="A6" i="8"/>
  <c r="B36" i="8" s="1"/>
  <c r="A6" i="7"/>
  <c r="B26" i="7" s="1"/>
  <c r="A6" i="6"/>
  <c r="B1" i="39"/>
  <c r="B1" i="38"/>
  <c r="A6" i="5"/>
  <c r="A4" i="35"/>
  <c r="B3" i="39"/>
  <c r="U10" i="39"/>
  <c r="S10" i="38"/>
  <c r="O10" i="39"/>
  <c r="M10" i="38"/>
  <c r="F13" i="39"/>
  <c r="E13" i="39"/>
  <c r="E13" i="38"/>
  <c r="D13" i="39"/>
  <c r="D13" i="38"/>
  <c r="C13" i="39"/>
  <c r="C13" i="38"/>
  <c r="O140" i="39"/>
  <c r="D43" i="5"/>
  <c r="D42" i="5"/>
  <c r="D27" i="5"/>
  <c r="D19" i="5"/>
  <c r="F86" i="35"/>
  <c r="F85" i="35"/>
  <c r="S230" i="38"/>
  <c r="M230" i="38"/>
  <c r="S93" i="38"/>
  <c r="M93" i="38"/>
  <c r="F13" i="38"/>
  <c r="B3" i="38"/>
  <c r="A94" i="38"/>
  <c r="D26" i="5" s="1"/>
  <c r="A233" i="38"/>
  <c r="A236"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A136" i="39" s="1"/>
  <c r="A137" i="39" s="1"/>
  <c r="A138" i="39" s="1"/>
  <c r="A99" i="38"/>
  <c r="A100" i="38" s="1"/>
  <c r="A101" i="38" s="1"/>
  <c r="A102" i="38" s="1"/>
  <c r="A103" i="38" s="1"/>
  <c r="A104" i="38" s="1"/>
  <c r="A105" i="38" s="1"/>
  <c r="A106" i="38" s="1"/>
  <c r="A107" i="38" s="1"/>
  <c r="A108" i="38" s="1"/>
  <c r="A109" i="38" s="1"/>
  <c r="A29" i="38"/>
  <c r="A30" i="38" s="1"/>
  <c r="A31" i="38" s="1"/>
  <c r="I42" i="5"/>
  <c r="G134" i="39"/>
  <c r="G133" i="39"/>
  <c r="G131" i="39"/>
  <c r="L129" i="39"/>
  <c r="D129" i="39"/>
  <c r="C129" i="39"/>
  <c r="I129" i="39"/>
  <c r="D128" i="39"/>
  <c r="K128" i="39"/>
  <c r="I128" i="39"/>
  <c r="C128" i="39"/>
  <c r="C127" i="39"/>
  <c r="L127" i="39"/>
  <c r="K127" i="39"/>
  <c r="D126" i="39"/>
  <c r="L126" i="39"/>
  <c r="K125" i="39"/>
  <c r="I125" i="39"/>
  <c r="D124" i="39"/>
  <c r="K124" i="39"/>
  <c r="I124" i="39"/>
  <c r="I123" i="39"/>
  <c r="L123" i="39"/>
  <c r="K123" i="39"/>
  <c r="D123" i="39"/>
  <c r="C123" i="39"/>
  <c r="K88" i="39"/>
  <c r="D88" i="39"/>
  <c r="L88" i="39"/>
  <c r="L87" i="39"/>
  <c r="D87" i="39"/>
  <c r="C87" i="39"/>
  <c r="I87" i="39"/>
  <c r="D86" i="39"/>
  <c r="K86" i="39"/>
  <c r="I86" i="39"/>
  <c r="C85" i="39"/>
  <c r="K85" i="39"/>
  <c r="K84" i="39"/>
  <c r="L84" i="39"/>
  <c r="D84" i="39"/>
  <c r="L83" i="39"/>
  <c r="K83" i="39"/>
  <c r="I83" i="39"/>
  <c r="D82" i="39"/>
  <c r="K82" i="39"/>
  <c r="I82" i="39"/>
  <c r="I81" i="39"/>
  <c r="L81" i="39"/>
  <c r="K81" i="39"/>
  <c r="D81" i="39"/>
  <c r="C81" i="39"/>
  <c r="K80" i="39"/>
  <c r="K141" i="39" s="1"/>
  <c r="D80" i="39"/>
  <c r="D141" i="39" s="1"/>
  <c r="L80" i="39"/>
  <c r="L141" i="39" s="1"/>
  <c r="L79" i="39"/>
  <c r="D79" i="39"/>
  <c r="C79" i="39"/>
  <c r="I79" i="39"/>
  <c r="D78" i="39"/>
  <c r="K78" i="39"/>
  <c r="I78" i="39"/>
  <c r="C78" i="39"/>
  <c r="C77" i="39"/>
  <c r="L77" i="39"/>
  <c r="K77" i="39"/>
  <c r="K76" i="39"/>
  <c r="L76" i="39"/>
  <c r="L75" i="39"/>
  <c r="K75" i="39"/>
  <c r="I75" i="39"/>
  <c r="D74" i="39"/>
  <c r="K74" i="39"/>
  <c r="I74" i="39"/>
  <c r="I73" i="39"/>
  <c r="L73" i="39"/>
  <c r="K73" i="39"/>
  <c r="D73" i="39"/>
  <c r="C73" i="39"/>
  <c r="K72" i="39"/>
  <c r="D72" i="39"/>
  <c r="L72" i="39"/>
  <c r="L71" i="39"/>
  <c r="D71" i="39"/>
  <c r="C71" i="39"/>
  <c r="I71" i="39"/>
  <c r="D70" i="39"/>
  <c r="K70" i="39"/>
  <c r="I70" i="39"/>
  <c r="D69" i="39"/>
  <c r="C69" i="39"/>
  <c r="K69" i="39"/>
  <c r="K68" i="39"/>
  <c r="L68" i="39"/>
  <c r="D68" i="39"/>
  <c r="K67" i="39"/>
  <c r="I67" i="39"/>
  <c r="D66" i="39"/>
  <c r="K66" i="39"/>
  <c r="I66" i="39"/>
  <c r="I65" i="39"/>
  <c r="L65" i="39"/>
  <c r="K65" i="39"/>
  <c r="D65" i="39"/>
  <c r="C65" i="39"/>
  <c r="D64" i="39"/>
  <c r="K64" i="39"/>
  <c r="L64" i="39"/>
  <c r="D63" i="39"/>
  <c r="L63" i="39"/>
  <c r="C63" i="39"/>
  <c r="I63" i="39"/>
  <c r="D62" i="39"/>
  <c r="K62" i="39"/>
  <c r="I62" i="39"/>
  <c r="C62" i="39"/>
  <c r="D61" i="39"/>
  <c r="C61" i="39"/>
  <c r="L61" i="39"/>
  <c r="K61" i="39"/>
  <c r="D60" i="39"/>
  <c r="L60" i="39"/>
  <c r="K59" i="39"/>
  <c r="I59" i="39"/>
  <c r="D58" i="39"/>
  <c r="K58" i="39"/>
  <c r="I58" i="39"/>
  <c r="I57" i="39"/>
  <c r="L57" i="39"/>
  <c r="K57" i="39"/>
  <c r="D57" i="39"/>
  <c r="C57" i="39"/>
  <c r="D56" i="39"/>
  <c r="K56" i="39"/>
  <c r="L56" i="39"/>
  <c r="D55" i="39"/>
  <c r="L55" i="39"/>
  <c r="C55" i="39"/>
  <c r="I55" i="39"/>
  <c r="D54" i="39"/>
  <c r="C54" i="39"/>
  <c r="I54" i="39"/>
  <c r="L53" i="39"/>
  <c r="I53" i="39"/>
  <c r="K53" i="39"/>
  <c r="D53" i="39"/>
  <c r="L52" i="39"/>
  <c r="D52" i="39"/>
  <c r="C52" i="39"/>
  <c r="I52" i="39"/>
  <c r="D51" i="39"/>
  <c r="K51" i="39"/>
  <c r="I51" i="39"/>
  <c r="C51" i="39"/>
  <c r="G51" i="39" s="1"/>
  <c r="I50" i="39"/>
  <c r="C50" i="39"/>
  <c r="K50" i="39"/>
  <c r="K49" i="39"/>
  <c r="L49" i="39"/>
  <c r="L48" i="39"/>
  <c r="K48" i="39"/>
  <c r="I48" i="39"/>
  <c r="D47" i="39"/>
  <c r="L47" i="39"/>
  <c r="K47" i="39"/>
  <c r="I47" i="39"/>
  <c r="I46" i="39"/>
  <c r="L46" i="39"/>
  <c r="K46" i="39"/>
  <c r="D46" i="39"/>
  <c r="C46" i="39"/>
  <c r="K45" i="39"/>
  <c r="D45" i="39"/>
  <c r="L45" i="39"/>
  <c r="L44" i="39"/>
  <c r="D44" i="39"/>
  <c r="C44" i="39"/>
  <c r="I44" i="39"/>
  <c r="D43" i="39"/>
  <c r="K43" i="39"/>
  <c r="I43" i="39"/>
  <c r="C43" i="39"/>
  <c r="I42" i="39"/>
  <c r="C42" i="39"/>
  <c r="K42" i="39"/>
  <c r="K41" i="39"/>
  <c r="L41" i="39"/>
  <c r="L40" i="39"/>
  <c r="K40" i="39"/>
  <c r="I40" i="39"/>
  <c r="D39" i="39"/>
  <c r="L39" i="39"/>
  <c r="K39" i="39"/>
  <c r="I39" i="39"/>
  <c r="I38" i="39"/>
  <c r="L38" i="39"/>
  <c r="K38" i="39"/>
  <c r="D38" i="39"/>
  <c r="C38" i="39"/>
  <c r="K37" i="39"/>
  <c r="D37" i="39"/>
  <c r="L37" i="39"/>
  <c r="L36" i="39"/>
  <c r="D36" i="39"/>
  <c r="C36" i="39"/>
  <c r="G36" i="39" s="1"/>
  <c r="I36" i="39"/>
  <c r="D35" i="39"/>
  <c r="K35" i="39"/>
  <c r="I35" i="39"/>
  <c r="C35" i="39"/>
  <c r="I34" i="39"/>
  <c r="C34" i="39"/>
  <c r="K34" i="39"/>
  <c r="K33" i="39"/>
  <c r="L33" i="39"/>
  <c r="L32" i="39"/>
  <c r="K32" i="39"/>
  <c r="I32" i="39"/>
  <c r="D31" i="39"/>
  <c r="L31" i="39"/>
  <c r="K31" i="39"/>
  <c r="I31" i="39"/>
  <c r="I30" i="39"/>
  <c r="L30" i="39"/>
  <c r="K30" i="39"/>
  <c r="D30" i="39"/>
  <c r="C30" i="39"/>
  <c r="K29" i="39"/>
  <c r="D29" i="39"/>
  <c r="L29" i="39"/>
  <c r="L28" i="39"/>
  <c r="D28" i="39"/>
  <c r="C28" i="39"/>
  <c r="I28" i="39"/>
  <c r="D27" i="39"/>
  <c r="K27" i="39"/>
  <c r="I27" i="39"/>
  <c r="I26" i="39"/>
  <c r="K26" i="39"/>
  <c r="L26" i="39"/>
  <c r="C26" i="39"/>
  <c r="K25" i="39"/>
  <c r="D25" i="39"/>
  <c r="L25" i="39"/>
  <c r="C25" i="39"/>
  <c r="G25" i="39" s="1"/>
  <c r="D24" i="39"/>
  <c r="C24" i="39"/>
  <c r="L24" i="39"/>
  <c r="I24" i="39"/>
  <c r="C23" i="39"/>
  <c r="I23" i="39"/>
  <c r="L22" i="39"/>
  <c r="C22" i="39"/>
  <c r="I22" i="39"/>
  <c r="D22" i="39"/>
  <c r="K21" i="39"/>
  <c r="L21" i="39"/>
  <c r="I21" i="39"/>
  <c r="D21" i="39"/>
  <c r="D20" i="39"/>
  <c r="C20" i="39"/>
  <c r="L20" i="39"/>
  <c r="D19" i="39"/>
  <c r="L19" i="39"/>
  <c r="K19" i="39"/>
  <c r="I19" i="39"/>
  <c r="D18" i="39"/>
  <c r="L18" i="39"/>
  <c r="C18" i="39"/>
  <c r="G18" i="39" s="1"/>
  <c r="I18" i="39"/>
  <c r="K17" i="39"/>
  <c r="E52" i="5"/>
  <c r="S253" i="38"/>
  <c r="E51" i="5"/>
  <c r="G52" i="5"/>
  <c r="M253" i="38"/>
  <c r="G51" i="5"/>
  <c r="F253" i="38"/>
  <c r="E253" i="38"/>
  <c r="K253" i="38"/>
  <c r="D253" i="38"/>
  <c r="G234" i="38"/>
  <c r="K233" i="38"/>
  <c r="J233" i="38"/>
  <c r="I233" i="38"/>
  <c r="D233" i="38"/>
  <c r="C233" i="38"/>
  <c r="D192" i="38"/>
  <c r="K192" i="38"/>
  <c r="K191" i="38"/>
  <c r="J191" i="38"/>
  <c r="D190" i="38"/>
  <c r="J190" i="38"/>
  <c r="I190" i="38"/>
  <c r="J189" i="38"/>
  <c r="K189" i="38"/>
  <c r="C189" i="38"/>
  <c r="D188" i="38"/>
  <c r="K188" i="38"/>
  <c r="J188" i="38"/>
  <c r="K187" i="38"/>
  <c r="D187" i="38"/>
  <c r="I186" i="38"/>
  <c r="J186" i="38"/>
  <c r="C186" i="38"/>
  <c r="K185" i="38"/>
  <c r="J185" i="38"/>
  <c r="C185" i="38"/>
  <c r="D184" i="38"/>
  <c r="K184" i="38"/>
  <c r="J184" i="38"/>
  <c r="D181" i="38"/>
  <c r="K181" i="38"/>
  <c r="I180" i="38"/>
  <c r="J180" i="38"/>
  <c r="J179" i="38"/>
  <c r="K179" i="38"/>
  <c r="D179" i="38"/>
  <c r="C179" i="38"/>
  <c r="D178" i="38"/>
  <c r="K178" i="38"/>
  <c r="I177" i="38"/>
  <c r="D176" i="38"/>
  <c r="I176" i="38"/>
  <c r="K175" i="38"/>
  <c r="J175" i="38"/>
  <c r="D175" i="38"/>
  <c r="K174" i="38"/>
  <c r="K173" i="38"/>
  <c r="I173" i="38"/>
  <c r="C172" i="38"/>
  <c r="J172" i="38"/>
  <c r="D171" i="38"/>
  <c r="C171" i="38"/>
  <c r="J171" i="38"/>
  <c r="K170" i="38"/>
  <c r="J170" i="38"/>
  <c r="I170" i="38"/>
  <c r="D170" i="38"/>
  <c r="J169" i="38"/>
  <c r="I169" i="38"/>
  <c r="C169" i="38"/>
  <c r="C168" i="38"/>
  <c r="J168" i="38"/>
  <c r="C167" i="38"/>
  <c r="J167" i="38"/>
  <c r="D167" i="38"/>
  <c r="K166" i="38"/>
  <c r="J166" i="38"/>
  <c r="J165" i="38"/>
  <c r="I165" i="38"/>
  <c r="J164" i="38"/>
  <c r="K164" i="38"/>
  <c r="C164" i="38"/>
  <c r="J163" i="38"/>
  <c r="I163" i="38"/>
  <c r="K163" i="38"/>
  <c r="D163" i="38"/>
  <c r="C163" i="38"/>
  <c r="D162" i="38"/>
  <c r="C162" i="38"/>
  <c r="K162" i="38"/>
  <c r="I161" i="38"/>
  <c r="K160" i="38"/>
  <c r="J160" i="38"/>
  <c r="I160" i="38"/>
  <c r="D160" i="38"/>
  <c r="J159" i="38"/>
  <c r="K159" i="38"/>
  <c r="D159" i="38"/>
  <c r="D158" i="38"/>
  <c r="J158" i="38"/>
  <c r="K158" i="38"/>
  <c r="D157" i="38"/>
  <c r="K157" i="38"/>
  <c r="K156" i="38"/>
  <c r="I156" i="38"/>
  <c r="D155" i="38"/>
  <c r="J155" i="38"/>
  <c r="K154" i="38"/>
  <c r="D154" i="38"/>
  <c r="C154" i="38"/>
  <c r="I154" i="38"/>
  <c r="J153" i="38"/>
  <c r="I153" i="38"/>
  <c r="C153" i="38"/>
  <c r="K152" i="38"/>
  <c r="I152" i="38"/>
  <c r="J151" i="38"/>
  <c r="I151" i="38"/>
  <c r="K151" i="38"/>
  <c r="C151" i="38"/>
  <c r="C150" i="38"/>
  <c r="K150" i="38"/>
  <c r="I150" i="38"/>
  <c r="D150" i="38"/>
  <c r="C149" i="38"/>
  <c r="J149" i="38"/>
  <c r="I149" i="38"/>
  <c r="K148" i="38"/>
  <c r="I148" i="38"/>
  <c r="K147" i="38"/>
  <c r="I147" i="38"/>
  <c r="D147" i="38"/>
  <c r="J146" i="38"/>
  <c r="K146" i="38"/>
  <c r="D145" i="38"/>
  <c r="K145" i="38"/>
  <c r="D144" i="38"/>
  <c r="J144" i="38"/>
  <c r="I144" i="38"/>
  <c r="C143" i="38"/>
  <c r="I143" i="38"/>
  <c r="D142" i="38"/>
  <c r="J142" i="38"/>
  <c r="K141" i="38"/>
  <c r="J141" i="38"/>
  <c r="D141" i="38"/>
  <c r="D140" i="38"/>
  <c r="I140" i="38"/>
  <c r="J140" i="38"/>
  <c r="C140" i="38"/>
  <c r="C139" i="38"/>
  <c r="K139" i="38"/>
  <c r="J139" i="38"/>
  <c r="D138" i="38"/>
  <c r="K138" i="38"/>
  <c r="J138" i="38"/>
  <c r="C138" i="38"/>
  <c r="K137" i="38"/>
  <c r="D137" i="38"/>
  <c r="J137" i="38"/>
  <c r="I137" i="38"/>
  <c r="J136" i="38"/>
  <c r="I136" i="38"/>
  <c r="C136" i="38"/>
  <c r="I135" i="38"/>
  <c r="J135" i="38"/>
  <c r="K135" i="38"/>
  <c r="D135" i="38"/>
  <c r="C135" i="38"/>
  <c r="J134" i="38"/>
  <c r="D134" i="38"/>
  <c r="C134" i="38"/>
  <c r="K134" i="38"/>
  <c r="D133" i="38"/>
  <c r="C133" i="38"/>
  <c r="K133" i="38"/>
  <c r="I132" i="38"/>
  <c r="D131" i="38"/>
  <c r="I131" i="38"/>
  <c r="J130" i="38"/>
  <c r="K130" i="38"/>
  <c r="D130" i="38"/>
  <c r="K129" i="38"/>
  <c r="D129" i="38"/>
  <c r="D128" i="38"/>
  <c r="J128" i="38"/>
  <c r="I128" i="38"/>
  <c r="D127" i="38"/>
  <c r="K127" i="38"/>
  <c r="J127" i="38"/>
  <c r="I127" i="38"/>
  <c r="D126" i="38"/>
  <c r="J126" i="38"/>
  <c r="K125" i="38"/>
  <c r="D125" i="38"/>
  <c r="D124" i="38"/>
  <c r="I124" i="38"/>
  <c r="K123" i="38"/>
  <c r="J123" i="38"/>
  <c r="C123" i="38"/>
  <c r="D122" i="38"/>
  <c r="C122" i="38"/>
  <c r="K122" i="38"/>
  <c r="J122" i="38"/>
  <c r="K121" i="38"/>
  <c r="J121" i="38"/>
  <c r="I121" i="38"/>
  <c r="D120" i="38"/>
  <c r="I120" i="38"/>
  <c r="I119" i="38"/>
  <c r="J119" i="38"/>
  <c r="K119" i="38"/>
  <c r="C119" i="38"/>
  <c r="J118" i="38"/>
  <c r="I118" i="38"/>
  <c r="K118" i="38"/>
  <c r="D118" i="38"/>
  <c r="C118" i="38"/>
  <c r="D117" i="38"/>
  <c r="C117" i="38"/>
  <c r="K117" i="38"/>
  <c r="I117" i="38"/>
  <c r="K116" i="38"/>
  <c r="I116" i="38"/>
  <c r="K115" i="38"/>
  <c r="I115" i="38"/>
  <c r="D115" i="38"/>
  <c r="J114" i="38"/>
  <c r="K114" i="38"/>
  <c r="D113" i="38"/>
  <c r="K113" i="38"/>
  <c r="D112" i="38"/>
  <c r="J112" i="38"/>
  <c r="I112" i="38"/>
  <c r="C111" i="38"/>
  <c r="I111" i="38"/>
  <c r="D109" i="38"/>
  <c r="J109" i="38"/>
  <c r="K108" i="38"/>
  <c r="J108" i="38"/>
  <c r="D108" i="38"/>
  <c r="D107" i="38"/>
  <c r="I107" i="38"/>
  <c r="J107" i="38"/>
  <c r="C107" i="38"/>
  <c r="C106" i="38"/>
  <c r="K106" i="38"/>
  <c r="J106" i="38"/>
  <c r="D105" i="38"/>
  <c r="K105" i="38"/>
  <c r="J105" i="38"/>
  <c r="C105" i="38"/>
  <c r="K104" i="38"/>
  <c r="D104" i="38"/>
  <c r="J104" i="38"/>
  <c r="I104" i="38"/>
  <c r="J103" i="38"/>
  <c r="I103" i="38"/>
  <c r="C103" i="38"/>
  <c r="I102" i="38"/>
  <c r="J102" i="38"/>
  <c r="K102" i="38"/>
  <c r="D102" i="38"/>
  <c r="C102" i="38"/>
  <c r="J101" i="38"/>
  <c r="D101" i="38"/>
  <c r="K101" i="38"/>
  <c r="D100" i="38"/>
  <c r="C100" i="38"/>
  <c r="K100" i="38"/>
  <c r="I99" i="38"/>
  <c r="I98" i="38"/>
  <c r="E93" i="38"/>
  <c r="J68" i="38"/>
  <c r="K68" i="38"/>
  <c r="D68" i="38"/>
  <c r="K67" i="38"/>
  <c r="D67" i="38"/>
  <c r="D66" i="38"/>
  <c r="J66" i="38"/>
  <c r="I66" i="38"/>
  <c r="D65" i="38"/>
  <c r="K65" i="38"/>
  <c r="J65" i="38"/>
  <c r="I65" i="38"/>
  <c r="D64" i="38"/>
  <c r="J64" i="38"/>
  <c r="K63" i="38"/>
  <c r="D63" i="38"/>
  <c r="D62" i="38"/>
  <c r="I62" i="38"/>
  <c r="K61" i="38"/>
  <c r="J61" i="38"/>
  <c r="C61" i="38"/>
  <c r="D60" i="38"/>
  <c r="K60" i="38"/>
  <c r="J60" i="38"/>
  <c r="C60" i="38"/>
  <c r="J59" i="38"/>
  <c r="K59" i="38"/>
  <c r="D59" i="38"/>
  <c r="K58" i="38"/>
  <c r="J58" i="38"/>
  <c r="I58" i="38"/>
  <c r="D57" i="38"/>
  <c r="K57" i="38"/>
  <c r="J57" i="38"/>
  <c r="I57" i="38"/>
  <c r="C56" i="38"/>
  <c r="I56" i="38"/>
  <c r="J56" i="38"/>
  <c r="D56" i="38"/>
  <c r="D55" i="38"/>
  <c r="K55" i="38"/>
  <c r="D54" i="38"/>
  <c r="C54" i="38"/>
  <c r="D53" i="38"/>
  <c r="C53" i="38"/>
  <c r="I53" i="38"/>
  <c r="D52" i="38"/>
  <c r="K52" i="38"/>
  <c r="J52" i="38"/>
  <c r="C52" i="38"/>
  <c r="J51" i="38"/>
  <c r="K51" i="38"/>
  <c r="D51" i="38"/>
  <c r="K50" i="38"/>
  <c r="J50" i="38"/>
  <c r="I50" i="38"/>
  <c r="D49" i="38"/>
  <c r="K49" i="38"/>
  <c r="J49" i="38"/>
  <c r="I49" i="38"/>
  <c r="C48" i="38"/>
  <c r="I48" i="38"/>
  <c r="J48" i="38"/>
  <c r="D48" i="38"/>
  <c r="D47" i="38"/>
  <c r="K47" i="38"/>
  <c r="D46" i="38"/>
  <c r="C46" i="38"/>
  <c r="D45" i="38"/>
  <c r="C45" i="38"/>
  <c r="I45" i="38"/>
  <c r="D44" i="38"/>
  <c r="K44" i="38"/>
  <c r="J44" i="38"/>
  <c r="C44" i="38"/>
  <c r="J43" i="38"/>
  <c r="K43" i="38"/>
  <c r="D43" i="38"/>
  <c r="K41" i="38"/>
  <c r="J41" i="38"/>
  <c r="I41" i="38"/>
  <c r="D40" i="38"/>
  <c r="K40" i="38"/>
  <c r="J40" i="38"/>
  <c r="I40" i="38"/>
  <c r="C39" i="38"/>
  <c r="I39" i="38"/>
  <c r="J39" i="38"/>
  <c r="D39" i="38"/>
  <c r="D37" i="38"/>
  <c r="D94" i="38" s="1"/>
  <c r="K37" i="38"/>
  <c r="K94" i="38" s="1"/>
  <c r="D36" i="38"/>
  <c r="G36" i="38" s="1"/>
  <c r="I36" i="38"/>
  <c r="I35" i="38"/>
  <c r="K35" i="38"/>
  <c r="J35" i="38"/>
  <c r="D34" i="38"/>
  <c r="K34" i="38"/>
  <c r="J34" i="38"/>
  <c r="D33" i="38"/>
  <c r="J33" i="38"/>
  <c r="I33" i="38"/>
  <c r="D31" i="38"/>
  <c r="J31" i="38"/>
  <c r="I31" i="38"/>
  <c r="D30" i="38"/>
  <c r="C30" i="38"/>
  <c r="K30" i="38"/>
  <c r="J30" i="38"/>
  <c r="K29" i="38"/>
  <c r="D29" i="38"/>
  <c r="J29" i="38"/>
  <c r="I29" i="38"/>
  <c r="D28" i="38"/>
  <c r="K28" i="38"/>
  <c r="I28" i="38"/>
  <c r="V23" i="38"/>
  <c r="U23" i="38"/>
  <c r="S23" i="38"/>
  <c r="P23" i="38"/>
  <c r="O23" i="38"/>
  <c r="M23" i="38"/>
  <c r="F20" i="38"/>
  <c r="G20" i="38" s="1"/>
  <c r="E23" i="38"/>
  <c r="F19" i="38"/>
  <c r="K17" i="38"/>
  <c r="K23" i="38"/>
  <c r="J17" i="38"/>
  <c r="J23" i="38" s="1"/>
  <c r="I17" i="38"/>
  <c r="I23" i="38" s="1"/>
  <c r="D17" i="38"/>
  <c r="D23" i="38"/>
  <c r="C17" i="38"/>
  <c r="C23" i="38"/>
  <c r="A24" i="38"/>
  <c r="D18" i="5" s="1"/>
  <c r="Q27" i="21"/>
  <c r="Q22" i="21"/>
  <c r="S22" i="21" s="1"/>
  <c r="Q17" i="21"/>
  <c r="A2" i="41"/>
  <c r="A11" i="41"/>
  <c r="A12" i="41"/>
  <c r="A13" i="41" s="1"/>
  <c r="A14" i="41" s="1"/>
  <c r="A15" i="41" s="1"/>
  <c r="A16" i="41" s="1"/>
  <c r="A17" i="41" s="1"/>
  <c r="A18" i="41" s="1"/>
  <c r="A19" i="41" s="1"/>
  <c r="A20" i="41" s="1"/>
  <c r="A21" i="41" s="1"/>
  <c r="A22" i="41" s="1"/>
  <c r="A23"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c r="D88" i="41"/>
  <c r="D89" i="41"/>
  <c r="B91" i="41"/>
  <c r="B92" i="41"/>
  <c r="B93" i="41"/>
  <c r="C94" i="41"/>
  <c r="D94" i="41"/>
  <c r="B97" i="41"/>
  <c r="B98" i="41"/>
  <c r="B99" i="41"/>
  <c r="C100" i="41"/>
  <c r="C101" i="41"/>
  <c r="D100" i="41"/>
  <c r="G20" i="41"/>
  <c r="G10" i="41"/>
  <c r="H40" i="41"/>
  <c r="H38" i="41"/>
  <c r="H36" i="41"/>
  <c r="H34" i="41"/>
  <c r="H32" i="41"/>
  <c r="H30" i="41"/>
  <c r="G14" i="41"/>
  <c r="G19" i="41"/>
  <c r="G15" i="41"/>
  <c r="G11" i="41"/>
  <c r="E110" i="2"/>
  <c r="E87" i="35"/>
  <c r="D87" i="35"/>
  <c r="E67" i="35"/>
  <c r="F67" i="35"/>
  <c r="D67" i="35"/>
  <c r="A69" i="35"/>
  <c r="A71" i="35"/>
  <c r="E106" i="2" s="1"/>
  <c r="A75" i="35"/>
  <c r="A76" i="35" s="1"/>
  <c r="A77" i="35" s="1"/>
  <c r="A78" i="35" s="1"/>
  <c r="A79" i="35" s="1"/>
  <c r="A80" i="35" s="1"/>
  <c r="E80" i="35"/>
  <c r="D80" i="35"/>
  <c r="F79" i="35"/>
  <c r="F78" i="35"/>
  <c r="F77" i="35"/>
  <c r="F76" i="35"/>
  <c r="F75" i="35"/>
  <c r="F71" i="35"/>
  <c r="L106" i="2" s="1"/>
  <c r="F69" i="35"/>
  <c r="G106" i="2" s="1"/>
  <c r="L228" i="2"/>
  <c r="G66" i="2"/>
  <c r="L66" i="2" s="1"/>
  <c r="A11" i="35"/>
  <c r="A12" i="35"/>
  <c r="A13" i="35" s="1"/>
  <c r="A14" i="35" s="1"/>
  <c r="A15" i="35" s="1"/>
  <c r="A16" i="35" s="1"/>
  <c r="A17" i="35" s="1"/>
  <c r="A18" i="35" s="1"/>
  <c r="A19" i="35" s="1"/>
  <c r="A20" i="35"/>
  <c r="A21" i="35" s="1"/>
  <c r="A22" i="35" s="1"/>
  <c r="A23" i="35" s="1"/>
  <c r="A2" i="35"/>
  <c r="I59" i="30"/>
  <c r="I58" i="30"/>
  <c r="I55" i="30"/>
  <c r="I51" i="30"/>
  <c r="I47" i="30"/>
  <c r="I46" i="30"/>
  <c r="I45" i="30"/>
  <c r="I44" i="30"/>
  <c r="I42" i="30"/>
  <c r="I40" i="30"/>
  <c r="B21" i="7"/>
  <c r="K27" i="8"/>
  <c r="K31" i="8" s="1"/>
  <c r="G15" i="2" s="1"/>
  <c r="L15" i="2" s="1"/>
  <c r="I27" i="8"/>
  <c r="I31" i="8" s="1"/>
  <c r="B11" i="7"/>
  <c r="E69" i="30"/>
  <c r="E26" i="11" s="1"/>
  <c r="D33" i="9"/>
  <c r="G146"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D102" i="13"/>
  <c r="M102" i="13"/>
  <c r="O10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E116" i="30"/>
  <c r="E39" i="11" s="1"/>
  <c r="M39" i="11" s="1"/>
  <c r="E107" i="30"/>
  <c r="E37" i="11"/>
  <c r="K37" i="11" s="1"/>
  <c r="E90" i="30"/>
  <c r="E35" i="11" s="1"/>
  <c r="K35" i="11" s="1"/>
  <c r="E81" i="30"/>
  <c r="E33" i="11"/>
  <c r="M33" i="11" s="1"/>
  <c r="E71" i="30"/>
  <c r="E27" i="11" s="1"/>
  <c r="I27" i="11" s="1"/>
  <c r="E56" i="30"/>
  <c r="E67" i="9"/>
  <c r="D61" i="9"/>
  <c r="D21" i="9"/>
  <c r="G148" i="2"/>
  <c r="D351" i="2"/>
  <c r="D295" i="2"/>
  <c r="L26" i="20"/>
  <c r="A4" i="21"/>
  <c r="A4" i="30"/>
  <c r="A4" i="11"/>
  <c r="A4" i="10"/>
  <c r="A4" i="9"/>
  <c r="A4" i="8"/>
  <c r="A4" i="7"/>
  <c r="A4" i="6"/>
  <c r="A4" i="5"/>
  <c r="F7" i="2"/>
  <c r="F56" i="2" s="1"/>
  <c r="F130" i="2" s="1"/>
  <c r="F218" i="2" s="1"/>
  <c r="F264" i="2" s="1"/>
  <c r="F16" i="13"/>
  <c r="F18" i="13" s="1"/>
  <c r="E23" i="13"/>
  <c r="F16" i="20"/>
  <c r="F18" i="20" s="1"/>
  <c r="E23" i="20" s="1"/>
  <c r="L18" i="2"/>
  <c r="B13" i="2"/>
  <c r="D29" i="6"/>
  <c r="O8" i="20"/>
  <c r="E38" i="9"/>
  <c r="E41" i="9" s="1"/>
  <c r="E37" i="9"/>
  <c r="E36" i="9"/>
  <c r="E22" i="11"/>
  <c r="G22" i="11" s="1"/>
  <c r="M71" i="11" s="1"/>
  <c r="E17" i="11"/>
  <c r="M17" i="11" s="1"/>
  <c r="E77" i="30"/>
  <c r="E30" i="11" s="1"/>
  <c r="M30" i="11" s="1"/>
  <c r="L234" i="2"/>
  <c r="L236" i="2"/>
  <c r="L237" i="2"/>
  <c r="L238" i="2"/>
  <c r="F239" i="2"/>
  <c r="G239" i="2"/>
  <c r="C21" i="7"/>
  <c r="C23" i="7" s="1"/>
  <c r="G123" i="2" s="1"/>
  <c r="L123" i="2" s="1"/>
  <c r="F15" i="10"/>
  <c r="F19" i="10"/>
  <c r="F28" i="10"/>
  <c r="F32" i="10"/>
  <c r="E67" i="30"/>
  <c r="E25" i="11" s="1"/>
  <c r="I25" i="11" s="1"/>
  <c r="E38" i="30"/>
  <c r="E21" i="11" s="1"/>
  <c r="G21" i="11" s="1"/>
  <c r="E110" i="30"/>
  <c r="E119" i="30"/>
  <c r="E40" i="11" s="1"/>
  <c r="E34" i="11"/>
  <c r="K34" i="11" s="1"/>
  <c r="E100" i="30"/>
  <c r="E36" i="11" s="1"/>
  <c r="K36" i="11" s="1"/>
  <c r="F41" i="9"/>
  <c r="G161" i="2" s="1"/>
  <c r="G162" i="2"/>
  <c r="O17" i="21"/>
  <c r="O22" i="21"/>
  <c r="O27" i="21"/>
  <c r="S27" i="21" s="1"/>
  <c r="I17" i="6"/>
  <c r="G114" i="2" s="1"/>
  <c r="I19" i="6"/>
  <c r="G115" i="2" s="1"/>
  <c r="I21" i="6"/>
  <c r="G116" i="2" s="1"/>
  <c r="A24" i="9"/>
  <c r="A25" i="9"/>
  <c r="A26" i="9" s="1"/>
  <c r="A27" i="9" s="1"/>
  <c r="A28" i="9" s="1"/>
  <c r="A29" i="9" s="1"/>
  <c r="A30" i="9" s="1"/>
  <c r="A31" i="9" s="1"/>
  <c r="A32" i="9" s="1"/>
  <c r="A33" i="9" s="1"/>
  <c r="A15" i="7"/>
  <c r="A17" i="7"/>
  <c r="A18" i="7" s="1"/>
  <c r="A19" i="7" s="1"/>
  <c r="A21" i="7" s="1"/>
  <c r="B23" i="7" s="1"/>
  <c r="A17" i="6"/>
  <c r="A19" i="6"/>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E65" i="9"/>
  <c r="E64" i="9"/>
  <c r="D41" i="9"/>
  <c r="E68" i="9"/>
  <c r="A15" i="30"/>
  <c r="A26" i="30"/>
  <c r="G207" i="2"/>
  <c r="L207" i="2" s="1"/>
  <c r="A17" i="11"/>
  <c r="A19" i="11"/>
  <c r="A20" i="11"/>
  <c r="A21" i="11" s="1"/>
  <c r="A22" i="11" s="1"/>
  <c r="A24" i="11" s="1"/>
  <c r="A25" i="11" s="1"/>
  <c r="A26" i="11" s="1"/>
  <c r="A27" i="11" s="1"/>
  <c r="A29" i="11" s="1"/>
  <c r="A30" i="11" s="1"/>
  <c r="A32" i="11" s="1"/>
  <c r="A33" i="11" s="1"/>
  <c r="A34" i="11" s="1"/>
  <c r="A35" i="11" s="1"/>
  <c r="A36" i="11" s="1"/>
  <c r="A37" i="11" s="1"/>
  <c r="A38" i="11" s="1"/>
  <c r="A39" i="11" s="1"/>
  <c r="A40" i="11" s="1"/>
  <c r="A41" i="11" s="1"/>
  <c r="A42" i="11" s="1"/>
  <c r="D90" i="6"/>
  <c r="D30" i="6" s="1"/>
  <c r="I50" i="5"/>
  <c r="J29" i="8"/>
  <c r="A4" i="13"/>
  <c r="A4" i="20"/>
  <c r="C60" i="13"/>
  <c r="L173" i="2"/>
  <c r="G160" i="2"/>
  <c r="K33" i="21"/>
  <c r="A22" i="21"/>
  <c r="A27" i="21"/>
  <c r="A33" i="2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5" i="6"/>
  <c r="B63" i="6" s="1"/>
  <c r="G12" i="6"/>
  <c r="G10" i="5"/>
  <c r="B4" i="14"/>
  <c r="O8" i="13"/>
  <c r="P8" i="13"/>
  <c r="C11" i="13"/>
  <c r="C14" i="13"/>
  <c r="C18" i="13"/>
  <c r="C26" i="13"/>
  <c r="C32" i="13"/>
  <c r="C42" i="13"/>
  <c r="C43" i="13"/>
  <c r="C53" i="13"/>
  <c r="C55" i="13"/>
  <c r="C58" i="13"/>
  <c r="C62" i="13"/>
  <c r="C65" i="13"/>
  <c r="C66" i="13"/>
  <c r="C68" i="13"/>
  <c r="C69" i="13"/>
  <c r="C71" i="13"/>
  <c r="A4" i="12"/>
  <c r="A6" i="12"/>
  <c r="C49" i="11"/>
  <c r="M53" i="11"/>
  <c r="C60" i="11"/>
  <c r="M64" i="11"/>
  <c r="E44" i="9"/>
  <c r="E66" i="9"/>
  <c r="A3" i="6"/>
  <c r="A3" i="7" s="1"/>
  <c r="A15" i="8"/>
  <c r="A17" i="8"/>
  <c r="A19" i="8" s="1"/>
  <c r="A21" i="8" s="1"/>
  <c r="A27" i="8" s="1"/>
  <c r="A29" i="8" s="1"/>
  <c r="A31" i="8" s="1"/>
  <c r="A39" i="8" s="1"/>
  <c r="E12" i="6"/>
  <c r="C29" i="6"/>
  <c r="D36" i="6"/>
  <c r="B34" i="6" s="1"/>
  <c r="E10" i="5"/>
  <c r="A17" i="5"/>
  <c r="A18" i="5"/>
  <c r="F54" i="2"/>
  <c r="F128" i="2" s="1"/>
  <c r="F216" i="2"/>
  <c r="F262" i="2"/>
  <c r="F55" i="2"/>
  <c r="F129" i="2"/>
  <c r="F217" i="2" s="1"/>
  <c r="F263" i="2" s="1"/>
  <c r="F58" i="2"/>
  <c r="F132" i="2" s="1"/>
  <c r="F220" i="2"/>
  <c r="F266" i="2"/>
  <c r="B64" i="2"/>
  <c r="B138" i="2"/>
  <c r="B65" i="2"/>
  <c r="B139" i="2" s="1"/>
  <c r="D78" i="2"/>
  <c r="D90" i="2" s="1"/>
  <c r="D80" i="2"/>
  <c r="D91" i="2"/>
  <c r="D82" i="2"/>
  <c r="D92" i="2"/>
  <c r="D84" i="2"/>
  <c r="D93" i="2" s="1"/>
  <c r="D86" i="2"/>
  <c r="D94" i="2" s="1"/>
  <c r="E136" i="2"/>
  <c r="L136" i="2"/>
  <c r="E137" i="2"/>
  <c r="G137" i="2"/>
  <c r="I137" i="2"/>
  <c r="L137" i="2"/>
  <c r="G145" i="2"/>
  <c r="D174" i="2"/>
  <c r="H237" i="2"/>
  <c r="H238" i="2"/>
  <c r="G73" i="2"/>
  <c r="G74" i="2"/>
  <c r="G69" i="2"/>
  <c r="G83" i="2"/>
  <c r="L83" i="2" s="1"/>
  <c r="G86" i="2"/>
  <c r="G85" i="2"/>
  <c r="G93" i="2" s="1"/>
  <c r="K47" i="11" s="1"/>
  <c r="K61" i="11" s="1"/>
  <c r="K63" i="11" s="1"/>
  <c r="K65" i="11" s="1"/>
  <c r="C33" i="39"/>
  <c r="I33" i="39"/>
  <c r="C41" i="39"/>
  <c r="I41" i="39"/>
  <c r="L42" i="39"/>
  <c r="C27" i="39"/>
  <c r="C49" i="39"/>
  <c r="I49" i="39"/>
  <c r="I77" i="39"/>
  <c r="D77" i="39"/>
  <c r="I127" i="39"/>
  <c r="D127" i="39"/>
  <c r="G127" i="39" s="1"/>
  <c r="K18" i="39"/>
  <c r="L23" i="39"/>
  <c r="I25" i="39"/>
  <c r="D26" i="39"/>
  <c r="D33" i="39"/>
  <c r="G33" i="39" s="1"/>
  <c r="L34" i="39"/>
  <c r="D41" i="39"/>
  <c r="G41" i="39" s="1"/>
  <c r="D49" i="39"/>
  <c r="G49" i="39" s="1"/>
  <c r="L50" i="39"/>
  <c r="L54" i="39"/>
  <c r="C60" i="39"/>
  <c r="I60" i="39"/>
  <c r="L66" i="39"/>
  <c r="C66" i="39"/>
  <c r="L67" i="39"/>
  <c r="C76" i="39"/>
  <c r="I76" i="39"/>
  <c r="L82" i="39"/>
  <c r="C82" i="39"/>
  <c r="C126" i="39"/>
  <c r="I126" i="39"/>
  <c r="C17" i="39"/>
  <c r="L17" i="39"/>
  <c r="U140" i="39"/>
  <c r="E41" i="5" s="1"/>
  <c r="C19" i="39"/>
  <c r="G19" i="39" s="1"/>
  <c r="K20" i="39"/>
  <c r="K22" i="39"/>
  <c r="K23" i="39"/>
  <c r="L27" i="39"/>
  <c r="K28" i="39"/>
  <c r="C29" i="39"/>
  <c r="I29" i="39"/>
  <c r="L35" i="39"/>
  <c r="K36" i="39"/>
  <c r="C37" i="39"/>
  <c r="I37" i="39"/>
  <c r="L43" i="39"/>
  <c r="K44" i="39"/>
  <c r="C45" i="39"/>
  <c r="I45" i="39"/>
  <c r="L51" i="39"/>
  <c r="K52" i="39"/>
  <c r="K54" i="39"/>
  <c r="K60" i="39"/>
  <c r="L69" i="39"/>
  <c r="C70" i="39"/>
  <c r="L85" i="39"/>
  <c r="I85" i="39"/>
  <c r="D85" i="39"/>
  <c r="C86" i="39"/>
  <c r="K126" i="39"/>
  <c r="D17" i="39"/>
  <c r="I17" i="39"/>
  <c r="I20" i="39"/>
  <c r="C21" i="39"/>
  <c r="G21" i="39" s="1"/>
  <c r="D23" i="39"/>
  <c r="K24" i="39"/>
  <c r="C31" i="39"/>
  <c r="G31" i="39" s="1"/>
  <c r="C32" i="39"/>
  <c r="D32" i="39"/>
  <c r="D34" i="39"/>
  <c r="G34" i="39" s="1"/>
  <c r="C39" i="39"/>
  <c r="C40" i="39"/>
  <c r="D40" i="39"/>
  <c r="D42" i="39"/>
  <c r="C47" i="39"/>
  <c r="G47" i="39" s="1"/>
  <c r="C48" i="39"/>
  <c r="D48" i="39"/>
  <c r="D50" i="39"/>
  <c r="L58" i="39"/>
  <c r="C58" i="39"/>
  <c r="L59" i="39"/>
  <c r="C68" i="39"/>
  <c r="I68" i="39"/>
  <c r="L74" i="39"/>
  <c r="C74" i="39"/>
  <c r="D76" i="39"/>
  <c r="C84" i="39"/>
  <c r="I84" i="39"/>
  <c r="L124" i="39"/>
  <c r="C124" i="39"/>
  <c r="L125" i="39"/>
  <c r="C53" i="39"/>
  <c r="K55" i="39"/>
  <c r="C56" i="39"/>
  <c r="I56" i="39"/>
  <c r="I61" i="39"/>
  <c r="L62" i="39"/>
  <c r="K63" i="39"/>
  <c r="C64" i="39"/>
  <c r="I64" i="39"/>
  <c r="I69" i="39"/>
  <c r="L70" i="39"/>
  <c r="K71" i="39"/>
  <c r="C72" i="39"/>
  <c r="I72" i="39"/>
  <c r="L78" i="39"/>
  <c r="K79" i="39"/>
  <c r="C80" i="39"/>
  <c r="C141" i="39" s="1"/>
  <c r="I80" i="39"/>
  <c r="I141" i="39" s="1"/>
  <c r="L86" i="39"/>
  <c r="K87" i="39"/>
  <c r="C88" i="39"/>
  <c r="G88" i="39" s="1"/>
  <c r="I88" i="39"/>
  <c r="L128" i="39"/>
  <c r="K129" i="39"/>
  <c r="C59" i="39"/>
  <c r="D59" i="39"/>
  <c r="C67" i="39"/>
  <c r="D67" i="39"/>
  <c r="C75" i="39"/>
  <c r="D75" i="39"/>
  <c r="C83" i="39"/>
  <c r="D83" i="39"/>
  <c r="C125" i="39"/>
  <c r="D125" i="39"/>
  <c r="C31" i="38"/>
  <c r="C63" i="38"/>
  <c r="I63" i="38"/>
  <c r="K66" i="38"/>
  <c r="C66" i="38"/>
  <c r="C98" i="38"/>
  <c r="J98" i="38"/>
  <c r="I106" i="38"/>
  <c r="D106" i="38"/>
  <c r="K109" i="38"/>
  <c r="C109" i="38"/>
  <c r="C125" i="38"/>
  <c r="I125" i="38"/>
  <c r="K128" i="38"/>
  <c r="C128" i="38"/>
  <c r="C131" i="38"/>
  <c r="J131" i="38"/>
  <c r="C132" i="38"/>
  <c r="J132" i="38"/>
  <c r="I139" i="38"/>
  <c r="D139" i="38"/>
  <c r="K180" i="38"/>
  <c r="D180" i="38"/>
  <c r="C28" i="38"/>
  <c r="J28" i="38"/>
  <c r="C34" i="38"/>
  <c r="C36" i="38"/>
  <c r="K45" i="38"/>
  <c r="I52" i="38"/>
  <c r="J54" i="38"/>
  <c r="C55" i="38"/>
  <c r="I55" i="38"/>
  <c r="I60" i="38"/>
  <c r="K99" i="38"/>
  <c r="K111" i="38"/>
  <c r="C113" i="38"/>
  <c r="I113" i="38"/>
  <c r="J120" i="38"/>
  <c r="J125" i="38"/>
  <c r="K131" i="38"/>
  <c r="K132" i="38"/>
  <c r="K143" i="38"/>
  <c r="I146" i="38"/>
  <c r="C146" i="38"/>
  <c r="D164" i="38"/>
  <c r="I164" i="38"/>
  <c r="K168" i="38"/>
  <c r="D172" i="38"/>
  <c r="I172" i="38"/>
  <c r="C173" i="38"/>
  <c r="I185" i="38"/>
  <c r="D185" i="38"/>
  <c r="G185" i="38" s="1"/>
  <c r="C188" i="38"/>
  <c r="C29" i="38"/>
  <c r="I30" i="38"/>
  <c r="K31" i="38"/>
  <c r="K33" i="38"/>
  <c r="I34" i="38"/>
  <c r="D35" i="38"/>
  <c r="K36" i="38"/>
  <c r="J37" i="38"/>
  <c r="J94" i="38" s="1"/>
  <c r="K39" i="38"/>
  <c r="C40" i="38"/>
  <c r="C41" i="38"/>
  <c r="D41" i="38"/>
  <c r="J45" i="38"/>
  <c r="K46" i="38"/>
  <c r="J47" i="38"/>
  <c r="K48" i="38"/>
  <c r="C49" i="38"/>
  <c r="C50" i="38"/>
  <c r="D50" i="38"/>
  <c r="J53" i="38"/>
  <c r="K54" i="38"/>
  <c r="J55" i="38"/>
  <c r="K56" i="38"/>
  <c r="C57" i="38"/>
  <c r="C58" i="38"/>
  <c r="D58" i="38"/>
  <c r="I61" i="38"/>
  <c r="D61" i="38"/>
  <c r="C62" i="38"/>
  <c r="K64" i="38"/>
  <c r="C64" i="38"/>
  <c r="C65" i="38"/>
  <c r="I100" i="38"/>
  <c r="C101" i="38"/>
  <c r="D103" i="38"/>
  <c r="C108" i="38"/>
  <c r="I108" i="38"/>
  <c r="J111" i="38"/>
  <c r="D111" i="38"/>
  <c r="K112" i="38"/>
  <c r="C112" i="38"/>
  <c r="C115" i="38"/>
  <c r="J115" i="38"/>
  <c r="C116" i="38"/>
  <c r="J116" i="38"/>
  <c r="D119" i="38"/>
  <c r="C120" i="38"/>
  <c r="I123" i="38"/>
  <c r="D123" i="38"/>
  <c r="C124" i="38"/>
  <c r="G124" i="38" s="1"/>
  <c r="K126" i="38"/>
  <c r="C126" i="38"/>
  <c r="C127" i="38"/>
  <c r="I133" i="38"/>
  <c r="D136" i="38"/>
  <c r="G136" i="38" s="1"/>
  <c r="C141" i="38"/>
  <c r="I141" i="38"/>
  <c r="J143" i="38"/>
  <c r="D143" i="38"/>
  <c r="K144" i="38"/>
  <c r="C144" i="38"/>
  <c r="C147" i="38"/>
  <c r="G147" i="38" s="1"/>
  <c r="J147" i="38"/>
  <c r="C148" i="38"/>
  <c r="J148" i="38"/>
  <c r="D151" i="38"/>
  <c r="G151" i="38" s="1"/>
  <c r="D153" i="38"/>
  <c r="C156" i="38"/>
  <c r="J156" i="38"/>
  <c r="C178" i="38"/>
  <c r="G178" i="38" s="1"/>
  <c r="I178" i="38"/>
  <c r="C180" i="38"/>
  <c r="K190" i="38"/>
  <c r="C190" i="38"/>
  <c r="C99" i="38"/>
  <c r="J99" i="38"/>
  <c r="K142" i="38"/>
  <c r="C142" i="38"/>
  <c r="J152" i="38"/>
  <c r="C152" i="38"/>
  <c r="I157" i="38"/>
  <c r="C157" i="38"/>
  <c r="K165" i="38"/>
  <c r="C165" i="38"/>
  <c r="C176" i="38"/>
  <c r="J176" i="38"/>
  <c r="C177" i="38"/>
  <c r="J177" i="38"/>
  <c r="C35" i="38"/>
  <c r="J36" i="38"/>
  <c r="C37" i="38"/>
  <c r="C94" i="38" s="1"/>
  <c r="I37" i="38"/>
  <c r="I94" i="38" s="1"/>
  <c r="I44" i="38"/>
  <c r="J46" i="38"/>
  <c r="C47" i="38"/>
  <c r="I47" i="38"/>
  <c r="K53" i="38"/>
  <c r="J63" i="38"/>
  <c r="D98" i="38"/>
  <c r="I101" i="38"/>
  <c r="I114" i="38"/>
  <c r="C114" i="38"/>
  <c r="I134" i="38"/>
  <c r="C145" i="38"/>
  <c r="I145" i="38"/>
  <c r="D152" i="38"/>
  <c r="I168" i="38"/>
  <c r="D168" i="38"/>
  <c r="K172" i="38"/>
  <c r="C181" i="38"/>
  <c r="I181" i="38"/>
  <c r="C33" i="38"/>
  <c r="C43" i="38"/>
  <c r="I43" i="38"/>
  <c r="I46" i="38"/>
  <c r="C51" i="38"/>
  <c r="I51" i="38"/>
  <c r="I54" i="38"/>
  <c r="C59" i="38"/>
  <c r="G59" i="38" s="1"/>
  <c r="I59" i="38"/>
  <c r="J62" i="38"/>
  <c r="C67" i="38"/>
  <c r="I67" i="38"/>
  <c r="I68" i="38"/>
  <c r="C68" i="38"/>
  <c r="D114" i="38"/>
  <c r="D121" i="38"/>
  <c r="J124" i="38"/>
  <c r="C129" i="38"/>
  <c r="I129" i="38"/>
  <c r="I130" i="38"/>
  <c r="C130" i="38"/>
  <c r="D146" i="38"/>
  <c r="K155" i="38"/>
  <c r="C155" i="38"/>
  <c r="J157" i="38"/>
  <c r="I162" i="38"/>
  <c r="C174" i="38"/>
  <c r="I174" i="38"/>
  <c r="D189" i="38"/>
  <c r="I189" i="38"/>
  <c r="D191" i="38"/>
  <c r="J67" i="38"/>
  <c r="K103" i="38"/>
  <c r="I105" i="38"/>
  <c r="J113" i="38"/>
  <c r="K120" i="38"/>
  <c r="K237" i="38" s="1"/>
  <c r="I122" i="38"/>
  <c r="J129" i="38"/>
  <c r="K136" i="38"/>
  <c r="I138" i="38"/>
  <c r="J145" i="38"/>
  <c r="K153" i="38"/>
  <c r="I159" i="38"/>
  <c r="C159" i="38"/>
  <c r="C161" i="38"/>
  <c r="J161" i="38"/>
  <c r="D166" i="38"/>
  <c r="I166" i="38"/>
  <c r="K177" i="38"/>
  <c r="I184" i="38"/>
  <c r="C187" i="38"/>
  <c r="I187" i="38"/>
  <c r="J192" i="38"/>
  <c r="K62" i="38"/>
  <c r="I64" i="38"/>
  <c r="K98" i="38"/>
  <c r="D99" i="38"/>
  <c r="J100" i="38"/>
  <c r="C104" i="38"/>
  <c r="K107" i="38"/>
  <c r="I109" i="38"/>
  <c r="D116" i="38"/>
  <c r="J117" i="38"/>
  <c r="C121" i="38"/>
  <c r="K124" i="38"/>
  <c r="I126" i="38"/>
  <c r="D132" i="38"/>
  <c r="J133" i="38"/>
  <c r="C137" i="38"/>
  <c r="K140" i="38"/>
  <c r="I142" i="38"/>
  <c r="D148" i="38"/>
  <c r="K149" i="38"/>
  <c r="D156" i="38"/>
  <c r="K161" i="38"/>
  <c r="K167" i="38"/>
  <c r="D169" i="38"/>
  <c r="C170" i="38"/>
  <c r="K171" i="38"/>
  <c r="D173" i="38"/>
  <c r="J173" i="38"/>
  <c r="D174" i="38"/>
  <c r="C184" i="38"/>
  <c r="J187" i="38"/>
  <c r="C191" i="38"/>
  <c r="I191" i="38"/>
  <c r="I192" i="38"/>
  <c r="C192" i="38"/>
  <c r="G192" i="38" s="1"/>
  <c r="D149" i="38"/>
  <c r="J150" i="38"/>
  <c r="J154" i="38"/>
  <c r="C158" i="38"/>
  <c r="I158" i="38"/>
  <c r="C160" i="38"/>
  <c r="D165" i="38"/>
  <c r="I167" i="38"/>
  <c r="J174" i="38"/>
  <c r="I175" i="38"/>
  <c r="C175" i="38"/>
  <c r="K176" i="38"/>
  <c r="I179" i="38"/>
  <c r="J181" i="38"/>
  <c r="D186" i="38"/>
  <c r="I155" i="38"/>
  <c r="D161" i="38"/>
  <c r="J162" i="38"/>
  <c r="C166" i="38"/>
  <c r="K169" i="38"/>
  <c r="I171" i="38"/>
  <c r="D177" i="38"/>
  <c r="J178" i="38"/>
  <c r="K186" i="38"/>
  <c r="I188" i="38"/>
  <c r="C47" i="13"/>
  <c r="C47" i="20"/>
  <c r="G177" i="2"/>
  <c r="L172" i="2"/>
  <c r="F122" i="30"/>
  <c r="A3" i="8"/>
  <c r="G29" i="6"/>
  <c r="I90" i="6"/>
  <c r="I30" i="6" s="1"/>
  <c r="D95" i="41"/>
  <c r="I57" i="30"/>
  <c r="I56" i="30" s="1"/>
  <c r="I34" i="5"/>
  <c r="A234" i="38"/>
  <c r="I49" i="5"/>
  <c r="C103" i="41"/>
  <c r="C105" i="41" s="1"/>
  <c r="E88" i="41"/>
  <c r="A28" i="30"/>
  <c r="A38" i="30" s="1"/>
  <c r="A49" i="30" s="1"/>
  <c r="A57" i="30" s="1"/>
  <c r="A66" i="30" s="1"/>
  <c r="A67" i="30" s="1"/>
  <c r="A69" i="30" s="1"/>
  <c r="A71" i="30" s="1"/>
  <c r="A77" i="30" s="1"/>
  <c r="A78" i="30" s="1"/>
  <c r="A80" i="30" s="1"/>
  <c r="A81" i="30" s="1"/>
  <c r="A85" i="30" s="1"/>
  <c r="A90" i="30" s="1"/>
  <c r="A100" i="30" s="1"/>
  <c r="A107" i="30" s="1"/>
  <c r="A110" i="30" s="1"/>
  <c r="A116" i="30" s="1"/>
  <c r="A119" i="30" s="1"/>
  <c r="A122" i="30"/>
  <c r="A23" i="7"/>
  <c r="E29" i="6"/>
  <c r="E44" i="5"/>
  <c r="C253" i="38"/>
  <c r="D35" i="5"/>
  <c r="A237" i="38"/>
  <c r="D34" i="5" s="1"/>
  <c r="G31" i="38"/>
  <c r="A19" i="5"/>
  <c r="A20" i="5"/>
  <c r="A23" i="5" s="1"/>
  <c r="A25" i="5" s="1"/>
  <c r="B15" i="2"/>
  <c r="I26" i="5"/>
  <c r="D20" i="5"/>
  <c r="A28" i="48"/>
  <c r="A37" i="48" s="1"/>
  <c r="G27" i="48"/>
  <c r="G25" i="48"/>
  <c r="K43" i="48"/>
  <c r="D64" i="35"/>
  <c r="L80" i="2" s="1"/>
  <c r="J80" i="2" s="1"/>
  <c r="C222" i="20"/>
  <c r="C223" i="20"/>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51" i="20" s="1"/>
  <c r="C490" i="20"/>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400" i="20"/>
  <c r="C401" i="20"/>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311" i="20"/>
  <c r="C312" i="20" s="1"/>
  <c r="C313" i="20" s="1"/>
  <c r="C314" i="20" s="1"/>
  <c r="C315" i="20" s="1"/>
  <c r="C316" i="20" s="1"/>
  <c r="C317" i="20" s="1"/>
  <c r="C318" i="20" s="1"/>
  <c r="C319" i="20" s="1"/>
  <c r="C320" i="20" s="1"/>
  <c r="C321" i="20" s="1"/>
  <c r="C322" i="20" s="1"/>
  <c r="C323" i="20" s="1"/>
  <c r="C324" i="20" s="1"/>
  <c r="C325" i="20" s="1"/>
  <c r="C326" i="20" s="1"/>
  <c r="C327" i="20"/>
  <c r="C328" i="20" s="1"/>
  <c r="C329" i="20" s="1"/>
  <c r="C330" i="20" s="1"/>
  <c r="C331" i="20" s="1"/>
  <c r="C332" i="20" s="1"/>
  <c r="C333" i="20" s="1"/>
  <c r="C334" i="20" s="1"/>
  <c r="C335" i="20" s="1"/>
  <c r="C336" i="20" s="1"/>
  <c r="C337" i="20" s="1"/>
  <c r="C338" i="20" s="1"/>
  <c r="C339" i="20" s="1"/>
  <c r="C340" i="20" s="1"/>
  <c r="C667" i="20"/>
  <c r="C668" i="20" s="1"/>
  <c r="C669" i="20" s="1"/>
  <c r="C670" i="20" s="1"/>
  <c r="C671" i="20"/>
  <c r="C672" i="20" s="1"/>
  <c r="C673" i="20" s="1"/>
  <c r="C674" i="20" s="1"/>
  <c r="C675" i="20" s="1"/>
  <c r="C676" i="20" s="1"/>
  <c r="C677" i="20"/>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F25" i="50"/>
  <c r="F26" i="50" s="1"/>
  <c r="F27" i="50" s="1"/>
  <c r="F23" i="49"/>
  <c r="F24" i="49" s="1"/>
  <c r="H22" i="49"/>
  <c r="K22" i="49"/>
  <c r="H21" i="49"/>
  <c r="K21" i="49"/>
  <c r="I54" i="49"/>
  <c r="D21" i="47"/>
  <c r="H21" i="47" s="1"/>
  <c r="F25" i="47"/>
  <c r="K29" i="6"/>
  <c r="J29" i="6"/>
  <c r="I29" i="6"/>
  <c r="H23" i="49"/>
  <c r="F26" i="47"/>
  <c r="F27" i="47" s="1"/>
  <c r="F28" i="47" s="1"/>
  <c r="G27" i="39"/>
  <c r="A47" i="11"/>
  <c r="E181" i="2"/>
  <c r="B18" i="2"/>
  <c r="B20" i="2"/>
  <c r="B27" i="2"/>
  <c r="B29" i="2" s="1"/>
  <c r="B30" i="2" s="1"/>
  <c r="E20" i="2"/>
  <c r="I54" i="50"/>
  <c r="H22" i="50"/>
  <c r="K22" i="50" s="1"/>
  <c r="D23" i="50"/>
  <c r="D22" i="47"/>
  <c r="O23" i="42"/>
  <c r="O22" i="42"/>
  <c r="O19" i="42"/>
  <c r="O27" i="42"/>
  <c r="O25" i="42"/>
  <c r="O26" i="42"/>
  <c r="O24" i="42"/>
  <c r="E74" i="2"/>
  <c r="E71" i="2"/>
  <c r="E31" i="2"/>
  <c r="E108" i="2"/>
  <c r="A84" i="35"/>
  <c r="E249" i="2"/>
  <c r="D24" i="50"/>
  <c r="D25" i="50" s="1"/>
  <c r="D26" i="50" s="1"/>
  <c r="H26" i="50" s="1"/>
  <c r="K26" i="50" s="1"/>
  <c r="H23" i="50"/>
  <c r="K23" i="50" s="1"/>
  <c r="E20" i="11"/>
  <c r="G20" i="11" s="1"/>
  <c r="E26" i="30"/>
  <c r="G21" i="38"/>
  <c r="F48" i="13"/>
  <c r="G48" i="20"/>
  <c r="E89" i="41"/>
  <c r="H21" i="50"/>
  <c r="K21" i="50" s="1"/>
  <c r="H25" i="50"/>
  <c r="K25" i="50" s="1"/>
  <c r="D27" i="50"/>
  <c r="D28" i="50" s="1"/>
  <c r="D29" i="50" s="1"/>
  <c r="D30" i="50" s="1"/>
  <c r="D31" i="50" s="1"/>
  <c r="D32" i="50" s="1"/>
  <c r="N699" i="13"/>
  <c r="C654" i="13"/>
  <c r="C655" i="13"/>
  <c r="C656" i="13" s="1"/>
  <c r="C657" i="13" s="1"/>
  <c r="C658" i="13" s="1"/>
  <c r="C659" i="13" s="1"/>
  <c r="C660" i="13" s="1"/>
  <c r="C661" i="13" s="1"/>
  <c r="C662" i="13" s="1"/>
  <c r="C567" i="13"/>
  <c r="C395" i="13"/>
  <c r="C396" i="13" s="1"/>
  <c r="C397" i="13" s="1"/>
  <c r="C398" i="13" s="1"/>
  <c r="C399" i="13" s="1"/>
  <c r="C400" i="13" s="1"/>
  <c r="C401" i="13" s="1"/>
  <c r="C402" i="13" s="1"/>
  <c r="C403" i="13" s="1"/>
  <c r="C404" i="13" s="1"/>
  <c r="C405" i="13" s="1"/>
  <c r="C406" i="13" s="1"/>
  <c r="C407" i="13" s="1"/>
  <c r="C408" i="13" s="1"/>
  <c r="C409" i="13" s="1"/>
  <c r="C410" i="13" s="1"/>
  <c r="C411" i="13" s="1"/>
  <c r="C412" i="13" s="1"/>
  <c r="C413" i="13" s="1"/>
  <c r="C414" i="13" s="1"/>
  <c r="C415" i="13" s="1"/>
  <c r="C416" i="13" s="1"/>
  <c r="C417" i="13" s="1"/>
  <c r="C418" i="13" s="1"/>
  <c r="C419" i="13" s="1"/>
  <c r="C420" i="13" s="1"/>
  <c r="C421" i="13" s="1"/>
  <c r="C422" i="13" s="1"/>
  <c r="C312" i="13"/>
  <c r="C313" i="13"/>
  <c r="C314" i="13" s="1"/>
  <c r="C315" i="13" s="1"/>
  <c r="C316" i="13" s="1"/>
  <c r="C317" i="13" s="1"/>
  <c r="C318" i="13" s="1"/>
  <c r="C319" i="13" s="1"/>
  <c r="C320" i="13" s="1"/>
  <c r="C321" i="13" s="1"/>
  <c r="C322" i="13" s="1"/>
  <c r="C323" i="13" s="1"/>
  <c r="C324" i="13" s="1"/>
  <c r="C325" i="13" s="1"/>
  <c r="C326" i="13" s="1"/>
  <c r="C327" i="13" s="1"/>
  <c r="C328" i="13" s="1"/>
  <c r="C329" i="13" s="1"/>
  <c r="C330" i="13" s="1"/>
  <c r="C331" i="13" s="1"/>
  <c r="C332" i="13" s="1"/>
  <c r="C333" i="13" s="1"/>
  <c r="C334" i="13" s="1"/>
  <c r="C335" i="13" s="1"/>
  <c r="M177" i="13"/>
  <c r="N177" i="13"/>
  <c r="C219" i="13"/>
  <c r="C220" i="13"/>
  <c r="C221" i="13"/>
  <c r="C222" i="13" s="1"/>
  <c r="C223" i="13" s="1"/>
  <c r="C224" i="13"/>
  <c r="C225" i="13" s="1"/>
  <c r="C226" i="13" s="1"/>
  <c r="C227" i="13" s="1"/>
  <c r="C228" i="13" s="1"/>
  <c r="C229" i="13" s="1"/>
  <c r="C230" i="13" s="1"/>
  <c r="C231" i="13" s="1"/>
  <c r="C232" i="13" s="1"/>
  <c r="C233" i="13" s="1"/>
  <c r="C234" i="13" s="1"/>
  <c r="C235" i="13" s="1"/>
  <c r="C236" i="13" s="1"/>
  <c r="C237" i="13" s="1"/>
  <c r="C238" i="13" s="1"/>
  <c r="C239" i="13" s="1"/>
  <c r="C240" i="13" s="1"/>
  <c r="C241" i="13" s="1"/>
  <c r="C242" i="13" s="1"/>
  <c r="C243" i="13" s="1"/>
  <c r="C244" i="13" s="1"/>
  <c r="C245" i="13" s="1"/>
  <c r="C246" i="13" s="1"/>
  <c r="C247" i="13" s="1"/>
  <c r="C248" i="13" s="1"/>
  <c r="C132" i="13"/>
  <c r="C133" i="13"/>
  <c r="C134" i="13" s="1"/>
  <c r="C135" i="13" s="1"/>
  <c r="C136" i="13" s="1"/>
  <c r="C137" i="13"/>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N90" i="13"/>
  <c r="M90" i="13"/>
  <c r="M699" i="13"/>
  <c r="M612" i="13"/>
  <c r="N612" i="13"/>
  <c r="N525" i="13"/>
  <c r="M438" i="13"/>
  <c r="N438" i="13"/>
  <c r="M351" i="13"/>
  <c r="N351" i="13"/>
  <c r="M264" i="13"/>
  <c r="N264" i="13"/>
  <c r="C663" i="13"/>
  <c r="C664" i="13" s="1"/>
  <c r="C665" i="13" s="1"/>
  <c r="C666" i="13" s="1"/>
  <c r="C667" i="13" s="1"/>
  <c r="C668" i="13" s="1"/>
  <c r="C669" i="13" s="1"/>
  <c r="C670" i="13" s="1"/>
  <c r="C671" i="13" s="1"/>
  <c r="C672" i="13" s="1"/>
  <c r="C673" i="13" s="1"/>
  <c r="C674" i="13" s="1"/>
  <c r="C675" i="13" s="1"/>
  <c r="C676" i="13" s="1"/>
  <c r="C677" i="13" s="1"/>
  <c r="C678" i="13" s="1"/>
  <c r="C679" i="13" s="1"/>
  <c r="C680" i="13" s="1"/>
  <c r="C681" i="13" s="1"/>
  <c r="C682" i="13" s="1"/>
  <c r="C683" i="13" s="1"/>
  <c r="C568" i="13"/>
  <c r="C569" i="13"/>
  <c r="C570" i="13" s="1"/>
  <c r="C571" i="13" s="1"/>
  <c r="C572" i="13" s="1"/>
  <c r="C573" i="13" s="1"/>
  <c r="M525" i="13"/>
  <c r="C574" i="13"/>
  <c r="C575" i="13" s="1"/>
  <c r="C576" i="13" s="1"/>
  <c r="C577" i="13" s="1"/>
  <c r="C578" i="13" s="1"/>
  <c r="C579" i="13" s="1"/>
  <c r="C580" i="13" s="1"/>
  <c r="C581" i="13" s="1"/>
  <c r="C582" i="13" s="1"/>
  <c r="C583" i="13" s="1"/>
  <c r="C584" i="13" s="1"/>
  <c r="C585" i="13" s="1"/>
  <c r="C586" i="13" s="1"/>
  <c r="C587" i="13" s="1"/>
  <c r="C588" i="13" s="1"/>
  <c r="C589" i="13" s="1"/>
  <c r="C590" i="13" s="1"/>
  <c r="C591" i="13" s="1"/>
  <c r="C592" i="13" s="1"/>
  <c r="C593" i="13" s="1"/>
  <c r="C594" i="13" s="1"/>
  <c r="C595" i="13" s="1"/>
  <c r="C596" i="13" s="1"/>
  <c r="G256" i="2"/>
  <c r="G159" i="2" l="1"/>
  <c r="C28" i="48"/>
  <c r="D24" i="48" s="1"/>
  <c r="E24" i="48" s="1"/>
  <c r="H24" i="48" s="1"/>
  <c r="G61" i="38"/>
  <c r="A239" i="38"/>
  <c r="A241" i="38" s="1"/>
  <c r="A243" i="38" s="1"/>
  <c r="A245" i="38" s="1"/>
  <c r="A246" i="38" s="1"/>
  <c r="A252" i="38" s="1"/>
  <c r="A253" i="38" s="1"/>
  <c r="D52" i="5" s="1"/>
  <c r="G29" i="38"/>
  <c r="G233" i="38"/>
  <c r="G174" i="38"/>
  <c r="G253" i="38"/>
  <c r="J253" i="38"/>
  <c r="D237" i="38"/>
  <c r="I253" i="38"/>
  <c r="F38" i="10"/>
  <c r="F340" i="2" s="1"/>
  <c r="G189" i="2" s="1"/>
  <c r="G193" i="2" s="1"/>
  <c r="G200" i="2" s="1"/>
  <c r="G33" i="38"/>
  <c r="G108" i="38"/>
  <c r="F23" i="38"/>
  <c r="G154" i="38"/>
  <c r="A110" i="38"/>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175" i="38" s="1"/>
  <c r="A176" i="38" s="1"/>
  <c r="A177" i="38" s="1"/>
  <c r="A178" i="38" s="1"/>
  <c r="A179" i="38" s="1"/>
  <c r="A180" i="38" s="1"/>
  <c r="A181" i="38" s="1"/>
  <c r="G165" i="38"/>
  <c r="G166" i="38"/>
  <c r="G190" i="38"/>
  <c r="G35" i="38"/>
  <c r="G167" i="38"/>
  <c r="G184" i="38"/>
  <c r="G139" i="38"/>
  <c r="G121" i="38"/>
  <c r="G157" i="38"/>
  <c r="G142" i="38"/>
  <c r="G101" i="38"/>
  <c r="G109" i="38"/>
  <c r="G104" i="38"/>
  <c r="S236" i="38"/>
  <c r="E33" i="5"/>
  <c r="E35" i="5"/>
  <c r="G125" i="38"/>
  <c r="G113" i="38"/>
  <c r="G53" i="39"/>
  <c r="G62" i="39"/>
  <c r="G128" i="39"/>
  <c r="G41" i="5"/>
  <c r="G43" i="5"/>
  <c r="I43" i="5" s="1"/>
  <c r="G23" i="39"/>
  <c r="G68" i="39"/>
  <c r="G70" i="39"/>
  <c r="G75" i="2"/>
  <c r="G94" i="2"/>
  <c r="G46" i="38"/>
  <c r="A32" i="38"/>
  <c r="A33" i="38" s="1"/>
  <c r="A34" i="38" s="1"/>
  <c r="A35" i="38" s="1"/>
  <c r="A36" i="38" s="1"/>
  <c r="A37" i="38" s="1"/>
  <c r="E25" i="5"/>
  <c r="E27" i="5"/>
  <c r="G51" i="38"/>
  <c r="G17" i="38"/>
  <c r="G146" i="38"/>
  <c r="J237" i="38"/>
  <c r="M236" i="38"/>
  <c r="G35" i="5"/>
  <c r="G33" i="5"/>
  <c r="G105" i="38"/>
  <c r="I237" i="38"/>
  <c r="G120" i="38"/>
  <c r="G237" i="38" s="1"/>
  <c r="C237" i="38"/>
  <c r="G170" i="38"/>
  <c r="G27" i="5"/>
  <c r="G25" i="5"/>
  <c r="S17" i="21"/>
  <c r="K47" i="48"/>
  <c r="G22" i="48"/>
  <c r="G24" i="48"/>
  <c r="G58" i="39"/>
  <c r="G73" i="39"/>
  <c r="G124" i="39"/>
  <c r="G65" i="39"/>
  <c r="G130" i="39"/>
  <c r="G42" i="39"/>
  <c r="G136" i="39"/>
  <c r="F140" i="39"/>
  <c r="G24" i="39"/>
  <c r="G135" i="39"/>
  <c r="G137" i="39"/>
  <c r="G132" i="39"/>
  <c r="G138" i="39"/>
  <c r="G64" i="39"/>
  <c r="G45" i="39"/>
  <c r="G37" i="39"/>
  <c r="G60" i="39"/>
  <c r="G50" i="39"/>
  <c r="E140" i="39"/>
  <c r="G83" i="39"/>
  <c r="G56" i="39"/>
  <c r="G66" i="39"/>
  <c r="G52" i="39"/>
  <c r="G79" i="39"/>
  <c r="G75" i="39"/>
  <c r="G59" i="39"/>
  <c r="G43" i="39"/>
  <c r="G80" i="39"/>
  <c r="G141" i="39" s="1"/>
  <c r="G20" i="39"/>
  <c r="G28" i="39"/>
  <c r="G61" i="39"/>
  <c r="G69" i="39"/>
  <c r="G82" i="39"/>
  <c r="G71" i="39"/>
  <c r="G78" i="39"/>
  <c r="G81" i="39"/>
  <c r="G87" i="39"/>
  <c r="G67" i="39"/>
  <c r="G72" i="39"/>
  <c r="G22" i="39"/>
  <c r="G63" i="39"/>
  <c r="G126" i="39"/>
  <c r="G84" i="39"/>
  <c r="G40" i="39"/>
  <c r="G32" i="39"/>
  <c r="C140" i="39"/>
  <c r="G35" i="39"/>
  <c r="G123" i="39"/>
  <c r="G129" i="39"/>
  <c r="G74" i="39"/>
  <c r="G76" i="39"/>
  <c r="G46" i="39"/>
  <c r="G57" i="39"/>
  <c r="G77" i="39"/>
  <c r="G125" i="39"/>
  <c r="G86" i="39"/>
  <c r="G29" i="39"/>
  <c r="G30" i="39"/>
  <c r="G55" i="39"/>
  <c r="G48" i="39"/>
  <c r="G26" i="39"/>
  <c r="G38" i="39"/>
  <c r="G54" i="39"/>
  <c r="E19" i="5"/>
  <c r="E17" i="5"/>
  <c r="G17" i="5"/>
  <c r="G19" i="5"/>
  <c r="I51" i="5"/>
  <c r="G103" i="2" s="1"/>
  <c r="G140" i="38"/>
  <c r="G137" i="38"/>
  <c r="G161" i="38"/>
  <c r="G176" i="38"/>
  <c r="G98" i="38"/>
  <c r="G138" i="38"/>
  <c r="G150" i="38"/>
  <c r="G160" i="38"/>
  <c r="G153" i="38"/>
  <c r="G158" i="38"/>
  <c r="G145" i="38"/>
  <c r="G180" i="38"/>
  <c r="G118" i="38"/>
  <c r="G122" i="38"/>
  <c r="G186" i="38"/>
  <c r="G169" i="38"/>
  <c r="G103" i="38"/>
  <c r="G106" i="38"/>
  <c r="G127" i="38"/>
  <c r="G177" i="38"/>
  <c r="G100" i="38"/>
  <c r="G102" i="38"/>
  <c r="G144" i="38"/>
  <c r="G116" i="38"/>
  <c r="G111" i="38"/>
  <c r="G60" i="38"/>
  <c r="G67" i="38"/>
  <c r="G163" i="38"/>
  <c r="G172" i="38"/>
  <c r="G175" i="38"/>
  <c r="G187" i="38"/>
  <c r="G132" i="38"/>
  <c r="G191" i="38"/>
  <c r="G156" i="38"/>
  <c r="G115" i="38"/>
  <c r="C230" i="38"/>
  <c r="C236" i="38" s="1"/>
  <c r="G119" i="38"/>
  <c r="G130" i="38"/>
  <c r="G131" i="38"/>
  <c r="G143" i="38"/>
  <c r="G155" i="38"/>
  <c r="G159" i="38"/>
  <c r="G164" i="38"/>
  <c r="G189" i="38"/>
  <c r="G181" i="38"/>
  <c r="G99" i="38"/>
  <c r="G141" i="38"/>
  <c r="G126" i="38"/>
  <c r="G123" i="38"/>
  <c r="G173" i="38"/>
  <c r="G135" i="38"/>
  <c r="G52" i="38"/>
  <c r="G28" i="38"/>
  <c r="G37" i="38"/>
  <c r="G94" i="38" s="1"/>
  <c r="G40" i="38"/>
  <c r="G62" i="38"/>
  <c r="G44" i="38"/>
  <c r="G65" i="38"/>
  <c r="G39" i="38"/>
  <c r="I18" i="5"/>
  <c r="G55" i="38"/>
  <c r="G63" i="38"/>
  <c r="G56" i="38"/>
  <c r="G19" i="38"/>
  <c r="G23" i="38" s="1"/>
  <c r="C93" i="38"/>
  <c r="G57" i="38"/>
  <c r="G41" i="38"/>
  <c r="G34" i="38"/>
  <c r="G30" i="38"/>
  <c r="G47" i="38"/>
  <c r="G48" i="38"/>
  <c r="G53" i="38"/>
  <c r="G117" i="38"/>
  <c r="G162" i="38"/>
  <c r="G171" i="38"/>
  <c r="K230" i="38"/>
  <c r="K236" i="38" s="1"/>
  <c r="G188" i="38"/>
  <c r="G179" i="38"/>
  <c r="G107" i="38"/>
  <c r="G114" i="38"/>
  <c r="G152" i="38"/>
  <c r="G148" i="38"/>
  <c r="I230" i="38"/>
  <c r="I236" i="38" s="1"/>
  <c r="G112" i="38"/>
  <c r="G128" i="38"/>
  <c r="G133" i="38"/>
  <c r="G134" i="38"/>
  <c r="G43" i="38"/>
  <c r="I93" i="38"/>
  <c r="G58" i="38"/>
  <c r="G49" i="38"/>
  <c r="G66" i="38"/>
  <c r="G64" i="38"/>
  <c r="K93" i="38"/>
  <c r="G50" i="38"/>
  <c r="G45" i="38"/>
  <c r="G54" i="38"/>
  <c r="G68" i="38"/>
  <c r="G90" i="2"/>
  <c r="E47" i="11" s="1"/>
  <c r="E61" i="11" s="1"/>
  <c r="E63" i="11" s="1"/>
  <c r="E65" i="11" s="1"/>
  <c r="L78" i="2"/>
  <c r="L90" i="2" s="1"/>
  <c r="G87" i="2"/>
  <c r="J81" i="2"/>
  <c r="L81" i="2" s="1"/>
  <c r="J174" i="2"/>
  <c r="L174" i="2" s="1"/>
  <c r="H76" i="13" s="1"/>
  <c r="G92" i="2"/>
  <c r="I47" i="11" s="1"/>
  <c r="L229" i="2"/>
  <c r="L68" i="2" s="1"/>
  <c r="L231" i="2"/>
  <c r="J149" i="2" s="1"/>
  <c r="E50" i="11"/>
  <c r="E52" i="11" s="1"/>
  <c r="E54" i="11" s="1"/>
  <c r="K50" i="11"/>
  <c r="K52" i="11" s="1"/>
  <c r="K54" i="11" s="1"/>
  <c r="G91" i="2"/>
  <c r="G47" i="11" s="1"/>
  <c r="L70" i="2"/>
  <c r="L92" i="2" s="1"/>
  <c r="G42" i="11"/>
  <c r="G183" i="2" s="1"/>
  <c r="E38" i="11"/>
  <c r="M38" i="11" s="1"/>
  <c r="M42" i="11" s="1"/>
  <c r="G184" i="2" s="1"/>
  <c r="L184" i="2" s="1"/>
  <c r="I26" i="11"/>
  <c r="I42" i="11" s="1"/>
  <c r="G181" i="2" s="1"/>
  <c r="N21" i="13"/>
  <c r="O21" i="13"/>
  <c r="F87" i="35"/>
  <c r="G110" i="2" s="1"/>
  <c r="P650" i="13"/>
  <c r="P662" i="13"/>
  <c r="P679" i="13"/>
  <c r="H42" i="41"/>
  <c r="G255" i="2" s="1"/>
  <c r="L252" i="2"/>
  <c r="G257" i="2" s="1"/>
  <c r="J27" i="8"/>
  <c r="J31" i="8" s="1"/>
  <c r="E61" i="9"/>
  <c r="E73" i="9"/>
  <c r="P405" i="13"/>
  <c r="P506" i="13"/>
  <c r="P667" i="13"/>
  <c r="P671" i="13"/>
  <c r="P675" i="13"/>
  <c r="P762" i="13"/>
  <c r="P482" i="13"/>
  <c r="P474" i="13"/>
  <c r="G149" i="2"/>
  <c r="G113" i="2" s="1"/>
  <c r="L44" i="2"/>
  <c r="L48" i="2" s="1"/>
  <c r="P385" i="13"/>
  <c r="P466" i="13"/>
  <c r="P486" i="13"/>
  <c r="P718" i="13"/>
  <c r="P722" i="13"/>
  <c r="P462" i="13"/>
  <c r="P490" i="13"/>
  <c r="P635" i="13"/>
  <c r="P683" i="13"/>
  <c r="P750" i="13"/>
  <c r="P494" i="13"/>
  <c r="P651" i="13"/>
  <c r="P663" i="13"/>
  <c r="D31" i="6"/>
  <c r="P138" i="13"/>
  <c r="P218" i="13"/>
  <c r="P286" i="13"/>
  <c r="P318" i="13"/>
  <c r="P159" i="13"/>
  <c r="P151" i="13"/>
  <c r="P135" i="13"/>
  <c r="P131" i="13"/>
  <c r="P127" i="13"/>
  <c r="P123" i="13"/>
  <c r="P115" i="13"/>
  <c r="P197" i="13"/>
  <c r="P201" i="13"/>
  <c r="P205" i="13"/>
  <c r="P243" i="13"/>
  <c r="P305" i="13"/>
  <c r="P639" i="13"/>
  <c r="P655" i="13"/>
  <c r="P207" i="13"/>
  <c r="P209" i="13"/>
  <c r="P213" i="13"/>
  <c r="P221" i="13"/>
  <c r="P285" i="13"/>
  <c r="P470" i="13"/>
  <c r="P631" i="13"/>
  <c r="P643" i="13"/>
  <c r="P659" i="13"/>
  <c r="P746" i="13"/>
  <c r="P225" i="13"/>
  <c r="P215" i="13"/>
  <c r="P458" i="13"/>
  <c r="P478" i="13"/>
  <c r="P647" i="13"/>
  <c r="P199" i="13"/>
  <c r="P564" i="13"/>
  <c r="P158" i="13"/>
  <c r="P485" i="13"/>
  <c r="P157" i="13"/>
  <c r="P153" i="13"/>
  <c r="P129" i="13"/>
  <c r="P125" i="13"/>
  <c r="P113" i="13"/>
  <c r="P206" i="13"/>
  <c r="P222" i="13"/>
  <c r="P226" i="13"/>
  <c r="P230" i="13"/>
  <c r="P234" i="13"/>
  <c r="P238" i="13"/>
  <c r="P290" i="13"/>
  <c r="P302" i="13"/>
  <c r="P310" i="13"/>
  <c r="P322" i="13"/>
  <c r="P334" i="13"/>
  <c r="P142" i="13"/>
  <c r="P223" i="13"/>
  <c r="P247" i="13"/>
  <c r="P143" i="13"/>
  <c r="P379" i="13"/>
  <c r="P383" i="13"/>
  <c r="P387" i="13"/>
  <c r="P391" i="13"/>
  <c r="P399" i="13"/>
  <c r="P403" i="13"/>
  <c r="P480" i="13"/>
  <c r="P484" i="13"/>
  <c r="P488" i="13"/>
  <c r="P764" i="13"/>
  <c r="P118" i="13"/>
  <c r="P396" i="13"/>
  <c r="P420" i="13"/>
  <c r="P642" i="13"/>
  <c r="P682" i="13"/>
  <c r="P335" i="13"/>
  <c r="P141" i="13"/>
  <c r="P137" i="13"/>
  <c r="P121" i="13"/>
  <c r="P155" i="13"/>
  <c r="P408" i="13"/>
  <c r="P291" i="13"/>
  <c r="P299" i="13"/>
  <c r="P384" i="13"/>
  <c r="P388" i="13"/>
  <c r="P733" i="13"/>
  <c r="P741" i="13"/>
  <c r="P377" i="13"/>
  <c r="P502" i="13"/>
  <c r="H239" i="2"/>
  <c r="P370" i="13"/>
  <c r="P390" i="13"/>
  <c r="P550" i="13"/>
  <c r="P566" i="13"/>
  <c r="P582" i="13"/>
  <c r="P590" i="13"/>
  <c r="P628" i="13"/>
  <c r="P632" i="13"/>
  <c r="P636" i="13"/>
  <c r="P640" i="13"/>
  <c r="P644" i="13"/>
  <c r="P652" i="13"/>
  <c r="P660" i="13"/>
  <c r="P664" i="13"/>
  <c r="P668" i="13"/>
  <c r="P672" i="13"/>
  <c r="P676" i="13"/>
  <c r="P680" i="13"/>
  <c r="P715" i="13"/>
  <c r="P735" i="13"/>
  <c r="P242" i="13"/>
  <c r="P246" i="13"/>
  <c r="P497" i="13"/>
  <c r="P501" i="13"/>
  <c r="P505" i="13"/>
  <c r="P552" i="13"/>
  <c r="P568" i="13"/>
  <c r="P161" i="13"/>
  <c r="P585" i="13"/>
  <c r="P196" i="13"/>
  <c r="P204" i="13"/>
  <c r="P208" i="13"/>
  <c r="P212" i="13"/>
  <c r="P224" i="13"/>
  <c r="P308" i="13"/>
  <c r="P147" i="13"/>
  <c r="P231" i="13"/>
  <c r="P239" i="13"/>
  <c r="P371" i="13"/>
  <c r="P375" i="13"/>
  <c r="P407" i="13"/>
  <c r="P460" i="13"/>
  <c r="P464" i="13"/>
  <c r="P468" i="13"/>
  <c r="P472" i="13"/>
  <c r="P476" i="13"/>
  <c r="P492" i="13"/>
  <c r="P314" i="13"/>
  <c r="P326" i="13"/>
  <c r="P330" i="13"/>
  <c r="P556" i="13"/>
  <c r="P397" i="13"/>
  <c r="P421" i="13"/>
  <c r="P553" i="13"/>
  <c r="P557" i="13"/>
  <c r="P565" i="13"/>
  <c r="P569" i="13"/>
  <c r="P577" i="13"/>
  <c r="P754" i="13"/>
  <c r="P770" i="13"/>
  <c r="P140" i="13"/>
  <c r="P132" i="13"/>
  <c r="P124" i="13"/>
  <c r="P120" i="13"/>
  <c r="P116" i="13"/>
  <c r="P394" i="13"/>
  <c r="P402" i="13"/>
  <c r="P503" i="13"/>
  <c r="P546" i="13"/>
  <c r="P574" i="13"/>
  <c r="P586" i="13"/>
  <c r="P656" i="13"/>
  <c r="P229" i="13"/>
  <c r="P233" i="13"/>
  <c r="P237" i="13"/>
  <c r="P241" i="13"/>
  <c r="P245" i="13"/>
  <c r="P289" i="13"/>
  <c r="P293" i="13"/>
  <c r="P297" i="13"/>
  <c r="P301" i="13"/>
  <c r="P317" i="13"/>
  <c r="P325" i="13"/>
  <c r="P329" i="13"/>
  <c r="P333" i="13"/>
  <c r="P395" i="13"/>
  <c r="P583" i="13"/>
  <c r="P587" i="13"/>
  <c r="P591" i="13"/>
  <c r="P595" i="13"/>
  <c r="P633" i="13"/>
  <c r="P641" i="13"/>
  <c r="P653" i="13"/>
  <c r="P661" i="13"/>
  <c r="P665" i="13"/>
  <c r="P669" i="13"/>
  <c r="P677" i="13"/>
  <c r="P681" i="13"/>
  <c r="P724" i="13"/>
  <c r="P728" i="13"/>
  <c r="P732" i="13"/>
  <c r="P736" i="13"/>
  <c r="P744" i="13"/>
  <c r="P154" i="13"/>
  <c r="P150" i="13"/>
  <c r="P146" i="13"/>
  <c r="P130" i="13"/>
  <c r="P765" i="13"/>
  <c r="P469" i="13"/>
  <c r="P481" i="13"/>
  <c r="P489" i="13"/>
  <c r="P381" i="13"/>
  <c r="P758" i="13"/>
  <c r="P149" i="13"/>
  <c r="P549" i="13"/>
  <c r="P561" i="13"/>
  <c r="P573" i="13"/>
  <c r="P734" i="13"/>
  <c r="P756" i="13"/>
  <c r="P760" i="13"/>
  <c r="P156" i="13"/>
  <c r="P410" i="13"/>
  <c r="P459" i="13"/>
  <c r="P479" i="13"/>
  <c r="P495" i="13"/>
  <c r="P554" i="13"/>
  <c r="P739" i="13"/>
  <c r="P759" i="13"/>
  <c r="O612" i="13"/>
  <c r="P217" i="13"/>
  <c r="P102" i="13"/>
  <c r="P198" i="13"/>
  <c r="P202" i="13"/>
  <c r="P210" i="13"/>
  <c r="P214" i="13"/>
  <c r="P294" i="13"/>
  <c r="P298" i="13"/>
  <c r="P306" i="13"/>
  <c r="P367" i="13"/>
  <c r="P411" i="13"/>
  <c r="P415" i="13"/>
  <c r="P419" i="13"/>
  <c r="P496" i="13"/>
  <c r="P500" i="13"/>
  <c r="P504" i="13"/>
  <c r="P508" i="13"/>
  <c r="P543" i="13"/>
  <c r="P547" i="13"/>
  <c r="P551" i="13"/>
  <c r="P637" i="13"/>
  <c r="P720" i="13"/>
  <c r="P386" i="13"/>
  <c r="P562" i="13"/>
  <c r="P719" i="13"/>
  <c r="P747" i="13"/>
  <c r="P755" i="13"/>
  <c r="P309" i="13"/>
  <c r="P588" i="13"/>
  <c r="P634" i="13"/>
  <c r="P638" i="13"/>
  <c r="P646" i="13"/>
  <c r="P654" i="13"/>
  <c r="P658" i="13"/>
  <c r="P666" i="13"/>
  <c r="P670" i="13"/>
  <c r="P674" i="13"/>
  <c r="P678" i="13"/>
  <c r="P761" i="13"/>
  <c r="P467" i="13"/>
  <c r="P499" i="13"/>
  <c r="P751" i="13"/>
  <c r="O90" i="13"/>
  <c r="P134" i="13"/>
  <c r="P368" i="13"/>
  <c r="P400" i="13"/>
  <c r="P404" i="13"/>
  <c r="P457" i="13"/>
  <c r="P461" i="13"/>
  <c r="P465" i="13"/>
  <c r="P473" i="13"/>
  <c r="P477" i="13"/>
  <c r="P493" i="13"/>
  <c r="P382" i="13"/>
  <c r="P414" i="13"/>
  <c r="P463" i="13"/>
  <c r="P507" i="13"/>
  <c r="P570" i="13"/>
  <c r="P648" i="13"/>
  <c r="P743" i="13"/>
  <c r="P313" i="13"/>
  <c r="P203" i="13"/>
  <c r="P211" i="13"/>
  <c r="P227" i="13"/>
  <c r="P323" i="13"/>
  <c r="P417" i="13"/>
  <c r="P160" i="13"/>
  <c r="P374" i="13"/>
  <c r="P558" i="13"/>
  <c r="P594" i="13"/>
  <c r="P731" i="13"/>
  <c r="P145" i="13"/>
  <c r="P220" i="13"/>
  <c r="P244" i="13"/>
  <c r="P248" i="13"/>
  <c r="P284" i="13"/>
  <c r="P300" i="13"/>
  <c r="P316" i="13"/>
  <c r="P324" i="13"/>
  <c r="P328" i="13"/>
  <c r="P332" i="13"/>
  <c r="P393" i="13"/>
  <c r="P139" i="13"/>
  <c r="P509" i="13"/>
  <c r="P537" i="13"/>
  <c r="P560" i="13"/>
  <c r="P576" i="13"/>
  <c r="P580" i="13"/>
  <c r="P584" i="13"/>
  <c r="P592" i="13"/>
  <c r="P596" i="13"/>
  <c r="P630" i="13"/>
  <c r="P717" i="13"/>
  <c r="P721" i="13"/>
  <c r="P729" i="13"/>
  <c r="P752" i="13"/>
  <c r="P768" i="13"/>
  <c r="P236" i="13"/>
  <c r="P320" i="13"/>
  <c r="P392" i="13"/>
  <c r="P412" i="13"/>
  <c r="P321" i="13"/>
  <c r="P369" i="13"/>
  <c r="P401" i="13"/>
  <c r="P498" i="13"/>
  <c r="P228" i="13"/>
  <c r="P767" i="13"/>
  <c r="P122" i="13"/>
  <c r="P726" i="13"/>
  <c r="P753" i="13"/>
  <c r="P757" i="13"/>
  <c r="P232" i="13"/>
  <c r="O264" i="13"/>
  <c r="P418" i="13"/>
  <c r="P471" i="13"/>
  <c r="P380" i="13"/>
  <c r="S33" i="21"/>
  <c r="L209" i="2" s="1"/>
  <c r="P128" i="13"/>
  <c r="P240" i="13"/>
  <c r="P372" i="13"/>
  <c r="P740" i="13"/>
  <c r="P152" i="13"/>
  <c r="P144" i="13"/>
  <c r="P136" i="13"/>
  <c r="P216" i="13"/>
  <c r="P307" i="13"/>
  <c r="P331" i="13"/>
  <c r="P567" i="13"/>
  <c r="P579" i="13"/>
  <c r="P645" i="13"/>
  <c r="P716" i="13"/>
  <c r="P119" i="13"/>
  <c r="P283" i="13"/>
  <c r="P295" i="13"/>
  <c r="P378" i="13"/>
  <c r="P409" i="13"/>
  <c r="P422" i="13"/>
  <c r="P475" i="13"/>
  <c r="P559" i="13"/>
  <c r="P649" i="13"/>
  <c r="P657" i="13"/>
  <c r="P673" i="13"/>
  <c r="P133" i="13"/>
  <c r="P126" i="13"/>
  <c r="P114" i="13"/>
  <c r="P288" i="13"/>
  <c r="P311" i="13"/>
  <c r="P315" i="13"/>
  <c r="P319" i="13"/>
  <c r="P416" i="13"/>
  <c r="P483" i="13"/>
  <c r="P487" i="13"/>
  <c r="P544" i="13"/>
  <c r="P548" i="13"/>
  <c r="P563" i="13"/>
  <c r="P581" i="13"/>
  <c r="P589" i="13"/>
  <c r="P723" i="13"/>
  <c r="P730" i="13"/>
  <c r="P737" i="13"/>
  <c r="P292" i="13"/>
  <c r="P296" i="13"/>
  <c r="P304" i="13"/>
  <c r="P327" i="13"/>
  <c r="P398" i="13"/>
  <c r="P406" i="13"/>
  <c r="P545" i="13"/>
  <c r="P571" i="13"/>
  <c r="P578" i="13"/>
  <c r="P727" i="13"/>
  <c r="P748" i="13"/>
  <c r="O699" i="13"/>
  <c r="P117" i="13"/>
  <c r="P312" i="13"/>
  <c r="P376" i="13"/>
  <c r="P575" i="13"/>
  <c r="P200" i="13"/>
  <c r="P219" i="13"/>
  <c r="P749" i="13"/>
  <c r="O351" i="13"/>
  <c r="P373" i="13"/>
  <c r="P389" i="13"/>
  <c r="K67" i="11"/>
  <c r="K68" i="11" s="1"/>
  <c r="F59" i="13"/>
  <c r="O525" i="13"/>
  <c r="E250" i="2"/>
  <c r="A29" i="41"/>
  <c r="A30" i="41" s="1"/>
  <c r="A31" i="41" s="1"/>
  <c r="A32" i="41" s="1"/>
  <c r="A33" i="41" s="1"/>
  <c r="A34" i="41" s="1"/>
  <c r="A35" i="41" s="1"/>
  <c r="A36" i="41" s="1"/>
  <c r="A37" i="41" s="1"/>
  <c r="A38" i="41" s="1"/>
  <c r="A39" i="41" s="1"/>
  <c r="A40" i="41" s="1"/>
  <c r="A41" i="41" s="1"/>
  <c r="A42" i="41" s="1"/>
  <c r="E248" i="2"/>
  <c r="E251" i="2"/>
  <c r="K23" i="49"/>
  <c r="J256" i="2"/>
  <c r="O177" i="13"/>
  <c r="K21" i="47"/>
  <c r="A36" i="9"/>
  <c r="A37" i="9" s="1"/>
  <c r="A38" i="9" s="1"/>
  <c r="A39" i="9" s="1"/>
  <c r="A40" i="9" s="1"/>
  <c r="A41" i="9" s="1"/>
  <c r="E146" i="2"/>
  <c r="F29" i="47"/>
  <c r="O438" i="13"/>
  <c r="A49" i="11"/>
  <c r="A50" i="11" s="1"/>
  <c r="D33" i="2"/>
  <c r="B31" i="2"/>
  <c r="B33" i="2" s="1"/>
  <c r="B34" i="2" s="1"/>
  <c r="E67" i="2"/>
  <c r="A29" i="35"/>
  <c r="A30" i="35" s="1"/>
  <c r="A31" i="35" s="1"/>
  <c r="A32" i="35" s="1"/>
  <c r="A33" i="35" s="1"/>
  <c r="A34" i="35" s="1"/>
  <c r="A35" i="35" s="1"/>
  <c r="A36" i="35" s="1"/>
  <c r="A37" i="35" s="1"/>
  <c r="A38" i="35" s="1"/>
  <c r="A39" i="35" s="1"/>
  <c r="A40" i="35" s="1"/>
  <c r="A41" i="35" s="1"/>
  <c r="A42" i="35" s="1"/>
  <c r="E72" i="2"/>
  <c r="E69" i="2"/>
  <c r="E66" i="2"/>
  <c r="E73" i="2"/>
  <c r="E70" i="2"/>
  <c r="D104" i="41"/>
  <c r="H24" i="50"/>
  <c r="D23" i="47"/>
  <c r="H22" i="47"/>
  <c r="K22" i="47" s="1"/>
  <c r="A26" i="5"/>
  <c r="A27" i="5" s="1"/>
  <c r="A28" i="5" s="1"/>
  <c r="A31" i="5" s="1"/>
  <c r="A33" i="5" s="1"/>
  <c r="F28" i="50"/>
  <c r="H27" i="50"/>
  <c r="K27" i="50" s="1"/>
  <c r="E153" i="2"/>
  <c r="A39" i="48"/>
  <c r="A41" i="48" s="1"/>
  <c r="F25" i="49"/>
  <c r="H24" i="49"/>
  <c r="K24" i="49" s="1"/>
  <c r="E230" i="38"/>
  <c r="E236" i="38" s="1"/>
  <c r="I140" i="39"/>
  <c r="E94" i="41"/>
  <c r="C95" i="41"/>
  <c r="G168" i="38"/>
  <c r="D230" i="38"/>
  <c r="D236" i="38" s="1"/>
  <c r="E185" i="2"/>
  <c r="E184" i="2"/>
  <c r="D101" i="41"/>
  <c r="E101" i="41" s="1"/>
  <c r="E100" i="41"/>
  <c r="D103" i="41"/>
  <c r="D105" i="41" s="1"/>
  <c r="G39" i="39"/>
  <c r="D140" i="39"/>
  <c r="E90" i="6"/>
  <c r="E30" i="6" s="1"/>
  <c r="E31" i="6" s="1"/>
  <c r="G120" i="2" s="1"/>
  <c r="L120" i="2" s="1"/>
  <c r="I31" i="6"/>
  <c r="G118" i="2" s="1"/>
  <c r="G129" i="38"/>
  <c r="K140" i="39"/>
  <c r="K42" i="11"/>
  <c r="G185" i="2" s="1"/>
  <c r="J230" i="38"/>
  <c r="J236" i="38" s="1"/>
  <c r="G17" i="39"/>
  <c r="G149" i="38"/>
  <c r="I52" i="5"/>
  <c r="L103" i="2" s="1"/>
  <c r="J93" i="38"/>
  <c r="F80" i="35"/>
  <c r="G108" i="2" s="1"/>
  <c r="L108" i="2" s="1"/>
  <c r="G23" i="41"/>
  <c r="J90" i="6"/>
  <c r="J30" i="6" s="1"/>
  <c r="J31" i="6" s="1"/>
  <c r="G117" i="2" s="1"/>
  <c r="K90" i="6"/>
  <c r="K30" i="6" s="1"/>
  <c r="K31" i="6" s="1"/>
  <c r="P148" i="13"/>
  <c r="E76" i="41"/>
  <c r="L140" i="39"/>
  <c r="F230" i="38"/>
  <c r="F236" i="38" s="1"/>
  <c r="O33" i="21"/>
  <c r="G209" i="2" s="1"/>
  <c r="G85" i="39"/>
  <c r="G90" i="6"/>
  <c r="G30" i="6" s="1"/>
  <c r="G31" i="6" s="1"/>
  <c r="G119" i="2" s="1"/>
  <c r="L119" i="2" s="1"/>
  <c r="G44" i="39"/>
  <c r="P287" i="13"/>
  <c r="P235" i="13"/>
  <c r="P303" i="13"/>
  <c r="P413" i="13"/>
  <c r="P555" i="13"/>
  <c r="P738" i="13"/>
  <c r="P769" i="13"/>
  <c r="P745" i="13"/>
  <c r="P766" i="13"/>
  <c r="P593" i="13"/>
  <c r="P714" i="13"/>
  <c r="P725" i="13"/>
  <c r="P742" i="13"/>
  <c r="P763" i="13"/>
  <c r="P491" i="13"/>
  <c r="P572" i="13"/>
  <c r="P629" i="13"/>
  <c r="G28" i="48" l="1"/>
  <c r="D25" i="48"/>
  <c r="E25" i="48" s="1"/>
  <c r="H25" i="48" s="1"/>
  <c r="I25" i="48" s="1"/>
  <c r="D23" i="48"/>
  <c r="E23" i="48" s="1"/>
  <c r="D26" i="48"/>
  <c r="E26" i="48" s="1"/>
  <c r="H26" i="48" s="1"/>
  <c r="I26" i="48" s="1"/>
  <c r="D22" i="48"/>
  <c r="E22" i="48" s="1"/>
  <c r="H22" i="48" s="1"/>
  <c r="I22" i="48" s="1"/>
  <c r="D27" i="48"/>
  <c r="E27" i="48" s="1"/>
  <c r="H27" i="48" s="1"/>
  <c r="I27" i="48" s="1"/>
  <c r="I24" i="48"/>
  <c r="L201" i="2"/>
  <c r="G201" i="2"/>
  <c r="L200" i="2"/>
  <c r="G199" i="2"/>
  <c r="A182" i="38"/>
  <c r="A183" i="38" s="1"/>
  <c r="A184" i="38" s="1"/>
  <c r="A185" i="38" s="1"/>
  <c r="A186" i="38" s="1"/>
  <c r="A187" i="38" s="1"/>
  <c r="A188" i="38" s="1"/>
  <c r="A189" i="38" s="1"/>
  <c r="A190" i="38" s="1"/>
  <c r="A191" i="38" s="1"/>
  <c r="A192" i="38" s="1"/>
  <c r="A38" i="38"/>
  <c r="A39" i="38" s="1"/>
  <c r="A40" i="38" s="1"/>
  <c r="A41"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A89" i="38" s="1"/>
  <c r="A90" i="38" s="1"/>
  <c r="E36" i="5"/>
  <c r="I35" i="5"/>
  <c r="G44" i="5"/>
  <c r="I41" i="5"/>
  <c r="G59" i="20"/>
  <c r="G76" i="20"/>
  <c r="J161" i="2"/>
  <c r="L161" i="2" s="1"/>
  <c r="E28" i="5"/>
  <c r="I27" i="5"/>
  <c r="I19" i="5"/>
  <c r="E20" i="5"/>
  <c r="G36" i="5"/>
  <c r="I33" i="5"/>
  <c r="I25" i="5"/>
  <c r="G28" i="5"/>
  <c r="L149" i="2"/>
  <c r="L113" i="2" s="1"/>
  <c r="I17" i="5"/>
  <c r="G99" i="2" s="1"/>
  <c r="G20" i="5"/>
  <c r="F39" i="20"/>
  <c r="E39" i="13"/>
  <c r="F38" i="20"/>
  <c r="E38" i="13"/>
  <c r="I50" i="11"/>
  <c r="I52" i="11" s="1"/>
  <c r="I54" i="11" s="1"/>
  <c r="I61" i="11"/>
  <c r="I63" i="11" s="1"/>
  <c r="E71" i="11"/>
  <c r="M47" i="11"/>
  <c r="G95" i="2"/>
  <c r="J69" i="2"/>
  <c r="L69" i="2" s="1"/>
  <c r="L91" i="2" s="1"/>
  <c r="J162" i="2"/>
  <c r="L162" i="2" s="1"/>
  <c r="J114" i="2"/>
  <c r="L114" i="2" s="1"/>
  <c r="J235" i="2"/>
  <c r="L235" i="2" s="1"/>
  <c r="L239" i="2" s="1"/>
  <c r="L241" i="2" s="1"/>
  <c r="K56" i="11"/>
  <c r="K57" i="11" s="1"/>
  <c r="G61" i="11"/>
  <c r="G63" i="11" s="1"/>
  <c r="G65" i="11" s="1"/>
  <c r="G50" i="11"/>
  <c r="H75" i="13"/>
  <c r="H77" i="13" s="1"/>
  <c r="H78" i="13" s="1"/>
  <c r="H79" i="13" s="1"/>
  <c r="G75" i="20"/>
  <c r="G77" i="20" s="1"/>
  <c r="G78" i="20" s="1"/>
  <c r="G79" i="20" s="1"/>
  <c r="J76" i="2"/>
  <c r="E42" i="11"/>
  <c r="G258" i="2"/>
  <c r="H255" i="2" s="1"/>
  <c r="A34" i="5"/>
  <c r="A35" i="5" s="1"/>
  <c r="A36" i="5" s="1"/>
  <c r="A39" i="5" s="1"/>
  <c r="A41" i="5" s="1"/>
  <c r="G121" i="2"/>
  <c r="G140" i="39"/>
  <c r="D24" i="47"/>
  <c r="H23" i="47"/>
  <c r="K23" i="47" s="1"/>
  <c r="E81" i="2"/>
  <c r="E86" i="2"/>
  <c r="E79" i="2"/>
  <c r="E84" i="2"/>
  <c r="E85" i="2"/>
  <c r="E83" i="2"/>
  <c r="E80" i="2"/>
  <c r="A49" i="35"/>
  <c r="A50" i="35" s="1"/>
  <c r="A51" i="35" s="1"/>
  <c r="A52" i="35" s="1"/>
  <c r="A53" i="35" s="1"/>
  <c r="A54" i="35" s="1"/>
  <c r="A55" i="35" s="1"/>
  <c r="A56" i="35" s="1"/>
  <c r="A57" i="35" s="1"/>
  <c r="A58" i="35" s="1"/>
  <c r="A59" i="35" s="1"/>
  <c r="A60" i="35" s="1"/>
  <c r="A61" i="35" s="1"/>
  <c r="A62" i="35" s="1"/>
  <c r="E82" i="2"/>
  <c r="E78" i="2"/>
  <c r="C52" i="11"/>
  <c r="A51" i="11"/>
  <c r="A52" i="11" s="1"/>
  <c r="F30" i="47"/>
  <c r="E22" i="20"/>
  <c r="E22" i="13"/>
  <c r="E104" i="41"/>
  <c r="F26" i="49"/>
  <c r="H25" i="49"/>
  <c r="K25" i="49" s="1"/>
  <c r="E154" i="2"/>
  <c r="A43" i="48"/>
  <c r="K24" i="50"/>
  <c r="C50" i="11"/>
  <c r="A48" i="41"/>
  <c r="A49" i="41" s="1"/>
  <c r="E161" i="2"/>
  <c r="A44" i="9"/>
  <c r="A45" i="9" s="1"/>
  <c r="A46" i="9" s="1"/>
  <c r="A47" i="9" s="1"/>
  <c r="A48" i="9" s="1"/>
  <c r="A49" i="9" s="1"/>
  <c r="A50" i="9" s="1"/>
  <c r="A51" i="9" s="1"/>
  <c r="A52" i="9" s="1"/>
  <c r="A53" i="9" s="1"/>
  <c r="A54" i="9" s="1"/>
  <c r="A55" i="9" s="1"/>
  <c r="A56" i="9" s="1"/>
  <c r="A57" i="9" s="1"/>
  <c r="A58" i="9" s="1"/>
  <c r="A59" i="9" s="1"/>
  <c r="A61" i="9" s="1"/>
  <c r="B43" i="48"/>
  <c r="P21" i="13"/>
  <c r="C104" i="41"/>
  <c r="E95" i="41"/>
  <c r="F29" i="50"/>
  <c r="H28" i="50"/>
  <c r="K28" i="50" s="1"/>
  <c r="G186" i="2"/>
  <c r="D36" i="2"/>
  <c r="C70" i="13"/>
  <c r="C70" i="20"/>
  <c r="B36" i="2"/>
  <c r="B37" i="2" s="1"/>
  <c r="E103" i="41"/>
  <c r="D28" i="5"/>
  <c r="G230" i="38"/>
  <c r="G236" i="38" s="1"/>
  <c r="G164" i="2" l="1"/>
  <c r="G165" i="2" s="1"/>
  <c r="G167" i="2" s="1"/>
  <c r="G169" i="2" s="1"/>
  <c r="H23" i="48"/>
  <c r="A193" i="38"/>
  <c r="A194" i="38" s="1"/>
  <c r="A195" i="38" s="1"/>
  <c r="E77" i="41"/>
  <c r="E79" i="41" s="1"/>
  <c r="E80" i="41" s="1"/>
  <c r="E51" i="41" s="1"/>
  <c r="E56" i="41" s="1"/>
  <c r="E58" i="41" s="1"/>
  <c r="J255" i="2" s="1"/>
  <c r="G102" i="2"/>
  <c r="I44" i="5"/>
  <c r="L102" i="2" s="1"/>
  <c r="G101" i="2"/>
  <c r="I36" i="5"/>
  <c r="L101" i="2" s="1"/>
  <c r="G100" i="2"/>
  <c r="I28" i="5"/>
  <c r="L100" i="2" s="1"/>
  <c r="I71" i="11"/>
  <c r="I20" i="5"/>
  <c r="L99" i="2" s="1"/>
  <c r="D722" i="20"/>
  <c r="I723" i="20" s="1"/>
  <c r="E726" i="20" s="1"/>
  <c r="F726" i="20" s="1"/>
  <c r="D727" i="20" s="1"/>
  <c r="D188" i="20"/>
  <c r="I189" i="20" s="1"/>
  <c r="E192" i="20" s="1"/>
  <c r="F192" i="20" s="1"/>
  <c r="D193" i="20" s="1"/>
  <c r="D633" i="20"/>
  <c r="I634" i="20" s="1"/>
  <c r="E637" i="20" s="1"/>
  <c r="M61" i="11"/>
  <c r="D533" i="13"/>
  <c r="J534" i="13" s="1"/>
  <c r="E537" i="13" s="1"/>
  <c r="F537" i="13" s="1"/>
  <c r="D98" i="13"/>
  <c r="J99" i="13" s="1"/>
  <c r="E102" i="13" s="1"/>
  <c r="F102" i="13" s="1"/>
  <c r="D185" i="13"/>
  <c r="J186" i="13" s="1"/>
  <c r="E189" i="13" s="1"/>
  <c r="F189" i="13" s="1"/>
  <c r="D620" i="13"/>
  <c r="J621" i="13" s="1"/>
  <c r="E624" i="13" s="1"/>
  <c r="F624" i="13" s="1"/>
  <c r="D881" i="13"/>
  <c r="J882" i="13" s="1"/>
  <c r="E885" i="13" s="1"/>
  <c r="F885" i="13" s="1"/>
  <c r="D886" i="13" s="1"/>
  <c r="D272" i="13"/>
  <c r="J273" i="13" s="1"/>
  <c r="E276" i="13" s="1"/>
  <c r="F276" i="13" s="1"/>
  <c r="D707" i="13"/>
  <c r="J708" i="13" s="1"/>
  <c r="E711" i="13" s="1"/>
  <c r="F711" i="13" s="1"/>
  <c r="D446" i="13"/>
  <c r="J447" i="13" s="1"/>
  <c r="E450" i="13" s="1"/>
  <c r="F450" i="13" s="1"/>
  <c r="D359" i="13"/>
  <c r="J360" i="13" s="1"/>
  <c r="E363" i="13" s="1"/>
  <c r="F363" i="13" s="1"/>
  <c r="D794" i="13"/>
  <c r="J795" i="13" s="1"/>
  <c r="E798" i="13" s="1"/>
  <c r="F798" i="13" s="1"/>
  <c r="G798" i="13" s="1"/>
  <c r="G52" i="11"/>
  <c r="M50" i="11"/>
  <c r="D99" i="20"/>
  <c r="I100" i="20" s="1"/>
  <c r="E103" i="20" s="1"/>
  <c r="F103" i="20" s="1"/>
  <c r="D104" i="20" s="1"/>
  <c r="D277" i="20"/>
  <c r="I278" i="20" s="1"/>
  <c r="E281" i="20" s="1"/>
  <c r="F281" i="20" s="1"/>
  <c r="D282" i="20" s="1"/>
  <c r="J72" i="2"/>
  <c r="L72" i="2" s="1"/>
  <c r="J175" i="2"/>
  <c r="L175" i="2" s="1"/>
  <c r="J86" i="2"/>
  <c r="L86" i="2" s="1"/>
  <c r="J84" i="2"/>
  <c r="L84" i="2" s="1"/>
  <c r="J110" i="2"/>
  <c r="L110" i="2" s="1"/>
  <c r="J117" i="2"/>
  <c r="L117" i="2" s="1"/>
  <c r="J74" i="2"/>
  <c r="L74" i="2" s="1"/>
  <c r="L94" i="2" s="1"/>
  <c r="J164" i="2"/>
  <c r="L164" i="2" s="1"/>
  <c r="J181" i="2"/>
  <c r="L181" i="2" s="1"/>
  <c r="J73" i="2"/>
  <c r="L73" i="2" s="1"/>
  <c r="J176" i="2"/>
  <c r="L176" i="2" s="1"/>
  <c r="J85" i="2"/>
  <c r="L85" i="2" s="1"/>
  <c r="J159" i="2"/>
  <c r="L159" i="2" s="1"/>
  <c r="J115" i="2"/>
  <c r="L115" i="2" s="1"/>
  <c r="D544" i="20"/>
  <c r="I545" i="20" s="1"/>
  <c r="E548" i="20" s="1"/>
  <c r="F548" i="20" s="1"/>
  <c r="D549" i="20" s="1"/>
  <c r="D455" i="20"/>
  <c r="I456" i="20" s="1"/>
  <c r="E459" i="20" s="1"/>
  <c r="F459" i="20" s="1"/>
  <c r="D460" i="20" s="1"/>
  <c r="D366" i="20"/>
  <c r="I367" i="20" s="1"/>
  <c r="E370" i="20" s="1"/>
  <c r="F370" i="20" s="1"/>
  <c r="D371" i="20" s="1"/>
  <c r="G64" i="20"/>
  <c r="F64" i="13"/>
  <c r="D799" i="13"/>
  <c r="E799" i="13" s="1"/>
  <c r="H257" i="2"/>
  <c r="D23" i="13" s="1"/>
  <c r="F23" i="13" s="1"/>
  <c r="H256" i="2"/>
  <c r="D22" i="20" s="1"/>
  <c r="F22" i="20" s="1"/>
  <c r="A45" i="48"/>
  <c r="B47" i="48" s="1"/>
  <c r="H24" i="47"/>
  <c r="K24" i="47" s="1"/>
  <c r="D25" i="47"/>
  <c r="D228" i="2"/>
  <c r="D227" i="2"/>
  <c r="D21" i="13"/>
  <c r="D21" i="20"/>
  <c r="B39" i="2"/>
  <c r="B42" i="2" s="1"/>
  <c r="B44" i="2" s="1"/>
  <c r="B24" i="2"/>
  <c r="A50" i="41"/>
  <c r="A51" i="41" s="1"/>
  <c r="A52" i="41" s="1"/>
  <c r="A53" i="41" s="1"/>
  <c r="A54" i="41" s="1"/>
  <c r="A55" i="41" s="1"/>
  <c r="A56" i="41" s="1"/>
  <c r="B56" i="41"/>
  <c r="H26" i="49"/>
  <c r="F27" i="49"/>
  <c r="F30" i="50"/>
  <c r="H29" i="50"/>
  <c r="K29" i="50" s="1"/>
  <c r="C54" i="11"/>
  <c r="A53" i="11"/>
  <c r="A54" i="11" s="1"/>
  <c r="D36" i="5"/>
  <c r="E105" i="41"/>
  <c r="L246" i="2"/>
  <c r="F31" i="47"/>
  <c r="I65" i="11"/>
  <c r="M63" i="11"/>
  <c r="A42" i="5"/>
  <c r="A43" i="5" s="1"/>
  <c r="A44" i="5" s="1"/>
  <c r="A47" i="5" s="1"/>
  <c r="A49" i="5" s="1"/>
  <c r="I50" i="30"/>
  <c r="I49" i="30" s="1"/>
  <c r="A64" i="9"/>
  <c r="A65" i="9" s="1"/>
  <c r="A66" i="9" s="1"/>
  <c r="A67" i="9" s="1"/>
  <c r="A68" i="9" s="1"/>
  <c r="A69" i="9" s="1"/>
  <c r="A70" i="9" s="1"/>
  <c r="A73" i="9" s="1"/>
  <c r="E163" i="2" s="1"/>
  <c r="E162" i="2"/>
  <c r="F637" i="20"/>
  <c r="D638" i="20" s="1"/>
  <c r="H28" i="48" l="1"/>
  <c r="I23" i="48"/>
  <c r="I28" i="48" s="1"/>
  <c r="L245" i="2"/>
  <c r="A202" i="38"/>
  <c r="A203" i="38" s="1"/>
  <c r="A204" i="38" s="1"/>
  <c r="A205" i="38" s="1"/>
  <c r="A206" i="38" s="1"/>
  <c r="A207" i="38" s="1"/>
  <c r="A208" i="38" s="1"/>
  <c r="A209" i="38" s="1"/>
  <c r="A210" i="38" s="1"/>
  <c r="A211" i="38" s="1"/>
  <c r="A212" i="38" s="1"/>
  <c r="A213" i="38" s="1"/>
  <c r="A214" i="38" s="1"/>
  <c r="A215" i="38" s="1"/>
  <c r="A216" i="38" s="1"/>
  <c r="A217" i="38" s="1"/>
  <c r="A218" i="38" s="1"/>
  <c r="A219" i="38" s="1"/>
  <c r="A220" i="38" s="1"/>
  <c r="A221" i="38" s="1"/>
  <c r="A222" i="38" s="1"/>
  <c r="A223" i="38" s="1"/>
  <c r="A224" i="38" s="1"/>
  <c r="A225" i="38" s="1"/>
  <c r="A226" i="38" s="1"/>
  <c r="A227" i="38" s="1"/>
  <c r="A196" i="38"/>
  <c r="A197" i="38" s="1"/>
  <c r="A198" i="38" s="1"/>
  <c r="A199" i="38" s="1"/>
  <c r="A200" i="38" s="1"/>
  <c r="A201" i="38" s="1"/>
  <c r="I257" i="2"/>
  <c r="L257" i="2" s="1"/>
  <c r="D23" i="20"/>
  <c r="F23" i="20" s="1"/>
  <c r="G104" i="2"/>
  <c r="G125" i="2" s="1"/>
  <c r="L104" i="2"/>
  <c r="G885" i="13"/>
  <c r="L177" i="2"/>
  <c r="F799" i="13"/>
  <c r="L75" i="2"/>
  <c r="J75" i="2" s="1"/>
  <c r="L93" i="2"/>
  <c r="J95" i="2" s="1"/>
  <c r="G71" i="11" s="1"/>
  <c r="G54" i="11"/>
  <c r="M52" i="11"/>
  <c r="L87" i="2"/>
  <c r="E886" i="13"/>
  <c r="F886" i="13" s="1"/>
  <c r="D800" i="13"/>
  <c r="E800" i="13" s="1"/>
  <c r="G799" i="13"/>
  <c r="I256" i="2"/>
  <c r="L256" i="2" s="1"/>
  <c r="D22" i="13"/>
  <c r="F22" i="13" s="1"/>
  <c r="I255" i="2"/>
  <c r="L255" i="2" s="1"/>
  <c r="E104" i="20"/>
  <c r="A58" i="41"/>
  <c r="B58" i="41"/>
  <c r="E245" i="2"/>
  <c r="G624" i="13"/>
  <c r="D625" i="13"/>
  <c r="D451" i="13"/>
  <c r="G450" i="13"/>
  <c r="E193" i="20"/>
  <c r="E638" i="20"/>
  <c r="F638" i="20" s="1"/>
  <c r="D639" i="20" s="1"/>
  <c r="G189" i="13"/>
  <c r="D190" i="13"/>
  <c r="I66" i="11"/>
  <c r="I67" i="11" s="1"/>
  <c r="I68" i="11" s="1"/>
  <c r="G66" i="11"/>
  <c r="G67" i="11" s="1"/>
  <c r="G68" i="11" s="1"/>
  <c r="E66" i="11"/>
  <c r="E67" i="11" s="1"/>
  <c r="E21" i="20"/>
  <c r="F21" i="20" s="1"/>
  <c r="F24" i="20" s="1"/>
  <c r="F29" i="20" s="1"/>
  <c r="E21" i="13"/>
  <c r="F21" i="13" s="1"/>
  <c r="E371" i="20"/>
  <c r="F371" i="20" s="1"/>
  <c r="D372" i="20" s="1"/>
  <c r="F31" i="50"/>
  <c r="H30" i="50"/>
  <c r="D277" i="13"/>
  <c r="G276" i="13"/>
  <c r="D103" i="13"/>
  <c r="G102" i="13"/>
  <c r="A47" i="48"/>
  <c r="C21" i="48" s="1"/>
  <c r="E155" i="2"/>
  <c r="G711" i="13"/>
  <c r="D712" i="13"/>
  <c r="A50" i="5"/>
  <c r="A51" i="5" s="1"/>
  <c r="A52" i="5" s="1"/>
  <c r="D51" i="5"/>
  <c r="E460" i="20"/>
  <c r="F460" i="20" s="1"/>
  <c r="D461" i="20" s="1"/>
  <c r="B45" i="2"/>
  <c r="E727" i="20"/>
  <c r="F727" i="20" s="1"/>
  <c r="D728" i="20" s="1"/>
  <c r="F32" i="47"/>
  <c r="E282" i="20"/>
  <c r="F282" i="20" s="1"/>
  <c r="D283" i="20" s="1"/>
  <c r="G363" i="13"/>
  <c r="D364" i="13"/>
  <c r="H27" i="49"/>
  <c r="K27" i="49" s="1"/>
  <c r="F28" i="49"/>
  <c r="G537" i="13"/>
  <c r="D538" i="13"/>
  <c r="E549" i="20"/>
  <c r="F549" i="20" s="1"/>
  <c r="D550" i="20" s="1"/>
  <c r="K26" i="49"/>
  <c r="D44" i="5"/>
  <c r="A55" i="11"/>
  <c r="C55" i="11"/>
  <c r="D26" i="47"/>
  <c r="H25" i="47"/>
  <c r="K25" i="47" s="1"/>
  <c r="J160" i="2" l="1"/>
  <c r="L160" i="2" s="1"/>
  <c r="L165" i="2" s="1"/>
  <c r="L167" i="2" s="1"/>
  <c r="L169" i="2" s="1"/>
  <c r="J116" i="2"/>
  <c r="L116" i="2" s="1"/>
  <c r="J185" i="2"/>
  <c r="L185" i="2" s="1"/>
  <c r="J118" i="2"/>
  <c r="L118" i="2" s="1"/>
  <c r="J199" i="2"/>
  <c r="L199" i="2" s="1"/>
  <c r="I55" i="11"/>
  <c r="I56" i="11" s="1"/>
  <c r="I57" i="11" s="1"/>
  <c r="G55" i="11"/>
  <c r="G56" i="11" s="1"/>
  <c r="G57" i="11" s="1"/>
  <c r="E55" i="11"/>
  <c r="E56" i="11" s="1"/>
  <c r="D887" i="13"/>
  <c r="G886" i="13"/>
  <c r="F800" i="13"/>
  <c r="D801" i="13" s="1"/>
  <c r="E801" i="13" s="1"/>
  <c r="F24" i="13"/>
  <c r="E29" i="13" s="1"/>
  <c r="E461" i="20"/>
  <c r="F461" i="20" s="1"/>
  <c r="D462" i="20" s="1"/>
  <c r="E639" i="20"/>
  <c r="F639" i="20" s="1"/>
  <c r="D640" i="20" s="1"/>
  <c r="E728" i="20"/>
  <c r="F728" i="20"/>
  <c r="D729" i="20" s="1"/>
  <c r="K30" i="50"/>
  <c r="E372" i="20"/>
  <c r="F372" i="20" s="1"/>
  <c r="D373" i="20" s="1"/>
  <c r="E451" i="13"/>
  <c r="D27" i="47"/>
  <c r="H26" i="47"/>
  <c r="K26" i="47" s="1"/>
  <c r="B46" i="2"/>
  <c r="D303" i="2"/>
  <c r="E538" i="13"/>
  <c r="F538" i="13" s="1"/>
  <c r="D539" i="13" s="1"/>
  <c r="L258" i="2"/>
  <c r="G190" i="2" s="1"/>
  <c r="E190" i="13"/>
  <c r="F190" i="13" s="1"/>
  <c r="D191" i="13" s="1"/>
  <c r="E625" i="13"/>
  <c r="F104" i="20"/>
  <c r="D105" i="20" s="1"/>
  <c r="E550" i="20"/>
  <c r="H31" i="50"/>
  <c r="K31" i="50" s="1"/>
  <c r="F32" i="50"/>
  <c r="C56" i="11"/>
  <c r="A56" i="11"/>
  <c r="E103" i="13"/>
  <c r="F103" i="13" s="1"/>
  <c r="D104" i="13" s="1"/>
  <c r="E283" i="20"/>
  <c r="F283" i="20" s="1"/>
  <c r="D284" i="20" s="1"/>
  <c r="F39" i="47"/>
  <c r="F36" i="47"/>
  <c r="E364" i="13"/>
  <c r="F364" i="13" s="1"/>
  <c r="D365" i="13" s="1"/>
  <c r="A61" i="41"/>
  <c r="D255" i="2"/>
  <c r="F29" i="49"/>
  <c r="H28" i="49"/>
  <c r="K28" i="49" s="1"/>
  <c r="E712" i="13"/>
  <c r="F712" i="13" s="1"/>
  <c r="E277" i="13"/>
  <c r="M67" i="11"/>
  <c r="E68" i="11"/>
  <c r="F193" i="20"/>
  <c r="D194" i="20" s="1"/>
  <c r="E57" i="11" l="1"/>
  <c r="M56" i="11"/>
  <c r="L121" i="2"/>
  <c r="L125" i="2" s="1"/>
  <c r="L205" i="2" s="1"/>
  <c r="E37" i="13"/>
  <c r="F37" i="20"/>
  <c r="E887" i="13"/>
  <c r="F887" i="13" s="1"/>
  <c r="G800" i="13"/>
  <c r="F801" i="13"/>
  <c r="G364" i="13"/>
  <c r="E284" i="20"/>
  <c r="F284" i="20" s="1"/>
  <c r="D285" i="20" s="1"/>
  <c r="D713" i="13"/>
  <c r="G712" i="13"/>
  <c r="E640" i="20"/>
  <c r="F640" i="20" s="1"/>
  <c r="D641" i="20" s="1"/>
  <c r="E539" i="13"/>
  <c r="F539" i="13" s="1"/>
  <c r="D540" i="13" s="1"/>
  <c r="E729" i="20"/>
  <c r="F729" i="20" s="1"/>
  <c r="D730" i="20" s="1"/>
  <c r="A64" i="41"/>
  <c r="D63" i="41"/>
  <c r="F550" i="20"/>
  <c r="D551" i="20" s="1"/>
  <c r="G538" i="13"/>
  <c r="E365" i="13"/>
  <c r="F365" i="13" s="1"/>
  <c r="D366" i="13" s="1"/>
  <c r="F40" i="47"/>
  <c r="G103" i="13"/>
  <c r="G190" i="13"/>
  <c r="F451" i="13"/>
  <c r="F39" i="50"/>
  <c r="H32" i="50"/>
  <c r="K32" i="50" s="1"/>
  <c r="K33" i="50" s="1"/>
  <c r="D36" i="50" s="1"/>
  <c r="F36" i="50"/>
  <c r="D28" i="47"/>
  <c r="H27" i="47"/>
  <c r="K27" i="47" s="1"/>
  <c r="E104" i="13"/>
  <c r="F104" i="13" s="1"/>
  <c r="M68" i="11"/>
  <c r="E69" i="11" s="1"/>
  <c r="B48" i="2"/>
  <c r="B66" i="2" s="1"/>
  <c r="E48" i="2"/>
  <c r="A57" i="11"/>
  <c r="C57" i="11"/>
  <c r="E105" i="20"/>
  <c r="F105" i="20" s="1"/>
  <c r="D106" i="20" s="1"/>
  <c r="L211" i="2"/>
  <c r="E35" i="13"/>
  <c r="F35" i="20"/>
  <c r="G211" i="2"/>
  <c r="E373" i="20"/>
  <c r="F373" i="20" s="1"/>
  <c r="D374" i="20" s="1"/>
  <c r="E462" i="20"/>
  <c r="F462" i="20" s="1"/>
  <c r="D463" i="20" s="1"/>
  <c r="E194" i="20"/>
  <c r="F194" i="20" s="1"/>
  <c r="D195" i="20" s="1"/>
  <c r="E191" i="13"/>
  <c r="F191" i="13" s="1"/>
  <c r="D192" i="13" s="1"/>
  <c r="F277" i="13"/>
  <c r="H29" i="49"/>
  <c r="F30" i="49"/>
  <c r="F625" i="13"/>
  <c r="G205" i="2"/>
  <c r="G198" i="2" s="1"/>
  <c r="G203" i="2" s="1"/>
  <c r="H33" i="50"/>
  <c r="F28" i="20" l="1"/>
  <c r="F30" i="20" s="1"/>
  <c r="E28" i="13"/>
  <c r="E30" i="13" s="1"/>
  <c r="F56" i="13" s="1"/>
  <c r="M57" i="11"/>
  <c r="D888" i="13"/>
  <c r="G887" i="13"/>
  <c r="D802" i="13"/>
  <c r="E802" i="13" s="1"/>
  <c r="G801" i="13"/>
  <c r="G191" i="13"/>
  <c r="E730" i="20"/>
  <c r="F730" i="20" s="1"/>
  <c r="D731" i="20" s="1"/>
  <c r="E195" i="20"/>
  <c r="F195" i="20" s="1"/>
  <c r="D196" i="20" s="1"/>
  <c r="E106" i="20"/>
  <c r="F106" i="20" s="1"/>
  <c r="D107" i="20" s="1"/>
  <c r="D105" i="13"/>
  <c r="G104" i="13"/>
  <c r="E285" i="20"/>
  <c r="F285" i="20" s="1"/>
  <c r="D286" i="20" s="1"/>
  <c r="E540" i="13"/>
  <c r="F540" i="13" s="1"/>
  <c r="B67" i="2"/>
  <c r="B68" i="2" s="1"/>
  <c r="E192" i="13"/>
  <c r="F192" i="13" s="1"/>
  <c r="E374" i="20"/>
  <c r="F374" i="20" s="1"/>
  <c r="D375" i="20" s="1"/>
  <c r="G365" i="13"/>
  <c r="G49" i="20"/>
  <c r="F49" i="13"/>
  <c r="L198" i="2"/>
  <c r="L203" i="2" s="1"/>
  <c r="D29" i="47"/>
  <c r="H28" i="47"/>
  <c r="K28" i="47" s="1"/>
  <c r="A65" i="41"/>
  <c r="A66" i="41" s="1"/>
  <c r="A67" i="41" s="1"/>
  <c r="A68" i="41" s="1"/>
  <c r="A69" i="41" s="1"/>
  <c r="A70" i="41" s="1"/>
  <c r="A71" i="41" s="1"/>
  <c r="A72" i="41" s="1"/>
  <c r="A73" i="41" s="1"/>
  <c r="A74" i="41" s="1"/>
  <c r="G213" i="2"/>
  <c r="A58" i="11"/>
  <c r="A60" i="11" s="1"/>
  <c r="C58" i="11"/>
  <c r="I69" i="11"/>
  <c r="G69" i="11"/>
  <c r="H36" i="50"/>
  <c r="K36" i="50" s="1"/>
  <c r="E713" i="13"/>
  <c r="F713" i="13" s="1"/>
  <c r="D714" i="13" s="1"/>
  <c r="E463" i="20"/>
  <c r="F463" i="20" s="1"/>
  <c r="D464" i="20" s="1"/>
  <c r="D452" i="13"/>
  <c r="G451" i="13"/>
  <c r="D626" i="13"/>
  <c r="G625" i="13"/>
  <c r="E641" i="20"/>
  <c r="F641" i="20" s="1"/>
  <c r="D642" i="20" s="1"/>
  <c r="F31" i="49"/>
  <c r="H30" i="49"/>
  <c r="K30" i="49" s="1"/>
  <c r="F40" i="50"/>
  <c r="E551" i="20"/>
  <c r="F551" i="20" s="1"/>
  <c r="D552" i="20" s="1"/>
  <c r="G539" i="13"/>
  <c r="D278" i="13"/>
  <c r="G277" i="13"/>
  <c r="E366" i="13"/>
  <c r="F366" i="13" s="1"/>
  <c r="K29" i="49"/>
  <c r="F41" i="47"/>
  <c r="G58" i="11" l="1"/>
  <c r="I58" i="11"/>
  <c r="E34" i="13"/>
  <c r="E36" i="13" s="1"/>
  <c r="E40" i="13" s="1"/>
  <c r="F57" i="13" s="1"/>
  <c r="E58" i="11"/>
  <c r="I39" i="30"/>
  <c r="H41" i="30"/>
  <c r="I41" i="30" s="1"/>
  <c r="I43" i="30"/>
  <c r="G56" i="20"/>
  <c r="F34" i="20"/>
  <c r="F36" i="20" s="1"/>
  <c r="F40" i="20" s="1"/>
  <c r="G57" i="20" s="1"/>
  <c r="E888" i="13"/>
  <c r="F888" i="13" s="1"/>
  <c r="D889" i="13" s="1"/>
  <c r="F802" i="13"/>
  <c r="D803" i="13" s="1"/>
  <c r="E803" i="13" s="1"/>
  <c r="D367" i="13"/>
  <c r="G366" i="13"/>
  <c r="E107" i="20"/>
  <c r="F107" i="20" s="1"/>
  <c r="D108" i="20" s="1"/>
  <c r="D39" i="50"/>
  <c r="I39" i="50"/>
  <c r="D193" i="13"/>
  <c r="G192" i="13"/>
  <c r="D541" i="13"/>
  <c r="G540" i="13"/>
  <c r="E642" i="20"/>
  <c r="F642" i="20" s="1"/>
  <c r="D643" i="20" s="1"/>
  <c r="A61" i="11"/>
  <c r="C61" i="11"/>
  <c r="G713" i="13"/>
  <c r="E464" i="20"/>
  <c r="F464" i="20" s="1"/>
  <c r="D465" i="20" s="1"/>
  <c r="E105" i="13"/>
  <c r="F105" i="13" s="1"/>
  <c r="B76" i="41"/>
  <c r="E286" i="20"/>
  <c r="F286" i="20" s="1"/>
  <c r="D287" i="20" s="1"/>
  <c r="F41" i="50"/>
  <c r="E714" i="13"/>
  <c r="F714" i="13" s="1"/>
  <c r="A76" i="41"/>
  <c r="B50" i="41"/>
  <c r="E196" i="20"/>
  <c r="F196" i="20" s="1"/>
  <c r="D197" i="20" s="1"/>
  <c r="E552" i="20"/>
  <c r="F552" i="20" s="1"/>
  <c r="D553" i="20" s="1"/>
  <c r="G50" i="20"/>
  <c r="F50" i="13"/>
  <c r="E626" i="13"/>
  <c r="F626" i="13" s="1"/>
  <c r="D627" i="13" s="1"/>
  <c r="H31" i="49"/>
  <c r="K31" i="49" s="1"/>
  <c r="F32" i="49"/>
  <c r="D30" i="47"/>
  <c r="H29" i="47"/>
  <c r="K29" i="47" s="1"/>
  <c r="E731" i="20"/>
  <c r="F731" i="20" s="1"/>
  <c r="D732" i="20" s="1"/>
  <c r="E375" i="20"/>
  <c r="F375" i="20" s="1"/>
  <c r="D376" i="20" s="1"/>
  <c r="F42" i="47"/>
  <c r="E278" i="13"/>
  <c r="F278" i="13" s="1"/>
  <c r="E452" i="13"/>
  <c r="E226" i="2"/>
  <c r="C75" i="13"/>
  <c r="B69" i="2"/>
  <c r="B70" i="2" s="1"/>
  <c r="C75" i="20"/>
  <c r="I38" i="30" l="1"/>
  <c r="I29" i="30"/>
  <c r="I33" i="30"/>
  <c r="E889" i="13"/>
  <c r="F889" i="13" s="1"/>
  <c r="G888" i="13"/>
  <c r="G802" i="13"/>
  <c r="D279" i="13"/>
  <c r="E279" i="13" s="1"/>
  <c r="F279" i="13" s="1"/>
  <c r="G278" i="13"/>
  <c r="F803" i="13"/>
  <c r="D804" i="13" s="1"/>
  <c r="E465" i="20"/>
  <c r="F465" i="20" s="1"/>
  <c r="D466" i="20" s="1"/>
  <c r="D715" i="13"/>
  <c r="G714" i="13"/>
  <c r="E643" i="20"/>
  <c r="F643" i="20" s="1"/>
  <c r="D644" i="20" s="1"/>
  <c r="E287" i="20"/>
  <c r="F287" i="20" s="1"/>
  <c r="D288" i="20" s="1"/>
  <c r="D106" i="13"/>
  <c r="G105" i="13"/>
  <c r="E732" i="20"/>
  <c r="F732" i="20" s="1"/>
  <c r="D733" i="20" s="1"/>
  <c r="F43" i="47"/>
  <c r="E627" i="13"/>
  <c r="F627" i="13" s="1"/>
  <c r="E376" i="20"/>
  <c r="F376" i="20" s="1"/>
  <c r="D377" i="20" s="1"/>
  <c r="A77" i="41"/>
  <c r="A78" i="41" s="1"/>
  <c r="A79" i="41" s="1"/>
  <c r="A80" i="41" s="1"/>
  <c r="I40" i="50"/>
  <c r="I41" i="50" s="1"/>
  <c r="I42" i="50" s="1"/>
  <c r="I43" i="50" s="1"/>
  <c r="I44" i="50" s="1"/>
  <c r="I45" i="50" s="1"/>
  <c r="I46" i="50" s="1"/>
  <c r="I47" i="50" s="1"/>
  <c r="I48" i="50" s="1"/>
  <c r="I49" i="50" s="1"/>
  <c r="I50" i="50" s="1"/>
  <c r="I53" i="50"/>
  <c r="I55" i="50" s="1"/>
  <c r="A62" i="11"/>
  <c r="A63" i="11" s="1"/>
  <c r="K39" i="50"/>
  <c r="D40" i="50" s="1"/>
  <c r="H39" i="50"/>
  <c r="E553" i="20"/>
  <c r="F553" i="20" s="1"/>
  <c r="D554" i="20" s="1"/>
  <c r="E108" i="20"/>
  <c r="F108" i="20" s="1"/>
  <c r="D109" i="20" s="1"/>
  <c r="B71" i="2"/>
  <c r="B72" i="2" s="1"/>
  <c r="D31" i="47"/>
  <c r="H30" i="47"/>
  <c r="K30" i="47" s="1"/>
  <c r="E197" i="20"/>
  <c r="F197" i="20" s="1"/>
  <c r="D198" i="20" s="1"/>
  <c r="F42" i="50"/>
  <c r="E193" i="13"/>
  <c r="F193" i="13"/>
  <c r="D194" i="13" s="1"/>
  <c r="F452" i="13"/>
  <c r="F39" i="49"/>
  <c r="H32" i="49"/>
  <c r="F36" i="49"/>
  <c r="G626" i="13"/>
  <c r="E541" i="13"/>
  <c r="F541" i="13" s="1"/>
  <c r="E367" i="13"/>
  <c r="F367" i="13" s="1"/>
  <c r="D368" i="13" s="1"/>
  <c r="D890" i="13" l="1"/>
  <c r="G889" i="13"/>
  <c r="I28" i="30"/>
  <c r="I26" i="30" s="1"/>
  <c r="L183" i="2" s="1"/>
  <c r="L186" i="2" s="1"/>
  <c r="L213" i="2" s="1"/>
  <c r="L13" i="2" s="1"/>
  <c r="E890" i="13"/>
  <c r="F890" i="13" s="1"/>
  <c r="E804" i="13"/>
  <c r="F804" i="13" s="1"/>
  <c r="G803" i="13"/>
  <c r="D542" i="13"/>
  <c r="G541" i="13"/>
  <c r="D628" i="13"/>
  <c r="G627" i="13"/>
  <c r="E109" i="20"/>
  <c r="F109" i="20" s="1"/>
  <c r="D110" i="20" s="1"/>
  <c r="E733" i="20"/>
  <c r="F733" i="20" s="1"/>
  <c r="D734" i="20" s="1"/>
  <c r="D280" i="13"/>
  <c r="G279" i="13"/>
  <c r="E466" i="20"/>
  <c r="F466" i="20" s="1"/>
  <c r="D467" i="20" s="1"/>
  <c r="E644" i="20"/>
  <c r="F644" i="20" s="1"/>
  <c r="D645" i="20" s="1"/>
  <c r="D453" i="13"/>
  <c r="G452" i="13"/>
  <c r="K40" i="50"/>
  <c r="D41" i="50" s="1"/>
  <c r="H40" i="50"/>
  <c r="C63" i="11"/>
  <c r="B80" i="41"/>
  <c r="F44" i="47"/>
  <c r="E368" i="13"/>
  <c r="F368" i="13" s="1"/>
  <c r="D369" i="13" s="1"/>
  <c r="E288" i="20"/>
  <c r="F288" i="20" s="1"/>
  <c r="D289" i="20" s="1"/>
  <c r="E198" i="20"/>
  <c r="F198" i="20" s="1"/>
  <c r="D199" i="20" s="1"/>
  <c r="G193" i="13"/>
  <c r="D32" i="47"/>
  <c r="H32" i="47" s="1"/>
  <c r="H31" i="47"/>
  <c r="K31" i="47" s="1"/>
  <c r="E554" i="20"/>
  <c r="F554" i="20" s="1"/>
  <c r="D555" i="20" s="1"/>
  <c r="A64" i="11"/>
  <c r="A65" i="11" s="1"/>
  <c r="C65" i="11"/>
  <c r="B51" i="41"/>
  <c r="A85" i="41"/>
  <c r="E377" i="20"/>
  <c r="F377" i="20" s="1"/>
  <c r="D378" i="20" s="1"/>
  <c r="E715" i="13"/>
  <c r="F715" i="13" s="1"/>
  <c r="D716" i="13" s="1"/>
  <c r="E194" i="13"/>
  <c r="F194" i="13" s="1"/>
  <c r="B73" i="2"/>
  <c r="B74" i="2" s="1"/>
  <c r="K32" i="49"/>
  <c r="K33" i="49" s="1"/>
  <c r="D36" i="49" s="1"/>
  <c r="H33" i="49"/>
  <c r="G367" i="13"/>
  <c r="F40" i="49"/>
  <c r="F43" i="50"/>
  <c r="E106" i="13"/>
  <c r="F106" i="13" s="1"/>
  <c r="L34" i="2" l="1"/>
  <c r="L20" i="2"/>
  <c r="F47" i="13"/>
  <c r="F51" i="13" s="1"/>
  <c r="F55" i="13" s="1"/>
  <c r="F58" i="13" s="1"/>
  <c r="L30" i="2"/>
  <c r="L31" i="2" s="1"/>
  <c r="G47" i="20"/>
  <c r="G51" i="20" s="1"/>
  <c r="G55" i="20" s="1"/>
  <c r="G58" i="20" s="1"/>
  <c r="L37" i="2"/>
  <c r="D891" i="13"/>
  <c r="G890" i="13"/>
  <c r="D805" i="13"/>
  <c r="G804" i="13"/>
  <c r="D195" i="13"/>
  <c r="E195" i="13" s="1"/>
  <c r="F195" i="13" s="1"/>
  <c r="G194" i="13"/>
  <c r="E542" i="13"/>
  <c r="F542" i="13" s="1"/>
  <c r="E555" i="20"/>
  <c r="F555" i="20" s="1"/>
  <c r="E110" i="20"/>
  <c r="F110" i="20" s="1"/>
  <c r="D107" i="13"/>
  <c r="G106" i="13"/>
  <c r="E199" i="20"/>
  <c r="F199" i="20" s="1"/>
  <c r="E734" i="20"/>
  <c r="F734" i="20" s="1"/>
  <c r="K36" i="49"/>
  <c r="E289" i="20"/>
  <c r="F289" i="20" s="1"/>
  <c r="F45" i="47"/>
  <c r="B75" i="2"/>
  <c r="B77" i="2" s="1"/>
  <c r="B78" i="2" s="1"/>
  <c r="E75" i="2"/>
  <c r="G715" i="13"/>
  <c r="E453" i="13"/>
  <c r="F453" i="13" s="1"/>
  <c r="D454" i="13" s="1"/>
  <c r="E645" i="20"/>
  <c r="F645" i="20" s="1"/>
  <c r="E378" i="20"/>
  <c r="F378" i="20" s="1"/>
  <c r="K41" i="50"/>
  <c r="D42" i="50" s="1"/>
  <c r="H41" i="50"/>
  <c r="A86" i="41"/>
  <c r="C66" i="11"/>
  <c r="A66" i="11"/>
  <c r="G368" i="13"/>
  <c r="E467" i="20"/>
  <c r="F467" i="20" s="1"/>
  <c r="E280" i="13"/>
  <c r="F280" i="13" s="1"/>
  <c r="D281" i="13" s="1"/>
  <c r="E716" i="13"/>
  <c r="F716" i="13" s="1"/>
  <c r="F44" i="50"/>
  <c r="E369" i="13"/>
  <c r="F369" i="13" s="1"/>
  <c r="F41" i="49"/>
  <c r="H36" i="49"/>
  <c r="K32" i="47"/>
  <c r="K33" i="47" s="1"/>
  <c r="D36" i="47" s="1"/>
  <c r="H33" i="47"/>
  <c r="E628" i="13"/>
  <c r="F628" i="13" s="1"/>
  <c r="F65" i="13" l="1"/>
  <c r="F66" i="13" s="1"/>
  <c r="F60" i="13"/>
  <c r="F68" i="13" s="1"/>
  <c r="F69" i="13" s="1"/>
  <c r="G65" i="20"/>
  <c r="G66" i="20" s="1"/>
  <c r="G60" i="20"/>
  <c r="G68" i="20" s="1"/>
  <c r="G69" i="20" s="1"/>
  <c r="G70" i="20"/>
  <c r="F70" i="13"/>
  <c r="D200" i="20"/>
  <c r="D111" i="20"/>
  <c r="E111" i="20" s="1"/>
  <c r="F111" i="20" s="1"/>
  <c r="E891" i="13"/>
  <c r="F891" i="13" s="1"/>
  <c r="E805" i="13"/>
  <c r="F805" i="13" s="1"/>
  <c r="D543" i="13"/>
  <c r="E543" i="13" s="1"/>
  <c r="G542" i="13"/>
  <c r="O799" i="13"/>
  <c r="O798" i="13"/>
  <c r="D646" i="20"/>
  <c r="D370" i="13"/>
  <c r="G369" i="13"/>
  <c r="D717" i="13"/>
  <c r="G716" i="13"/>
  <c r="D379" i="20"/>
  <c r="D290" i="20"/>
  <c r="D735" i="20"/>
  <c r="D629" i="13"/>
  <c r="G628" i="13"/>
  <c r="D468" i="20"/>
  <c r="D196" i="13"/>
  <c r="G195" i="13"/>
  <c r="D556" i="20"/>
  <c r="K42" i="50"/>
  <c r="D43" i="50" s="1"/>
  <c r="H42" i="50"/>
  <c r="E200" i="20"/>
  <c r="F200" i="20" s="1"/>
  <c r="D201" i="20" s="1"/>
  <c r="D39" i="49"/>
  <c r="I39" i="49"/>
  <c r="G280" i="13"/>
  <c r="A87" i="41"/>
  <c r="A88" i="41" s="1"/>
  <c r="B88" i="41"/>
  <c r="G453" i="13"/>
  <c r="E107" i="13"/>
  <c r="F107" i="13" s="1"/>
  <c r="E454" i="13"/>
  <c r="F454" i="13" s="1"/>
  <c r="D455" i="13" s="1"/>
  <c r="F45" i="50"/>
  <c r="E281" i="13"/>
  <c r="F281" i="13" s="1"/>
  <c r="F42" i="49"/>
  <c r="B79" i="2"/>
  <c r="B80" i="2" s="1"/>
  <c r="H36" i="47"/>
  <c r="K36" i="47" s="1"/>
  <c r="A67" i="11"/>
  <c r="C67" i="11"/>
  <c r="F46" i="47"/>
  <c r="G71" i="20" l="1"/>
  <c r="F543" i="13"/>
  <c r="D544" i="13" s="1"/>
  <c r="E544" i="13" s="1"/>
  <c r="F544" i="13" s="1"/>
  <c r="D545" i="13" s="1"/>
  <c r="F71" i="13"/>
  <c r="J706" i="13"/>
  <c r="H716" i="13" s="1"/>
  <c r="J358" i="13"/>
  <c r="H369" i="13" s="1"/>
  <c r="J97" i="13"/>
  <c r="J271" i="13"/>
  <c r="J793" i="13"/>
  <c r="J445" i="13"/>
  <c r="J880" i="13"/>
  <c r="J532" i="13"/>
  <c r="H542" i="13" s="1"/>
  <c r="M542" i="13" s="1"/>
  <c r="J184" i="13"/>
  <c r="J619" i="13"/>
  <c r="H628" i="13" s="1"/>
  <c r="I721" i="20"/>
  <c r="I632" i="20"/>
  <c r="I98" i="20"/>
  <c r="G111" i="20" s="1"/>
  <c r="I365" i="20"/>
  <c r="I454" i="20"/>
  <c r="I187" i="20"/>
  <c r="G200" i="20" s="1"/>
  <c r="I276" i="20"/>
  <c r="I543" i="20"/>
  <c r="D892" i="13"/>
  <c r="G891" i="13"/>
  <c r="D806" i="13"/>
  <c r="G805" i="13"/>
  <c r="G454" i="13"/>
  <c r="D108" i="13"/>
  <c r="G107" i="13"/>
  <c r="D112" i="20"/>
  <c r="D39" i="47"/>
  <c r="I39" i="47"/>
  <c r="D282" i="13"/>
  <c r="G281" i="13"/>
  <c r="E455" i="13"/>
  <c r="F455" i="13" s="1"/>
  <c r="D456" i="13" s="1"/>
  <c r="E717" i="13"/>
  <c r="F717" i="13" s="1"/>
  <c r="E201" i="20"/>
  <c r="F201" i="20" s="1"/>
  <c r="E629" i="13"/>
  <c r="F629" i="13" s="1"/>
  <c r="A68" i="11"/>
  <c r="C68" i="11"/>
  <c r="F43" i="49"/>
  <c r="K43" i="50"/>
  <c r="D44" i="50" s="1"/>
  <c r="H43" i="50"/>
  <c r="E556" i="20"/>
  <c r="F556" i="20" s="1"/>
  <c r="E735" i="20"/>
  <c r="F735" i="20" s="1"/>
  <c r="B81" i="2"/>
  <c r="B82" i="2" s="1"/>
  <c r="E91" i="2"/>
  <c r="I53" i="49"/>
  <c r="I55" i="49" s="1"/>
  <c r="I40" i="49"/>
  <c r="I41" i="49" s="1"/>
  <c r="I42" i="49" s="1"/>
  <c r="I43" i="49" s="1"/>
  <c r="I44" i="49" s="1"/>
  <c r="I45" i="49" s="1"/>
  <c r="I46" i="49" s="1"/>
  <c r="I47" i="49" s="1"/>
  <c r="I48" i="49" s="1"/>
  <c r="I49" i="49" s="1"/>
  <c r="I50" i="49" s="1"/>
  <c r="E370" i="13"/>
  <c r="F370" i="13" s="1"/>
  <c r="F47" i="47"/>
  <c r="F46" i="50"/>
  <c r="A89" i="41"/>
  <c r="B89" i="41"/>
  <c r="K39" i="49"/>
  <c r="D40" i="49" s="1"/>
  <c r="H39" i="49"/>
  <c r="E196" i="13"/>
  <c r="F196" i="13" s="1"/>
  <c r="D197" i="13" s="1"/>
  <c r="E290" i="20"/>
  <c r="F290" i="20" s="1"/>
  <c r="E90" i="2"/>
  <c r="E646" i="20"/>
  <c r="F646" i="20" s="1"/>
  <c r="E468" i="20"/>
  <c r="F468" i="20" s="1"/>
  <c r="E379" i="20"/>
  <c r="F379" i="20" s="1"/>
  <c r="G468" i="20" l="1"/>
  <c r="G201" i="20"/>
  <c r="G196" i="20"/>
  <c r="G194" i="20"/>
  <c r="G198" i="20"/>
  <c r="I188" i="20"/>
  <c r="H201" i="20" s="1"/>
  <c r="I201" i="20" s="1"/>
  <c r="G192" i="20"/>
  <c r="G195" i="20"/>
  <c r="G193" i="20"/>
  <c r="G197" i="20"/>
  <c r="N179" i="20" s="1"/>
  <c r="G199" i="20"/>
  <c r="I633" i="20"/>
  <c r="H646" i="20" s="1"/>
  <c r="G638" i="20"/>
  <c r="G643" i="20"/>
  <c r="G641" i="20"/>
  <c r="G639" i="20"/>
  <c r="N624" i="20" s="1"/>
  <c r="G644" i="20"/>
  <c r="G640" i="20"/>
  <c r="G637" i="20"/>
  <c r="G642" i="20"/>
  <c r="G645" i="20"/>
  <c r="J185" i="13"/>
  <c r="H190" i="13"/>
  <c r="M190" i="13" s="1"/>
  <c r="H191" i="13"/>
  <c r="M191" i="13" s="1"/>
  <c r="H189" i="13"/>
  <c r="M189" i="13" s="1"/>
  <c r="H193" i="13"/>
  <c r="M193" i="13" s="1"/>
  <c r="H192" i="13"/>
  <c r="M192" i="13" s="1"/>
  <c r="H194" i="13"/>
  <c r="H799" i="13"/>
  <c r="H800" i="13"/>
  <c r="M800" i="13" s="1"/>
  <c r="H803" i="13"/>
  <c r="J794" i="13"/>
  <c r="I805" i="13" s="1"/>
  <c r="H801" i="13"/>
  <c r="H802" i="13"/>
  <c r="H798" i="13"/>
  <c r="M798" i="13" s="1"/>
  <c r="P798" i="13" s="1"/>
  <c r="H804" i="13"/>
  <c r="H711" i="13"/>
  <c r="M711" i="13" s="1"/>
  <c r="H714" i="13"/>
  <c r="H712" i="13"/>
  <c r="M712" i="13" s="1"/>
  <c r="J707" i="13"/>
  <c r="H715" i="13"/>
  <c r="H713" i="13"/>
  <c r="H450" i="13"/>
  <c r="M450" i="13" s="1"/>
  <c r="J446" i="13"/>
  <c r="I454" i="13" s="1"/>
  <c r="H452" i="13"/>
  <c r="M452" i="13" s="1"/>
  <c r="H451" i="13"/>
  <c r="M451" i="13" s="1"/>
  <c r="G544" i="13"/>
  <c r="H544" i="13" s="1"/>
  <c r="G543" i="13"/>
  <c r="H543" i="13" s="1"/>
  <c r="G462" i="20"/>
  <c r="G459" i="20"/>
  <c r="I455" i="20"/>
  <c r="H468" i="20" s="1"/>
  <c r="G464" i="20"/>
  <c r="N446" i="20" s="1"/>
  <c r="G461" i="20"/>
  <c r="G466" i="20"/>
  <c r="G465" i="20"/>
  <c r="G463" i="20"/>
  <c r="G460" i="20"/>
  <c r="G467" i="20"/>
  <c r="G726" i="20"/>
  <c r="G732" i="20"/>
  <c r="G731" i="20"/>
  <c r="G727" i="20"/>
  <c r="I722" i="20"/>
  <c r="H735" i="20" s="1"/>
  <c r="G729" i="20"/>
  <c r="G728" i="20"/>
  <c r="N713" i="20" s="1"/>
  <c r="G730" i="20"/>
  <c r="G733" i="20"/>
  <c r="G734" i="20"/>
  <c r="H195" i="13"/>
  <c r="M195" i="13" s="1"/>
  <c r="H541" i="13"/>
  <c r="H538" i="13"/>
  <c r="M538" i="13" s="1"/>
  <c r="H540" i="13"/>
  <c r="M540" i="13" s="1"/>
  <c r="H537" i="13"/>
  <c r="J533" i="13"/>
  <c r="H539" i="13"/>
  <c r="M539" i="13" s="1"/>
  <c r="H278" i="13"/>
  <c r="M278" i="13" s="1"/>
  <c r="J272" i="13"/>
  <c r="I281" i="13" s="1"/>
  <c r="H277" i="13"/>
  <c r="M277" i="13" s="1"/>
  <c r="H279" i="13"/>
  <c r="M279" i="13" s="1"/>
  <c r="H276" i="13"/>
  <c r="M276" i="13" s="1"/>
  <c r="H280" i="13"/>
  <c r="M280" i="13" s="1"/>
  <c r="I277" i="20"/>
  <c r="G282" i="20"/>
  <c r="G288" i="20"/>
  <c r="G283" i="20"/>
  <c r="G287" i="20"/>
  <c r="G286" i="20"/>
  <c r="N268" i="20" s="1"/>
  <c r="G285" i="20"/>
  <c r="G281" i="20"/>
  <c r="G284" i="20"/>
  <c r="G289" i="20"/>
  <c r="G103" i="20"/>
  <c r="G104" i="20"/>
  <c r="G108" i="20"/>
  <c r="G109" i="20"/>
  <c r="G105" i="20"/>
  <c r="G106" i="20"/>
  <c r="G107" i="20"/>
  <c r="I99" i="20"/>
  <c r="G110" i="20"/>
  <c r="H627" i="13"/>
  <c r="M627" i="13" s="1"/>
  <c r="H626" i="13"/>
  <c r="H624" i="13"/>
  <c r="M624" i="13" s="1"/>
  <c r="H625" i="13"/>
  <c r="M625" i="13" s="1"/>
  <c r="J620" i="13"/>
  <c r="H366" i="13"/>
  <c r="M366" i="13" s="1"/>
  <c r="H364" i="13"/>
  <c r="M364" i="13" s="1"/>
  <c r="H367" i="13"/>
  <c r="H363" i="13"/>
  <c r="M363" i="13" s="1"/>
  <c r="H365" i="13"/>
  <c r="J359" i="13"/>
  <c r="H368" i="13"/>
  <c r="G554" i="20"/>
  <c r="G548" i="20"/>
  <c r="G550" i="20"/>
  <c r="G553" i="20"/>
  <c r="G551" i="20"/>
  <c r="G552" i="20"/>
  <c r="N535" i="20" s="1"/>
  <c r="I544" i="20"/>
  <c r="H556" i="20" s="1"/>
  <c r="G549" i="20"/>
  <c r="G555" i="20"/>
  <c r="G371" i="20"/>
  <c r="G374" i="20"/>
  <c r="G373" i="20"/>
  <c r="G377" i="20"/>
  <c r="G372" i="20"/>
  <c r="N357" i="20" s="1"/>
  <c r="G376" i="20"/>
  <c r="G370" i="20"/>
  <c r="G375" i="20"/>
  <c r="I366" i="20"/>
  <c r="H379" i="20" s="1"/>
  <c r="G378" i="20"/>
  <c r="H453" i="13"/>
  <c r="M453" i="13" s="1"/>
  <c r="H886" i="13"/>
  <c r="M886" i="13" s="1"/>
  <c r="H890" i="13"/>
  <c r="H887" i="13"/>
  <c r="J881" i="13"/>
  <c r="I891" i="13" s="1"/>
  <c r="H888" i="13"/>
  <c r="H885" i="13"/>
  <c r="H889" i="13"/>
  <c r="H103" i="13"/>
  <c r="M103" i="13" s="1"/>
  <c r="H102" i="13"/>
  <c r="H105" i="13"/>
  <c r="M105" i="13" s="1"/>
  <c r="J98" i="13"/>
  <c r="I107" i="13" s="1"/>
  <c r="H104" i="13"/>
  <c r="M104" i="13" s="1"/>
  <c r="H106" i="13"/>
  <c r="M106" i="13" s="1"/>
  <c r="H891" i="13"/>
  <c r="E892" i="13"/>
  <c r="F892" i="13" s="1"/>
  <c r="D893" i="13" s="1"/>
  <c r="E806" i="13"/>
  <c r="F806" i="13" s="1"/>
  <c r="H805" i="13"/>
  <c r="H454" i="13"/>
  <c r="M454" i="13" s="1"/>
  <c r="G455" i="13"/>
  <c r="H455" i="13" s="1"/>
  <c r="D630" i="13"/>
  <c r="G629" i="13"/>
  <c r="D371" i="13"/>
  <c r="G370" i="13"/>
  <c r="D291" i="20"/>
  <c r="G290" i="20"/>
  <c r="D718" i="13"/>
  <c r="G717" i="13"/>
  <c r="D647" i="20"/>
  <c r="G646" i="20"/>
  <c r="D557" i="20"/>
  <c r="G556" i="20"/>
  <c r="D736" i="20"/>
  <c r="G735" i="20"/>
  <c r="D380" i="20"/>
  <c r="G379" i="20"/>
  <c r="G196" i="13"/>
  <c r="A69" i="11"/>
  <c r="A71" i="11" s="1"/>
  <c r="C69" i="11"/>
  <c r="A91" i="41"/>
  <c r="E112" i="20"/>
  <c r="F112" i="20" s="1"/>
  <c r="D113" i="20" s="1"/>
  <c r="E197" i="13"/>
  <c r="F197" i="13" s="1"/>
  <c r="D198" i="13" s="1"/>
  <c r="B83" i="2"/>
  <c r="B84" i="2" s="1"/>
  <c r="E92" i="2"/>
  <c r="K44" i="50"/>
  <c r="D45" i="50" s="1"/>
  <c r="H44" i="50"/>
  <c r="D202" i="20"/>
  <c r="H107" i="13"/>
  <c r="E456" i="13"/>
  <c r="F456" i="13" s="1"/>
  <c r="H281" i="13"/>
  <c r="E108" i="13"/>
  <c r="F108" i="13"/>
  <c r="D109" i="13" s="1"/>
  <c r="F47" i="50"/>
  <c r="F44" i="49"/>
  <c r="E282" i="13"/>
  <c r="F282" i="13" s="1"/>
  <c r="D469" i="20"/>
  <c r="I40" i="47"/>
  <c r="I41" i="47" s="1"/>
  <c r="I42" i="47" s="1"/>
  <c r="I43" i="47" s="1"/>
  <c r="I44" i="47" s="1"/>
  <c r="I45" i="47" s="1"/>
  <c r="I46" i="47" s="1"/>
  <c r="I47" i="47" s="1"/>
  <c r="I48" i="47" s="1"/>
  <c r="I49" i="47" s="1"/>
  <c r="I50" i="47" s="1"/>
  <c r="K40" i="49"/>
  <c r="D41" i="49" s="1"/>
  <c r="H40" i="49"/>
  <c r="F48" i="47"/>
  <c r="K39" i="47"/>
  <c r="D40" i="47" s="1"/>
  <c r="H39" i="47"/>
  <c r="E545" i="13"/>
  <c r="F545" i="13" s="1"/>
  <c r="M874" i="13" l="1"/>
  <c r="M875" i="13" s="1"/>
  <c r="I544" i="13"/>
  <c r="J544" i="13" s="1"/>
  <c r="I455" i="13"/>
  <c r="M626" i="13"/>
  <c r="M613" i="13"/>
  <c r="M614" i="13" s="1"/>
  <c r="H288" i="20"/>
  <c r="I288" i="20" s="1"/>
  <c r="H281" i="20"/>
  <c r="I281" i="20" s="1"/>
  <c r="H283" i="20"/>
  <c r="I283" i="20" s="1"/>
  <c r="H289" i="20"/>
  <c r="I289" i="20" s="1"/>
  <c r="H287" i="20"/>
  <c r="I287" i="20" s="1"/>
  <c r="H282" i="20"/>
  <c r="I282" i="20" s="1"/>
  <c r="H286" i="20"/>
  <c r="H285" i="20"/>
  <c r="I285" i="20" s="1"/>
  <c r="H284" i="20"/>
  <c r="I284" i="20" s="1"/>
  <c r="I541" i="13"/>
  <c r="I538" i="13"/>
  <c r="I537" i="13"/>
  <c r="J537" i="13" s="1"/>
  <c r="I542" i="13"/>
  <c r="I540" i="13"/>
  <c r="I539" i="13"/>
  <c r="I192" i="13"/>
  <c r="I194" i="13"/>
  <c r="I191" i="13"/>
  <c r="I193" i="13"/>
  <c r="I189" i="13"/>
  <c r="I190" i="13"/>
  <c r="I195" i="13"/>
  <c r="H194" i="20"/>
  <c r="I194" i="20" s="1"/>
  <c r="H193" i="20"/>
  <c r="I193" i="20" s="1"/>
  <c r="H199" i="20"/>
  <c r="I199" i="20" s="1"/>
  <c r="H195" i="20"/>
  <c r="I195" i="20" s="1"/>
  <c r="H197" i="20"/>
  <c r="H196" i="20"/>
  <c r="I196" i="20" s="1"/>
  <c r="H198" i="20"/>
  <c r="I198" i="20" s="1"/>
  <c r="H192" i="20"/>
  <c r="I192" i="20" s="1"/>
  <c r="H200" i="20"/>
  <c r="I200" i="20" s="1"/>
  <c r="I543" i="13"/>
  <c r="J543" i="13" s="1"/>
  <c r="I626" i="13"/>
  <c r="I625" i="13"/>
  <c r="I627" i="13"/>
  <c r="I624" i="13"/>
  <c r="I628" i="13"/>
  <c r="J628" i="13" s="1"/>
  <c r="I279" i="13"/>
  <c r="I276" i="13"/>
  <c r="I277" i="13"/>
  <c r="I278" i="13"/>
  <c r="I280" i="13"/>
  <c r="M799" i="13"/>
  <c r="P799" i="13" s="1"/>
  <c r="M787" i="13"/>
  <c r="M788" i="13" s="1"/>
  <c r="H290" i="20"/>
  <c r="I290" i="20" s="1"/>
  <c r="I887" i="13"/>
  <c r="J887" i="13" s="1"/>
  <c r="I890" i="13"/>
  <c r="J890" i="13" s="1"/>
  <c r="I888" i="13"/>
  <c r="J888" i="13" s="1"/>
  <c r="I885" i="13"/>
  <c r="I889" i="13"/>
  <c r="J889" i="13" s="1"/>
  <c r="I886" i="13"/>
  <c r="I450" i="13"/>
  <c r="I452" i="13"/>
  <c r="I451" i="13"/>
  <c r="I453" i="13"/>
  <c r="I711" i="13"/>
  <c r="I712" i="13"/>
  <c r="I714" i="13"/>
  <c r="J714" i="13" s="1"/>
  <c r="I715" i="13"/>
  <c r="J715" i="13" s="1"/>
  <c r="I713" i="13"/>
  <c r="I716" i="13"/>
  <c r="J716" i="13" s="1"/>
  <c r="I803" i="13"/>
  <c r="J803" i="13" s="1"/>
  <c r="I800" i="13"/>
  <c r="I802" i="13"/>
  <c r="J802" i="13" s="1"/>
  <c r="I799" i="13"/>
  <c r="I801" i="13"/>
  <c r="J801" i="13" s="1"/>
  <c r="I798" i="13"/>
  <c r="J798" i="13" s="1"/>
  <c r="I804" i="13"/>
  <c r="J804" i="13" s="1"/>
  <c r="M194" i="13"/>
  <c r="M178" i="13"/>
  <c r="M179" i="13" s="1"/>
  <c r="H642" i="20"/>
  <c r="I642" i="20" s="1"/>
  <c r="H644" i="20"/>
  <c r="I644" i="20" s="1"/>
  <c r="H637" i="20"/>
  <c r="I637" i="20" s="1"/>
  <c r="H640" i="20"/>
  <c r="I640" i="20" s="1"/>
  <c r="H638" i="20"/>
  <c r="I638" i="20" s="1"/>
  <c r="H639" i="20"/>
  <c r="H643" i="20"/>
  <c r="I643" i="20" s="1"/>
  <c r="H641" i="20"/>
  <c r="I641" i="20" s="1"/>
  <c r="H645" i="20"/>
  <c r="I645" i="20" s="1"/>
  <c r="H378" i="20"/>
  <c r="I378" i="20" s="1"/>
  <c r="H370" i="20"/>
  <c r="I370" i="20" s="1"/>
  <c r="H377" i="20"/>
  <c r="I377" i="20" s="1"/>
  <c r="H372" i="20"/>
  <c r="H373" i="20"/>
  <c r="I373" i="20" s="1"/>
  <c r="H374" i="20"/>
  <c r="I374" i="20" s="1"/>
  <c r="H375" i="20"/>
  <c r="I375" i="20" s="1"/>
  <c r="H371" i="20"/>
  <c r="I371" i="20" s="1"/>
  <c r="H376" i="20"/>
  <c r="I376" i="20" s="1"/>
  <c r="M365" i="13"/>
  <c r="M352" i="13"/>
  <c r="M353" i="13" s="1"/>
  <c r="M541" i="13"/>
  <c r="M526" i="13"/>
  <c r="M527" i="13" s="1"/>
  <c r="M700" i="13"/>
  <c r="M701" i="13" s="1"/>
  <c r="M713" i="13"/>
  <c r="I104" i="13"/>
  <c r="I105" i="13"/>
  <c r="I103" i="13"/>
  <c r="I106" i="13"/>
  <c r="I102" i="13"/>
  <c r="J102" i="13" s="1"/>
  <c r="H555" i="20"/>
  <c r="I555" i="20" s="1"/>
  <c r="H551" i="20"/>
  <c r="I551" i="20" s="1"/>
  <c r="H550" i="20"/>
  <c r="I550" i="20" s="1"/>
  <c r="H553" i="20"/>
  <c r="I553" i="20" s="1"/>
  <c r="H548" i="20"/>
  <c r="I548" i="20" s="1"/>
  <c r="H552" i="20"/>
  <c r="H554" i="20"/>
  <c r="I554" i="20" s="1"/>
  <c r="H549" i="20"/>
  <c r="I549" i="20" s="1"/>
  <c r="I365" i="13"/>
  <c r="I367" i="13"/>
  <c r="J367" i="13" s="1"/>
  <c r="I363" i="13"/>
  <c r="I368" i="13"/>
  <c r="J368" i="13" s="1"/>
  <c r="I364" i="13"/>
  <c r="I369" i="13"/>
  <c r="J369" i="13" s="1"/>
  <c r="I366" i="13"/>
  <c r="H108" i="20"/>
  <c r="I108" i="20" s="1"/>
  <c r="H103" i="20"/>
  <c r="I103" i="20" s="1"/>
  <c r="H106" i="20"/>
  <c r="I106" i="20" s="1"/>
  <c r="H104" i="20"/>
  <c r="I104" i="20" s="1"/>
  <c r="H109" i="20"/>
  <c r="I109" i="20" s="1"/>
  <c r="H110" i="20"/>
  <c r="I110" i="20" s="1"/>
  <c r="H105" i="20"/>
  <c r="I105" i="20" s="1"/>
  <c r="H107" i="20"/>
  <c r="I107" i="20" s="1"/>
  <c r="H111" i="20"/>
  <c r="I111" i="20" s="1"/>
  <c r="H727" i="20"/>
  <c r="I727" i="20" s="1"/>
  <c r="H734" i="20"/>
  <c r="I734" i="20" s="1"/>
  <c r="H726" i="20"/>
  <c r="I726" i="20" s="1"/>
  <c r="H730" i="20"/>
  <c r="I730" i="20" s="1"/>
  <c r="H729" i="20"/>
  <c r="I729" i="20" s="1"/>
  <c r="H733" i="20"/>
  <c r="I733" i="20" s="1"/>
  <c r="H732" i="20"/>
  <c r="I732" i="20" s="1"/>
  <c r="H731" i="20"/>
  <c r="I731" i="20" s="1"/>
  <c r="H728" i="20"/>
  <c r="H464" i="20"/>
  <c r="H467" i="20"/>
  <c r="I467" i="20" s="1"/>
  <c r="H461" i="20"/>
  <c r="I461" i="20" s="1"/>
  <c r="H462" i="20"/>
  <c r="I462" i="20" s="1"/>
  <c r="H460" i="20"/>
  <c r="I460" i="20" s="1"/>
  <c r="H466" i="20"/>
  <c r="I466" i="20" s="1"/>
  <c r="H463" i="20"/>
  <c r="I463" i="20" s="1"/>
  <c r="H459" i="20"/>
  <c r="I459" i="20" s="1"/>
  <c r="H465" i="20"/>
  <c r="I465" i="20" s="1"/>
  <c r="D457" i="13"/>
  <c r="E457" i="13" s="1"/>
  <c r="F457" i="13" s="1"/>
  <c r="G456" i="13"/>
  <c r="H456" i="13" s="1"/>
  <c r="M456" i="13" s="1"/>
  <c r="E893" i="13"/>
  <c r="F893" i="13" s="1"/>
  <c r="D894" i="13" s="1"/>
  <c r="H112" i="20"/>
  <c r="N91" i="20" s="1"/>
  <c r="J891" i="13"/>
  <c r="G112" i="20"/>
  <c r="N90" i="20" s="1"/>
  <c r="M26" i="20" s="1"/>
  <c r="G892" i="13"/>
  <c r="J805" i="13"/>
  <c r="D807" i="13"/>
  <c r="G806" i="13"/>
  <c r="J454" i="13"/>
  <c r="O454" i="13"/>
  <c r="P454" i="13" s="1"/>
  <c r="D546" i="13"/>
  <c r="G545" i="13"/>
  <c r="H545" i="13" s="1"/>
  <c r="G108" i="13"/>
  <c r="I108" i="13" s="1"/>
  <c r="D283" i="13"/>
  <c r="G282" i="13"/>
  <c r="E198" i="13"/>
  <c r="F198" i="13" s="1"/>
  <c r="D199" i="13" s="1"/>
  <c r="I53" i="47"/>
  <c r="I55" i="47" s="1"/>
  <c r="E469" i="20"/>
  <c r="F469" i="20" s="1"/>
  <c r="F45" i="49"/>
  <c r="M281" i="13"/>
  <c r="M107" i="13"/>
  <c r="K45" i="50"/>
  <c r="D46" i="50" s="1"/>
  <c r="H45" i="50"/>
  <c r="E557" i="20"/>
  <c r="F557" i="20" s="1"/>
  <c r="D558" i="20" s="1"/>
  <c r="F49" i="47"/>
  <c r="O107" i="13"/>
  <c r="J107" i="13"/>
  <c r="A92" i="41"/>
  <c r="I379" i="20"/>
  <c r="E291" i="20"/>
  <c r="F291" i="20" s="1"/>
  <c r="D292" i="20" s="1"/>
  <c r="K40" i="47"/>
  <c r="D41" i="47" s="1"/>
  <c r="H40" i="47"/>
  <c r="G197" i="13"/>
  <c r="K41" i="49"/>
  <c r="D42" i="49" s="1"/>
  <c r="H41" i="49"/>
  <c r="F48" i="50"/>
  <c r="B85" i="2"/>
  <c r="B86" i="2" s="1"/>
  <c r="E93" i="2"/>
  <c r="E380" i="20"/>
  <c r="F380" i="20" s="1"/>
  <c r="I646" i="20"/>
  <c r="H370" i="13"/>
  <c r="I370" i="13"/>
  <c r="J281" i="13"/>
  <c r="O281" i="13"/>
  <c r="M455" i="13"/>
  <c r="E113" i="20"/>
  <c r="F113" i="20" s="1"/>
  <c r="E647" i="20"/>
  <c r="F647" i="20" s="1"/>
  <c r="E371" i="13"/>
  <c r="F371" i="13" s="1"/>
  <c r="E109" i="13"/>
  <c r="F109" i="13" s="1"/>
  <c r="I735" i="20"/>
  <c r="H717" i="13"/>
  <c r="I717" i="13"/>
  <c r="H629" i="13"/>
  <c r="I629" i="13"/>
  <c r="H196" i="13"/>
  <c r="I196" i="13"/>
  <c r="I468" i="20"/>
  <c r="I556" i="20"/>
  <c r="E202" i="20"/>
  <c r="F202" i="20" s="1"/>
  <c r="D203" i="20" s="1"/>
  <c r="E736" i="20"/>
  <c r="F736" i="20" s="1"/>
  <c r="E718" i="13"/>
  <c r="F718" i="13" s="1"/>
  <c r="E630" i="13"/>
  <c r="F630" i="13" s="1"/>
  <c r="D631" i="13" s="1"/>
  <c r="M439" i="13" l="1"/>
  <c r="M440" i="13" s="1"/>
  <c r="J800" i="13"/>
  <c r="O800" i="13"/>
  <c r="P800" i="13" s="1"/>
  <c r="J886" i="13"/>
  <c r="O886" i="13"/>
  <c r="P886" i="13" s="1"/>
  <c r="J627" i="13"/>
  <c r="O627" i="13"/>
  <c r="P627" i="13" s="1"/>
  <c r="J366" i="13"/>
  <c r="O366" i="13"/>
  <c r="P366" i="13" s="1"/>
  <c r="J195" i="13"/>
  <c r="O195" i="13"/>
  <c r="P195" i="13" s="1"/>
  <c r="J542" i="13"/>
  <c r="O542" i="13"/>
  <c r="P542" i="13" s="1"/>
  <c r="I545" i="13"/>
  <c r="J455" i="13"/>
  <c r="O455" i="13"/>
  <c r="P455" i="13" s="1"/>
  <c r="I456" i="13"/>
  <c r="N439" i="13" s="1"/>
  <c r="O439" i="13" s="1"/>
  <c r="O440" i="13" s="1"/>
  <c r="O451" i="13"/>
  <c r="P451" i="13" s="1"/>
  <c r="J451" i="13"/>
  <c r="O280" i="13"/>
  <c r="P280" i="13" s="1"/>
  <c r="J280" i="13"/>
  <c r="J279" i="13"/>
  <c r="O279" i="13"/>
  <c r="P279" i="13" s="1"/>
  <c r="J625" i="13"/>
  <c r="O625" i="13"/>
  <c r="P625" i="13" s="1"/>
  <c r="J191" i="13"/>
  <c r="O191" i="13"/>
  <c r="P191" i="13" s="1"/>
  <c r="O540" i="13"/>
  <c r="P540" i="13" s="1"/>
  <c r="J540" i="13"/>
  <c r="J541" i="13"/>
  <c r="N526" i="13"/>
  <c r="O541" i="13"/>
  <c r="P541" i="13" s="1"/>
  <c r="I464" i="20"/>
  <c r="N447" i="20"/>
  <c r="N448" i="20" s="1"/>
  <c r="I552" i="20"/>
  <c r="N536" i="20"/>
  <c r="N537" i="20" s="1"/>
  <c r="J103" i="13"/>
  <c r="O103" i="13"/>
  <c r="P103" i="13" s="1"/>
  <c r="N787" i="13"/>
  <c r="J799" i="13"/>
  <c r="O712" i="13"/>
  <c r="P712" i="13" s="1"/>
  <c r="J712" i="13"/>
  <c r="O452" i="13"/>
  <c r="P452" i="13" s="1"/>
  <c r="J452" i="13"/>
  <c r="N874" i="13"/>
  <c r="J885" i="13"/>
  <c r="O278" i="13"/>
  <c r="P278" i="13" s="1"/>
  <c r="J278" i="13"/>
  <c r="J626" i="13"/>
  <c r="O626" i="13"/>
  <c r="P626" i="13" s="1"/>
  <c r="N613" i="13"/>
  <c r="J190" i="13"/>
  <c r="O190" i="13"/>
  <c r="P190" i="13" s="1"/>
  <c r="N178" i="13"/>
  <c r="J194" i="13"/>
  <c r="O194" i="13"/>
  <c r="P194" i="13" s="1"/>
  <c r="O363" i="13"/>
  <c r="P363" i="13" s="1"/>
  <c r="J363" i="13"/>
  <c r="N714" i="20"/>
  <c r="N715" i="20" s="1"/>
  <c r="I728" i="20"/>
  <c r="O364" i="13"/>
  <c r="P364" i="13" s="1"/>
  <c r="J364" i="13"/>
  <c r="N352" i="13"/>
  <c r="O365" i="13"/>
  <c r="P365" i="13" s="1"/>
  <c r="J365" i="13"/>
  <c r="J105" i="13"/>
  <c r="O105" i="13"/>
  <c r="P105" i="13" s="1"/>
  <c r="N625" i="20"/>
  <c r="N626" i="20" s="1"/>
  <c r="I639" i="20"/>
  <c r="J713" i="13"/>
  <c r="N700" i="13"/>
  <c r="O713" i="13"/>
  <c r="P713" i="13" s="1"/>
  <c r="J711" i="13"/>
  <c r="O711" i="13"/>
  <c r="P711" i="13" s="1"/>
  <c r="O450" i="13"/>
  <c r="P450" i="13" s="1"/>
  <c r="J450" i="13"/>
  <c r="J277" i="13"/>
  <c r="O277" i="13"/>
  <c r="P277" i="13" s="1"/>
  <c r="O624" i="13"/>
  <c r="P624" i="13" s="1"/>
  <c r="J624" i="13"/>
  <c r="O189" i="13"/>
  <c r="P189" i="13" s="1"/>
  <c r="J189" i="13"/>
  <c r="J192" i="13"/>
  <c r="O192" i="13"/>
  <c r="P192" i="13" s="1"/>
  <c r="O106" i="13"/>
  <c r="P106" i="13" s="1"/>
  <c r="J106" i="13"/>
  <c r="O104" i="13"/>
  <c r="P104" i="13" s="1"/>
  <c r="J104" i="13"/>
  <c r="I372" i="20"/>
  <c r="N358" i="20"/>
  <c r="N359" i="20" s="1"/>
  <c r="J453" i="13"/>
  <c r="O453" i="13"/>
  <c r="P453" i="13" s="1"/>
  <c r="J276" i="13"/>
  <c r="O276" i="13"/>
  <c r="P276" i="13" s="1"/>
  <c r="I197" i="20"/>
  <c r="N180" i="20"/>
  <c r="N181" i="20" s="1"/>
  <c r="J193" i="13"/>
  <c r="O193" i="13"/>
  <c r="P193" i="13" s="1"/>
  <c r="O539" i="13"/>
  <c r="P539" i="13" s="1"/>
  <c r="J539" i="13"/>
  <c r="O538" i="13"/>
  <c r="P538" i="13" s="1"/>
  <c r="J538" i="13"/>
  <c r="I286" i="20"/>
  <c r="N269" i="20"/>
  <c r="N270" i="20" s="1"/>
  <c r="D648" i="20"/>
  <c r="H647" i="20"/>
  <c r="E894" i="13"/>
  <c r="F894" i="13" s="1"/>
  <c r="D895" i="13" s="1"/>
  <c r="I112" i="20"/>
  <c r="H892" i="13"/>
  <c r="I892" i="13"/>
  <c r="G893" i="13"/>
  <c r="E807" i="13"/>
  <c r="F807" i="13" s="1"/>
  <c r="I806" i="13"/>
  <c r="H806" i="13"/>
  <c r="H108" i="13"/>
  <c r="M108" i="13" s="1"/>
  <c r="E546" i="13"/>
  <c r="F546" i="13" s="1"/>
  <c r="P281" i="13"/>
  <c r="J545" i="13"/>
  <c r="P107" i="13"/>
  <c r="D458" i="13"/>
  <c r="G457" i="13"/>
  <c r="D381" i="20"/>
  <c r="G380" i="20"/>
  <c r="H380" i="20"/>
  <c r="D470" i="20"/>
  <c r="H469" i="20"/>
  <c r="G469" i="20"/>
  <c r="D737" i="20"/>
  <c r="G736" i="20"/>
  <c r="H736" i="20"/>
  <c r="D114" i="20"/>
  <c r="G113" i="20"/>
  <c r="H113" i="20"/>
  <c r="D372" i="13"/>
  <c r="G371" i="13"/>
  <c r="D110" i="13"/>
  <c r="G109" i="13"/>
  <c r="D719" i="13"/>
  <c r="G718" i="13"/>
  <c r="E203" i="20"/>
  <c r="F203" i="20" s="1"/>
  <c r="D204" i="20" s="1"/>
  <c r="O108" i="13"/>
  <c r="J370" i="13"/>
  <c r="H291" i="20"/>
  <c r="F46" i="49"/>
  <c r="E199" i="13"/>
  <c r="F199" i="13" s="1"/>
  <c r="D200" i="13" s="1"/>
  <c r="B87" i="2"/>
  <c r="B89" i="2" s="1"/>
  <c r="B90" i="2" s="1"/>
  <c r="E94" i="2"/>
  <c r="E87" i="2"/>
  <c r="F49" i="50"/>
  <c r="G291" i="20"/>
  <c r="F50" i="47"/>
  <c r="G198" i="13"/>
  <c r="J717" i="13"/>
  <c r="G647" i="20"/>
  <c r="H197" i="13"/>
  <c r="I197" i="13"/>
  <c r="H557" i="20"/>
  <c r="K46" i="50"/>
  <c r="D47" i="50" s="1"/>
  <c r="H46" i="50"/>
  <c r="G630" i="13"/>
  <c r="G557" i="20"/>
  <c r="J629" i="13"/>
  <c r="E631" i="13"/>
  <c r="F631" i="13" s="1"/>
  <c r="D632" i="13" s="1"/>
  <c r="J196" i="13"/>
  <c r="E648" i="20"/>
  <c r="K41" i="47"/>
  <c r="D42" i="47" s="1"/>
  <c r="H41" i="47"/>
  <c r="E558" i="20"/>
  <c r="F558" i="20" s="1"/>
  <c r="H282" i="13"/>
  <c r="I282" i="13"/>
  <c r="E292" i="20"/>
  <c r="F292" i="20" s="1"/>
  <c r="A93" i="41"/>
  <c r="A94" i="41" s="1"/>
  <c r="B94" i="41"/>
  <c r="K42" i="49"/>
  <c r="D43" i="49" s="1"/>
  <c r="H42" i="49"/>
  <c r="H202" i="20"/>
  <c r="G202" i="20"/>
  <c r="N92" i="20"/>
  <c r="E283" i="13"/>
  <c r="F283" i="13" s="1"/>
  <c r="N440" i="13" l="1"/>
  <c r="O282" i="13"/>
  <c r="N265" i="13"/>
  <c r="M282" i="13"/>
  <c r="M265" i="13"/>
  <c r="M266" i="13" s="1"/>
  <c r="J456" i="13"/>
  <c r="O456" i="13"/>
  <c r="P456" i="13" s="1"/>
  <c r="N26" i="20"/>
  <c r="O26" i="20" s="1"/>
  <c r="F648" i="20"/>
  <c r="D649" i="20" s="1"/>
  <c r="O874" i="13"/>
  <c r="O875" i="13" s="1"/>
  <c r="N875" i="13"/>
  <c r="N701" i="13"/>
  <c r="O700" i="13"/>
  <c r="O701" i="13" s="1"/>
  <c r="L39" i="2" s="1"/>
  <c r="O352" i="13"/>
  <c r="O353" i="13" s="1"/>
  <c r="N353" i="13"/>
  <c r="N614" i="13"/>
  <c r="O613" i="13"/>
  <c r="O614" i="13" s="1"/>
  <c r="O787" i="13"/>
  <c r="O788" i="13" s="1"/>
  <c r="N788" i="13"/>
  <c r="O526" i="13"/>
  <c r="O527" i="13" s="1"/>
  <c r="N527" i="13"/>
  <c r="G648" i="20"/>
  <c r="O178" i="13"/>
  <c r="O179" i="13" s="1"/>
  <c r="N179" i="13"/>
  <c r="J892" i="13"/>
  <c r="D559" i="20"/>
  <c r="E559" i="20" s="1"/>
  <c r="F559" i="20" s="1"/>
  <c r="H558" i="20"/>
  <c r="G558" i="20"/>
  <c r="E895" i="13"/>
  <c r="F895" i="13" s="1"/>
  <c r="I893" i="13"/>
  <c r="H893" i="13"/>
  <c r="G894" i="13"/>
  <c r="J806" i="13"/>
  <c r="D808" i="13"/>
  <c r="G807" i="13"/>
  <c r="J108" i="13"/>
  <c r="P108" i="13"/>
  <c r="D547" i="13"/>
  <c r="G546" i="13"/>
  <c r="H546" i="13" s="1"/>
  <c r="J197" i="13"/>
  <c r="D284" i="13"/>
  <c r="G283" i="13"/>
  <c r="D293" i="20"/>
  <c r="G292" i="20"/>
  <c r="H292" i="20"/>
  <c r="E470" i="20"/>
  <c r="F470" i="20" s="1"/>
  <c r="G631" i="13"/>
  <c r="I557" i="20"/>
  <c r="E200" i="13"/>
  <c r="F200" i="13" s="1"/>
  <c r="E719" i="13"/>
  <c r="F719" i="13" s="1"/>
  <c r="D720" i="13" s="1"/>
  <c r="E114" i="20"/>
  <c r="F114" i="20" s="1"/>
  <c r="I291" i="20"/>
  <c r="G199" i="13"/>
  <c r="H109" i="13"/>
  <c r="I109" i="13"/>
  <c r="I736" i="20"/>
  <c r="I380" i="20"/>
  <c r="E632" i="13"/>
  <c r="F632" i="13" s="1"/>
  <c r="H198" i="13"/>
  <c r="I198" i="13"/>
  <c r="E110" i="13"/>
  <c r="F110" i="13" s="1"/>
  <c r="D111" i="13" s="1"/>
  <c r="B91" i="2"/>
  <c r="A95" i="41"/>
  <c r="B95" i="41"/>
  <c r="K47" i="50"/>
  <c r="D48" i="50" s="1"/>
  <c r="H47" i="50"/>
  <c r="I202" i="20"/>
  <c r="H630" i="13"/>
  <c r="I630" i="13"/>
  <c r="F50" i="50"/>
  <c r="F47" i="49"/>
  <c r="H203" i="20"/>
  <c r="H371" i="13"/>
  <c r="I371" i="13"/>
  <c r="E737" i="20"/>
  <c r="F737" i="20" s="1"/>
  <c r="E381" i="20"/>
  <c r="F381" i="20" s="1"/>
  <c r="D382" i="20" s="1"/>
  <c r="I113" i="20"/>
  <c r="E649" i="20"/>
  <c r="F649" i="20" s="1"/>
  <c r="D650" i="20" s="1"/>
  <c r="H718" i="13"/>
  <c r="I718" i="13"/>
  <c r="J282" i="13"/>
  <c r="K42" i="47"/>
  <c r="D43" i="47" s="1"/>
  <c r="H42" i="47"/>
  <c r="G203" i="20"/>
  <c r="E372" i="13"/>
  <c r="F372" i="13" s="1"/>
  <c r="H457" i="13"/>
  <c r="I457" i="13"/>
  <c r="E204" i="20"/>
  <c r="F204" i="20" s="1"/>
  <c r="K43" i="49"/>
  <c r="D44" i="49" s="1"/>
  <c r="H43" i="49"/>
  <c r="H648" i="20"/>
  <c r="I647" i="20"/>
  <c r="I469" i="20"/>
  <c r="E458" i="13"/>
  <c r="F458" i="13" s="1"/>
  <c r="O265" i="13" l="1"/>
  <c r="O266" i="13" s="1"/>
  <c r="N266" i="13"/>
  <c r="P282" i="13"/>
  <c r="D560" i="20"/>
  <c r="G559" i="20"/>
  <c r="D205" i="20"/>
  <c r="E205" i="20" s="1"/>
  <c r="F205" i="20" s="1"/>
  <c r="G204" i="20"/>
  <c r="I558" i="20"/>
  <c r="D896" i="13"/>
  <c r="G895" i="13"/>
  <c r="J893" i="13"/>
  <c r="H204" i="20"/>
  <c r="H894" i="13"/>
  <c r="I894" i="13"/>
  <c r="E808" i="13"/>
  <c r="F808" i="13" s="1"/>
  <c r="D809" i="13" s="1"/>
  <c r="I807" i="13"/>
  <c r="H807" i="13"/>
  <c r="I546" i="13"/>
  <c r="J546" i="13" s="1"/>
  <c r="E547" i="13"/>
  <c r="F547" i="13" s="1"/>
  <c r="D373" i="13"/>
  <c r="E373" i="13" s="1"/>
  <c r="F373" i="13" s="1"/>
  <c r="G372" i="13"/>
  <c r="I372" i="13" s="1"/>
  <c r="I292" i="20"/>
  <c r="D471" i="20"/>
  <c r="G470" i="20"/>
  <c r="H470" i="20"/>
  <c r="D459" i="13"/>
  <c r="G458" i="13"/>
  <c r="D115" i="20"/>
  <c r="G114" i="20"/>
  <c r="H114" i="20"/>
  <c r="D633" i="13"/>
  <c r="G632" i="13"/>
  <c r="D738" i="20"/>
  <c r="H737" i="20"/>
  <c r="G737" i="20"/>
  <c r="D201" i="13"/>
  <c r="G200" i="13"/>
  <c r="J457" i="13"/>
  <c r="E284" i="13"/>
  <c r="F284" i="13" s="1"/>
  <c r="D285" i="13" s="1"/>
  <c r="E560" i="20"/>
  <c r="F560" i="20" s="1"/>
  <c r="J630" i="13"/>
  <c r="H199" i="13"/>
  <c r="I199" i="13"/>
  <c r="H381" i="20"/>
  <c r="J371" i="13"/>
  <c r="G719" i="13"/>
  <c r="H372" i="13"/>
  <c r="K44" i="49"/>
  <c r="D45" i="49" s="1"/>
  <c r="H44" i="49"/>
  <c r="J718" i="13"/>
  <c r="G381" i="20"/>
  <c r="G110" i="13"/>
  <c r="H631" i="13"/>
  <c r="I631" i="13"/>
  <c r="K43" i="47"/>
  <c r="D44" i="47" s="1"/>
  <c r="H43" i="47"/>
  <c r="E382" i="20"/>
  <c r="F382" i="20" s="1"/>
  <c r="E111" i="13"/>
  <c r="F111" i="13" s="1"/>
  <c r="G649" i="20"/>
  <c r="F48" i="49"/>
  <c r="C64" i="13"/>
  <c r="B92" i="2"/>
  <c r="B93" i="2" s="1"/>
  <c r="B94" i="2" s="1"/>
  <c r="C64" i="20"/>
  <c r="I648" i="20"/>
  <c r="E650" i="20"/>
  <c r="F650" i="20" s="1"/>
  <c r="D651" i="20" s="1"/>
  <c r="O109" i="13"/>
  <c r="J109" i="13"/>
  <c r="M109" i="13"/>
  <c r="K48" i="50"/>
  <c r="D49" i="50" s="1"/>
  <c r="H48" i="50"/>
  <c r="E720" i="13"/>
  <c r="F720" i="13" s="1"/>
  <c r="H649" i="20"/>
  <c r="I203" i="20"/>
  <c r="A97" i="41"/>
  <c r="E293" i="20"/>
  <c r="F293" i="20" s="1"/>
  <c r="J198" i="13"/>
  <c r="H559" i="20"/>
  <c r="H283" i="13"/>
  <c r="I283" i="13"/>
  <c r="D383" i="20" l="1"/>
  <c r="G382" i="20"/>
  <c r="H650" i="20"/>
  <c r="G650" i="20"/>
  <c r="I204" i="20"/>
  <c r="J894" i="13"/>
  <c r="D206" i="20"/>
  <c r="E206" i="20" s="1"/>
  <c r="F206" i="20" s="1"/>
  <c r="G205" i="20"/>
  <c r="H205" i="20"/>
  <c r="D561" i="20"/>
  <c r="E561" i="20" s="1"/>
  <c r="G560" i="20"/>
  <c r="H560" i="20"/>
  <c r="I895" i="13"/>
  <c r="H895" i="13"/>
  <c r="H382" i="20"/>
  <c r="E896" i="13"/>
  <c r="F896" i="13" s="1"/>
  <c r="J807" i="13"/>
  <c r="E809" i="13"/>
  <c r="F809" i="13" s="1"/>
  <c r="G808" i="13"/>
  <c r="D548" i="13"/>
  <c r="G547" i="13"/>
  <c r="I649" i="20"/>
  <c r="J199" i="13"/>
  <c r="J631" i="13"/>
  <c r="D721" i="13"/>
  <c r="G720" i="13"/>
  <c r="D294" i="20"/>
  <c r="H293" i="20"/>
  <c r="G293" i="20"/>
  <c r="D374" i="13"/>
  <c r="G373" i="13"/>
  <c r="D112" i="13"/>
  <c r="G111" i="13"/>
  <c r="K44" i="47"/>
  <c r="D45" i="47" s="1"/>
  <c r="H44" i="47"/>
  <c r="K49" i="50"/>
  <c r="D50" i="50" s="1"/>
  <c r="H49" i="50"/>
  <c r="E651" i="20"/>
  <c r="F651" i="20" s="1"/>
  <c r="D652" i="20" s="1"/>
  <c r="F49" i="49"/>
  <c r="E383" i="20"/>
  <c r="F383" i="20" s="1"/>
  <c r="H200" i="13"/>
  <c r="I200" i="13"/>
  <c r="A98" i="41"/>
  <c r="E201" i="13"/>
  <c r="F201" i="13" s="1"/>
  <c r="E115" i="20"/>
  <c r="F115" i="20" s="1"/>
  <c r="J283" i="13"/>
  <c r="H110" i="13"/>
  <c r="I110" i="13"/>
  <c r="K45" i="49"/>
  <c r="D46" i="49" s="1"/>
  <c r="H45" i="49"/>
  <c r="I381" i="20"/>
  <c r="E285" i="13"/>
  <c r="F285" i="13" s="1"/>
  <c r="D286" i="13" s="1"/>
  <c r="I737" i="20"/>
  <c r="H458" i="13"/>
  <c r="I458" i="13"/>
  <c r="E633" i="13"/>
  <c r="F633" i="13" s="1"/>
  <c r="D634" i="13" s="1"/>
  <c r="E471" i="20"/>
  <c r="F471" i="20" s="1"/>
  <c r="J372" i="13"/>
  <c r="G284" i="13"/>
  <c r="E738" i="20"/>
  <c r="F738" i="20" s="1"/>
  <c r="E459" i="13"/>
  <c r="F459" i="13" s="1"/>
  <c r="H719" i="13"/>
  <c r="I719" i="13"/>
  <c r="I114" i="20"/>
  <c r="I559" i="20"/>
  <c r="P109" i="13"/>
  <c r="B95" i="2"/>
  <c r="E95" i="2"/>
  <c r="H632" i="13"/>
  <c r="I632" i="13"/>
  <c r="I470" i="20"/>
  <c r="I650" i="20" l="1"/>
  <c r="I382" i="20"/>
  <c r="D897" i="13"/>
  <c r="G896" i="13"/>
  <c r="I896" i="13" s="1"/>
  <c r="I560" i="20"/>
  <c r="I205" i="20"/>
  <c r="E897" i="13"/>
  <c r="F897" i="13"/>
  <c r="D898" i="13" s="1"/>
  <c r="J895" i="13"/>
  <c r="F561" i="20"/>
  <c r="D562" i="20" s="1"/>
  <c r="D810" i="13"/>
  <c r="G809" i="13"/>
  <c r="I808" i="13"/>
  <c r="H808" i="13"/>
  <c r="D202" i="13"/>
  <c r="E202" i="13" s="1"/>
  <c r="F202" i="13" s="1"/>
  <c r="D203" i="13" s="1"/>
  <c r="G201" i="13"/>
  <c r="H201" i="13" s="1"/>
  <c r="I547" i="13"/>
  <c r="H547" i="13"/>
  <c r="E548" i="13"/>
  <c r="F548" i="13" s="1"/>
  <c r="J632" i="13"/>
  <c r="D460" i="13"/>
  <c r="G459" i="13"/>
  <c r="D739" i="20"/>
  <c r="H738" i="20"/>
  <c r="G738" i="20"/>
  <c r="D116" i="20"/>
  <c r="G115" i="20"/>
  <c r="H115" i="20"/>
  <c r="D207" i="20"/>
  <c r="G206" i="20"/>
  <c r="H206" i="20"/>
  <c r="D384" i="20"/>
  <c r="H383" i="20"/>
  <c r="G383" i="20"/>
  <c r="D472" i="20"/>
  <c r="G471" i="20"/>
  <c r="H471" i="20"/>
  <c r="E652" i="20"/>
  <c r="F652" i="20" s="1"/>
  <c r="E112" i="13"/>
  <c r="F112" i="13" s="1"/>
  <c r="D113" i="13" s="1"/>
  <c r="G633" i="13"/>
  <c r="G285" i="13"/>
  <c r="J200" i="13"/>
  <c r="H373" i="13"/>
  <c r="I373" i="13"/>
  <c r="K50" i="50"/>
  <c r="H50" i="50"/>
  <c r="H51" i="50" s="1"/>
  <c r="E286" i="13"/>
  <c r="F286" i="13" s="1"/>
  <c r="E374" i="13"/>
  <c r="F374" i="13" s="1"/>
  <c r="J458" i="13"/>
  <c r="I293" i="20"/>
  <c r="J719" i="13"/>
  <c r="E562" i="20"/>
  <c r="F50" i="49"/>
  <c r="E294" i="20"/>
  <c r="F294" i="20" s="1"/>
  <c r="B98" i="2"/>
  <c r="B99" i="2" s="1"/>
  <c r="C47" i="11"/>
  <c r="E634" i="13"/>
  <c r="F634" i="13" s="1"/>
  <c r="D635" i="13" s="1"/>
  <c r="H284" i="13"/>
  <c r="I284" i="13"/>
  <c r="K46" i="49"/>
  <c r="D47" i="49" s="1"/>
  <c r="H46" i="49"/>
  <c r="H651" i="20"/>
  <c r="K45" i="47"/>
  <c r="D46" i="47" s="1"/>
  <c r="H45" i="47"/>
  <c r="H720" i="13"/>
  <c r="I720" i="13"/>
  <c r="M110" i="13"/>
  <c r="O110" i="13"/>
  <c r="J110" i="13"/>
  <c r="A99" i="41"/>
  <c r="A100" i="41" s="1"/>
  <c r="B100" i="41"/>
  <c r="G651" i="20"/>
  <c r="H111" i="13"/>
  <c r="I111" i="13"/>
  <c r="E721" i="13"/>
  <c r="F721" i="13" s="1"/>
  <c r="F562" i="20" l="1"/>
  <c r="D563" i="20" s="1"/>
  <c r="E563" i="20" s="1"/>
  <c r="F563" i="20" s="1"/>
  <c r="H561" i="20"/>
  <c r="G561" i="20"/>
  <c r="H896" i="13"/>
  <c r="J896" i="13" s="1"/>
  <c r="I201" i="13"/>
  <c r="J201" i="13" s="1"/>
  <c r="E898" i="13"/>
  <c r="F898" i="13" s="1"/>
  <c r="G897" i="13"/>
  <c r="J808" i="13"/>
  <c r="H809" i="13"/>
  <c r="I809" i="13"/>
  <c r="E810" i="13"/>
  <c r="F810" i="13" s="1"/>
  <c r="D549" i="13"/>
  <c r="E549" i="13" s="1"/>
  <c r="G548" i="13"/>
  <c r="H548" i="13" s="1"/>
  <c r="J547" i="13"/>
  <c r="D375" i="13"/>
  <c r="E375" i="13" s="1"/>
  <c r="G374" i="13"/>
  <c r="H374" i="13" s="1"/>
  <c r="I115" i="20"/>
  <c r="D295" i="20"/>
  <c r="G294" i="20"/>
  <c r="H294" i="20"/>
  <c r="D653" i="20"/>
  <c r="G652" i="20"/>
  <c r="H652" i="20"/>
  <c r="D722" i="13"/>
  <c r="G721" i="13"/>
  <c r="D287" i="13"/>
  <c r="G286" i="13"/>
  <c r="J284" i="13"/>
  <c r="E203" i="13"/>
  <c r="F203" i="13" s="1"/>
  <c r="D204" i="13" s="1"/>
  <c r="P110" i="13"/>
  <c r="J720" i="13"/>
  <c r="G112" i="13"/>
  <c r="E472" i="20"/>
  <c r="F472" i="20" s="1"/>
  <c r="E635" i="13"/>
  <c r="F635" i="13" s="1"/>
  <c r="E113" i="13"/>
  <c r="F113" i="13" s="1"/>
  <c r="G634" i="13"/>
  <c r="I383" i="20"/>
  <c r="J373" i="13"/>
  <c r="M111" i="13"/>
  <c r="K46" i="47"/>
  <c r="D47" i="47" s="1"/>
  <c r="H46" i="47"/>
  <c r="E384" i="20"/>
  <c r="F384" i="20" s="1"/>
  <c r="I738" i="20"/>
  <c r="I651" i="20"/>
  <c r="I206" i="20"/>
  <c r="E739" i="20"/>
  <c r="F739" i="20" s="1"/>
  <c r="D740" i="20" s="1"/>
  <c r="J111" i="13"/>
  <c r="O111" i="13"/>
  <c r="E116" i="20"/>
  <c r="F116" i="20" s="1"/>
  <c r="A101" i="41"/>
  <c r="B103" i="41"/>
  <c r="B101" i="41"/>
  <c r="H562" i="20"/>
  <c r="H285" i="13"/>
  <c r="I285" i="13"/>
  <c r="H459" i="13"/>
  <c r="I459" i="13"/>
  <c r="K47" i="49"/>
  <c r="D48" i="49" s="1"/>
  <c r="H47" i="49"/>
  <c r="B100" i="2"/>
  <c r="B101" i="2" s="1"/>
  <c r="B102" i="2" s="1"/>
  <c r="B103" i="2" s="1"/>
  <c r="B104" i="2" s="1"/>
  <c r="G562" i="20"/>
  <c r="G202" i="13"/>
  <c r="H633" i="13"/>
  <c r="I633" i="13"/>
  <c r="I471" i="20"/>
  <c r="E207" i="20"/>
  <c r="F207" i="20" s="1"/>
  <c r="E460" i="13"/>
  <c r="F460" i="13" s="1"/>
  <c r="I548" i="13" l="1"/>
  <c r="J548" i="13" s="1"/>
  <c r="I561" i="20"/>
  <c r="I374" i="13"/>
  <c r="J374" i="13" s="1"/>
  <c r="F549" i="13"/>
  <c r="D550" i="13" s="1"/>
  <c r="E550" i="13" s="1"/>
  <c r="F550" i="13" s="1"/>
  <c r="D473" i="20"/>
  <c r="E473" i="20" s="1"/>
  <c r="F473" i="20" s="1"/>
  <c r="G472" i="20"/>
  <c r="D564" i="20"/>
  <c r="E564" i="20" s="1"/>
  <c r="F564" i="20" s="1"/>
  <c r="D565" i="20" s="1"/>
  <c r="G563" i="20"/>
  <c r="D385" i="20"/>
  <c r="E385" i="20" s="1"/>
  <c r="F385" i="20" s="1"/>
  <c r="G384" i="20"/>
  <c r="H384" i="20"/>
  <c r="D899" i="13"/>
  <c r="G898" i="13"/>
  <c r="I897" i="13"/>
  <c r="H897" i="13"/>
  <c r="H739" i="20"/>
  <c r="J809" i="13"/>
  <c r="D811" i="13"/>
  <c r="G810" i="13"/>
  <c r="G203" i="13"/>
  <c r="H203" i="13" s="1"/>
  <c r="F375" i="13"/>
  <c r="D376" i="13" s="1"/>
  <c r="E376" i="13" s="1"/>
  <c r="F376" i="13" s="1"/>
  <c r="J285" i="13"/>
  <c r="I652" i="20"/>
  <c r="P111" i="13"/>
  <c r="D117" i="20"/>
  <c r="H116" i="20"/>
  <c r="G116" i="20"/>
  <c r="D114" i="13"/>
  <c r="G113" i="13"/>
  <c r="D636" i="13"/>
  <c r="G635" i="13"/>
  <c r="D461" i="13"/>
  <c r="G460" i="13"/>
  <c r="D208" i="20"/>
  <c r="G207" i="20"/>
  <c r="H207" i="20"/>
  <c r="A103" i="41"/>
  <c r="B104" i="41"/>
  <c r="K47" i="47"/>
  <c r="D48" i="47" s="1"/>
  <c r="H47" i="47"/>
  <c r="H721" i="13"/>
  <c r="I721" i="13"/>
  <c r="E104" i="2"/>
  <c r="G739" i="20"/>
  <c r="H472" i="20"/>
  <c r="E722" i="13"/>
  <c r="F722" i="13" s="1"/>
  <c r="D723" i="13" s="1"/>
  <c r="E740" i="20"/>
  <c r="F740" i="20" s="1"/>
  <c r="D741" i="20" s="1"/>
  <c r="I562" i="20"/>
  <c r="E204" i="13"/>
  <c r="F204" i="13" s="1"/>
  <c r="D205" i="13" s="1"/>
  <c r="H202" i="13"/>
  <c r="I202" i="13"/>
  <c r="E295" i="20"/>
  <c r="F295" i="20" s="1"/>
  <c r="B106" i="2"/>
  <c r="B108" i="2" s="1"/>
  <c r="B110" i="2" s="1"/>
  <c r="B112" i="2" s="1"/>
  <c r="B113" i="2" s="1"/>
  <c r="H634" i="13"/>
  <c r="I634" i="13"/>
  <c r="K48" i="49"/>
  <c r="D49" i="49" s="1"/>
  <c r="H48" i="49"/>
  <c r="H286" i="13"/>
  <c r="I286" i="13"/>
  <c r="E653" i="20"/>
  <c r="F653" i="20" s="1"/>
  <c r="J633" i="13"/>
  <c r="J459" i="13"/>
  <c r="H112" i="13"/>
  <c r="I112" i="13"/>
  <c r="H563" i="20"/>
  <c r="E287" i="13"/>
  <c r="F287" i="13"/>
  <c r="D288" i="13" s="1"/>
  <c r="I294" i="20"/>
  <c r="O112" i="13" l="1"/>
  <c r="N91" i="13"/>
  <c r="M112" i="13"/>
  <c r="M91" i="13"/>
  <c r="I203" i="13"/>
  <c r="J203" i="13" s="1"/>
  <c r="G549" i="13"/>
  <c r="I549" i="13" s="1"/>
  <c r="H549" i="13"/>
  <c r="H740" i="20"/>
  <c r="G740" i="20"/>
  <c r="I472" i="20"/>
  <c r="I384" i="20"/>
  <c r="I739" i="20"/>
  <c r="D474" i="20"/>
  <c r="E474" i="20" s="1"/>
  <c r="F474" i="20" s="1"/>
  <c r="D475" i="20" s="1"/>
  <c r="G473" i="20"/>
  <c r="H473" i="20"/>
  <c r="D654" i="20"/>
  <c r="H653" i="20"/>
  <c r="J897" i="13"/>
  <c r="E899" i="13"/>
  <c r="F899" i="13" s="1"/>
  <c r="I563" i="20"/>
  <c r="G564" i="20"/>
  <c r="H898" i="13"/>
  <c r="I898" i="13"/>
  <c r="H810" i="13"/>
  <c r="I810" i="13"/>
  <c r="E811" i="13"/>
  <c r="F811" i="13" s="1"/>
  <c r="D551" i="13"/>
  <c r="G550" i="13"/>
  <c r="G375" i="13"/>
  <c r="H375" i="13" s="1"/>
  <c r="J112" i="13"/>
  <c r="J634" i="13"/>
  <c r="D296" i="20"/>
  <c r="H295" i="20"/>
  <c r="G295" i="20"/>
  <c r="D377" i="13"/>
  <c r="G376" i="13"/>
  <c r="D386" i="20"/>
  <c r="G385" i="20"/>
  <c r="H385" i="20"/>
  <c r="K49" i="49"/>
  <c r="D50" i="49" s="1"/>
  <c r="H49" i="49"/>
  <c r="G204" i="13"/>
  <c r="E636" i="13"/>
  <c r="F636" i="13" s="1"/>
  <c r="D637" i="13" s="1"/>
  <c r="E205" i="13"/>
  <c r="F205" i="13" s="1"/>
  <c r="K48" i="47"/>
  <c r="D49" i="47" s="1"/>
  <c r="H48" i="47"/>
  <c r="A104" i="41"/>
  <c r="E246" i="2"/>
  <c r="H113" i="13"/>
  <c r="I113" i="13"/>
  <c r="G653" i="20"/>
  <c r="I207" i="20"/>
  <c r="E114" i="13"/>
  <c r="F114" i="13" s="1"/>
  <c r="J721" i="13"/>
  <c r="E654" i="20"/>
  <c r="F654" i="20" s="1"/>
  <c r="E741" i="20"/>
  <c r="F741" i="20" s="1"/>
  <c r="E288" i="13"/>
  <c r="F288" i="13" s="1"/>
  <c r="E461" i="13"/>
  <c r="F461" i="13" s="1"/>
  <c r="B114" i="2"/>
  <c r="B115" i="2" s="1"/>
  <c r="B116" i="2" s="1"/>
  <c r="B117" i="2" s="1"/>
  <c r="B118" i="2" s="1"/>
  <c r="B119" i="2" s="1"/>
  <c r="B120" i="2" s="1"/>
  <c r="B121" i="2" s="1"/>
  <c r="J202" i="13"/>
  <c r="E208" i="20"/>
  <c r="F208" i="20" s="1"/>
  <c r="I116" i="20"/>
  <c r="E723" i="13"/>
  <c r="F723" i="13" s="1"/>
  <c r="D724" i="13" s="1"/>
  <c r="E565" i="20"/>
  <c r="F565" i="20" s="1"/>
  <c r="H635" i="13"/>
  <c r="I635" i="13"/>
  <c r="G287" i="13"/>
  <c r="H564" i="20"/>
  <c r="J286" i="13"/>
  <c r="G722" i="13"/>
  <c r="H460" i="13"/>
  <c r="I460" i="13"/>
  <c r="E117" i="20"/>
  <c r="F117" i="20" s="1"/>
  <c r="N22" i="13" l="1"/>
  <c r="M92" i="13"/>
  <c r="O22" i="13"/>
  <c r="O91" i="13"/>
  <c r="O92" i="13" s="1"/>
  <c r="N92" i="13"/>
  <c r="P112" i="13"/>
  <c r="J549" i="13"/>
  <c r="I740" i="20"/>
  <c r="I564" i="20"/>
  <c r="I653" i="20"/>
  <c r="I473" i="20"/>
  <c r="D118" i="20"/>
  <c r="H117" i="20"/>
  <c r="G117" i="20"/>
  <c r="D900" i="13"/>
  <c r="G899" i="13"/>
  <c r="D812" i="13"/>
  <c r="G811" i="13"/>
  <c r="I811" i="13" s="1"/>
  <c r="H474" i="20"/>
  <c r="J898" i="13"/>
  <c r="J810" i="13"/>
  <c r="E812" i="13"/>
  <c r="F812" i="13" s="1"/>
  <c r="I550" i="13"/>
  <c r="H550" i="13"/>
  <c r="E551" i="13"/>
  <c r="F551" i="13" s="1"/>
  <c r="D552" i="13" s="1"/>
  <c r="I375" i="13"/>
  <c r="J375" i="13" s="1"/>
  <c r="J635" i="13"/>
  <c r="J113" i="13"/>
  <c r="I385" i="20"/>
  <c r="D115" i="13"/>
  <c r="G114" i="13"/>
  <c r="D206" i="13"/>
  <c r="G205" i="13"/>
  <c r="D566" i="20"/>
  <c r="H565" i="20"/>
  <c r="G565" i="20"/>
  <c r="D742" i="20"/>
  <c r="H741" i="20"/>
  <c r="G741" i="20"/>
  <c r="D462" i="13"/>
  <c r="G461" i="13"/>
  <c r="D289" i="13"/>
  <c r="G288" i="13"/>
  <c r="D209" i="20"/>
  <c r="H208" i="20"/>
  <c r="G208" i="20"/>
  <c r="D655" i="20"/>
  <c r="H654" i="20"/>
  <c r="G654" i="20"/>
  <c r="A105" i="41"/>
  <c r="B105" i="41"/>
  <c r="E637" i="13"/>
  <c r="F637" i="13" s="1"/>
  <c r="D638" i="13" s="1"/>
  <c r="H722" i="13"/>
  <c r="I722" i="13"/>
  <c r="H204" i="13"/>
  <c r="I204" i="13"/>
  <c r="H376" i="13"/>
  <c r="I376" i="13"/>
  <c r="G636" i="13"/>
  <c r="E724" i="13"/>
  <c r="F724" i="13" s="1"/>
  <c r="D725" i="13" s="1"/>
  <c r="H287" i="13"/>
  <c r="I287" i="13"/>
  <c r="E121" i="2"/>
  <c r="G474" i="20"/>
  <c r="E377" i="13"/>
  <c r="F377" i="13" s="1"/>
  <c r="E386" i="20"/>
  <c r="F386" i="20" s="1"/>
  <c r="B123" i="2"/>
  <c r="D125" i="2" s="1"/>
  <c r="E475" i="20"/>
  <c r="F475" i="20" s="1"/>
  <c r="D476" i="20" s="1"/>
  <c r="K50" i="49"/>
  <c r="H50" i="49"/>
  <c r="H51" i="49" s="1"/>
  <c r="K49" i="47"/>
  <c r="D50" i="47" s="1"/>
  <c r="H49" i="47"/>
  <c r="G723" i="13"/>
  <c r="J460" i="13"/>
  <c r="I295" i="20"/>
  <c r="E296" i="20"/>
  <c r="F296" i="20" s="1"/>
  <c r="D297" i="20" s="1"/>
  <c r="O23" i="13" l="1"/>
  <c r="P22" i="13"/>
  <c r="P23" i="13" s="1"/>
  <c r="G27" i="2"/>
  <c r="L27" i="2" s="1"/>
  <c r="N23" i="13"/>
  <c r="E118" i="20"/>
  <c r="F118" i="20" s="1"/>
  <c r="H475" i="20"/>
  <c r="I117" i="20"/>
  <c r="E900" i="13"/>
  <c r="F900" i="13" s="1"/>
  <c r="I474" i="20"/>
  <c r="G551" i="13"/>
  <c r="H551" i="13" s="1"/>
  <c r="H811" i="13"/>
  <c r="J811" i="13" s="1"/>
  <c r="H899" i="13"/>
  <c r="I899" i="13"/>
  <c r="G812" i="13"/>
  <c r="D813" i="13"/>
  <c r="I551" i="13"/>
  <c r="E552" i="13"/>
  <c r="F552" i="13" s="1"/>
  <c r="J550" i="13"/>
  <c r="D378" i="13"/>
  <c r="G377" i="13"/>
  <c r="H377" i="13" s="1"/>
  <c r="I208" i="20"/>
  <c r="J204" i="13"/>
  <c r="I741" i="20"/>
  <c r="J287" i="13"/>
  <c r="I565" i="20"/>
  <c r="I654" i="20"/>
  <c r="D387" i="20"/>
  <c r="G386" i="20"/>
  <c r="H386" i="20"/>
  <c r="E297" i="20"/>
  <c r="F297" i="20" s="1"/>
  <c r="E638" i="13"/>
  <c r="F638" i="13"/>
  <c r="D639" i="13" s="1"/>
  <c r="E742" i="20"/>
  <c r="F742" i="20" s="1"/>
  <c r="G475" i="20"/>
  <c r="I475" i="20" s="1"/>
  <c r="E209" i="20"/>
  <c r="F209" i="20" s="1"/>
  <c r="E289" i="13"/>
  <c r="F289" i="13" s="1"/>
  <c r="E566" i="20"/>
  <c r="F566" i="20" s="1"/>
  <c r="G724" i="13"/>
  <c r="H461" i="13"/>
  <c r="I461" i="13"/>
  <c r="H205" i="13"/>
  <c r="I205" i="13"/>
  <c r="E725" i="13"/>
  <c r="F725" i="13" s="1"/>
  <c r="H288" i="13"/>
  <c r="I288" i="13"/>
  <c r="K50" i="47"/>
  <c r="H50" i="47"/>
  <c r="H51" i="47" s="1"/>
  <c r="D299" i="2"/>
  <c r="B125" i="2"/>
  <c r="H636" i="13"/>
  <c r="I636" i="13"/>
  <c r="J722" i="13"/>
  <c r="E462" i="13"/>
  <c r="F462" i="13" s="1"/>
  <c r="D463" i="13" s="1"/>
  <c r="E206" i="13"/>
  <c r="F206" i="13" s="1"/>
  <c r="D207" i="13" s="1"/>
  <c r="E476" i="20"/>
  <c r="F476" i="20" s="1"/>
  <c r="D477" i="20" s="1"/>
  <c r="H296" i="20"/>
  <c r="J376" i="13"/>
  <c r="E655" i="20"/>
  <c r="F655" i="20" s="1"/>
  <c r="D656" i="20" s="1"/>
  <c r="H114" i="13"/>
  <c r="I114" i="13"/>
  <c r="G296" i="20"/>
  <c r="H723" i="13"/>
  <c r="I723" i="13"/>
  <c r="G637" i="13"/>
  <c r="E115" i="13"/>
  <c r="F115" i="13" s="1"/>
  <c r="G118" i="20" l="1"/>
  <c r="D119" i="20"/>
  <c r="H118" i="20"/>
  <c r="J899" i="13"/>
  <c r="D901" i="13"/>
  <c r="G900" i="13"/>
  <c r="J551" i="13"/>
  <c r="E813" i="13"/>
  <c r="F813" i="13" s="1"/>
  <c r="H812" i="13"/>
  <c r="I812" i="13"/>
  <c r="D553" i="13"/>
  <c r="G552" i="13"/>
  <c r="E378" i="13"/>
  <c r="F378" i="13" s="1"/>
  <c r="I377" i="13"/>
  <c r="J377" i="13" s="1"/>
  <c r="J114" i="13"/>
  <c r="I386" i="20"/>
  <c r="I296" i="20"/>
  <c r="J636" i="13"/>
  <c r="J723" i="13"/>
  <c r="D290" i="13"/>
  <c r="G289" i="13"/>
  <c r="D726" i="13"/>
  <c r="G725" i="13"/>
  <c r="D210" i="20"/>
  <c r="G209" i="20"/>
  <c r="H209" i="20"/>
  <c r="D298" i="20"/>
  <c r="H297" i="20"/>
  <c r="G297" i="20"/>
  <c r="D116" i="13"/>
  <c r="G115" i="13"/>
  <c r="D567" i="20"/>
  <c r="G566" i="20"/>
  <c r="H566" i="20"/>
  <c r="D743" i="20"/>
  <c r="H742" i="20"/>
  <c r="G742" i="20"/>
  <c r="G206" i="13"/>
  <c r="C28" i="13"/>
  <c r="C28" i="20"/>
  <c r="B140" i="2"/>
  <c r="E656" i="20"/>
  <c r="F656" i="20" s="1"/>
  <c r="D657" i="20" s="1"/>
  <c r="J205" i="13"/>
  <c r="G638" i="13"/>
  <c r="E463" i="13"/>
  <c r="F463" i="13" s="1"/>
  <c r="E639" i="13"/>
  <c r="F639" i="13" s="1"/>
  <c r="D640" i="13" s="1"/>
  <c r="E477" i="20"/>
  <c r="F477" i="20" s="1"/>
  <c r="H655" i="20"/>
  <c r="H476" i="20"/>
  <c r="J461" i="13"/>
  <c r="H724" i="13"/>
  <c r="I724" i="13"/>
  <c r="E207" i="13"/>
  <c r="F207" i="13" s="1"/>
  <c r="D208" i="13" s="1"/>
  <c r="H637" i="13"/>
  <c r="I637" i="13"/>
  <c r="G655" i="20"/>
  <c r="G476" i="20"/>
  <c r="G462" i="13"/>
  <c r="J288" i="13"/>
  <c r="E387" i="20"/>
  <c r="F387" i="20" s="1"/>
  <c r="D388" i="20" s="1"/>
  <c r="E119" i="20" l="1"/>
  <c r="F119" i="20" s="1"/>
  <c r="I118" i="20"/>
  <c r="I900" i="13"/>
  <c r="H900" i="13"/>
  <c r="G387" i="20"/>
  <c r="G656" i="20"/>
  <c r="E901" i="13"/>
  <c r="F901" i="13" s="1"/>
  <c r="J812" i="13"/>
  <c r="D814" i="13"/>
  <c r="G813" i="13"/>
  <c r="H552" i="13"/>
  <c r="I552" i="13"/>
  <c r="E553" i="13"/>
  <c r="F553" i="13" s="1"/>
  <c r="D379" i="13"/>
  <c r="E379" i="13" s="1"/>
  <c r="F379" i="13" s="1"/>
  <c r="G379" i="13" s="1"/>
  <c r="G378" i="13"/>
  <c r="I566" i="20"/>
  <c r="I209" i="20"/>
  <c r="I742" i="20"/>
  <c r="I297" i="20"/>
  <c r="I655" i="20"/>
  <c r="D478" i="20"/>
  <c r="G477" i="20"/>
  <c r="H477" i="20"/>
  <c r="D464" i="13"/>
  <c r="G463" i="13"/>
  <c r="E298" i="20"/>
  <c r="F298" i="20" s="1"/>
  <c r="E208" i="13"/>
  <c r="F208" i="13" s="1"/>
  <c r="H206" i="13"/>
  <c r="I206" i="13"/>
  <c r="G207" i="13"/>
  <c r="E567" i="20"/>
  <c r="F567" i="20" s="1"/>
  <c r="E210" i="20"/>
  <c r="F210" i="20" s="1"/>
  <c r="E388" i="20"/>
  <c r="F388" i="20" s="1"/>
  <c r="H462" i="13"/>
  <c r="I462" i="13"/>
  <c r="J724" i="13"/>
  <c r="H638" i="13"/>
  <c r="I638" i="13"/>
  <c r="H115" i="13"/>
  <c r="I115" i="13"/>
  <c r="H725" i="13"/>
  <c r="I725" i="13"/>
  <c r="E116" i="13"/>
  <c r="F116" i="13" s="1"/>
  <c r="E726" i="13"/>
  <c r="F726" i="13" s="1"/>
  <c r="D727" i="13" s="1"/>
  <c r="E657" i="20"/>
  <c r="F657" i="20" s="1"/>
  <c r="H289" i="13"/>
  <c r="I289" i="13"/>
  <c r="E640" i="13"/>
  <c r="F640" i="13" s="1"/>
  <c r="E743" i="20"/>
  <c r="F743" i="20" s="1"/>
  <c r="D744" i="20" s="1"/>
  <c r="H387" i="20"/>
  <c r="J637" i="13"/>
  <c r="I476" i="20"/>
  <c r="G639" i="13"/>
  <c r="H656" i="20"/>
  <c r="B141" i="2"/>
  <c r="B142" i="2" s="1"/>
  <c r="B143" i="2" s="1"/>
  <c r="B144" i="2" s="1"/>
  <c r="E145" i="2" s="1"/>
  <c r="E290" i="13"/>
  <c r="F290" i="13" s="1"/>
  <c r="D211" i="20" l="1"/>
  <c r="H210" i="20"/>
  <c r="D120" i="20"/>
  <c r="G119" i="20"/>
  <c r="H119" i="20"/>
  <c r="G210" i="20"/>
  <c r="I387" i="20"/>
  <c r="J900" i="13"/>
  <c r="D554" i="13"/>
  <c r="G553" i="13"/>
  <c r="D299" i="20"/>
  <c r="E299" i="20" s="1"/>
  <c r="F299" i="20" s="1"/>
  <c r="G298" i="20"/>
  <c r="H298" i="20"/>
  <c r="D902" i="13"/>
  <c r="G901" i="13"/>
  <c r="D380" i="13"/>
  <c r="E380" i="13" s="1"/>
  <c r="F380" i="13" s="1"/>
  <c r="D381" i="13" s="1"/>
  <c r="I656" i="20"/>
  <c r="H743" i="20"/>
  <c r="J552" i="13"/>
  <c r="H813" i="13"/>
  <c r="I813" i="13"/>
  <c r="E814" i="13"/>
  <c r="F814" i="13" s="1"/>
  <c r="H553" i="13"/>
  <c r="I553" i="13"/>
  <c r="E554" i="13"/>
  <c r="F554" i="13" s="1"/>
  <c r="D555" i="13" s="1"/>
  <c r="H378" i="13"/>
  <c r="I378" i="13"/>
  <c r="J115" i="13"/>
  <c r="J206" i="13"/>
  <c r="J462" i="13"/>
  <c r="J725" i="13"/>
  <c r="I477" i="20"/>
  <c r="D658" i="20"/>
  <c r="G657" i="20"/>
  <c r="H657" i="20"/>
  <c r="D209" i="13"/>
  <c r="G208" i="13"/>
  <c r="D291" i="13"/>
  <c r="G290" i="13"/>
  <c r="D117" i="13"/>
  <c r="G116" i="13"/>
  <c r="D568" i="20"/>
  <c r="H567" i="20"/>
  <c r="G567" i="20"/>
  <c r="D641" i="13"/>
  <c r="G640" i="13"/>
  <c r="D389" i="20"/>
  <c r="H388" i="20"/>
  <c r="G388" i="20"/>
  <c r="G743" i="20"/>
  <c r="E744" i="20"/>
  <c r="F744" i="20" s="1"/>
  <c r="H639" i="13"/>
  <c r="I639" i="13"/>
  <c r="H207" i="13"/>
  <c r="I207" i="13"/>
  <c r="E727" i="13"/>
  <c r="F727" i="13" s="1"/>
  <c r="D728" i="13" s="1"/>
  <c r="E211" i="20"/>
  <c r="F211" i="20" s="1"/>
  <c r="E478" i="20"/>
  <c r="F478" i="20" s="1"/>
  <c r="B145" i="2"/>
  <c r="B146" i="2" s="1"/>
  <c r="H463" i="13"/>
  <c r="I463" i="13"/>
  <c r="H379" i="13"/>
  <c r="I379" i="13"/>
  <c r="J289" i="13"/>
  <c r="G726" i="13"/>
  <c r="J638" i="13"/>
  <c r="E464" i="13"/>
  <c r="F464" i="13" s="1"/>
  <c r="D465" i="13" s="1"/>
  <c r="I210" i="20" l="1"/>
  <c r="I119" i="20"/>
  <c r="E120" i="20"/>
  <c r="F120" i="20" s="1"/>
  <c r="D121" i="20" s="1"/>
  <c r="E121" i="20" s="1"/>
  <c r="F121" i="20" s="1"/>
  <c r="G554" i="13"/>
  <c r="H554" i="13" s="1"/>
  <c r="I743" i="20"/>
  <c r="I298" i="20"/>
  <c r="D815" i="13"/>
  <c r="G814" i="13"/>
  <c r="H814" i="13" s="1"/>
  <c r="H901" i="13"/>
  <c r="I901" i="13"/>
  <c r="E902" i="13"/>
  <c r="F902" i="13"/>
  <c r="D903" i="13" s="1"/>
  <c r="J813" i="13"/>
  <c r="J378" i="13"/>
  <c r="J553" i="13"/>
  <c r="E815" i="13"/>
  <c r="F815" i="13" s="1"/>
  <c r="E555" i="13"/>
  <c r="F555" i="13" s="1"/>
  <c r="J639" i="13"/>
  <c r="J207" i="13"/>
  <c r="I657" i="20"/>
  <c r="J463" i="13"/>
  <c r="J379" i="13"/>
  <c r="I567" i="20"/>
  <c r="D745" i="20"/>
  <c r="G744" i="20"/>
  <c r="H744" i="20"/>
  <c r="D122" i="20"/>
  <c r="G121" i="20"/>
  <c r="D479" i="20"/>
  <c r="G478" i="20"/>
  <c r="H478" i="20"/>
  <c r="D300" i="20"/>
  <c r="H299" i="20"/>
  <c r="G299" i="20"/>
  <c r="D212" i="20"/>
  <c r="G211" i="20"/>
  <c r="H211" i="20"/>
  <c r="B147" i="2"/>
  <c r="E44" i="2"/>
  <c r="D294" i="2"/>
  <c r="H640" i="13"/>
  <c r="I640" i="13"/>
  <c r="E291" i="13"/>
  <c r="F291" i="13" s="1"/>
  <c r="D292" i="13" s="1"/>
  <c r="E641" i="13"/>
  <c r="F641" i="13" s="1"/>
  <c r="H208" i="13"/>
  <c r="I208" i="13"/>
  <c r="H290" i="13"/>
  <c r="I290" i="13"/>
  <c r="E465" i="13"/>
  <c r="F465" i="13" s="1"/>
  <c r="G464" i="13"/>
  <c r="G727" i="13"/>
  <c r="E209" i="13"/>
  <c r="F209" i="13" s="1"/>
  <c r="E381" i="13"/>
  <c r="F381" i="13" s="1"/>
  <c r="E728" i="13"/>
  <c r="F728" i="13" s="1"/>
  <c r="H726" i="13"/>
  <c r="I726" i="13"/>
  <c r="I388" i="20"/>
  <c r="E568" i="20"/>
  <c r="F568" i="20" s="1"/>
  <c r="E117" i="13"/>
  <c r="F117" i="13" s="1"/>
  <c r="G380" i="13"/>
  <c r="E389" i="20"/>
  <c r="F389" i="20" s="1"/>
  <c r="D390" i="20" s="1"/>
  <c r="H116" i="13"/>
  <c r="I116" i="13"/>
  <c r="E658" i="20"/>
  <c r="F658" i="20" s="1"/>
  <c r="D659" i="20" s="1"/>
  <c r="H121" i="20" l="1"/>
  <c r="I121" i="20" s="1"/>
  <c r="D569" i="20"/>
  <c r="H568" i="20"/>
  <c r="H120" i="20"/>
  <c r="G120" i="20"/>
  <c r="I554" i="13"/>
  <c r="J554" i="13" s="1"/>
  <c r="G568" i="20"/>
  <c r="I814" i="13"/>
  <c r="J814" i="13" s="1"/>
  <c r="H658" i="20"/>
  <c r="G902" i="13"/>
  <c r="H902" i="13" s="1"/>
  <c r="J901" i="13"/>
  <c r="D556" i="13"/>
  <c r="E556" i="13" s="1"/>
  <c r="F556" i="13" s="1"/>
  <c r="D557" i="13" s="1"/>
  <c r="G555" i="13"/>
  <c r="H555" i="13" s="1"/>
  <c r="H389" i="20"/>
  <c r="E903" i="13"/>
  <c r="F903" i="13"/>
  <c r="D904" i="13" s="1"/>
  <c r="G389" i="20"/>
  <c r="D816" i="13"/>
  <c r="G815" i="13"/>
  <c r="I555" i="13"/>
  <c r="D118" i="13"/>
  <c r="G117" i="13"/>
  <c r="I117" i="13" s="1"/>
  <c r="J640" i="13"/>
  <c r="J290" i="13"/>
  <c r="I211" i="20"/>
  <c r="J208" i="13"/>
  <c r="J116" i="13"/>
  <c r="D466" i="13"/>
  <c r="G465" i="13"/>
  <c r="D210" i="13"/>
  <c r="G209" i="13"/>
  <c r="D642" i="13"/>
  <c r="G641" i="13"/>
  <c r="D729" i="13"/>
  <c r="G728" i="13"/>
  <c r="D382" i="13"/>
  <c r="G381" i="13"/>
  <c r="B148" i="2"/>
  <c r="E149" i="2"/>
  <c r="E292" i="13"/>
  <c r="F292" i="13" s="1"/>
  <c r="E479" i="20"/>
  <c r="F479" i="20" s="1"/>
  <c r="G658" i="20"/>
  <c r="G291" i="13"/>
  <c r="E212" i="20"/>
  <c r="F212" i="20" s="1"/>
  <c r="D213" i="20" s="1"/>
  <c r="E569" i="20"/>
  <c r="F569" i="20" s="1"/>
  <c r="H380" i="13"/>
  <c r="I380" i="13"/>
  <c r="E122" i="20"/>
  <c r="F122" i="20" s="1"/>
  <c r="D123" i="20" s="1"/>
  <c r="J726" i="13"/>
  <c r="H727" i="13"/>
  <c r="I727" i="13"/>
  <c r="I299" i="20"/>
  <c r="I744" i="20"/>
  <c r="E659" i="20"/>
  <c r="F659" i="20" s="1"/>
  <c r="H464" i="13"/>
  <c r="I464" i="13"/>
  <c r="E300" i="20"/>
  <c r="F300" i="20" s="1"/>
  <c r="E390" i="20"/>
  <c r="F390" i="20" s="1"/>
  <c r="E118" i="13"/>
  <c r="F118" i="13" s="1"/>
  <c r="I478" i="20"/>
  <c r="E745" i="20"/>
  <c r="F745" i="20" s="1"/>
  <c r="D746" i="20" s="1"/>
  <c r="I568" i="20" l="1"/>
  <c r="I120" i="20"/>
  <c r="H117" i="13"/>
  <c r="J117" i="13" s="1"/>
  <c r="I658" i="20"/>
  <c r="G903" i="13"/>
  <c r="H903" i="13" s="1"/>
  <c r="I902" i="13"/>
  <c r="J902" i="13" s="1"/>
  <c r="H745" i="20"/>
  <c r="G556" i="13"/>
  <c r="I556" i="13" s="1"/>
  <c r="G745" i="20"/>
  <c r="I389" i="20"/>
  <c r="D301" i="20"/>
  <c r="H300" i="20"/>
  <c r="D660" i="20"/>
  <c r="E660" i="20" s="1"/>
  <c r="H659" i="20"/>
  <c r="E904" i="13"/>
  <c r="F904" i="13" s="1"/>
  <c r="I903" i="13"/>
  <c r="J555" i="13"/>
  <c r="H815" i="13"/>
  <c r="I815" i="13"/>
  <c r="E816" i="13"/>
  <c r="F816" i="13" s="1"/>
  <c r="E557" i="13"/>
  <c r="F557" i="13" s="1"/>
  <c r="D558" i="13" s="1"/>
  <c r="E558" i="13" s="1"/>
  <c r="F558" i="13" s="1"/>
  <c r="D559" i="13" s="1"/>
  <c r="D119" i="13"/>
  <c r="E119" i="13" s="1"/>
  <c r="F119" i="13" s="1"/>
  <c r="D120" i="13" s="1"/>
  <c r="G118" i="13"/>
  <c r="H118" i="13" s="1"/>
  <c r="J464" i="13"/>
  <c r="J380" i="13"/>
  <c r="D293" i="13"/>
  <c r="G292" i="13"/>
  <c r="D391" i="20"/>
  <c r="G390" i="20"/>
  <c r="H390" i="20"/>
  <c r="D480" i="20"/>
  <c r="G479" i="20"/>
  <c r="H479" i="20"/>
  <c r="D570" i="20"/>
  <c r="H569" i="20"/>
  <c r="G569" i="20"/>
  <c r="G300" i="20"/>
  <c r="G659" i="20"/>
  <c r="H122" i="20"/>
  <c r="E729" i="13"/>
  <c r="F729" i="13" s="1"/>
  <c r="G122" i="20"/>
  <c r="H291" i="13"/>
  <c r="I291" i="13"/>
  <c r="H641" i="13"/>
  <c r="I641" i="13"/>
  <c r="E301" i="20"/>
  <c r="F301" i="20" s="1"/>
  <c r="D302" i="20" s="1"/>
  <c r="E642" i="13"/>
  <c r="F642" i="13" s="1"/>
  <c r="D643" i="13" s="1"/>
  <c r="H209" i="13"/>
  <c r="I209" i="13"/>
  <c r="D296" i="2"/>
  <c r="B149" i="2"/>
  <c r="E210" i="13"/>
  <c r="F210" i="13" s="1"/>
  <c r="D211" i="13" s="1"/>
  <c r="H728" i="13"/>
  <c r="I728" i="13"/>
  <c r="E123" i="20"/>
  <c r="F123" i="20" s="1"/>
  <c r="E746" i="20"/>
  <c r="F746" i="20" s="1"/>
  <c r="D747" i="20" s="1"/>
  <c r="J727" i="13"/>
  <c r="H212" i="20"/>
  <c r="H381" i="13"/>
  <c r="I381" i="13"/>
  <c r="H465" i="13"/>
  <c r="I465" i="13"/>
  <c r="E213" i="20"/>
  <c r="F213" i="20" s="1"/>
  <c r="G212" i="20"/>
  <c r="E382" i="13"/>
  <c r="F382" i="13" s="1"/>
  <c r="E466" i="13"/>
  <c r="F466" i="13" s="1"/>
  <c r="I745" i="20" l="1"/>
  <c r="F660" i="20"/>
  <c r="D661" i="20" s="1"/>
  <c r="H556" i="13"/>
  <c r="J556" i="13" s="1"/>
  <c r="I659" i="20"/>
  <c r="I300" i="20"/>
  <c r="D124" i="20"/>
  <c r="H123" i="20"/>
  <c r="D905" i="13"/>
  <c r="G904" i="13"/>
  <c r="J903" i="13"/>
  <c r="J815" i="13"/>
  <c r="D817" i="13"/>
  <c r="G816" i="13"/>
  <c r="D467" i="13"/>
  <c r="E467" i="13" s="1"/>
  <c r="F467" i="13" s="1"/>
  <c r="D468" i="13" s="1"/>
  <c r="G466" i="13"/>
  <c r="I466" i="13" s="1"/>
  <c r="G210" i="13"/>
  <c r="H210" i="13" s="1"/>
  <c r="G557" i="13"/>
  <c r="I118" i="13"/>
  <c r="J118" i="13" s="1"/>
  <c r="G558" i="13"/>
  <c r="H558" i="13" s="1"/>
  <c r="J209" i="13"/>
  <c r="I390" i="20"/>
  <c r="J728" i="13"/>
  <c r="J641" i="13"/>
  <c r="J381" i="13"/>
  <c r="I479" i="20"/>
  <c r="J291" i="13"/>
  <c r="D214" i="20"/>
  <c r="H213" i="20"/>
  <c r="G213" i="20"/>
  <c r="D730" i="13"/>
  <c r="G729" i="13"/>
  <c r="D383" i="13"/>
  <c r="G382" i="13"/>
  <c r="E120" i="13"/>
  <c r="F120" i="13" s="1"/>
  <c r="H301" i="20"/>
  <c r="E480" i="20"/>
  <c r="F480" i="20" s="1"/>
  <c r="D481" i="20" s="1"/>
  <c r="I212" i="20"/>
  <c r="G123" i="20"/>
  <c r="G642" i="13"/>
  <c r="G301" i="20"/>
  <c r="G119" i="13"/>
  <c r="E293" i="13"/>
  <c r="F293" i="13" s="1"/>
  <c r="D294" i="13" s="1"/>
  <c r="H466" i="13"/>
  <c r="E211" i="13"/>
  <c r="F211" i="13" s="1"/>
  <c r="E747" i="20"/>
  <c r="F747" i="20" s="1"/>
  <c r="D748" i="20" s="1"/>
  <c r="E661" i="20"/>
  <c r="F661" i="20" s="1"/>
  <c r="D662" i="20" s="1"/>
  <c r="E643" i="13"/>
  <c r="F643" i="13" s="1"/>
  <c r="E559" i="13"/>
  <c r="F559" i="13" s="1"/>
  <c r="D560" i="13" s="1"/>
  <c r="H746" i="20"/>
  <c r="H660" i="20"/>
  <c r="I122" i="20"/>
  <c r="I569" i="20"/>
  <c r="H292" i="13"/>
  <c r="I292" i="13"/>
  <c r="E124" i="20"/>
  <c r="F124" i="20" s="1"/>
  <c r="D125" i="20" s="1"/>
  <c r="E302" i="20"/>
  <c r="F302" i="20" s="1"/>
  <c r="J465" i="13"/>
  <c r="G746" i="20"/>
  <c r="D293" i="2"/>
  <c r="B151" i="2"/>
  <c r="E113" i="2"/>
  <c r="G660" i="20"/>
  <c r="E570" i="20"/>
  <c r="F570" i="20" s="1"/>
  <c r="E391" i="20"/>
  <c r="F391" i="20" s="1"/>
  <c r="G293" i="13" l="1"/>
  <c r="I123" i="20"/>
  <c r="D392" i="20"/>
  <c r="H391" i="20"/>
  <c r="E905" i="13"/>
  <c r="F905" i="13" s="1"/>
  <c r="D906" i="13" s="1"/>
  <c r="H904" i="13"/>
  <c r="I904" i="13"/>
  <c r="I816" i="13"/>
  <c r="H816" i="13"/>
  <c r="E817" i="13"/>
  <c r="F817" i="13" s="1"/>
  <c r="I557" i="13"/>
  <c r="H557" i="13"/>
  <c r="I210" i="13"/>
  <c r="J210" i="13" s="1"/>
  <c r="I558" i="13"/>
  <c r="J558" i="13" s="1"/>
  <c r="J292" i="13"/>
  <c r="I213" i="20"/>
  <c r="D121" i="13"/>
  <c r="G120" i="13"/>
  <c r="D303" i="20"/>
  <c r="G302" i="20"/>
  <c r="H302" i="20"/>
  <c r="D212" i="13"/>
  <c r="G211" i="13"/>
  <c r="D644" i="13"/>
  <c r="G643" i="13"/>
  <c r="D571" i="20"/>
  <c r="G570" i="20"/>
  <c r="H570" i="20"/>
  <c r="E560" i="13"/>
  <c r="F560" i="13" s="1"/>
  <c r="D561" i="13" s="1"/>
  <c r="G559" i="13"/>
  <c r="E294" i="13"/>
  <c r="F294" i="13" s="1"/>
  <c r="D295" i="13" s="1"/>
  <c r="H747" i="20"/>
  <c r="H480" i="20"/>
  <c r="G391" i="20"/>
  <c r="G747" i="20"/>
  <c r="G467" i="13"/>
  <c r="G480" i="20"/>
  <c r="H382" i="13"/>
  <c r="I382" i="13"/>
  <c r="E662" i="20"/>
  <c r="F662" i="20" s="1"/>
  <c r="E383" i="13"/>
  <c r="F383" i="13" s="1"/>
  <c r="B152" i="2"/>
  <c r="H119" i="13"/>
  <c r="I119" i="13"/>
  <c r="H729" i="13"/>
  <c r="I729" i="13"/>
  <c r="E125" i="20"/>
  <c r="F125" i="20" s="1"/>
  <c r="D126" i="20" s="1"/>
  <c r="H293" i="13"/>
  <c r="I293" i="13"/>
  <c r="E748" i="20"/>
  <c r="F748" i="20" s="1"/>
  <c r="D749" i="20" s="1"/>
  <c r="H124" i="20"/>
  <c r="I660" i="20"/>
  <c r="H661" i="20"/>
  <c r="J466" i="13"/>
  <c r="I301" i="20"/>
  <c r="E730" i="13"/>
  <c r="F730" i="13" s="1"/>
  <c r="D731" i="13" s="1"/>
  <c r="E468" i="13"/>
  <c r="F468" i="13" s="1"/>
  <c r="E214" i="20"/>
  <c r="F214" i="20" s="1"/>
  <c r="E392" i="20"/>
  <c r="E481" i="20"/>
  <c r="F481" i="20" s="1"/>
  <c r="G124" i="20"/>
  <c r="I746" i="20"/>
  <c r="G661" i="20"/>
  <c r="H642" i="13"/>
  <c r="I642" i="13"/>
  <c r="F392" i="20" l="1"/>
  <c r="D393" i="20" s="1"/>
  <c r="G392" i="20"/>
  <c r="I391" i="20"/>
  <c r="J904" i="13"/>
  <c r="D482" i="20"/>
  <c r="E482" i="20" s="1"/>
  <c r="F482" i="20" s="1"/>
  <c r="G481" i="20"/>
  <c r="E906" i="13"/>
  <c r="F906" i="13"/>
  <c r="D907" i="13" s="1"/>
  <c r="G905" i="13"/>
  <c r="D818" i="13"/>
  <c r="G817" i="13"/>
  <c r="J816" i="13"/>
  <c r="J557" i="13"/>
  <c r="J642" i="13"/>
  <c r="I570" i="20"/>
  <c r="J382" i="13"/>
  <c r="I124" i="20"/>
  <c r="J729" i="13"/>
  <c r="I302" i="20"/>
  <c r="D384" i="13"/>
  <c r="G383" i="13"/>
  <c r="D469" i="13"/>
  <c r="G468" i="13"/>
  <c r="D663" i="20"/>
  <c r="G662" i="20"/>
  <c r="H662" i="20"/>
  <c r="D215" i="20"/>
  <c r="H214" i="20"/>
  <c r="G214" i="20"/>
  <c r="H120" i="13"/>
  <c r="I120" i="13"/>
  <c r="E121" i="13"/>
  <c r="F121" i="13" s="1"/>
  <c r="D122" i="13" s="1"/>
  <c r="H467" i="13"/>
  <c r="I467" i="13"/>
  <c r="H559" i="13"/>
  <c r="I559" i="13"/>
  <c r="E644" i="13"/>
  <c r="F644" i="13" s="1"/>
  <c r="D645" i="13" s="1"/>
  <c r="H392" i="20"/>
  <c r="I392" i="20" s="1"/>
  <c r="I661" i="20"/>
  <c r="J293" i="13"/>
  <c r="J119" i="13"/>
  <c r="G560" i="13"/>
  <c r="H211" i="13"/>
  <c r="I211" i="13"/>
  <c r="E126" i="20"/>
  <c r="F126" i="20" s="1"/>
  <c r="E393" i="20"/>
  <c r="F393" i="20" s="1"/>
  <c r="H125" i="20"/>
  <c r="E160" i="2"/>
  <c r="B153" i="2"/>
  <c r="B154" i="2" s="1"/>
  <c r="B155" i="2" s="1"/>
  <c r="B156" i="2" s="1"/>
  <c r="B157" i="2" s="1"/>
  <c r="B158" i="2" s="1"/>
  <c r="B159" i="2" s="1"/>
  <c r="I480" i="20"/>
  <c r="E749" i="20"/>
  <c r="F749" i="20" s="1"/>
  <c r="E295" i="13"/>
  <c r="F295" i="13" s="1"/>
  <c r="D296" i="13" s="1"/>
  <c r="E561" i="13"/>
  <c r="F561" i="13" s="1"/>
  <c r="D562" i="13" s="1"/>
  <c r="G730" i="13"/>
  <c r="H748" i="20"/>
  <c r="G125" i="20"/>
  <c r="I747" i="20"/>
  <c r="E731" i="13"/>
  <c r="F731" i="13" s="1"/>
  <c r="E571" i="20"/>
  <c r="F571" i="20" s="1"/>
  <c r="H643" i="13"/>
  <c r="I643" i="13"/>
  <c r="E212" i="13"/>
  <c r="F212" i="13" s="1"/>
  <c r="H481" i="20"/>
  <c r="G748" i="20"/>
  <c r="G294" i="13"/>
  <c r="E303" i="20"/>
  <c r="F303" i="20" s="1"/>
  <c r="D394" i="20" l="1"/>
  <c r="E394" i="20" s="1"/>
  <c r="F394" i="20" s="1"/>
  <c r="H393" i="20"/>
  <c r="D304" i="20"/>
  <c r="E304" i="20" s="1"/>
  <c r="F304" i="20" s="1"/>
  <c r="G303" i="20"/>
  <c r="G644" i="13"/>
  <c r="H644" i="13" s="1"/>
  <c r="I481" i="20"/>
  <c r="D213" i="13"/>
  <c r="G212" i="13"/>
  <c r="I212" i="13" s="1"/>
  <c r="E907" i="13"/>
  <c r="F907" i="13" s="1"/>
  <c r="D908" i="13" s="1"/>
  <c r="H905" i="13"/>
  <c r="I905" i="13"/>
  <c r="H303" i="20"/>
  <c r="G906" i="13"/>
  <c r="I817" i="13"/>
  <c r="H817" i="13"/>
  <c r="E818" i="13"/>
  <c r="F818" i="13" s="1"/>
  <c r="G121" i="13"/>
  <c r="I121" i="13" s="1"/>
  <c r="D732" i="13"/>
  <c r="E732" i="13" s="1"/>
  <c r="G731" i="13"/>
  <c r="H731" i="13" s="1"/>
  <c r="J643" i="13"/>
  <c r="I748" i="20"/>
  <c r="I662" i="20"/>
  <c r="J211" i="13"/>
  <c r="J559" i="13"/>
  <c r="I125" i="20"/>
  <c r="I214" i="20"/>
  <c r="D750" i="20"/>
  <c r="G749" i="20"/>
  <c r="H749" i="20"/>
  <c r="D127" i="20"/>
  <c r="H126" i="20"/>
  <c r="G126" i="20"/>
  <c r="D572" i="20"/>
  <c r="G571" i="20"/>
  <c r="H571" i="20"/>
  <c r="D483" i="20"/>
  <c r="G482" i="20"/>
  <c r="H482" i="20"/>
  <c r="E296" i="13"/>
  <c r="F296" i="13" s="1"/>
  <c r="E215" i="20"/>
  <c r="F215" i="20" s="1"/>
  <c r="E562" i="13"/>
  <c r="F562" i="13" s="1"/>
  <c r="D563" i="13" s="1"/>
  <c r="G295" i="13"/>
  <c r="E122" i="13"/>
  <c r="F122" i="13" s="1"/>
  <c r="D123" i="13" s="1"/>
  <c r="E645" i="13"/>
  <c r="F645" i="13" s="1"/>
  <c r="E663" i="20"/>
  <c r="F663" i="20" s="1"/>
  <c r="H730" i="13"/>
  <c r="I730" i="13"/>
  <c r="G561" i="13"/>
  <c r="G393" i="20"/>
  <c r="J120" i="13"/>
  <c r="H468" i="13"/>
  <c r="I468" i="13"/>
  <c r="H121" i="13"/>
  <c r="E159" i="2"/>
  <c r="H560" i="13"/>
  <c r="I560" i="13"/>
  <c r="E469" i="13"/>
  <c r="F469" i="13" s="1"/>
  <c r="H294" i="13"/>
  <c r="I294" i="13"/>
  <c r="H383" i="13"/>
  <c r="I383" i="13"/>
  <c r="B160" i="2"/>
  <c r="B161" i="2" s="1"/>
  <c r="B162" i="2" s="1"/>
  <c r="B163" i="2" s="1"/>
  <c r="B164" i="2" s="1"/>
  <c r="B165" i="2" s="1"/>
  <c r="E213" i="13"/>
  <c r="F213" i="13" s="1"/>
  <c r="J467" i="13"/>
  <c r="E384" i="13"/>
  <c r="F384" i="13" s="1"/>
  <c r="D385" i="13" s="1"/>
  <c r="I731" i="13" l="1"/>
  <c r="J731" i="13" s="1"/>
  <c r="I303" i="20"/>
  <c r="I393" i="20"/>
  <c r="I644" i="13"/>
  <c r="J644" i="13" s="1"/>
  <c r="H212" i="13"/>
  <c r="J212" i="13" s="1"/>
  <c r="J905" i="13"/>
  <c r="D819" i="13"/>
  <c r="E819" i="13" s="1"/>
  <c r="F819" i="13" s="1"/>
  <c r="G818" i="13"/>
  <c r="H818" i="13" s="1"/>
  <c r="E908" i="13"/>
  <c r="F908" i="13" s="1"/>
  <c r="F732" i="13"/>
  <c r="D733" i="13" s="1"/>
  <c r="G907" i="13"/>
  <c r="H906" i="13"/>
  <c r="I906" i="13"/>
  <c r="J817" i="13"/>
  <c r="D214" i="13"/>
  <c r="E214" i="13" s="1"/>
  <c r="F214" i="13" s="1"/>
  <c r="G213" i="13"/>
  <c r="H213" i="13" s="1"/>
  <c r="G122" i="13"/>
  <c r="H122" i="13" s="1"/>
  <c r="J560" i="13"/>
  <c r="J468" i="13"/>
  <c r="J730" i="13"/>
  <c r="I482" i="20"/>
  <c r="I749" i="20"/>
  <c r="J383" i="13"/>
  <c r="J294" i="13"/>
  <c r="D305" i="20"/>
  <c r="G304" i="20"/>
  <c r="H304" i="20"/>
  <c r="D297" i="13"/>
  <c r="G296" i="13"/>
  <c r="D395" i="20"/>
  <c r="G394" i="20"/>
  <c r="H394" i="20"/>
  <c r="D216" i="20"/>
  <c r="G215" i="20"/>
  <c r="H215" i="20"/>
  <c r="D470" i="13"/>
  <c r="G469" i="13"/>
  <c r="D664" i="20"/>
  <c r="H663" i="20"/>
  <c r="G663" i="20"/>
  <c r="D646" i="13"/>
  <c r="G645" i="13"/>
  <c r="G384" i="13"/>
  <c r="H295" i="13"/>
  <c r="I295" i="13"/>
  <c r="E572" i="20"/>
  <c r="F572" i="20" s="1"/>
  <c r="D573" i="20" s="1"/>
  <c r="G562" i="13"/>
  <c r="I126" i="20"/>
  <c r="E385" i="13"/>
  <c r="F385" i="13" s="1"/>
  <c r="E563" i="13"/>
  <c r="F563" i="13" s="1"/>
  <c r="B167" i="2"/>
  <c r="D297" i="2"/>
  <c r="E167" i="2"/>
  <c r="G732" i="13"/>
  <c r="E127" i="20"/>
  <c r="F127" i="20" s="1"/>
  <c r="E123" i="13"/>
  <c r="F123" i="13" s="1"/>
  <c r="D124" i="13" s="1"/>
  <c r="E733" i="13"/>
  <c r="F733" i="13" s="1"/>
  <c r="D734" i="13" s="1"/>
  <c r="E483" i="20"/>
  <c r="F483" i="20" s="1"/>
  <c r="E165" i="2"/>
  <c r="J121" i="13"/>
  <c r="H561" i="13"/>
  <c r="I561" i="13"/>
  <c r="I571" i="20"/>
  <c r="E750" i="20"/>
  <c r="F750" i="20" s="1"/>
  <c r="D751" i="20" s="1"/>
  <c r="I818" i="13" l="1"/>
  <c r="J818" i="13" s="1"/>
  <c r="H750" i="20"/>
  <c r="G750" i="20"/>
  <c r="J906" i="13"/>
  <c r="D386" i="13"/>
  <c r="E386" i="13" s="1"/>
  <c r="F386" i="13" s="1"/>
  <c r="D387" i="13" s="1"/>
  <c r="G385" i="13"/>
  <c r="D909" i="13"/>
  <c r="G908" i="13"/>
  <c r="I213" i="13"/>
  <c r="J213" i="13" s="1"/>
  <c r="H907" i="13"/>
  <c r="I907" i="13"/>
  <c r="G819" i="13"/>
  <c r="D820" i="13"/>
  <c r="D215" i="13"/>
  <c r="G214" i="13"/>
  <c r="H214" i="13" s="1"/>
  <c r="I122" i="13"/>
  <c r="J122" i="13" s="1"/>
  <c r="D564" i="13"/>
  <c r="G563" i="13"/>
  <c r="I563" i="13" s="1"/>
  <c r="J561" i="13"/>
  <c r="I215" i="20"/>
  <c r="I304" i="20"/>
  <c r="J295" i="13"/>
  <c r="I394" i="20"/>
  <c r="D484" i="20"/>
  <c r="H483" i="20"/>
  <c r="G483" i="20"/>
  <c r="D128" i="20"/>
  <c r="H127" i="20"/>
  <c r="G127" i="20"/>
  <c r="E124" i="13"/>
  <c r="F124" i="13" s="1"/>
  <c r="D125" i="13" s="1"/>
  <c r="H385" i="13"/>
  <c r="I385" i="13"/>
  <c r="I663" i="20"/>
  <c r="H732" i="13"/>
  <c r="I732" i="13"/>
  <c r="E664" i="20"/>
  <c r="F664" i="20" s="1"/>
  <c r="E395" i="20"/>
  <c r="F395" i="20" s="1"/>
  <c r="H469" i="13"/>
  <c r="I469" i="13"/>
  <c r="H296" i="13"/>
  <c r="I296" i="13"/>
  <c r="E470" i="13"/>
  <c r="F470" i="13" s="1"/>
  <c r="E297" i="13"/>
  <c r="F297" i="13" s="1"/>
  <c r="E215" i="13"/>
  <c r="F215" i="13" s="1"/>
  <c r="E751" i="20"/>
  <c r="F751" i="20" s="1"/>
  <c r="B168" i="2"/>
  <c r="E169" i="2" s="1"/>
  <c r="H562" i="13"/>
  <c r="I562" i="13"/>
  <c r="H384" i="13"/>
  <c r="I384" i="13"/>
  <c r="E573" i="20"/>
  <c r="F573" i="20" s="1"/>
  <c r="G733" i="13"/>
  <c r="H572" i="20"/>
  <c r="H645" i="13"/>
  <c r="I645" i="13"/>
  <c r="E734" i="13"/>
  <c r="F734" i="13" s="1"/>
  <c r="D735" i="13" s="1"/>
  <c r="G123" i="13"/>
  <c r="E564" i="13"/>
  <c r="F564" i="13" s="1"/>
  <c r="G572" i="20"/>
  <c r="E646" i="13"/>
  <c r="F646" i="13" s="1"/>
  <c r="D647" i="13" s="1"/>
  <c r="E216" i="20"/>
  <c r="F216" i="20" s="1"/>
  <c r="D217" i="20" s="1"/>
  <c r="E305" i="20"/>
  <c r="F305" i="20" s="1"/>
  <c r="I750" i="20" l="1"/>
  <c r="H563" i="13"/>
  <c r="J563" i="13" s="1"/>
  <c r="J907" i="13"/>
  <c r="I214" i="13"/>
  <c r="J214" i="13" s="1"/>
  <c r="E909" i="13"/>
  <c r="F909" i="13" s="1"/>
  <c r="H908" i="13"/>
  <c r="I908" i="13"/>
  <c r="E820" i="13"/>
  <c r="F820" i="13" s="1"/>
  <c r="I819" i="13"/>
  <c r="H819" i="13"/>
  <c r="J562" i="13"/>
  <c r="J645" i="13"/>
  <c r="J469" i="13"/>
  <c r="J385" i="13"/>
  <c r="I572" i="20"/>
  <c r="J384" i="13"/>
  <c r="J732" i="13"/>
  <c r="D471" i="13"/>
  <c r="G470" i="13"/>
  <c r="D752" i="20"/>
  <c r="G751" i="20"/>
  <c r="H751" i="20"/>
  <c r="D396" i="20"/>
  <c r="G395" i="20"/>
  <c r="H395" i="20"/>
  <c r="D565" i="13"/>
  <c r="G564" i="13"/>
  <c r="D216" i="13"/>
  <c r="G215" i="13"/>
  <c r="D665" i="20"/>
  <c r="G664" i="20"/>
  <c r="H664" i="20"/>
  <c r="D306" i="20"/>
  <c r="G305" i="20"/>
  <c r="H305" i="20"/>
  <c r="D574" i="20"/>
  <c r="G573" i="20"/>
  <c r="H573" i="20"/>
  <c r="D298" i="13"/>
  <c r="G297" i="13"/>
  <c r="E125" i="13"/>
  <c r="F125" i="13" s="1"/>
  <c r="D126" i="13" s="1"/>
  <c r="G734" i="13"/>
  <c r="H733" i="13"/>
  <c r="I733" i="13"/>
  <c r="J296" i="13"/>
  <c r="G646" i="13"/>
  <c r="I127" i="20"/>
  <c r="E735" i="13"/>
  <c r="F735" i="13" s="1"/>
  <c r="E128" i="20"/>
  <c r="F128" i="20" s="1"/>
  <c r="E217" i="20"/>
  <c r="F217" i="20" s="1"/>
  <c r="C48" i="20"/>
  <c r="C48" i="13"/>
  <c r="D310" i="2"/>
  <c r="B169" i="2"/>
  <c r="E30" i="2"/>
  <c r="D312" i="2"/>
  <c r="D307" i="2"/>
  <c r="E387" i="13"/>
  <c r="F387" i="13" s="1"/>
  <c r="D388" i="13" s="1"/>
  <c r="H123" i="13"/>
  <c r="I123" i="13"/>
  <c r="H216" i="20"/>
  <c r="G216" i="20"/>
  <c r="I483" i="20"/>
  <c r="E647" i="13"/>
  <c r="F647" i="13" s="1"/>
  <c r="G386" i="13"/>
  <c r="G124" i="13"/>
  <c r="E484" i="20"/>
  <c r="F484" i="20" s="1"/>
  <c r="D218" i="20" l="1"/>
  <c r="H217" i="20"/>
  <c r="J908" i="13"/>
  <c r="D129" i="20"/>
  <c r="E129" i="20" s="1"/>
  <c r="F129" i="20" s="1"/>
  <c r="H128" i="20"/>
  <c r="D910" i="13"/>
  <c r="G909" i="13"/>
  <c r="G217" i="20"/>
  <c r="D821" i="13"/>
  <c r="G820" i="13"/>
  <c r="J819" i="13"/>
  <c r="D736" i="13"/>
  <c r="E736" i="13" s="1"/>
  <c r="F736" i="13" s="1"/>
  <c r="G735" i="13"/>
  <c r="I735" i="13" s="1"/>
  <c r="J733" i="13"/>
  <c r="I305" i="20"/>
  <c r="J123" i="13"/>
  <c r="I573" i="20"/>
  <c r="I751" i="20"/>
  <c r="I395" i="20"/>
  <c r="D485" i="20"/>
  <c r="G484" i="20"/>
  <c r="H484" i="20"/>
  <c r="D648" i="13"/>
  <c r="G647" i="13"/>
  <c r="G128" i="20"/>
  <c r="H646" i="13"/>
  <c r="I646" i="13"/>
  <c r="H297" i="13"/>
  <c r="I297" i="13"/>
  <c r="I664" i="20"/>
  <c r="E298" i="13"/>
  <c r="F298" i="13" s="1"/>
  <c r="D299" i="13" s="1"/>
  <c r="E665" i="20"/>
  <c r="F665" i="20" s="1"/>
  <c r="E388" i="13"/>
  <c r="F388" i="13" s="1"/>
  <c r="E396" i="20"/>
  <c r="F396" i="20" s="1"/>
  <c r="H215" i="13"/>
  <c r="I215" i="13"/>
  <c r="E306" i="20"/>
  <c r="F306" i="20" s="1"/>
  <c r="H734" i="13"/>
  <c r="I734" i="13"/>
  <c r="E574" i="20"/>
  <c r="F574" i="20" s="1"/>
  <c r="E216" i="13"/>
  <c r="F216" i="13" s="1"/>
  <c r="E752" i="20"/>
  <c r="F752" i="20" s="1"/>
  <c r="D753" i="20" s="1"/>
  <c r="I216" i="20"/>
  <c r="H124" i="13"/>
  <c r="I124" i="13"/>
  <c r="B171" i="2"/>
  <c r="B172" i="2" s="1"/>
  <c r="E218" i="20"/>
  <c r="F218" i="20" s="1"/>
  <c r="D219" i="20" s="1"/>
  <c r="H564" i="13"/>
  <c r="I564" i="13"/>
  <c r="H470" i="13"/>
  <c r="I470" i="13"/>
  <c r="E126" i="13"/>
  <c r="F126" i="13" s="1"/>
  <c r="D127" i="13" s="1"/>
  <c r="G387" i="13"/>
  <c r="H386" i="13"/>
  <c r="I386" i="13"/>
  <c r="G125" i="13"/>
  <c r="E565" i="13"/>
  <c r="F565" i="13" s="1"/>
  <c r="E471" i="13"/>
  <c r="F471" i="13" s="1"/>
  <c r="I217" i="20" l="1"/>
  <c r="D666" i="20"/>
  <c r="G665" i="20"/>
  <c r="I128" i="20"/>
  <c r="D307" i="20"/>
  <c r="H306" i="20"/>
  <c r="G306" i="20"/>
  <c r="D575" i="20"/>
  <c r="E575" i="20" s="1"/>
  <c r="F575" i="20" s="1"/>
  <c r="G574" i="20"/>
  <c r="H574" i="20"/>
  <c r="D130" i="20"/>
  <c r="G129" i="20"/>
  <c r="H129" i="20"/>
  <c r="I909" i="13"/>
  <c r="H909" i="13"/>
  <c r="E910" i="13"/>
  <c r="F910" i="13" s="1"/>
  <c r="H218" i="20"/>
  <c r="G218" i="20"/>
  <c r="H665" i="20"/>
  <c r="H820" i="13"/>
  <c r="I820" i="13"/>
  <c r="E821" i="13"/>
  <c r="F821" i="13" s="1"/>
  <c r="G298" i="13"/>
  <c r="H298" i="13" s="1"/>
  <c r="H735" i="13"/>
  <c r="J735" i="13" s="1"/>
  <c r="D737" i="13"/>
  <c r="G736" i="13"/>
  <c r="H736" i="13" s="1"/>
  <c r="J124" i="13"/>
  <c r="I484" i="20"/>
  <c r="J734" i="13"/>
  <c r="J470" i="13"/>
  <c r="J215" i="13"/>
  <c r="J297" i="13"/>
  <c r="J646" i="13"/>
  <c r="D217" i="13"/>
  <c r="G216" i="13"/>
  <c r="D397" i="20"/>
  <c r="G396" i="20"/>
  <c r="H396" i="20"/>
  <c r="D566" i="13"/>
  <c r="G565" i="13"/>
  <c r="D389" i="13"/>
  <c r="G388" i="13"/>
  <c r="D472" i="13"/>
  <c r="G471" i="13"/>
  <c r="H387" i="13"/>
  <c r="I387" i="13"/>
  <c r="E130" i="20"/>
  <c r="F130" i="20" s="1"/>
  <c r="D131" i="20" s="1"/>
  <c r="H647" i="13"/>
  <c r="I647" i="13"/>
  <c r="G126" i="13"/>
  <c r="E648" i="13"/>
  <c r="F648" i="13" s="1"/>
  <c r="D649" i="13" s="1"/>
  <c r="E753" i="20"/>
  <c r="F753" i="20" s="1"/>
  <c r="D754" i="20" s="1"/>
  <c r="B173" i="2"/>
  <c r="B174" i="2" s="1"/>
  <c r="E666" i="20"/>
  <c r="F666" i="20" s="1"/>
  <c r="E127" i="13"/>
  <c r="F127" i="13" s="1"/>
  <c r="E219" i="20"/>
  <c r="F219" i="20" s="1"/>
  <c r="G752" i="20"/>
  <c r="E299" i="13"/>
  <c r="F299" i="13" s="1"/>
  <c r="H752" i="20"/>
  <c r="H125" i="13"/>
  <c r="I125" i="13"/>
  <c r="J386" i="13"/>
  <c r="J564" i="13"/>
  <c r="E485" i="20"/>
  <c r="F485" i="20" s="1"/>
  <c r="I298" i="13" l="1"/>
  <c r="J298" i="13" s="1"/>
  <c r="I665" i="20"/>
  <c r="E307" i="20"/>
  <c r="F307" i="20" s="1"/>
  <c r="I574" i="20"/>
  <c r="I218" i="20"/>
  <c r="I129" i="20"/>
  <c r="I306" i="20"/>
  <c r="J909" i="13"/>
  <c r="D486" i="20"/>
  <c r="E486" i="20" s="1"/>
  <c r="G485" i="20"/>
  <c r="H485" i="20"/>
  <c r="D911" i="13"/>
  <c r="G910" i="13"/>
  <c r="G130" i="20"/>
  <c r="J820" i="13"/>
  <c r="G821" i="13"/>
  <c r="D822" i="13"/>
  <c r="I736" i="13"/>
  <c r="J736" i="13" s="1"/>
  <c r="E737" i="13"/>
  <c r="F737" i="13" s="1"/>
  <c r="D128" i="13"/>
  <c r="E128" i="13" s="1"/>
  <c r="F128" i="13" s="1"/>
  <c r="G127" i="13"/>
  <c r="I127" i="13" s="1"/>
  <c r="J387" i="13"/>
  <c r="I396" i="20"/>
  <c r="J647" i="13"/>
  <c r="I752" i="20"/>
  <c r="D576" i="20"/>
  <c r="G575" i="20"/>
  <c r="H575" i="20"/>
  <c r="D220" i="20"/>
  <c r="G219" i="20"/>
  <c r="H219" i="20"/>
  <c r="D300" i="13"/>
  <c r="G299" i="13"/>
  <c r="D667" i="20"/>
  <c r="G666" i="20"/>
  <c r="H666" i="20"/>
  <c r="H565" i="13"/>
  <c r="I565" i="13"/>
  <c r="E754" i="20"/>
  <c r="F754" i="20" s="1"/>
  <c r="E389" i="13"/>
  <c r="F389" i="13" s="1"/>
  <c r="E566" i="13"/>
  <c r="F566" i="13" s="1"/>
  <c r="C59" i="20"/>
  <c r="C76" i="20"/>
  <c r="C76" i="13"/>
  <c r="C59" i="13"/>
  <c r="B175" i="2"/>
  <c r="B176" i="2" s="1"/>
  <c r="B177" i="2" s="1"/>
  <c r="E34" i="2"/>
  <c r="G648" i="13"/>
  <c r="H471" i="13"/>
  <c r="I471" i="13"/>
  <c r="E397" i="20"/>
  <c r="F397" i="20" s="1"/>
  <c r="H126" i="13"/>
  <c r="I126" i="13"/>
  <c r="E649" i="13"/>
  <c r="F649" i="13" s="1"/>
  <c r="D650" i="13" s="1"/>
  <c r="H753" i="20"/>
  <c r="E472" i="13"/>
  <c r="F472" i="13" s="1"/>
  <c r="D473" i="13" s="1"/>
  <c r="H216" i="13"/>
  <c r="I216" i="13"/>
  <c r="E131" i="20"/>
  <c r="F131" i="20" s="1"/>
  <c r="D132" i="20" s="1"/>
  <c r="J125" i="13"/>
  <c r="G753" i="20"/>
  <c r="H130" i="20"/>
  <c r="H388" i="13"/>
  <c r="I388" i="13"/>
  <c r="E217" i="13"/>
  <c r="F217" i="13" s="1"/>
  <c r="D308" i="20" l="1"/>
  <c r="G307" i="20"/>
  <c r="H307" i="20"/>
  <c r="F486" i="20"/>
  <c r="D487" i="20" s="1"/>
  <c r="E487" i="20" s="1"/>
  <c r="F487" i="20" s="1"/>
  <c r="I485" i="20"/>
  <c r="I130" i="20"/>
  <c r="D398" i="20"/>
  <c r="E398" i="20" s="1"/>
  <c r="F398" i="20" s="1"/>
  <c r="G397" i="20"/>
  <c r="E911" i="13"/>
  <c r="F911" i="13"/>
  <c r="D912" i="13" s="1"/>
  <c r="G131" i="20"/>
  <c r="I910" i="13"/>
  <c r="H910" i="13"/>
  <c r="E822" i="13"/>
  <c r="F822" i="13" s="1"/>
  <c r="H821" i="13"/>
  <c r="I821" i="13"/>
  <c r="H127" i="13"/>
  <c r="J127" i="13" s="1"/>
  <c r="D738" i="13"/>
  <c r="E738" i="13" s="1"/>
  <c r="F738" i="13" s="1"/>
  <c r="D739" i="13" s="1"/>
  <c r="G737" i="13"/>
  <c r="I737" i="13" s="1"/>
  <c r="D129" i="13"/>
  <c r="E129" i="13" s="1"/>
  <c r="F129" i="13" s="1"/>
  <c r="G128" i="13"/>
  <c r="H128" i="13" s="1"/>
  <c r="I753" i="20"/>
  <c r="J471" i="13"/>
  <c r="I666" i="20"/>
  <c r="I575" i="20"/>
  <c r="J388" i="13"/>
  <c r="J126" i="13"/>
  <c r="I219" i="20"/>
  <c r="D390" i="13"/>
  <c r="G389" i="13"/>
  <c r="D755" i="20"/>
  <c r="G754" i="20"/>
  <c r="H754" i="20"/>
  <c r="D567" i="13"/>
  <c r="G566" i="13"/>
  <c r="D218" i="13"/>
  <c r="G217" i="13"/>
  <c r="H648" i="13"/>
  <c r="I648" i="13"/>
  <c r="H299" i="13"/>
  <c r="I299" i="13"/>
  <c r="H131" i="20"/>
  <c r="G472" i="13"/>
  <c r="J565" i="13"/>
  <c r="E300" i="13"/>
  <c r="F300" i="13" s="1"/>
  <c r="D301" i="13" s="1"/>
  <c r="E650" i="13"/>
  <c r="F650" i="13" s="1"/>
  <c r="G649" i="13"/>
  <c r="B179" i="2"/>
  <c r="B180" i="2" s="1"/>
  <c r="B181" i="2" s="1"/>
  <c r="E220" i="20"/>
  <c r="F220" i="20" s="1"/>
  <c r="E473" i="13"/>
  <c r="F473" i="13" s="1"/>
  <c r="D474" i="13" s="1"/>
  <c r="E132" i="20"/>
  <c r="F132" i="20" s="1"/>
  <c r="E177" i="2"/>
  <c r="J216" i="13"/>
  <c r="H397" i="20"/>
  <c r="E667" i="20"/>
  <c r="F667" i="20" s="1"/>
  <c r="D668" i="20" s="1"/>
  <c r="E576" i="20"/>
  <c r="F576" i="20" s="1"/>
  <c r="I131" i="20" l="1"/>
  <c r="I307" i="20"/>
  <c r="I397" i="20"/>
  <c r="G486" i="20"/>
  <c r="H486" i="20"/>
  <c r="E308" i="20"/>
  <c r="F308" i="20" s="1"/>
  <c r="J821" i="13"/>
  <c r="J910" i="13"/>
  <c r="D221" i="20"/>
  <c r="G220" i="20"/>
  <c r="H220" i="20"/>
  <c r="D488" i="20"/>
  <c r="E488" i="20" s="1"/>
  <c r="G487" i="20"/>
  <c r="H487" i="20"/>
  <c r="D823" i="13"/>
  <c r="E823" i="13" s="1"/>
  <c r="F823" i="13" s="1"/>
  <c r="G822" i="13"/>
  <c r="I822" i="13" s="1"/>
  <c r="E912" i="13"/>
  <c r="F912" i="13" s="1"/>
  <c r="G911" i="13"/>
  <c r="I128" i="13"/>
  <c r="J128" i="13" s="1"/>
  <c r="G738" i="13"/>
  <c r="H738" i="13" s="1"/>
  <c r="H737" i="13"/>
  <c r="J737" i="13" s="1"/>
  <c r="J648" i="13"/>
  <c r="I754" i="20"/>
  <c r="J299" i="13"/>
  <c r="D130" i="13"/>
  <c r="G129" i="13"/>
  <c r="D133" i="20"/>
  <c r="G132" i="20"/>
  <c r="H132" i="20"/>
  <c r="D577" i="20"/>
  <c r="H576" i="20"/>
  <c r="G576" i="20"/>
  <c r="D651" i="13"/>
  <c r="G650" i="13"/>
  <c r="D399" i="20"/>
  <c r="H398" i="20"/>
  <c r="G398" i="20"/>
  <c r="G300" i="13"/>
  <c r="E567" i="13"/>
  <c r="F567" i="13" s="1"/>
  <c r="E301" i="13"/>
  <c r="F301" i="13" s="1"/>
  <c r="D302" i="13" s="1"/>
  <c r="E474" i="13"/>
  <c r="F474" i="13" s="1"/>
  <c r="D475" i="13" s="1"/>
  <c r="E218" i="13"/>
  <c r="F218" i="13" s="1"/>
  <c r="D219" i="13" s="1"/>
  <c r="E668" i="20"/>
  <c r="F668" i="20" s="1"/>
  <c r="H566" i="13"/>
  <c r="I566" i="13"/>
  <c r="E186" i="2"/>
  <c r="B182" i="2"/>
  <c r="B183" i="2" s="1"/>
  <c r="B184" i="2" s="1"/>
  <c r="B185" i="2" s="1"/>
  <c r="B186" i="2" s="1"/>
  <c r="E755" i="20"/>
  <c r="F755" i="20" s="1"/>
  <c r="H649" i="13"/>
  <c r="I649" i="13"/>
  <c r="E739" i="13"/>
  <c r="F739" i="13" s="1"/>
  <c r="H389" i="13"/>
  <c r="I389" i="13"/>
  <c r="H667" i="20"/>
  <c r="G667" i="20"/>
  <c r="G473" i="13"/>
  <c r="H472" i="13"/>
  <c r="I472" i="13"/>
  <c r="H217" i="13"/>
  <c r="I217" i="13"/>
  <c r="E390" i="13"/>
  <c r="F390" i="13" s="1"/>
  <c r="H822" i="13" l="1"/>
  <c r="J822" i="13" s="1"/>
  <c r="I486" i="20"/>
  <c r="I738" i="13"/>
  <c r="J738" i="13" s="1"/>
  <c r="D309" i="20"/>
  <c r="H308" i="20"/>
  <c r="G308" i="20"/>
  <c r="D913" i="13"/>
  <c r="E913" i="13" s="1"/>
  <c r="G912" i="13"/>
  <c r="E221" i="20"/>
  <c r="F221" i="20" s="1"/>
  <c r="I220" i="20"/>
  <c r="I487" i="20"/>
  <c r="F488" i="20"/>
  <c r="I911" i="13"/>
  <c r="H911" i="13"/>
  <c r="G823" i="13"/>
  <c r="D824" i="13"/>
  <c r="D568" i="13"/>
  <c r="E568" i="13" s="1"/>
  <c r="F568" i="13" s="1"/>
  <c r="D569" i="13" s="1"/>
  <c r="G567" i="13"/>
  <c r="H567" i="13" s="1"/>
  <c r="J472" i="13"/>
  <c r="I132" i="20"/>
  <c r="J389" i="13"/>
  <c r="J566" i="13"/>
  <c r="J217" i="13"/>
  <c r="D740" i="13"/>
  <c r="G739" i="13"/>
  <c r="D756" i="20"/>
  <c r="G755" i="20"/>
  <c r="H755" i="20"/>
  <c r="D669" i="20"/>
  <c r="G668" i="20"/>
  <c r="H668" i="20"/>
  <c r="D391" i="13"/>
  <c r="G390" i="13"/>
  <c r="G301" i="13"/>
  <c r="E577" i="20"/>
  <c r="F577" i="20" s="1"/>
  <c r="E302" i="13"/>
  <c r="F302" i="13" s="1"/>
  <c r="D303" i="13" s="1"/>
  <c r="G218" i="13"/>
  <c r="I667" i="20"/>
  <c r="E475" i="13"/>
  <c r="F475" i="13" s="1"/>
  <c r="I398" i="20"/>
  <c r="E219" i="13"/>
  <c r="F219" i="13" s="1"/>
  <c r="E399" i="20"/>
  <c r="F399" i="20" s="1"/>
  <c r="E133" i="20"/>
  <c r="F133" i="20" s="1"/>
  <c r="I576" i="20"/>
  <c r="G474" i="13"/>
  <c r="H650" i="13"/>
  <c r="I650" i="13"/>
  <c r="H129" i="13"/>
  <c r="I129" i="13"/>
  <c r="H300" i="13"/>
  <c r="I300" i="13"/>
  <c r="H473" i="13"/>
  <c r="I473" i="13"/>
  <c r="J649" i="13"/>
  <c r="B188" i="2"/>
  <c r="B189" i="2" s="1"/>
  <c r="E651" i="13"/>
  <c r="F651" i="13" s="1"/>
  <c r="E130" i="13"/>
  <c r="F130" i="13" s="1"/>
  <c r="D131" i="13" s="1"/>
  <c r="D222" i="20" l="1"/>
  <c r="E222" i="20" s="1"/>
  <c r="F222" i="20" s="1"/>
  <c r="H221" i="20"/>
  <c r="G221" i="20"/>
  <c r="I308" i="20"/>
  <c r="F913" i="13"/>
  <c r="D914" i="13" s="1"/>
  <c r="E914" i="13" s="1"/>
  <c r="H912" i="13"/>
  <c r="I912" i="13"/>
  <c r="E309" i="20"/>
  <c r="F309" i="20" s="1"/>
  <c r="J911" i="13"/>
  <c r="D489" i="20"/>
  <c r="E489" i="20" s="1"/>
  <c r="F489" i="20" s="1"/>
  <c r="D490" i="20" s="1"/>
  <c r="G488" i="20"/>
  <c r="H488" i="20"/>
  <c r="F914" i="13"/>
  <c r="E824" i="13"/>
  <c r="F824" i="13" s="1"/>
  <c r="I823" i="13"/>
  <c r="H823" i="13"/>
  <c r="I567" i="13"/>
  <c r="J567" i="13" s="1"/>
  <c r="J473" i="13"/>
  <c r="J129" i="13"/>
  <c r="I668" i="20"/>
  <c r="D220" i="13"/>
  <c r="G219" i="13"/>
  <c r="D223" i="20"/>
  <c r="H222" i="20"/>
  <c r="G222" i="20"/>
  <c r="D578" i="20"/>
  <c r="G577" i="20"/>
  <c r="H577" i="20"/>
  <c r="D652" i="13"/>
  <c r="G651" i="13"/>
  <c r="D134" i="20"/>
  <c r="G133" i="20"/>
  <c r="H133" i="20"/>
  <c r="D476" i="13"/>
  <c r="G475" i="13"/>
  <c r="D400" i="20"/>
  <c r="H399" i="20"/>
  <c r="G399" i="20"/>
  <c r="E391" i="13"/>
  <c r="F391" i="13" s="1"/>
  <c r="D392" i="13" s="1"/>
  <c r="J300" i="13"/>
  <c r="J650" i="13"/>
  <c r="E669" i="20"/>
  <c r="F669" i="20" s="1"/>
  <c r="D670" i="20" s="1"/>
  <c r="E303" i="13"/>
  <c r="F303" i="13" s="1"/>
  <c r="D304" i="13" s="1"/>
  <c r="G130" i="13"/>
  <c r="I755" i="20"/>
  <c r="E131" i="13"/>
  <c r="F131" i="13" s="1"/>
  <c r="E740" i="13"/>
  <c r="F740" i="13" s="1"/>
  <c r="E569" i="13"/>
  <c r="F569" i="13" s="1"/>
  <c r="G568" i="13"/>
  <c r="H218" i="13"/>
  <c r="I218" i="13"/>
  <c r="H301" i="13"/>
  <c r="I301" i="13"/>
  <c r="E756" i="20"/>
  <c r="F756" i="20" s="1"/>
  <c r="H474" i="13"/>
  <c r="I474" i="13"/>
  <c r="G302" i="13"/>
  <c r="D193" i="2"/>
  <c r="B190" i="2"/>
  <c r="H390" i="13"/>
  <c r="I390" i="13"/>
  <c r="H739" i="13"/>
  <c r="I739" i="13"/>
  <c r="G913" i="13" l="1"/>
  <c r="H489" i="20"/>
  <c r="I221" i="20"/>
  <c r="J912" i="13"/>
  <c r="G489" i="20"/>
  <c r="D310" i="20"/>
  <c r="G309" i="20"/>
  <c r="H309" i="20"/>
  <c r="I488" i="20"/>
  <c r="D757" i="20"/>
  <c r="E757" i="20" s="1"/>
  <c r="F757" i="20" s="1"/>
  <c r="G756" i="20"/>
  <c r="G303" i="13"/>
  <c r="H303" i="13" s="1"/>
  <c r="G391" i="13"/>
  <c r="I391" i="13" s="1"/>
  <c r="D915" i="13"/>
  <c r="E915" i="13" s="1"/>
  <c r="G914" i="13"/>
  <c r="D825" i="13"/>
  <c r="G824" i="13"/>
  <c r="J823" i="13"/>
  <c r="D741" i="13"/>
  <c r="E741" i="13" s="1"/>
  <c r="F741" i="13" s="1"/>
  <c r="D742" i="13" s="1"/>
  <c r="G740" i="13"/>
  <c r="H740" i="13" s="1"/>
  <c r="D132" i="13"/>
  <c r="E132" i="13" s="1"/>
  <c r="F132" i="13" s="1"/>
  <c r="G131" i="13"/>
  <c r="H131" i="13" s="1"/>
  <c r="J739" i="13"/>
  <c r="J474" i="13"/>
  <c r="J218" i="13"/>
  <c r="I133" i="20"/>
  <c r="I577" i="20"/>
  <c r="J301" i="13"/>
  <c r="D570" i="13"/>
  <c r="G569" i="13"/>
  <c r="E670" i="20"/>
  <c r="F670" i="20" s="1"/>
  <c r="H651" i="13"/>
  <c r="I651" i="13"/>
  <c r="C35" i="20"/>
  <c r="B191" i="2"/>
  <c r="B192" i="2" s="1"/>
  <c r="B193" i="2" s="1"/>
  <c r="C35" i="13"/>
  <c r="H130" i="13"/>
  <c r="I130" i="13"/>
  <c r="E134" i="20"/>
  <c r="F134" i="20" s="1"/>
  <c r="I399" i="20"/>
  <c r="E652" i="13"/>
  <c r="F652" i="13" s="1"/>
  <c r="D653" i="13" s="1"/>
  <c r="I222" i="20"/>
  <c r="E400" i="20"/>
  <c r="F400" i="20" s="1"/>
  <c r="D401" i="20" s="1"/>
  <c r="E223" i="20"/>
  <c r="F223" i="20" s="1"/>
  <c r="D224" i="20" s="1"/>
  <c r="E490" i="20"/>
  <c r="F490" i="20" s="1"/>
  <c r="H669" i="20"/>
  <c r="E392" i="13"/>
  <c r="F392" i="13" s="1"/>
  <c r="D393" i="13" s="1"/>
  <c r="H475" i="13"/>
  <c r="I475" i="13"/>
  <c r="H219" i="13"/>
  <c r="I219" i="13"/>
  <c r="E578" i="20"/>
  <c r="F578" i="20" s="1"/>
  <c r="D579" i="20" s="1"/>
  <c r="H302" i="13"/>
  <c r="I302" i="13"/>
  <c r="E304" i="13"/>
  <c r="F304" i="13" s="1"/>
  <c r="J390" i="13"/>
  <c r="H756" i="20"/>
  <c r="H568" i="13"/>
  <c r="I568" i="13"/>
  <c r="G669" i="20"/>
  <c r="E476" i="13"/>
  <c r="F476" i="13" s="1"/>
  <c r="D477" i="13" s="1"/>
  <c r="E220" i="13"/>
  <c r="F220" i="13" s="1"/>
  <c r="I913" i="13" l="1"/>
  <c r="H913" i="13"/>
  <c r="I489" i="20"/>
  <c r="H391" i="13"/>
  <c r="J391" i="13" s="1"/>
  <c r="I303" i="13"/>
  <c r="J303" i="13" s="1"/>
  <c r="D135" i="20"/>
  <c r="H134" i="20"/>
  <c r="D671" i="20"/>
  <c r="E671" i="20" s="1"/>
  <c r="F671" i="20" s="1"/>
  <c r="H670" i="20"/>
  <c r="I309" i="20"/>
  <c r="I740" i="13"/>
  <c r="J740" i="13" s="1"/>
  <c r="E310" i="20"/>
  <c r="F310" i="20" s="1"/>
  <c r="I756" i="20"/>
  <c r="H578" i="20"/>
  <c r="H400" i="20"/>
  <c r="G578" i="20"/>
  <c r="G400" i="20"/>
  <c r="G134" i="20"/>
  <c r="G670" i="20"/>
  <c r="I914" i="13"/>
  <c r="H914" i="13"/>
  <c r="F915" i="13"/>
  <c r="I824" i="13"/>
  <c r="H824" i="13"/>
  <c r="E825" i="13"/>
  <c r="F825" i="13" s="1"/>
  <c r="D826" i="13" s="1"/>
  <c r="G476" i="13"/>
  <c r="H476" i="13" s="1"/>
  <c r="G652" i="13"/>
  <c r="I652" i="13" s="1"/>
  <c r="I131" i="13"/>
  <c r="J131" i="13" s="1"/>
  <c r="J651" i="13"/>
  <c r="J302" i="13"/>
  <c r="J219" i="13"/>
  <c r="J130" i="13"/>
  <c r="D305" i="13"/>
  <c r="G304" i="13"/>
  <c r="D758" i="20"/>
  <c r="G757" i="20"/>
  <c r="H757" i="20"/>
  <c r="D133" i="13"/>
  <c r="G132" i="13"/>
  <c r="D221" i="13"/>
  <c r="G220" i="13"/>
  <c r="D491" i="20"/>
  <c r="G490" i="20"/>
  <c r="H490" i="20"/>
  <c r="E477" i="13"/>
  <c r="F477" i="13" s="1"/>
  <c r="D478" i="13" s="1"/>
  <c r="E579" i="20"/>
  <c r="F579" i="20" s="1"/>
  <c r="E653" i="13"/>
  <c r="F653" i="13" s="1"/>
  <c r="E135" i="20"/>
  <c r="F135" i="20" s="1"/>
  <c r="G392" i="13"/>
  <c r="E393" i="13"/>
  <c r="F393" i="13" s="1"/>
  <c r="I669" i="20"/>
  <c r="E401" i="20"/>
  <c r="F401" i="20" s="1"/>
  <c r="E224" i="20"/>
  <c r="F224" i="20" s="1"/>
  <c r="I476" i="13"/>
  <c r="J568" i="13"/>
  <c r="H223" i="20"/>
  <c r="G741" i="13"/>
  <c r="H569" i="13"/>
  <c r="I569" i="13"/>
  <c r="J475" i="13"/>
  <c r="G223" i="20"/>
  <c r="E742" i="13"/>
  <c r="F742" i="13" s="1"/>
  <c r="B194" i="2"/>
  <c r="E199" i="2"/>
  <c r="E570" i="13"/>
  <c r="F570" i="13" s="1"/>
  <c r="J913" i="13" l="1"/>
  <c r="I134" i="20"/>
  <c r="D225" i="20"/>
  <c r="E225" i="20" s="1"/>
  <c r="F225" i="20" s="1"/>
  <c r="H224" i="20"/>
  <c r="D580" i="20"/>
  <c r="E580" i="20" s="1"/>
  <c r="F580" i="20" s="1"/>
  <c r="D581" i="20" s="1"/>
  <c r="H579" i="20"/>
  <c r="D311" i="20"/>
  <c r="G310" i="20"/>
  <c r="H310" i="20"/>
  <c r="H652" i="13"/>
  <c r="J652" i="13" s="1"/>
  <c r="I670" i="20"/>
  <c r="I578" i="20"/>
  <c r="I400" i="20"/>
  <c r="D136" i="20"/>
  <c r="E136" i="20" s="1"/>
  <c r="F136" i="20" s="1"/>
  <c r="H135" i="20"/>
  <c r="G135" i="20"/>
  <c r="G579" i="20"/>
  <c r="G224" i="20"/>
  <c r="G825" i="13"/>
  <c r="H825" i="13" s="1"/>
  <c r="D916" i="13"/>
  <c r="E916" i="13" s="1"/>
  <c r="G915" i="13"/>
  <c r="J914" i="13"/>
  <c r="E826" i="13"/>
  <c r="F826" i="13" s="1"/>
  <c r="D827" i="13" s="1"/>
  <c r="E827" i="13" s="1"/>
  <c r="I825" i="13"/>
  <c r="J824" i="13"/>
  <c r="I223" i="20"/>
  <c r="J569" i="13"/>
  <c r="I757" i="20"/>
  <c r="D654" i="13"/>
  <c r="G653" i="13"/>
  <c r="D394" i="13"/>
  <c r="G393" i="13"/>
  <c r="D402" i="20"/>
  <c r="G401" i="20"/>
  <c r="H401" i="20"/>
  <c r="D743" i="13"/>
  <c r="G742" i="13"/>
  <c r="D571" i="13"/>
  <c r="G570" i="13"/>
  <c r="D672" i="20"/>
  <c r="G671" i="20"/>
  <c r="H671" i="20"/>
  <c r="H392" i="13"/>
  <c r="I392" i="13"/>
  <c r="E133" i="13"/>
  <c r="F133" i="13" s="1"/>
  <c r="H132" i="13"/>
  <c r="I132" i="13"/>
  <c r="G477" i="13"/>
  <c r="I490" i="20"/>
  <c r="E221" i="13"/>
  <c r="F221" i="13" s="1"/>
  <c r="D222" i="13" s="1"/>
  <c r="D338" i="2"/>
  <c r="B195" i="2"/>
  <c r="E478" i="13"/>
  <c r="F478" i="13" s="1"/>
  <c r="E758" i="20"/>
  <c r="F758" i="20" s="1"/>
  <c r="D759" i="20" s="1"/>
  <c r="H741" i="13"/>
  <c r="I741" i="13"/>
  <c r="J476" i="13"/>
  <c r="E491" i="20"/>
  <c r="F491" i="20" s="1"/>
  <c r="D492" i="20" s="1"/>
  <c r="H304" i="13"/>
  <c r="I304" i="13"/>
  <c r="H220" i="13"/>
  <c r="I220" i="13"/>
  <c r="E305" i="13"/>
  <c r="F305" i="13" s="1"/>
  <c r="I310" i="20" l="1"/>
  <c r="I224" i="20"/>
  <c r="I579" i="20"/>
  <c r="E311" i="20"/>
  <c r="F311" i="20" s="1"/>
  <c r="D312" i="20" s="1"/>
  <c r="I135" i="20"/>
  <c r="G580" i="20"/>
  <c r="G826" i="13"/>
  <c r="H580" i="20"/>
  <c r="H915" i="13"/>
  <c r="I915" i="13"/>
  <c r="F916" i="13"/>
  <c r="J825" i="13"/>
  <c r="F827" i="13"/>
  <c r="D828" i="13" s="1"/>
  <c r="E828" i="13" s="1"/>
  <c r="I671" i="20"/>
  <c r="I401" i="20"/>
  <c r="J392" i="13"/>
  <c r="J220" i="13"/>
  <c r="J741" i="13"/>
  <c r="J304" i="13"/>
  <c r="D134" i="13"/>
  <c r="G133" i="13"/>
  <c r="D137" i="20"/>
  <c r="G136" i="20"/>
  <c r="H136" i="20"/>
  <c r="D306" i="13"/>
  <c r="G305" i="13"/>
  <c r="D479" i="13"/>
  <c r="G478" i="13"/>
  <c r="D226" i="20"/>
  <c r="G225" i="20"/>
  <c r="H225" i="20"/>
  <c r="E222" i="13"/>
  <c r="F222" i="13" s="1"/>
  <c r="H477" i="13"/>
  <c r="I477" i="13"/>
  <c r="E581" i="20"/>
  <c r="F581" i="20" s="1"/>
  <c r="E759" i="20"/>
  <c r="F759" i="20" s="1"/>
  <c r="J132" i="13"/>
  <c r="E402" i="20"/>
  <c r="F402" i="20" s="1"/>
  <c r="E672" i="20"/>
  <c r="F672" i="20" s="1"/>
  <c r="H393" i="13"/>
  <c r="I393" i="13"/>
  <c r="H570" i="13"/>
  <c r="I570" i="13"/>
  <c r="E394" i="13"/>
  <c r="F394" i="13" s="1"/>
  <c r="E492" i="20"/>
  <c r="F492" i="20" s="1"/>
  <c r="E743" i="13"/>
  <c r="F743" i="13" s="1"/>
  <c r="D744" i="13" s="1"/>
  <c r="B196" i="2"/>
  <c r="E200" i="2"/>
  <c r="G221" i="13"/>
  <c r="H758" i="20"/>
  <c r="H491" i="20"/>
  <c r="G758" i="20"/>
  <c r="E571" i="13"/>
  <c r="F571" i="13" s="1"/>
  <c r="H653" i="13"/>
  <c r="I653" i="13"/>
  <c r="G491" i="20"/>
  <c r="H742" i="13"/>
  <c r="I742" i="13"/>
  <c r="E654" i="13"/>
  <c r="F654" i="13" s="1"/>
  <c r="G311" i="20" l="1"/>
  <c r="H311" i="20"/>
  <c r="E312" i="20"/>
  <c r="F312" i="20" s="1"/>
  <c r="D313" i="20" s="1"/>
  <c r="G312" i="20"/>
  <c r="I580" i="20"/>
  <c r="D403" i="20"/>
  <c r="E403" i="20" s="1"/>
  <c r="F403" i="20" s="1"/>
  <c r="D404" i="20" s="1"/>
  <c r="G402" i="20"/>
  <c r="G827" i="13"/>
  <c r="H827" i="13" s="1"/>
  <c r="I826" i="13"/>
  <c r="H826" i="13"/>
  <c r="J915" i="13"/>
  <c r="D917" i="13"/>
  <c r="E917" i="13" s="1"/>
  <c r="G916" i="13"/>
  <c r="F828" i="13"/>
  <c r="J477" i="13"/>
  <c r="J393" i="13"/>
  <c r="I225" i="20"/>
  <c r="I491" i="20"/>
  <c r="I758" i="20"/>
  <c r="I136" i="20"/>
  <c r="D223" i="13"/>
  <c r="G222" i="13"/>
  <c r="D572" i="13"/>
  <c r="G571" i="13"/>
  <c r="D493" i="20"/>
  <c r="G492" i="20"/>
  <c r="H492" i="20"/>
  <c r="D655" i="13"/>
  <c r="G654" i="13"/>
  <c r="D582" i="20"/>
  <c r="H581" i="20"/>
  <c r="G581" i="20"/>
  <c r="D395" i="13"/>
  <c r="G394" i="13"/>
  <c r="D760" i="20"/>
  <c r="G759" i="20"/>
  <c r="H759" i="20"/>
  <c r="D673" i="20"/>
  <c r="G672" i="20"/>
  <c r="H672" i="20"/>
  <c r="J653" i="13"/>
  <c r="H221" i="13"/>
  <c r="I221" i="13"/>
  <c r="E137" i="20"/>
  <c r="F137" i="20" s="1"/>
  <c r="E226" i="20"/>
  <c r="F226" i="20" s="1"/>
  <c r="H478" i="13"/>
  <c r="I478" i="13"/>
  <c r="G743" i="13"/>
  <c r="E479" i="13"/>
  <c r="F479" i="13" s="1"/>
  <c r="D480" i="13" s="1"/>
  <c r="H305" i="13"/>
  <c r="I305" i="13"/>
  <c r="B198" i="2"/>
  <c r="E201" i="2"/>
  <c r="E744" i="13"/>
  <c r="F744" i="13" s="1"/>
  <c r="H133" i="13"/>
  <c r="I133" i="13"/>
  <c r="J742" i="13"/>
  <c r="J570" i="13"/>
  <c r="H402" i="20"/>
  <c r="E306" i="13"/>
  <c r="F306" i="13" s="1"/>
  <c r="D307" i="13" s="1"/>
  <c r="E134" i="13"/>
  <c r="F134" i="13" s="1"/>
  <c r="I311" i="20" l="1"/>
  <c r="H312" i="20"/>
  <c r="I312" i="20" s="1"/>
  <c r="E313" i="20"/>
  <c r="F313" i="20" s="1"/>
  <c r="D314" i="20" s="1"/>
  <c r="E314" i="20" s="1"/>
  <c r="F314" i="20" s="1"/>
  <c r="D315" i="20" s="1"/>
  <c r="E315" i="20" s="1"/>
  <c r="F315" i="20" s="1"/>
  <c r="D316" i="20" s="1"/>
  <c r="I402" i="20"/>
  <c r="J826" i="13"/>
  <c r="D138" i="20"/>
  <c r="E138" i="20" s="1"/>
  <c r="F138" i="20" s="1"/>
  <c r="H137" i="20"/>
  <c r="G403" i="20"/>
  <c r="I827" i="13"/>
  <c r="J827" i="13" s="1"/>
  <c r="H403" i="20"/>
  <c r="I916" i="13"/>
  <c r="H916" i="13"/>
  <c r="F917" i="13"/>
  <c r="G479" i="13"/>
  <c r="H479" i="13" s="1"/>
  <c r="D829" i="13"/>
  <c r="E829" i="13" s="1"/>
  <c r="G828" i="13"/>
  <c r="J305" i="13"/>
  <c r="J221" i="13"/>
  <c r="I672" i="20"/>
  <c r="J478" i="13"/>
  <c r="J133" i="13"/>
  <c r="I492" i="20"/>
  <c r="D135" i="13"/>
  <c r="G134" i="13"/>
  <c r="D227" i="20"/>
  <c r="G226" i="20"/>
  <c r="H226" i="20"/>
  <c r="D745" i="13"/>
  <c r="G744" i="13"/>
  <c r="H743" i="13"/>
  <c r="I743" i="13"/>
  <c r="E760" i="20"/>
  <c r="F760" i="20" s="1"/>
  <c r="G137" i="20"/>
  <c r="E404" i="20"/>
  <c r="F404" i="20" s="1"/>
  <c r="H394" i="13"/>
  <c r="I394" i="13"/>
  <c r="G306" i="13"/>
  <c r="E395" i="13"/>
  <c r="F395" i="13" s="1"/>
  <c r="E493" i="20"/>
  <c r="F493" i="20" s="1"/>
  <c r="D494" i="20" s="1"/>
  <c r="H571" i="13"/>
  <c r="I571" i="13"/>
  <c r="I581" i="20"/>
  <c r="E572" i="13"/>
  <c r="F572" i="13" s="1"/>
  <c r="E307" i="13"/>
  <c r="F307" i="13" s="1"/>
  <c r="D308" i="13" s="1"/>
  <c r="E655" i="13"/>
  <c r="F655" i="13" s="1"/>
  <c r="D656" i="13" s="1"/>
  <c r="E480" i="13"/>
  <c r="F480" i="13" s="1"/>
  <c r="D481" i="13" s="1"/>
  <c r="E673" i="20"/>
  <c r="F673" i="20" s="1"/>
  <c r="D674" i="20" s="1"/>
  <c r="E582" i="20"/>
  <c r="F582" i="20" s="1"/>
  <c r="H222" i="13"/>
  <c r="I222" i="13"/>
  <c r="B199" i="2"/>
  <c r="B200" i="2" s="1"/>
  <c r="B201" i="2" s="1"/>
  <c r="B203" i="2" s="1"/>
  <c r="E203" i="2"/>
  <c r="I759" i="20"/>
  <c r="H654" i="13"/>
  <c r="I654" i="13"/>
  <c r="E223" i="13"/>
  <c r="F223" i="13" s="1"/>
  <c r="G314" i="20" l="1"/>
  <c r="I479" i="13"/>
  <c r="J479" i="13" s="1"/>
  <c r="H313" i="20"/>
  <c r="H314" i="20"/>
  <c r="G315" i="20"/>
  <c r="G313" i="20"/>
  <c r="I403" i="20"/>
  <c r="I137" i="20"/>
  <c r="D139" i="20"/>
  <c r="E139" i="20" s="1"/>
  <c r="F139" i="20" s="1"/>
  <c r="G138" i="20"/>
  <c r="D405" i="20"/>
  <c r="E405" i="20" s="1"/>
  <c r="F405" i="20" s="1"/>
  <c r="D406" i="20" s="1"/>
  <c r="H404" i="20"/>
  <c r="H315" i="20"/>
  <c r="G493" i="20"/>
  <c r="H673" i="20"/>
  <c r="D918" i="13"/>
  <c r="E918" i="13" s="1"/>
  <c r="G917" i="13"/>
  <c r="J916" i="13"/>
  <c r="H828" i="13"/>
  <c r="I828" i="13"/>
  <c r="F829" i="13"/>
  <c r="D830" i="13" s="1"/>
  <c r="E830" i="13" s="1"/>
  <c r="J222" i="13"/>
  <c r="J654" i="13"/>
  <c r="J394" i="13"/>
  <c r="D583" i="20"/>
  <c r="G582" i="20"/>
  <c r="H582" i="20"/>
  <c r="D396" i="13"/>
  <c r="G395" i="13"/>
  <c r="D224" i="13"/>
  <c r="G223" i="13"/>
  <c r="D573" i="13"/>
  <c r="G572" i="13"/>
  <c r="D761" i="20"/>
  <c r="G760" i="20"/>
  <c r="H760" i="20"/>
  <c r="G480" i="13"/>
  <c r="E494" i="20"/>
  <c r="F494" i="20" s="1"/>
  <c r="H744" i="13"/>
  <c r="I744" i="13"/>
  <c r="E745" i="13"/>
  <c r="F745" i="13" s="1"/>
  <c r="D746" i="13" s="1"/>
  <c r="E308" i="13"/>
  <c r="F308" i="13" s="1"/>
  <c r="G655" i="13"/>
  <c r="I226" i="20"/>
  <c r="E656" i="13"/>
  <c r="F656" i="13" s="1"/>
  <c r="D657" i="13" s="1"/>
  <c r="C50" i="13"/>
  <c r="C50" i="20"/>
  <c r="B205" i="2"/>
  <c r="E37" i="2"/>
  <c r="G673" i="20"/>
  <c r="J571" i="13"/>
  <c r="G404" i="20"/>
  <c r="E227" i="20"/>
  <c r="F227" i="20" s="1"/>
  <c r="E481" i="13"/>
  <c r="F481" i="13" s="1"/>
  <c r="E674" i="20"/>
  <c r="F674" i="20" s="1"/>
  <c r="E316" i="20"/>
  <c r="F316" i="20" s="1"/>
  <c r="H134" i="13"/>
  <c r="I134" i="13"/>
  <c r="G307" i="13"/>
  <c r="H138" i="20"/>
  <c r="H493" i="20"/>
  <c r="H306" i="13"/>
  <c r="I306" i="13"/>
  <c r="J743" i="13"/>
  <c r="E135" i="13"/>
  <c r="F135" i="13" s="1"/>
  <c r="I314" i="20" l="1"/>
  <c r="I313" i="20"/>
  <c r="I315" i="20"/>
  <c r="I138" i="20"/>
  <c r="I493" i="20"/>
  <c r="I404" i="20"/>
  <c r="I673" i="20"/>
  <c r="D228" i="20"/>
  <c r="H227" i="20"/>
  <c r="H405" i="20"/>
  <c r="J828" i="13"/>
  <c r="H917" i="13"/>
  <c r="I917" i="13"/>
  <c r="F918" i="13"/>
  <c r="D919" i="13" s="1"/>
  <c r="E919" i="13" s="1"/>
  <c r="F830" i="13"/>
  <c r="G829" i="13"/>
  <c r="J134" i="13"/>
  <c r="I760" i="20"/>
  <c r="J744" i="13"/>
  <c r="D495" i="20"/>
  <c r="G494" i="20"/>
  <c r="H494" i="20"/>
  <c r="D140" i="20"/>
  <c r="H139" i="20"/>
  <c r="G139" i="20"/>
  <c r="D317" i="20"/>
  <c r="G316" i="20"/>
  <c r="H316" i="20"/>
  <c r="D675" i="20"/>
  <c r="H674" i="20"/>
  <c r="G674" i="20"/>
  <c r="D482" i="13"/>
  <c r="G481" i="13"/>
  <c r="D309" i="13"/>
  <c r="G308" i="13"/>
  <c r="D136" i="13"/>
  <c r="G135" i="13"/>
  <c r="J306" i="13"/>
  <c r="G405" i="20"/>
  <c r="G227" i="20"/>
  <c r="B207" i="2"/>
  <c r="C49" i="13"/>
  <c r="C49" i="20"/>
  <c r="E198" i="2"/>
  <c r="H223" i="13"/>
  <c r="I223" i="13"/>
  <c r="E746" i="13"/>
  <c r="F746" i="13" s="1"/>
  <c r="D747" i="13" s="1"/>
  <c r="E228" i="20"/>
  <c r="F228" i="20" s="1"/>
  <c r="H655" i="13"/>
  <c r="I655" i="13"/>
  <c r="E224" i="13"/>
  <c r="F224" i="13" s="1"/>
  <c r="H480" i="13"/>
  <c r="I480" i="13"/>
  <c r="H395" i="13"/>
  <c r="I395" i="13"/>
  <c r="E396" i="13"/>
  <c r="F396" i="13" s="1"/>
  <c r="E573" i="13"/>
  <c r="F573" i="13" s="1"/>
  <c r="D574" i="13" s="1"/>
  <c r="H307" i="13"/>
  <c r="I307" i="13"/>
  <c r="G656" i="13"/>
  <c r="I582" i="20"/>
  <c r="E761" i="20"/>
  <c r="F761" i="20" s="1"/>
  <c r="E406" i="20"/>
  <c r="F406" i="20" s="1"/>
  <c r="E657" i="13"/>
  <c r="F657" i="13" s="1"/>
  <c r="G745" i="13"/>
  <c r="H572" i="13"/>
  <c r="I572" i="13"/>
  <c r="E583" i="20"/>
  <c r="F583" i="20" s="1"/>
  <c r="D762" i="20" l="1"/>
  <c r="G761" i="20"/>
  <c r="I227" i="20"/>
  <c r="D584" i="20"/>
  <c r="E584" i="20" s="1"/>
  <c r="H583" i="20"/>
  <c r="I405" i="20"/>
  <c r="J917" i="13"/>
  <c r="F919" i="13"/>
  <c r="G918" i="13"/>
  <c r="D831" i="13"/>
  <c r="E831" i="13" s="1"/>
  <c r="G830" i="13"/>
  <c r="H829" i="13"/>
  <c r="I829" i="13"/>
  <c r="G573" i="13"/>
  <c r="I573" i="13" s="1"/>
  <c r="J223" i="13"/>
  <c r="J572" i="13"/>
  <c r="D229" i="20"/>
  <c r="G228" i="20"/>
  <c r="H228" i="20"/>
  <c r="D658" i="13"/>
  <c r="G657" i="13"/>
  <c r="D397" i="13"/>
  <c r="G396" i="13"/>
  <c r="D407" i="20"/>
  <c r="G406" i="20"/>
  <c r="H406" i="20"/>
  <c r="D225" i="13"/>
  <c r="G224" i="13"/>
  <c r="E762" i="20"/>
  <c r="F762" i="20"/>
  <c r="D763" i="20" s="1"/>
  <c r="H308" i="13"/>
  <c r="I308" i="13"/>
  <c r="E747" i="13"/>
  <c r="F747" i="13" s="1"/>
  <c r="D301" i="2"/>
  <c r="B209" i="2"/>
  <c r="E309" i="13"/>
  <c r="F309" i="13" s="1"/>
  <c r="E317" i="20"/>
  <c r="F317" i="20" s="1"/>
  <c r="D318" i="20" s="1"/>
  <c r="H656" i="13"/>
  <c r="I656" i="13"/>
  <c r="G746" i="13"/>
  <c r="H481" i="13"/>
  <c r="I481" i="13"/>
  <c r="H745" i="13"/>
  <c r="I745" i="13"/>
  <c r="J307" i="13"/>
  <c r="J395" i="13"/>
  <c r="J655" i="13"/>
  <c r="E482" i="13"/>
  <c r="F482" i="13" s="1"/>
  <c r="D483" i="13" s="1"/>
  <c r="I139" i="20"/>
  <c r="E140" i="20"/>
  <c r="F140" i="20" s="1"/>
  <c r="H761" i="20"/>
  <c r="E574" i="13"/>
  <c r="F574" i="13" s="1"/>
  <c r="J480" i="13"/>
  <c r="I674" i="20"/>
  <c r="I494" i="20"/>
  <c r="H135" i="13"/>
  <c r="I135" i="13"/>
  <c r="E675" i="20"/>
  <c r="F675" i="20" s="1"/>
  <c r="G583" i="20"/>
  <c r="E136" i="13"/>
  <c r="F136" i="13" s="1"/>
  <c r="I316" i="20"/>
  <c r="E495" i="20"/>
  <c r="F495" i="20" s="1"/>
  <c r="D496" i="20" s="1"/>
  <c r="H573" i="13" l="1"/>
  <c r="J573" i="13" s="1"/>
  <c r="I761" i="20"/>
  <c r="F584" i="20"/>
  <c r="D585" i="20" s="1"/>
  <c r="E585" i="20" s="1"/>
  <c r="F585" i="20" s="1"/>
  <c r="H495" i="20"/>
  <c r="J829" i="13"/>
  <c r="I583" i="20"/>
  <c r="D141" i="20"/>
  <c r="E141" i="20" s="1"/>
  <c r="F141" i="20" s="1"/>
  <c r="G140" i="20"/>
  <c r="H140" i="20"/>
  <c r="D310" i="13"/>
  <c r="E310" i="13" s="1"/>
  <c r="F310" i="13" s="1"/>
  <c r="G309" i="13"/>
  <c r="I309" i="13" s="1"/>
  <c r="G762" i="20"/>
  <c r="H762" i="20"/>
  <c r="H584" i="20"/>
  <c r="D920" i="13"/>
  <c r="E920" i="13" s="1"/>
  <c r="G919" i="13"/>
  <c r="H918" i="13"/>
  <c r="I918" i="13"/>
  <c r="G482" i="13"/>
  <c r="H482" i="13" s="1"/>
  <c r="H830" i="13"/>
  <c r="I830" i="13"/>
  <c r="F831" i="13"/>
  <c r="D575" i="13"/>
  <c r="E575" i="13" s="1"/>
  <c r="F575" i="13" s="1"/>
  <c r="G574" i="13"/>
  <c r="H574" i="13" s="1"/>
  <c r="J308" i="13"/>
  <c r="J135" i="13"/>
  <c r="J481" i="13"/>
  <c r="I228" i="20"/>
  <c r="I406" i="20"/>
  <c r="D137" i="13"/>
  <c r="G136" i="13"/>
  <c r="D748" i="13"/>
  <c r="G747" i="13"/>
  <c r="D676" i="20"/>
  <c r="G675" i="20"/>
  <c r="H675" i="20"/>
  <c r="H396" i="13"/>
  <c r="I396" i="13"/>
  <c r="H309" i="13"/>
  <c r="E397" i="13"/>
  <c r="F397" i="13" s="1"/>
  <c r="E407" i="20"/>
  <c r="F407" i="20" s="1"/>
  <c r="H746" i="13"/>
  <c r="I746" i="13"/>
  <c r="H657" i="13"/>
  <c r="I657" i="13"/>
  <c r="E318" i="20"/>
  <c r="F318" i="20" s="1"/>
  <c r="G495" i="20"/>
  <c r="J656" i="13"/>
  <c r="H224" i="13"/>
  <c r="I224" i="13"/>
  <c r="E658" i="13"/>
  <c r="F658" i="13" s="1"/>
  <c r="D659" i="13" s="1"/>
  <c r="I574" i="13"/>
  <c r="D211" i="2"/>
  <c r="B211" i="2"/>
  <c r="B213" i="2" s="1"/>
  <c r="E225" i="13"/>
  <c r="F225" i="13" s="1"/>
  <c r="E496" i="20"/>
  <c r="F496" i="20" s="1"/>
  <c r="E763" i="20"/>
  <c r="F763" i="20" s="1"/>
  <c r="E483" i="13"/>
  <c r="F483" i="13" s="1"/>
  <c r="H317" i="20"/>
  <c r="J745" i="13"/>
  <c r="G317" i="20"/>
  <c r="E229" i="20"/>
  <c r="F229" i="20" s="1"/>
  <c r="G584" i="20" l="1"/>
  <c r="I584" i="20" s="1"/>
  <c r="I482" i="13"/>
  <c r="J482" i="13" s="1"/>
  <c r="I495" i="20"/>
  <c r="D226" i="13"/>
  <c r="G225" i="13"/>
  <c r="H225" i="13" s="1"/>
  <c r="D764" i="20"/>
  <c r="E764" i="20" s="1"/>
  <c r="F764" i="20" s="1"/>
  <c r="G763" i="20"/>
  <c r="D408" i="20"/>
  <c r="E408" i="20" s="1"/>
  <c r="F408" i="20" s="1"/>
  <c r="D409" i="20" s="1"/>
  <c r="H407" i="20"/>
  <c r="G407" i="20"/>
  <c r="I762" i="20"/>
  <c r="I140" i="20"/>
  <c r="H763" i="20"/>
  <c r="J830" i="13"/>
  <c r="J918" i="13"/>
  <c r="I919" i="13"/>
  <c r="H919" i="13"/>
  <c r="F920" i="13"/>
  <c r="D832" i="13"/>
  <c r="E832" i="13" s="1"/>
  <c r="G831" i="13"/>
  <c r="J746" i="13"/>
  <c r="J657" i="13"/>
  <c r="I675" i="20"/>
  <c r="J309" i="13"/>
  <c r="I317" i="20"/>
  <c r="D484" i="13"/>
  <c r="G483" i="13"/>
  <c r="D497" i="20"/>
  <c r="G496" i="20"/>
  <c r="H496" i="20"/>
  <c r="D398" i="13"/>
  <c r="G397" i="13"/>
  <c r="D586" i="20"/>
  <c r="G585" i="20"/>
  <c r="H585" i="20"/>
  <c r="D319" i="20"/>
  <c r="G318" i="20"/>
  <c r="H318" i="20"/>
  <c r="D311" i="13"/>
  <c r="G310" i="13"/>
  <c r="D230" i="20"/>
  <c r="H229" i="20"/>
  <c r="G229" i="20"/>
  <c r="D142" i="20"/>
  <c r="G141" i="20"/>
  <c r="H141" i="20"/>
  <c r="D576" i="13"/>
  <c r="G575" i="13"/>
  <c r="E659" i="13"/>
  <c r="F659" i="13" s="1"/>
  <c r="D660" i="13" s="1"/>
  <c r="G658" i="13"/>
  <c r="E676" i="20"/>
  <c r="F676" i="20" s="1"/>
  <c r="D214" i="2"/>
  <c r="J224" i="13"/>
  <c r="H747" i="13"/>
  <c r="I747" i="13"/>
  <c r="B226" i="2"/>
  <c r="E13" i="2"/>
  <c r="E748" i="13"/>
  <c r="F748" i="13" s="1"/>
  <c r="H136" i="13"/>
  <c r="I136" i="13"/>
  <c r="J574" i="13"/>
  <c r="J396" i="13"/>
  <c r="E137" i="13"/>
  <c r="F137" i="13" s="1"/>
  <c r="D138" i="13" s="1"/>
  <c r="E226" i="13" l="1"/>
  <c r="F226" i="13" s="1"/>
  <c r="I225" i="13"/>
  <c r="J225" i="13" s="1"/>
  <c r="I407" i="20"/>
  <c r="D677" i="20"/>
  <c r="G676" i="20"/>
  <c r="I763" i="20"/>
  <c r="H676" i="20"/>
  <c r="D921" i="13"/>
  <c r="E921" i="13" s="1"/>
  <c r="G920" i="13"/>
  <c r="J919" i="13"/>
  <c r="H831" i="13"/>
  <c r="I831" i="13"/>
  <c r="F832" i="13"/>
  <c r="I318" i="20"/>
  <c r="I585" i="20"/>
  <c r="I496" i="20"/>
  <c r="I141" i="20"/>
  <c r="J136" i="13"/>
  <c r="D749" i="13"/>
  <c r="G748" i="13"/>
  <c r="D765" i="20"/>
  <c r="H764" i="20"/>
  <c r="G764" i="20"/>
  <c r="H575" i="13"/>
  <c r="I575" i="13"/>
  <c r="H310" i="13"/>
  <c r="I310" i="13"/>
  <c r="H397" i="13"/>
  <c r="I397" i="13"/>
  <c r="E576" i="13"/>
  <c r="F576" i="13" s="1"/>
  <c r="E311" i="13"/>
  <c r="F311" i="13" s="1"/>
  <c r="E398" i="13"/>
  <c r="F398" i="13" s="1"/>
  <c r="D399" i="13" s="1"/>
  <c r="E409" i="20"/>
  <c r="F409" i="20" s="1"/>
  <c r="E586" i="20"/>
  <c r="F586" i="20" s="1"/>
  <c r="B227" i="2"/>
  <c r="B228" i="2" s="1"/>
  <c r="B229" i="2" s="1"/>
  <c r="E229" i="2"/>
  <c r="J747" i="13"/>
  <c r="G659" i="13"/>
  <c r="H658" i="13"/>
  <c r="I658" i="13"/>
  <c r="G137" i="13"/>
  <c r="E660" i="13"/>
  <c r="F660" i="13" s="1"/>
  <c r="D661" i="13" s="1"/>
  <c r="E142" i="20"/>
  <c r="F142" i="20" s="1"/>
  <c r="E319" i="20"/>
  <c r="F319" i="20" s="1"/>
  <c r="D320" i="20" s="1"/>
  <c r="E497" i="20"/>
  <c r="F497" i="20" s="1"/>
  <c r="D498" i="20" s="1"/>
  <c r="E230" i="20"/>
  <c r="F230" i="20" s="1"/>
  <c r="E138" i="13"/>
  <c r="F138" i="13" s="1"/>
  <c r="H408" i="20"/>
  <c r="E677" i="20"/>
  <c r="F677" i="20" s="1"/>
  <c r="H483" i="13"/>
  <c r="I483" i="13"/>
  <c r="G408" i="20"/>
  <c r="I229" i="20"/>
  <c r="E484" i="13"/>
  <c r="F484" i="13" s="1"/>
  <c r="D227" i="13" l="1"/>
  <c r="E227" i="13" s="1"/>
  <c r="F227" i="13" s="1"/>
  <c r="G226" i="13"/>
  <c r="I676" i="20"/>
  <c r="D410" i="20"/>
  <c r="E410" i="20" s="1"/>
  <c r="F410" i="20" s="1"/>
  <c r="D411" i="20" s="1"/>
  <c r="G409" i="20"/>
  <c r="H409" i="20"/>
  <c r="D143" i="20"/>
  <c r="E143" i="20" s="1"/>
  <c r="F143" i="20" s="1"/>
  <c r="G142" i="20"/>
  <c r="H142" i="20"/>
  <c r="D139" i="13"/>
  <c r="E139" i="13" s="1"/>
  <c r="F139" i="13" s="1"/>
  <c r="D140" i="13" s="1"/>
  <c r="G138" i="13"/>
  <c r="H138" i="13" s="1"/>
  <c r="D587" i="20"/>
  <c r="E587" i="20" s="1"/>
  <c r="F587" i="20" s="1"/>
  <c r="H586" i="20"/>
  <c r="G497" i="20"/>
  <c r="H497" i="20"/>
  <c r="J831" i="13"/>
  <c r="H920" i="13"/>
  <c r="I920" i="13"/>
  <c r="F921" i="13"/>
  <c r="D485" i="13"/>
  <c r="G484" i="13"/>
  <c r="H484" i="13" s="1"/>
  <c r="D833" i="13"/>
  <c r="E833" i="13" s="1"/>
  <c r="G832" i="13"/>
  <c r="J483" i="13"/>
  <c r="J397" i="13"/>
  <c r="J575" i="13"/>
  <c r="D231" i="20"/>
  <c r="G230" i="20"/>
  <c r="H230" i="20"/>
  <c r="D312" i="13"/>
  <c r="G311" i="13"/>
  <c r="D228" i="13"/>
  <c r="G227" i="13"/>
  <c r="D678" i="20"/>
  <c r="G677" i="20"/>
  <c r="H677" i="20"/>
  <c r="D577" i="13"/>
  <c r="G576" i="13"/>
  <c r="E399" i="13"/>
  <c r="F399" i="13" s="1"/>
  <c r="D400" i="13" s="1"/>
  <c r="I408" i="20"/>
  <c r="J658" i="13"/>
  <c r="G586" i="20"/>
  <c r="H226" i="13"/>
  <c r="I226" i="13"/>
  <c r="G398" i="13"/>
  <c r="E498" i="20"/>
  <c r="F498" i="20" s="1"/>
  <c r="D499" i="20" s="1"/>
  <c r="H659" i="13"/>
  <c r="I659" i="13"/>
  <c r="J310" i="13"/>
  <c r="I764" i="20"/>
  <c r="E485" i="13"/>
  <c r="F485" i="13" s="1"/>
  <c r="H319" i="20"/>
  <c r="G660" i="13"/>
  <c r="E765" i="20"/>
  <c r="F765" i="20" s="1"/>
  <c r="D766" i="20" s="1"/>
  <c r="H137" i="13"/>
  <c r="I137" i="13"/>
  <c r="E661" i="13"/>
  <c r="F661" i="13" s="1"/>
  <c r="D662" i="13" s="1"/>
  <c r="H748" i="13"/>
  <c r="I748" i="13"/>
  <c r="E320" i="20"/>
  <c r="F320" i="20" s="1"/>
  <c r="G319" i="20"/>
  <c r="E231" i="2"/>
  <c r="B231" i="2"/>
  <c r="B233" i="2" s="1"/>
  <c r="B234" i="2" s="1"/>
  <c r="E68" i="2"/>
  <c r="E749" i="13"/>
  <c r="F749" i="13" s="1"/>
  <c r="I484" i="13" l="1"/>
  <c r="J484" i="13" s="1"/>
  <c r="I138" i="13"/>
  <c r="J138" i="13" s="1"/>
  <c r="I586" i="20"/>
  <c r="I409" i="20"/>
  <c r="I142" i="20"/>
  <c r="I497" i="20"/>
  <c r="D588" i="20"/>
  <c r="E588" i="20" s="1"/>
  <c r="F588" i="20" s="1"/>
  <c r="H587" i="20"/>
  <c r="D144" i="20"/>
  <c r="E144" i="20" s="1"/>
  <c r="F144" i="20" s="1"/>
  <c r="G143" i="20"/>
  <c r="H498" i="20"/>
  <c r="J920" i="13"/>
  <c r="D922" i="13"/>
  <c r="E922" i="13" s="1"/>
  <c r="G921" i="13"/>
  <c r="H832" i="13"/>
  <c r="I832" i="13"/>
  <c r="F833" i="13"/>
  <c r="D834" i="13" s="1"/>
  <c r="E834" i="13" s="1"/>
  <c r="J659" i="13"/>
  <c r="I230" i="20"/>
  <c r="I319" i="20"/>
  <c r="I677" i="20"/>
  <c r="D486" i="13"/>
  <c r="G485" i="13"/>
  <c r="D750" i="13"/>
  <c r="G749" i="13"/>
  <c r="D321" i="20"/>
  <c r="H320" i="20"/>
  <c r="G320" i="20"/>
  <c r="H765" i="20"/>
  <c r="G139" i="13"/>
  <c r="E400" i="13"/>
  <c r="F400" i="13" s="1"/>
  <c r="D401" i="13" s="1"/>
  <c r="H227" i="13"/>
  <c r="I227" i="13"/>
  <c r="E411" i="20"/>
  <c r="F411" i="20" s="1"/>
  <c r="E140" i="13"/>
  <c r="F140" i="13" s="1"/>
  <c r="G661" i="13"/>
  <c r="G765" i="20"/>
  <c r="H398" i="13"/>
  <c r="I398" i="13"/>
  <c r="J226" i="13"/>
  <c r="G399" i="13"/>
  <c r="E228" i="13"/>
  <c r="F228" i="13" s="1"/>
  <c r="E766" i="20"/>
  <c r="F766" i="20" s="1"/>
  <c r="H311" i="13"/>
  <c r="I311" i="13"/>
  <c r="J748" i="13"/>
  <c r="G498" i="20"/>
  <c r="G587" i="20"/>
  <c r="H576" i="13"/>
  <c r="I576" i="13"/>
  <c r="E312" i="13"/>
  <c r="F312" i="13" s="1"/>
  <c r="D313" i="13" s="1"/>
  <c r="E239" i="2"/>
  <c r="B235" i="2"/>
  <c r="B236" i="2" s="1"/>
  <c r="B237" i="2" s="1"/>
  <c r="B238" i="2" s="1"/>
  <c r="B239" i="2" s="1"/>
  <c r="B241" i="2" s="1"/>
  <c r="B244" i="2" s="1"/>
  <c r="B245" i="2" s="1"/>
  <c r="H660" i="13"/>
  <c r="I660" i="13"/>
  <c r="E499" i="20"/>
  <c r="F499" i="20" s="1"/>
  <c r="D500" i="20" s="1"/>
  <c r="E577" i="13"/>
  <c r="F577" i="13" s="1"/>
  <c r="E678" i="20"/>
  <c r="F678" i="20" s="1"/>
  <c r="E662" i="13"/>
  <c r="F662" i="13" s="1"/>
  <c r="H410" i="20"/>
  <c r="G410" i="20"/>
  <c r="J137" i="13"/>
  <c r="H143" i="20"/>
  <c r="E231" i="20"/>
  <c r="F231" i="20" s="1"/>
  <c r="D232" i="20" s="1"/>
  <c r="I498" i="20" l="1"/>
  <c r="I587" i="20"/>
  <c r="I143" i="20"/>
  <c r="G231" i="20"/>
  <c r="J832" i="13"/>
  <c r="I921" i="13"/>
  <c r="H921" i="13"/>
  <c r="F922" i="13"/>
  <c r="F834" i="13"/>
  <c r="G833" i="13"/>
  <c r="D663" i="13"/>
  <c r="E663" i="13" s="1"/>
  <c r="F663" i="13" s="1"/>
  <c r="G662" i="13"/>
  <c r="H662" i="13" s="1"/>
  <c r="D578" i="13"/>
  <c r="G577" i="13"/>
  <c r="H577" i="13" s="1"/>
  <c r="D141" i="13"/>
  <c r="E141" i="13" s="1"/>
  <c r="F141" i="13" s="1"/>
  <c r="G140" i="13"/>
  <c r="H140" i="13" s="1"/>
  <c r="J311" i="13"/>
  <c r="J660" i="13"/>
  <c r="J398" i="13"/>
  <c r="J227" i="13"/>
  <c r="J576" i="13"/>
  <c r="I765" i="20"/>
  <c r="D589" i="20"/>
  <c r="G588" i="20"/>
  <c r="H588" i="20"/>
  <c r="D679" i="20"/>
  <c r="H678" i="20"/>
  <c r="G678" i="20"/>
  <c r="D412" i="20"/>
  <c r="G411" i="20"/>
  <c r="H411" i="20"/>
  <c r="D767" i="20"/>
  <c r="G766" i="20"/>
  <c r="H766" i="20"/>
  <c r="D229" i="13"/>
  <c r="G228" i="13"/>
  <c r="D145" i="20"/>
  <c r="G144" i="20"/>
  <c r="H144" i="20"/>
  <c r="E313" i="13"/>
  <c r="F313" i="13" s="1"/>
  <c r="H399" i="13"/>
  <c r="I399" i="13"/>
  <c r="E232" i="20"/>
  <c r="F232" i="20" s="1"/>
  <c r="D233" i="20" s="1"/>
  <c r="G400" i="13"/>
  <c r="I320" i="20"/>
  <c r="E578" i="13"/>
  <c r="F578" i="13" s="1"/>
  <c r="D579" i="13" s="1"/>
  <c r="H139" i="13"/>
  <c r="I139" i="13"/>
  <c r="E321" i="20"/>
  <c r="F321" i="20" s="1"/>
  <c r="E401" i="13"/>
  <c r="F401" i="13" s="1"/>
  <c r="B246" i="2"/>
  <c r="B247" i="2" s="1"/>
  <c r="B248" i="2" s="1"/>
  <c r="H749" i="13"/>
  <c r="I749" i="13"/>
  <c r="E750" i="13"/>
  <c r="F750" i="13" s="1"/>
  <c r="E500" i="20"/>
  <c r="F500" i="20" s="1"/>
  <c r="H499" i="20"/>
  <c r="G312" i="13"/>
  <c r="H661" i="13"/>
  <c r="I661" i="13"/>
  <c r="H485" i="13"/>
  <c r="I485" i="13"/>
  <c r="H231" i="20"/>
  <c r="I410" i="20"/>
  <c r="G499" i="20"/>
  <c r="E486" i="13"/>
  <c r="F486" i="13" s="1"/>
  <c r="D487" i="13" s="1"/>
  <c r="I662" i="13" l="1"/>
  <c r="J662" i="13" s="1"/>
  <c r="G232" i="20"/>
  <c r="I231" i="20"/>
  <c r="D501" i="20"/>
  <c r="E501" i="20" s="1"/>
  <c r="F501" i="20" s="1"/>
  <c r="G500" i="20"/>
  <c r="H500" i="20"/>
  <c r="J921" i="13"/>
  <c r="D923" i="13"/>
  <c r="E923" i="13" s="1"/>
  <c r="G922" i="13"/>
  <c r="D314" i="13"/>
  <c r="G313" i="13"/>
  <c r="H313" i="13" s="1"/>
  <c r="I577" i="13"/>
  <c r="J577" i="13" s="1"/>
  <c r="D835" i="13"/>
  <c r="E835" i="13" s="1"/>
  <c r="G834" i="13"/>
  <c r="H833" i="13"/>
  <c r="I833" i="13"/>
  <c r="I140" i="13"/>
  <c r="J140" i="13" s="1"/>
  <c r="J139" i="13"/>
  <c r="J749" i="13"/>
  <c r="J661" i="13"/>
  <c r="J485" i="13"/>
  <c r="I588" i="20"/>
  <c r="J399" i="13"/>
  <c r="I499" i="20"/>
  <c r="D322" i="20"/>
  <c r="G321" i="20"/>
  <c r="H321" i="20"/>
  <c r="D402" i="13"/>
  <c r="G401" i="13"/>
  <c r="D751" i="13"/>
  <c r="G750" i="13"/>
  <c r="D142" i="13"/>
  <c r="G141" i="13"/>
  <c r="D664" i="13"/>
  <c r="G663" i="13"/>
  <c r="E233" i="20"/>
  <c r="F233" i="20" s="1"/>
  <c r="D234" i="20" s="1"/>
  <c r="E145" i="20"/>
  <c r="F145" i="20" s="1"/>
  <c r="D146" i="20" s="1"/>
  <c r="E412" i="20"/>
  <c r="F412" i="20" s="1"/>
  <c r="G578" i="13"/>
  <c r="H228" i="13"/>
  <c r="I228" i="13"/>
  <c r="E579" i="13"/>
  <c r="F579" i="13" s="1"/>
  <c r="E229" i="13"/>
  <c r="F229" i="13" s="1"/>
  <c r="I678" i="20"/>
  <c r="E314" i="13"/>
  <c r="F314" i="13" s="1"/>
  <c r="D315" i="13" s="1"/>
  <c r="I766" i="20"/>
  <c r="E679" i="20"/>
  <c r="F679" i="20" s="1"/>
  <c r="E487" i="13"/>
  <c r="F487" i="13" s="1"/>
  <c r="B249" i="2"/>
  <c r="H400" i="13"/>
  <c r="I400" i="13"/>
  <c r="E767" i="20"/>
  <c r="F767" i="20" s="1"/>
  <c r="G486" i="13"/>
  <c r="H312" i="13"/>
  <c r="I312" i="13"/>
  <c r="H232" i="20"/>
  <c r="I144" i="20"/>
  <c r="I411" i="20"/>
  <c r="E589" i="20"/>
  <c r="F589" i="20" s="1"/>
  <c r="I313" i="13" l="1"/>
  <c r="I232" i="20"/>
  <c r="I500" i="20"/>
  <c r="D230" i="13"/>
  <c r="E230" i="13" s="1"/>
  <c r="F230" i="13" s="1"/>
  <c r="D231" i="13" s="1"/>
  <c r="G229" i="13"/>
  <c r="H229" i="13" s="1"/>
  <c r="D590" i="20"/>
  <c r="E590" i="20" s="1"/>
  <c r="F590" i="20" s="1"/>
  <c r="H589" i="20"/>
  <c r="D502" i="20"/>
  <c r="E502" i="20" s="1"/>
  <c r="F502" i="20" s="1"/>
  <c r="H501" i="20"/>
  <c r="D413" i="20"/>
  <c r="E413" i="20" s="1"/>
  <c r="F413" i="20" s="1"/>
  <c r="G412" i="20"/>
  <c r="H412" i="20"/>
  <c r="G233" i="20"/>
  <c r="H233" i="20"/>
  <c r="J833" i="13"/>
  <c r="H922" i="13"/>
  <c r="I922" i="13"/>
  <c r="F923" i="13"/>
  <c r="D924" i="13" s="1"/>
  <c r="E924" i="13" s="1"/>
  <c r="D488" i="13"/>
  <c r="E488" i="13" s="1"/>
  <c r="F488" i="13" s="1"/>
  <c r="D489" i="13" s="1"/>
  <c r="G487" i="13"/>
  <c r="H487" i="13" s="1"/>
  <c r="H834" i="13"/>
  <c r="I834" i="13"/>
  <c r="F835" i="13"/>
  <c r="J312" i="13"/>
  <c r="I321" i="20"/>
  <c r="J400" i="13"/>
  <c r="J228" i="13"/>
  <c r="D768" i="20"/>
  <c r="G767" i="20"/>
  <c r="H767" i="20"/>
  <c r="D680" i="20"/>
  <c r="G679" i="20"/>
  <c r="H679" i="20"/>
  <c r="D580" i="13"/>
  <c r="G579" i="13"/>
  <c r="I229" i="13"/>
  <c r="H750" i="13"/>
  <c r="I750" i="13"/>
  <c r="E142" i="13"/>
  <c r="F142" i="13" s="1"/>
  <c r="B250" i="2"/>
  <c r="D256" i="2"/>
  <c r="E751" i="13"/>
  <c r="F751" i="13" s="1"/>
  <c r="D752" i="13" s="1"/>
  <c r="E315" i="13"/>
  <c r="F315" i="13" s="1"/>
  <c r="E234" i="20"/>
  <c r="F234" i="20" s="1"/>
  <c r="D235" i="20" s="1"/>
  <c r="H401" i="13"/>
  <c r="I401" i="13"/>
  <c r="G589" i="20"/>
  <c r="H486" i="13"/>
  <c r="I486" i="13"/>
  <c r="G501" i="20"/>
  <c r="E402" i="13"/>
  <c r="F402" i="13" s="1"/>
  <c r="D403" i="13" s="1"/>
  <c r="G314" i="13"/>
  <c r="H145" i="20"/>
  <c r="H663" i="13"/>
  <c r="I663" i="13"/>
  <c r="H578" i="13"/>
  <c r="I578" i="13"/>
  <c r="G145" i="20"/>
  <c r="E664" i="13"/>
  <c r="F664" i="13" s="1"/>
  <c r="D665" i="13" s="1"/>
  <c r="E146" i="20"/>
  <c r="F146" i="20" s="1"/>
  <c r="J313" i="13"/>
  <c r="H141" i="13"/>
  <c r="I141" i="13"/>
  <c r="E322" i="20"/>
  <c r="F322" i="20" s="1"/>
  <c r="I487" i="13" l="1"/>
  <c r="J922" i="13"/>
  <c r="I412" i="20"/>
  <c r="I501" i="20"/>
  <c r="J834" i="13"/>
  <c r="I233" i="20"/>
  <c r="I589" i="20"/>
  <c r="D323" i="20"/>
  <c r="E323" i="20" s="1"/>
  <c r="F323" i="20" s="1"/>
  <c r="G322" i="20"/>
  <c r="H322" i="20"/>
  <c r="D591" i="20"/>
  <c r="E591" i="20" s="1"/>
  <c r="F591" i="20" s="1"/>
  <c r="G590" i="20"/>
  <c r="H590" i="20"/>
  <c r="D147" i="20"/>
  <c r="G146" i="20"/>
  <c r="F924" i="13"/>
  <c r="G923" i="13"/>
  <c r="D836" i="13"/>
  <c r="E836" i="13" s="1"/>
  <c r="G835" i="13"/>
  <c r="G751" i="13"/>
  <c r="I751" i="13" s="1"/>
  <c r="G402" i="13"/>
  <c r="H402" i="13" s="1"/>
  <c r="J578" i="13"/>
  <c r="J141" i="13"/>
  <c r="J401" i="13"/>
  <c r="I767" i="20"/>
  <c r="J750" i="13"/>
  <c r="I679" i="20"/>
  <c r="I145" i="20"/>
  <c r="J487" i="13"/>
  <c r="J229" i="13"/>
  <c r="J663" i="13"/>
  <c r="J486" i="13"/>
  <c r="D143" i="13"/>
  <c r="G142" i="13"/>
  <c r="D316" i="13"/>
  <c r="G315" i="13"/>
  <c r="D414" i="20"/>
  <c r="G413" i="20"/>
  <c r="H413" i="20"/>
  <c r="D503" i="20"/>
  <c r="H502" i="20"/>
  <c r="G502" i="20"/>
  <c r="H314" i="13"/>
  <c r="I314" i="13"/>
  <c r="E580" i="13"/>
  <c r="F580" i="13" s="1"/>
  <c r="G488" i="13"/>
  <c r="E752" i="13"/>
  <c r="F752" i="13" s="1"/>
  <c r="D753" i="13" s="1"/>
  <c r="E489" i="13"/>
  <c r="F489" i="13" s="1"/>
  <c r="E665" i="13"/>
  <c r="F665" i="13" s="1"/>
  <c r="D666" i="13" s="1"/>
  <c r="E403" i="13"/>
  <c r="F403" i="13" s="1"/>
  <c r="E231" i="13"/>
  <c r="F231" i="13" s="1"/>
  <c r="G230" i="13"/>
  <c r="E680" i="20"/>
  <c r="F680" i="20" s="1"/>
  <c r="H579" i="13"/>
  <c r="I579" i="13"/>
  <c r="B251" i="2"/>
  <c r="B252" i="2" s="1"/>
  <c r="E252" i="2"/>
  <c r="E147" i="20"/>
  <c r="F147" i="20" s="1"/>
  <c r="H234" i="20"/>
  <c r="E235" i="20"/>
  <c r="F235" i="20" s="1"/>
  <c r="G664" i="13"/>
  <c r="H146" i="20"/>
  <c r="G234" i="20"/>
  <c r="E768" i="20"/>
  <c r="F768" i="20" s="1"/>
  <c r="H751" i="13" l="1"/>
  <c r="J751" i="13" s="1"/>
  <c r="I402" i="13"/>
  <c r="J402" i="13" s="1"/>
  <c r="G752" i="13"/>
  <c r="H752" i="13" s="1"/>
  <c r="I146" i="20"/>
  <c r="I590" i="20"/>
  <c r="I322" i="20"/>
  <c r="D232" i="13"/>
  <c r="E232" i="13" s="1"/>
  <c r="F232" i="13" s="1"/>
  <c r="G231" i="13"/>
  <c r="H231" i="13" s="1"/>
  <c r="D592" i="20"/>
  <c r="G591" i="20"/>
  <c r="H591" i="20"/>
  <c r="D681" i="20"/>
  <c r="E681" i="20" s="1"/>
  <c r="F681" i="20" s="1"/>
  <c r="D682" i="20" s="1"/>
  <c r="G680" i="20"/>
  <c r="H680" i="20"/>
  <c r="D148" i="20"/>
  <c r="E148" i="20" s="1"/>
  <c r="F148" i="20" s="1"/>
  <c r="H147" i="20"/>
  <c r="G147" i="20"/>
  <c r="D925" i="13"/>
  <c r="E925" i="13" s="1"/>
  <c r="F925" i="13" s="1"/>
  <c r="G924" i="13"/>
  <c r="H924" i="13" s="1"/>
  <c r="I924" i="13"/>
  <c r="H923" i="13"/>
  <c r="I923" i="13"/>
  <c r="H835" i="13"/>
  <c r="I835" i="13"/>
  <c r="F836" i="13"/>
  <c r="J579" i="13"/>
  <c r="I413" i="20"/>
  <c r="D490" i="13"/>
  <c r="G489" i="13"/>
  <c r="D236" i="20"/>
  <c r="G235" i="20"/>
  <c r="H235" i="20"/>
  <c r="D581" i="13"/>
  <c r="G580" i="13"/>
  <c r="D404" i="13"/>
  <c r="G403" i="13"/>
  <c r="D324" i="20"/>
  <c r="G323" i="20"/>
  <c r="H323" i="20"/>
  <c r="D769" i="20"/>
  <c r="G768" i="20"/>
  <c r="H768" i="20"/>
  <c r="B254" i="2"/>
  <c r="B255" i="2" s="1"/>
  <c r="D257" i="2"/>
  <c r="I752" i="13"/>
  <c r="E592" i="20"/>
  <c r="F592" i="20" s="1"/>
  <c r="E753" i="13"/>
  <c r="F753" i="13" s="1"/>
  <c r="D754" i="13" s="1"/>
  <c r="E414" i="20"/>
  <c r="F414" i="20" s="1"/>
  <c r="J314" i="13"/>
  <c r="H315" i="13"/>
  <c r="I315" i="13"/>
  <c r="E503" i="20"/>
  <c r="F503" i="20" s="1"/>
  <c r="D504" i="20" s="1"/>
  <c r="E316" i="13"/>
  <c r="F316" i="13" s="1"/>
  <c r="H230" i="13"/>
  <c r="I230" i="13"/>
  <c r="H664" i="13"/>
  <c r="I664" i="13"/>
  <c r="H488" i="13"/>
  <c r="I488" i="13"/>
  <c r="H142" i="13"/>
  <c r="I142" i="13"/>
  <c r="E666" i="13"/>
  <c r="F666" i="13" s="1"/>
  <c r="D667" i="13" s="1"/>
  <c r="I234" i="20"/>
  <c r="G665" i="13"/>
  <c r="I502" i="20"/>
  <c r="E143" i="13"/>
  <c r="F143" i="13" s="1"/>
  <c r="D144" i="13" s="1"/>
  <c r="I231" i="13" l="1"/>
  <c r="I591" i="20"/>
  <c r="J923" i="13"/>
  <c r="I147" i="20"/>
  <c r="I680" i="20"/>
  <c r="G503" i="20"/>
  <c r="H503" i="20"/>
  <c r="J835" i="13"/>
  <c r="D926" i="13"/>
  <c r="E926" i="13" s="1"/>
  <c r="G925" i="13"/>
  <c r="J924" i="13"/>
  <c r="D317" i="13"/>
  <c r="G316" i="13"/>
  <c r="H316" i="13" s="1"/>
  <c r="D837" i="13"/>
  <c r="E837" i="13" s="1"/>
  <c r="G836" i="13"/>
  <c r="J752" i="13"/>
  <c r="I235" i="20"/>
  <c r="J142" i="13"/>
  <c r="J230" i="13"/>
  <c r="I768" i="20"/>
  <c r="J231" i="13"/>
  <c r="D593" i="20"/>
  <c r="G592" i="20"/>
  <c r="H592" i="20"/>
  <c r="D233" i="13"/>
  <c r="G232" i="13"/>
  <c r="D415" i="20"/>
  <c r="G414" i="20"/>
  <c r="H414" i="20"/>
  <c r="D149" i="20"/>
  <c r="G148" i="20"/>
  <c r="H148" i="20"/>
  <c r="E682" i="20"/>
  <c r="F682" i="20" s="1"/>
  <c r="D683" i="20" s="1"/>
  <c r="H580" i="13"/>
  <c r="I580" i="13"/>
  <c r="E667" i="13"/>
  <c r="F667" i="13" s="1"/>
  <c r="E404" i="13"/>
  <c r="F404" i="13" s="1"/>
  <c r="E504" i="20"/>
  <c r="F504" i="20" s="1"/>
  <c r="D505" i="20" s="1"/>
  <c r="E581" i="13"/>
  <c r="F581" i="13" s="1"/>
  <c r="D582" i="13" s="1"/>
  <c r="E317" i="13"/>
  <c r="F317" i="13" s="1"/>
  <c r="E769" i="20"/>
  <c r="F769" i="20" s="1"/>
  <c r="E144" i="13"/>
  <c r="F144" i="13" s="1"/>
  <c r="D145" i="13" s="1"/>
  <c r="J488" i="13"/>
  <c r="J315" i="13"/>
  <c r="I323" i="20"/>
  <c r="C19" i="13"/>
  <c r="D258" i="2"/>
  <c r="C19" i="20"/>
  <c r="D359" i="2"/>
  <c r="B256" i="2"/>
  <c r="B257" i="2" s="1"/>
  <c r="D350" i="2"/>
  <c r="E236" i="20"/>
  <c r="F236" i="20" s="1"/>
  <c r="H665" i="13"/>
  <c r="I665" i="13"/>
  <c r="H681" i="20"/>
  <c r="J664" i="13"/>
  <c r="E324" i="20"/>
  <c r="F324" i="20" s="1"/>
  <c r="H489" i="13"/>
  <c r="I489" i="13"/>
  <c r="E754" i="13"/>
  <c r="F754" i="13" s="1"/>
  <c r="G143" i="13"/>
  <c r="G666" i="13"/>
  <c r="G681" i="20"/>
  <c r="G753" i="13"/>
  <c r="H403" i="13"/>
  <c r="I403" i="13"/>
  <c r="E490" i="13"/>
  <c r="F490" i="13" s="1"/>
  <c r="D770" i="20" l="1"/>
  <c r="E770" i="20" s="1"/>
  <c r="F770" i="20" s="1"/>
  <c r="D771" i="20" s="1"/>
  <c r="H769" i="20"/>
  <c r="I316" i="13"/>
  <c r="J316" i="13" s="1"/>
  <c r="I503" i="20"/>
  <c r="D325" i="20"/>
  <c r="G324" i="20"/>
  <c r="H324" i="20"/>
  <c r="D405" i="13"/>
  <c r="E405" i="13" s="1"/>
  <c r="F405" i="13" s="1"/>
  <c r="G404" i="13"/>
  <c r="I404" i="13" s="1"/>
  <c r="H682" i="20"/>
  <c r="G769" i="20"/>
  <c r="G682" i="20"/>
  <c r="H925" i="13"/>
  <c r="I925" i="13"/>
  <c r="F926" i="13"/>
  <c r="H836" i="13"/>
  <c r="I836" i="13"/>
  <c r="F837" i="13"/>
  <c r="D838" i="13" s="1"/>
  <c r="E838" i="13" s="1"/>
  <c r="G581" i="13"/>
  <c r="H581" i="13" s="1"/>
  <c r="G144" i="13"/>
  <c r="H144" i="13" s="1"/>
  <c r="I414" i="20"/>
  <c r="I148" i="20"/>
  <c r="I592" i="20"/>
  <c r="J403" i="13"/>
  <c r="D237" i="20"/>
  <c r="H236" i="20"/>
  <c r="G236" i="20"/>
  <c r="D491" i="13"/>
  <c r="G490" i="13"/>
  <c r="D318" i="13"/>
  <c r="G317" i="13"/>
  <c r="D668" i="13"/>
  <c r="G667" i="13"/>
  <c r="D755" i="13"/>
  <c r="G754" i="13"/>
  <c r="E582" i="13"/>
  <c r="F582" i="13" s="1"/>
  <c r="H404" i="13"/>
  <c r="E415" i="20"/>
  <c r="F415" i="20" s="1"/>
  <c r="H666" i="13"/>
  <c r="I666" i="13"/>
  <c r="H143" i="13"/>
  <c r="I143" i="13"/>
  <c r="E325" i="20"/>
  <c r="H504" i="20"/>
  <c r="E683" i="20"/>
  <c r="F683" i="20" s="1"/>
  <c r="H232" i="13"/>
  <c r="I232" i="13"/>
  <c r="G504" i="20"/>
  <c r="E233" i="13"/>
  <c r="F233" i="13" s="1"/>
  <c r="I681" i="20"/>
  <c r="E505" i="20"/>
  <c r="F505" i="20"/>
  <c r="D506" i="20" s="1"/>
  <c r="J489" i="13"/>
  <c r="J665" i="13"/>
  <c r="C16" i="20"/>
  <c r="C16" i="13"/>
  <c r="B258" i="2"/>
  <c r="E145" i="13"/>
  <c r="F145" i="13" s="1"/>
  <c r="H753" i="13"/>
  <c r="I753" i="13"/>
  <c r="J580" i="13"/>
  <c r="E149" i="20"/>
  <c r="F149" i="20" s="1"/>
  <c r="E593" i="20"/>
  <c r="F593" i="20" s="1"/>
  <c r="I769" i="20" l="1"/>
  <c r="F325" i="20"/>
  <c r="D326" i="20" s="1"/>
  <c r="I682" i="20"/>
  <c r="I324" i="20"/>
  <c r="D684" i="20"/>
  <c r="G683" i="20"/>
  <c r="H683" i="20"/>
  <c r="D583" i="13"/>
  <c r="G582" i="13"/>
  <c r="H582" i="13" s="1"/>
  <c r="H505" i="20"/>
  <c r="G325" i="20"/>
  <c r="H325" i="20"/>
  <c r="J925" i="13"/>
  <c r="D927" i="13"/>
  <c r="E927" i="13" s="1"/>
  <c r="G926" i="13"/>
  <c r="J836" i="13"/>
  <c r="I144" i="13"/>
  <c r="J144" i="13" s="1"/>
  <c r="I581" i="13"/>
  <c r="J581" i="13" s="1"/>
  <c r="F838" i="13"/>
  <c r="G837" i="13"/>
  <c r="J143" i="13"/>
  <c r="J404" i="13"/>
  <c r="J232" i="13"/>
  <c r="D234" i="13"/>
  <c r="G233" i="13"/>
  <c r="D416" i="20"/>
  <c r="G415" i="20"/>
  <c r="H415" i="20"/>
  <c r="D150" i="20"/>
  <c r="H149" i="20"/>
  <c r="G149" i="20"/>
  <c r="D146" i="13"/>
  <c r="G145" i="13"/>
  <c r="D594" i="20"/>
  <c r="G593" i="20"/>
  <c r="H593" i="20"/>
  <c r="D406" i="13"/>
  <c r="G405" i="13"/>
  <c r="H317" i="13"/>
  <c r="I317" i="13"/>
  <c r="E684" i="20"/>
  <c r="F684" i="20" s="1"/>
  <c r="E318" i="13"/>
  <c r="F318" i="13" s="1"/>
  <c r="E326" i="20"/>
  <c r="F326" i="20" s="1"/>
  <c r="D327" i="20" s="1"/>
  <c r="E583" i="13"/>
  <c r="F583" i="13" s="1"/>
  <c r="H490" i="13"/>
  <c r="I490" i="13"/>
  <c r="E771" i="20"/>
  <c r="F771" i="20" s="1"/>
  <c r="B260" i="2"/>
  <c r="B77" i="41"/>
  <c r="E205" i="2"/>
  <c r="D191" i="2"/>
  <c r="G505" i="20"/>
  <c r="I504" i="20"/>
  <c r="E491" i="13"/>
  <c r="F491" i="13" s="1"/>
  <c r="H770" i="20"/>
  <c r="H754" i="13"/>
  <c r="I754" i="13"/>
  <c r="G770" i="20"/>
  <c r="E755" i="13"/>
  <c r="F755" i="13" s="1"/>
  <c r="D756" i="13" s="1"/>
  <c r="I236" i="20"/>
  <c r="E668" i="13"/>
  <c r="F668" i="13" s="1"/>
  <c r="D669" i="13" s="1"/>
  <c r="E506" i="20"/>
  <c r="F506" i="20" s="1"/>
  <c r="J753" i="13"/>
  <c r="J666" i="13"/>
  <c r="H667" i="13"/>
  <c r="I667" i="13"/>
  <c r="E237" i="20"/>
  <c r="F237" i="20" s="1"/>
  <c r="I582" i="13" l="1"/>
  <c r="H326" i="20"/>
  <c r="I505" i="20"/>
  <c r="I683" i="20"/>
  <c r="I325" i="20"/>
  <c r="D685" i="20"/>
  <c r="H684" i="20"/>
  <c r="D238" i="20"/>
  <c r="E238" i="20" s="1"/>
  <c r="F238" i="20" s="1"/>
  <c r="G237" i="20"/>
  <c r="D507" i="20"/>
  <c r="G506" i="20"/>
  <c r="H926" i="13"/>
  <c r="I926" i="13"/>
  <c r="F927" i="13"/>
  <c r="D928" i="13" s="1"/>
  <c r="E928" i="13" s="1"/>
  <c r="D492" i="13"/>
  <c r="E492" i="13" s="1"/>
  <c r="F492" i="13" s="1"/>
  <c r="G491" i="13"/>
  <c r="H491" i="13" s="1"/>
  <c r="D839" i="13"/>
  <c r="E839" i="13" s="1"/>
  <c r="G838" i="13"/>
  <c r="H837" i="13"/>
  <c r="I837" i="13"/>
  <c r="J754" i="13"/>
  <c r="I593" i="20"/>
  <c r="I415" i="20"/>
  <c r="J667" i="13"/>
  <c r="J582" i="13"/>
  <c r="D319" i="13"/>
  <c r="G318" i="13"/>
  <c r="D772" i="20"/>
  <c r="H771" i="20"/>
  <c r="G771" i="20"/>
  <c r="D584" i="13"/>
  <c r="G583" i="13"/>
  <c r="H405" i="13"/>
  <c r="I405" i="13"/>
  <c r="I149" i="20"/>
  <c r="E507" i="20"/>
  <c r="G326" i="20"/>
  <c r="E406" i="13"/>
  <c r="F406" i="13" s="1"/>
  <c r="E150" i="20"/>
  <c r="F150" i="20" s="1"/>
  <c r="E669" i="13"/>
  <c r="F669" i="13" s="1"/>
  <c r="E327" i="20"/>
  <c r="F327" i="20" s="1"/>
  <c r="J490" i="13"/>
  <c r="G684" i="20"/>
  <c r="E756" i="13"/>
  <c r="F756" i="13" s="1"/>
  <c r="D757" i="13" s="1"/>
  <c r="E685" i="20"/>
  <c r="F685" i="20" s="1"/>
  <c r="E594" i="20"/>
  <c r="F594" i="20" s="1"/>
  <c r="E416" i="20"/>
  <c r="F416" i="20" s="1"/>
  <c r="H145" i="13"/>
  <c r="I145" i="13"/>
  <c r="H233" i="13"/>
  <c r="I233" i="13"/>
  <c r="G668" i="13"/>
  <c r="I770" i="20"/>
  <c r="H237" i="20"/>
  <c r="H506" i="20"/>
  <c r="G755" i="13"/>
  <c r="J317" i="13"/>
  <c r="E146" i="13"/>
  <c r="F146" i="13" s="1"/>
  <c r="D147" i="13" s="1"/>
  <c r="E234" i="13"/>
  <c r="F234" i="13" s="1"/>
  <c r="I506" i="20" l="1"/>
  <c r="I326" i="20"/>
  <c r="I491" i="13"/>
  <c r="J491" i="13" s="1"/>
  <c r="D328" i="20"/>
  <c r="E328" i="20" s="1"/>
  <c r="F328" i="20" s="1"/>
  <c r="D329" i="20" s="1"/>
  <c r="H327" i="20"/>
  <c r="F507" i="20"/>
  <c r="G507" i="20" s="1"/>
  <c r="I684" i="20"/>
  <c r="I237" i="20"/>
  <c r="D151" i="20"/>
  <c r="G150" i="20"/>
  <c r="H150" i="20"/>
  <c r="D239" i="20"/>
  <c r="E239" i="20" s="1"/>
  <c r="F239" i="20" s="1"/>
  <c r="D240" i="20" s="1"/>
  <c r="H238" i="20"/>
  <c r="G238" i="20"/>
  <c r="G327" i="20"/>
  <c r="J926" i="13"/>
  <c r="F928" i="13"/>
  <c r="G927" i="13"/>
  <c r="J837" i="13"/>
  <c r="H838" i="13"/>
  <c r="I838" i="13"/>
  <c r="F839" i="13"/>
  <c r="D407" i="13"/>
  <c r="G406" i="13"/>
  <c r="I406" i="13" s="1"/>
  <c r="J233" i="13"/>
  <c r="J405" i="13"/>
  <c r="J145" i="13"/>
  <c r="D595" i="20"/>
  <c r="G594" i="20"/>
  <c r="H594" i="20"/>
  <c r="D417" i="20"/>
  <c r="G416" i="20"/>
  <c r="H416" i="20"/>
  <c r="D686" i="20"/>
  <c r="G685" i="20"/>
  <c r="H685" i="20"/>
  <c r="D493" i="13"/>
  <c r="G492" i="13"/>
  <c r="D235" i="13"/>
  <c r="G234" i="13"/>
  <c r="D670" i="13"/>
  <c r="G669" i="13"/>
  <c r="E407" i="13"/>
  <c r="F407" i="13" s="1"/>
  <c r="D408" i="13" s="1"/>
  <c r="H583" i="13"/>
  <c r="I583" i="13"/>
  <c r="G146" i="13"/>
  <c r="E584" i="13"/>
  <c r="F584" i="13"/>
  <c r="D585" i="13" s="1"/>
  <c r="I771" i="20"/>
  <c r="H668" i="13"/>
  <c r="I668" i="13"/>
  <c r="E151" i="20"/>
  <c r="F151" i="20" s="1"/>
  <c r="E772" i="20"/>
  <c r="F772" i="20" s="1"/>
  <c r="E757" i="13"/>
  <c r="F757" i="13" s="1"/>
  <c r="H755" i="13"/>
  <c r="I755" i="13"/>
  <c r="H318" i="13"/>
  <c r="I318" i="13"/>
  <c r="E147" i="13"/>
  <c r="F147" i="13" s="1"/>
  <c r="D148" i="13" s="1"/>
  <c r="G756" i="13"/>
  <c r="E319" i="13"/>
  <c r="F319" i="13" s="1"/>
  <c r="I327" i="20" l="1"/>
  <c r="D508" i="20"/>
  <c r="E508" i="20" s="1"/>
  <c r="F508" i="20" s="1"/>
  <c r="D509" i="20" s="1"/>
  <c r="H507" i="20"/>
  <c r="I507" i="20" s="1"/>
  <c r="I150" i="20"/>
  <c r="I238" i="20"/>
  <c r="H328" i="20"/>
  <c r="G328" i="20"/>
  <c r="G407" i="13"/>
  <c r="H407" i="13" s="1"/>
  <c r="J838" i="13"/>
  <c r="D929" i="13"/>
  <c r="E929" i="13" s="1"/>
  <c r="G928" i="13"/>
  <c r="I927" i="13"/>
  <c r="H927" i="13"/>
  <c r="H406" i="13"/>
  <c r="J406" i="13" s="1"/>
  <c r="D840" i="13"/>
  <c r="E840" i="13" s="1"/>
  <c r="G839" i="13"/>
  <c r="J755" i="13"/>
  <c r="J668" i="13"/>
  <c r="I416" i="20"/>
  <c r="I594" i="20"/>
  <c r="D320" i="13"/>
  <c r="G319" i="13"/>
  <c r="D152" i="20"/>
  <c r="G151" i="20"/>
  <c r="H151" i="20"/>
  <c r="D773" i="20"/>
  <c r="G772" i="20"/>
  <c r="H772" i="20"/>
  <c r="D758" i="13"/>
  <c r="G757" i="13"/>
  <c r="E240" i="20"/>
  <c r="F240" i="20" s="1"/>
  <c r="H669" i="13"/>
  <c r="I669" i="13"/>
  <c r="E686" i="20"/>
  <c r="F686" i="20" s="1"/>
  <c r="G584" i="13"/>
  <c r="E670" i="13"/>
  <c r="F670" i="13" s="1"/>
  <c r="D671" i="13" s="1"/>
  <c r="E329" i="20"/>
  <c r="F329" i="20" s="1"/>
  <c r="D330" i="20" s="1"/>
  <c r="H146" i="13"/>
  <c r="I146" i="13"/>
  <c r="H234" i="13"/>
  <c r="I234" i="13"/>
  <c r="H756" i="13"/>
  <c r="I756" i="13"/>
  <c r="G147" i="13"/>
  <c r="J583" i="13"/>
  <c r="E235" i="13"/>
  <c r="F235" i="13" s="1"/>
  <c r="E417" i="20"/>
  <c r="F417" i="20" s="1"/>
  <c r="H492" i="13"/>
  <c r="I492" i="13"/>
  <c r="E148" i="13"/>
  <c r="F148" i="13" s="1"/>
  <c r="D149" i="13" s="1"/>
  <c r="H239" i="20"/>
  <c r="E408" i="13"/>
  <c r="F408" i="13" s="1"/>
  <c r="D409" i="13" s="1"/>
  <c r="E493" i="13"/>
  <c r="F493" i="13" s="1"/>
  <c r="D494" i="13" s="1"/>
  <c r="E585" i="13"/>
  <c r="F585" i="13" s="1"/>
  <c r="J318" i="13"/>
  <c r="G239" i="20"/>
  <c r="I685" i="20"/>
  <c r="E595" i="20"/>
  <c r="F595" i="20" s="1"/>
  <c r="G508" i="20" l="1"/>
  <c r="H508" i="20"/>
  <c r="I407" i="13"/>
  <c r="J407" i="13" s="1"/>
  <c r="I328" i="20"/>
  <c r="D596" i="20"/>
  <c r="G595" i="20"/>
  <c r="H595" i="20"/>
  <c r="D687" i="20"/>
  <c r="E687" i="20" s="1"/>
  <c r="F687" i="20" s="1"/>
  <c r="G686" i="20"/>
  <c r="H686" i="20"/>
  <c r="H329" i="20"/>
  <c r="G329" i="20"/>
  <c r="H928" i="13"/>
  <c r="I928" i="13"/>
  <c r="J927" i="13"/>
  <c r="F929" i="13"/>
  <c r="H839" i="13"/>
  <c r="I839" i="13"/>
  <c r="F840" i="13"/>
  <c r="J492" i="13"/>
  <c r="J234" i="13"/>
  <c r="I151" i="20"/>
  <c r="I239" i="20"/>
  <c r="J669" i="13"/>
  <c r="I772" i="20"/>
  <c r="J756" i="13"/>
  <c r="D241" i="20"/>
  <c r="H240" i="20"/>
  <c r="G240" i="20"/>
  <c r="D418" i="20"/>
  <c r="G417" i="20"/>
  <c r="H417" i="20"/>
  <c r="D236" i="13"/>
  <c r="G235" i="13"/>
  <c r="D586" i="13"/>
  <c r="G585" i="13"/>
  <c r="H584" i="13"/>
  <c r="I584" i="13"/>
  <c r="E409" i="13"/>
  <c r="F409" i="13" s="1"/>
  <c r="H147" i="13"/>
  <c r="I147" i="13"/>
  <c r="E773" i="20"/>
  <c r="F773" i="20" s="1"/>
  <c r="D774" i="20" s="1"/>
  <c r="E149" i="13"/>
  <c r="F149" i="13" s="1"/>
  <c r="D150" i="13" s="1"/>
  <c r="E330" i="20"/>
  <c r="F330" i="20" s="1"/>
  <c r="D331" i="20" s="1"/>
  <c r="H757" i="13"/>
  <c r="I757" i="13"/>
  <c r="G493" i="13"/>
  <c r="E758" i="13"/>
  <c r="F758" i="13" s="1"/>
  <c r="G148" i="13"/>
  <c r="E671" i="13"/>
  <c r="F671" i="13" s="1"/>
  <c r="E152" i="20"/>
  <c r="F152" i="20" s="1"/>
  <c r="E494" i="13"/>
  <c r="F494" i="13" s="1"/>
  <c r="H319" i="13"/>
  <c r="I319" i="13"/>
  <c r="E596" i="20"/>
  <c r="F596" i="20" s="1"/>
  <c r="G408" i="13"/>
  <c r="J146" i="13"/>
  <c r="G670" i="13"/>
  <c r="E509" i="20"/>
  <c r="F509" i="20" s="1"/>
  <c r="E320" i="13"/>
  <c r="F320" i="13" s="1"/>
  <c r="I508" i="20" l="1"/>
  <c r="H330" i="20"/>
  <c r="G330" i="20"/>
  <c r="I686" i="20"/>
  <c r="I595" i="20"/>
  <c r="I329" i="20"/>
  <c r="D688" i="20"/>
  <c r="H687" i="20"/>
  <c r="D597" i="20"/>
  <c r="E597" i="20" s="1"/>
  <c r="F597" i="20" s="1"/>
  <c r="H596" i="20"/>
  <c r="J928" i="13"/>
  <c r="D930" i="13"/>
  <c r="E930" i="13" s="1"/>
  <c r="G929" i="13"/>
  <c r="J839" i="13"/>
  <c r="D841" i="13"/>
  <c r="E841" i="13" s="1"/>
  <c r="G840" i="13"/>
  <c r="D759" i="13"/>
  <c r="E759" i="13" s="1"/>
  <c r="F759" i="13" s="1"/>
  <c r="D760" i="13" s="1"/>
  <c r="G758" i="13"/>
  <c r="H758" i="13" s="1"/>
  <c r="J757" i="13"/>
  <c r="I417" i="20"/>
  <c r="D495" i="13"/>
  <c r="G494" i="13"/>
  <c r="D410" i="13"/>
  <c r="G409" i="13"/>
  <c r="D672" i="13"/>
  <c r="G671" i="13"/>
  <c r="D321" i="13"/>
  <c r="G320" i="13"/>
  <c r="D510" i="20"/>
  <c r="G509" i="20"/>
  <c r="H509" i="20"/>
  <c r="D153" i="20"/>
  <c r="G152" i="20"/>
  <c r="H152" i="20"/>
  <c r="G596" i="20"/>
  <c r="H148" i="13"/>
  <c r="I148" i="13"/>
  <c r="G687" i="20"/>
  <c r="E236" i="13"/>
  <c r="F236" i="13" s="1"/>
  <c r="D237" i="13" s="1"/>
  <c r="I758" i="13"/>
  <c r="E688" i="20"/>
  <c r="F688" i="20" s="1"/>
  <c r="G149" i="13"/>
  <c r="H773" i="20"/>
  <c r="H235" i="13"/>
  <c r="I235" i="13"/>
  <c r="J319" i="13"/>
  <c r="G773" i="20"/>
  <c r="J584" i="13"/>
  <c r="E418" i="20"/>
  <c r="F418" i="20" s="1"/>
  <c r="E150" i="13"/>
  <c r="F150" i="13"/>
  <c r="D151" i="13" s="1"/>
  <c r="H670" i="13"/>
  <c r="I670" i="13"/>
  <c r="H493" i="13"/>
  <c r="I493" i="13"/>
  <c r="E774" i="20"/>
  <c r="F774" i="20" s="1"/>
  <c r="E331" i="20"/>
  <c r="F331" i="20" s="1"/>
  <c r="H585" i="13"/>
  <c r="I585" i="13"/>
  <c r="I240" i="20"/>
  <c r="H408" i="13"/>
  <c r="I408" i="13"/>
  <c r="J147" i="13"/>
  <c r="E586" i="13"/>
  <c r="F586" i="13" s="1"/>
  <c r="E241" i="20"/>
  <c r="F241" i="20" s="1"/>
  <c r="D242" i="20" s="1"/>
  <c r="I330" i="20" l="1"/>
  <c r="D332" i="20"/>
  <c r="H331" i="20"/>
  <c r="G331" i="20"/>
  <c r="D689" i="20"/>
  <c r="E689" i="20" s="1"/>
  <c r="F689" i="20" s="1"/>
  <c r="H688" i="20"/>
  <c r="G688" i="20"/>
  <c r="G241" i="20"/>
  <c r="I687" i="20"/>
  <c r="D587" i="13"/>
  <c r="G586" i="13"/>
  <c r="I586" i="13" s="1"/>
  <c r="H241" i="20"/>
  <c r="I596" i="20"/>
  <c r="H929" i="13"/>
  <c r="I929" i="13"/>
  <c r="F930" i="13"/>
  <c r="H840" i="13"/>
  <c r="I840" i="13"/>
  <c r="F841" i="13"/>
  <c r="I773" i="20"/>
  <c r="I152" i="20"/>
  <c r="J235" i="13"/>
  <c r="J493" i="13"/>
  <c r="J670" i="13"/>
  <c r="I509" i="20"/>
  <c r="D598" i="20"/>
  <c r="G597" i="20"/>
  <c r="H597" i="20"/>
  <c r="D775" i="20"/>
  <c r="H774" i="20"/>
  <c r="G774" i="20"/>
  <c r="D419" i="20"/>
  <c r="G418" i="20"/>
  <c r="H418" i="20"/>
  <c r="E321" i="13"/>
  <c r="F321" i="13" s="1"/>
  <c r="D322" i="13" s="1"/>
  <c r="H671" i="13"/>
  <c r="I671" i="13"/>
  <c r="E760" i="13"/>
  <c r="F760" i="13" s="1"/>
  <c r="E237" i="13"/>
  <c r="F237" i="13" s="1"/>
  <c r="D238" i="13" s="1"/>
  <c r="E672" i="13"/>
  <c r="F672" i="13" s="1"/>
  <c r="D673" i="13" s="1"/>
  <c r="H320" i="13"/>
  <c r="I320" i="13"/>
  <c r="E332" i="20"/>
  <c r="F332" i="20" s="1"/>
  <c r="J408" i="13"/>
  <c r="J758" i="13"/>
  <c r="G236" i="13"/>
  <c r="E153" i="20"/>
  <c r="F153" i="20" s="1"/>
  <c r="H409" i="13"/>
  <c r="I409" i="13"/>
  <c r="E587" i="13"/>
  <c r="F587" i="13" s="1"/>
  <c r="E410" i="13"/>
  <c r="F410" i="13" s="1"/>
  <c r="D411" i="13" s="1"/>
  <c r="H586" i="13"/>
  <c r="E151" i="13"/>
  <c r="F151" i="13" s="1"/>
  <c r="D152" i="13" s="1"/>
  <c r="E242" i="20"/>
  <c r="F242" i="20" s="1"/>
  <c r="D243" i="20" s="1"/>
  <c r="H494" i="13"/>
  <c r="I494" i="13"/>
  <c r="G759" i="13"/>
  <c r="J585" i="13"/>
  <c r="G150" i="13"/>
  <c r="H149" i="13"/>
  <c r="I149" i="13"/>
  <c r="J148" i="13"/>
  <c r="E510" i="20"/>
  <c r="F510" i="20" s="1"/>
  <c r="E495" i="13"/>
  <c r="F495" i="13" s="1"/>
  <c r="I241" i="20" l="1"/>
  <c r="I688" i="20"/>
  <c r="I331" i="20"/>
  <c r="D154" i="20"/>
  <c r="E154" i="20" s="1"/>
  <c r="F154" i="20" s="1"/>
  <c r="D155" i="20" s="1"/>
  <c r="G153" i="20"/>
  <c r="J929" i="13"/>
  <c r="D931" i="13"/>
  <c r="E931" i="13" s="1"/>
  <c r="G930" i="13"/>
  <c r="D588" i="13"/>
  <c r="E588" i="13" s="1"/>
  <c r="F588" i="13" s="1"/>
  <c r="D589" i="13" s="1"/>
  <c r="G587" i="13"/>
  <c r="H587" i="13" s="1"/>
  <c r="G237" i="13"/>
  <c r="I237" i="13" s="1"/>
  <c r="G321" i="13"/>
  <c r="H321" i="13" s="1"/>
  <c r="J840" i="13"/>
  <c r="D842" i="13"/>
  <c r="E842" i="13" s="1"/>
  <c r="G841" i="13"/>
  <c r="J320" i="13"/>
  <c r="J671" i="13"/>
  <c r="I597" i="20"/>
  <c r="J409" i="13"/>
  <c r="J586" i="13"/>
  <c r="D333" i="20"/>
  <c r="H332" i="20"/>
  <c r="G332" i="20"/>
  <c r="D761" i="13"/>
  <c r="G760" i="13"/>
  <c r="D496" i="13"/>
  <c r="G495" i="13"/>
  <c r="D511" i="20"/>
  <c r="H510" i="20"/>
  <c r="G510" i="20"/>
  <c r="D690" i="20"/>
  <c r="H689" i="20"/>
  <c r="G689" i="20"/>
  <c r="E243" i="20"/>
  <c r="F243" i="20" s="1"/>
  <c r="E238" i="13"/>
  <c r="F238" i="13" s="1"/>
  <c r="E419" i="20"/>
  <c r="F419" i="20" s="1"/>
  <c r="E152" i="13"/>
  <c r="F152" i="13" s="1"/>
  <c r="I774" i="20"/>
  <c r="H237" i="13"/>
  <c r="H759" i="13"/>
  <c r="I759" i="13"/>
  <c r="H236" i="13"/>
  <c r="I236" i="13"/>
  <c r="J494" i="13"/>
  <c r="E322" i="13"/>
  <c r="F322" i="13" s="1"/>
  <c r="D323" i="13" s="1"/>
  <c r="E775" i="20"/>
  <c r="F775" i="20" s="1"/>
  <c r="E673" i="13"/>
  <c r="F673" i="13" s="1"/>
  <c r="D674" i="13" s="1"/>
  <c r="I321" i="13"/>
  <c r="E411" i="13"/>
  <c r="F411" i="13" s="1"/>
  <c r="D412" i="13" s="1"/>
  <c r="G672" i="13"/>
  <c r="H150" i="13"/>
  <c r="I150" i="13"/>
  <c r="G151" i="13"/>
  <c r="H242" i="20"/>
  <c r="J149" i="13"/>
  <c r="G242" i="20"/>
  <c r="G410" i="13"/>
  <c r="H153" i="20"/>
  <c r="I418" i="20"/>
  <c r="E598" i="20"/>
  <c r="F598" i="20" s="1"/>
  <c r="D239" i="13" l="1"/>
  <c r="G238" i="13"/>
  <c r="I153" i="20"/>
  <c r="D244" i="20"/>
  <c r="G243" i="20"/>
  <c r="D776" i="20"/>
  <c r="G775" i="20"/>
  <c r="H775" i="20"/>
  <c r="H154" i="20"/>
  <c r="I930" i="13"/>
  <c r="H930" i="13"/>
  <c r="F931" i="13"/>
  <c r="D932" i="13" s="1"/>
  <c r="E932" i="13" s="1"/>
  <c r="I587" i="13"/>
  <c r="J587" i="13" s="1"/>
  <c r="H841" i="13"/>
  <c r="I841" i="13"/>
  <c r="F842" i="13"/>
  <c r="D153" i="13"/>
  <c r="E153" i="13" s="1"/>
  <c r="F153" i="13" s="1"/>
  <c r="G152" i="13"/>
  <c r="H152" i="13" s="1"/>
  <c r="J236" i="13"/>
  <c r="J759" i="13"/>
  <c r="J150" i="13"/>
  <c r="J321" i="13"/>
  <c r="I242" i="20"/>
  <c r="D420" i="20"/>
  <c r="G419" i="20"/>
  <c r="H419" i="20"/>
  <c r="D599" i="20"/>
  <c r="H598" i="20"/>
  <c r="G598" i="20"/>
  <c r="E239" i="13"/>
  <c r="F239" i="13" s="1"/>
  <c r="D240" i="13" s="1"/>
  <c r="H495" i="13"/>
  <c r="I495" i="13"/>
  <c r="G411" i="13"/>
  <c r="E496" i="13"/>
  <c r="F496" i="13" s="1"/>
  <c r="D497" i="13" s="1"/>
  <c r="H238" i="13"/>
  <c r="I238" i="13"/>
  <c r="H760" i="13"/>
  <c r="I760" i="13"/>
  <c r="E776" i="20"/>
  <c r="F776" i="20" s="1"/>
  <c r="D777" i="20" s="1"/>
  <c r="H672" i="13"/>
  <c r="I672" i="13"/>
  <c r="G322" i="13"/>
  <c r="J237" i="13"/>
  <c r="G154" i="20"/>
  <c r="I689" i="20"/>
  <c r="E761" i="13"/>
  <c r="F761" i="13" s="1"/>
  <c r="D762" i="13" s="1"/>
  <c r="E511" i="20"/>
  <c r="F511" i="20" s="1"/>
  <c r="H151" i="13"/>
  <c r="I151" i="13"/>
  <c r="H410" i="13"/>
  <c r="I410" i="13"/>
  <c r="E674" i="13"/>
  <c r="F674" i="13" s="1"/>
  <c r="D675" i="13" s="1"/>
  <c r="E155" i="20"/>
  <c r="F155" i="20" s="1"/>
  <c r="D156" i="20" s="1"/>
  <c r="E690" i="20"/>
  <c r="F690" i="20" s="1"/>
  <c r="E412" i="13"/>
  <c r="F412" i="13" s="1"/>
  <c r="E589" i="13"/>
  <c r="F589" i="13" s="1"/>
  <c r="D590" i="13" s="1"/>
  <c r="I332" i="20"/>
  <c r="E323" i="13"/>
  <c r="F323" i="13"/>
  <c r="D324" i="13" s="1"/>
  <c r="G588" i="13"/>
  <c r="G673" i="13"/>
  <c r="H243" i="20"/>
  <c r="I510" i="20"/>
  <c r="E333" i="20"/>
  <c r="F333" i="20" s="1"/>
  <c r="E244" i="20" l="1"/>
  <c r="F244" i="20" s="1"/>
  <c r="D245" i="20" s="1"/>
  <c r="I243" i="20"/>
  <c r="I775" i="20"/>
  <c r="I154" i="20"/>
  <c r="D334" i="20"/>
  <c r="G333" i="20"/>
  <c r="H333" i="20"/>
  <c r="D691" i="20"/>
  <c r="E691" i="20" s="1"/>
  <c r="F691" i="20" s="1"/>
  <c r="H690" i="20"/>
  <c r="G155" i="20"/>
  <c r="G776" i="20"/>
  <c r="I152" i="13"/>
  <c r="J152" i="13" s="1"/>
  <c r="G323" i="13"/>
  <c r="F932" i="13"/>
  <c r="D933" i="13" s="1"/>
  <c r="E933" i="13" s="1"/>
  <c r="G931" i="13"/>
  <c r="J930" i="13"/>
  <c r="J841" i="13"/>
  <c r="D843" i="13"/>
  <c r="E843" i="13" s="1"/>
  <c r="G842" i="13"/>
  <c r="D413" i="13"/>
  <c r="E413" i="13" s="1"/>
  <c r="F413" i="13" s="1"/>
  <c r="G412" i="13"/>
  <c r="I419" i="20"/>
  <c r="J238" i="13"/>
  <c r="J151" i="13"/>
  <c r="J672" i="13"/>
  <c r="J410" i="13"/>
  <c r="J760" i="13"/>
  <c r="D512" i="20"/>
  <c r="G511" i="20"/>
  <c r="H511" i="20"/>
  <c r="D154" i="13"/>
  <c r="G153" i="13"/>
  <c r="E497" i="13"/>
  <c r="F497" i="13" s="1"/>
  <c r="E777" i="20"/>
  <c r="F777" i="20" s="1"/>
  <c r="D778" i="20" s="1"/>
  <c r="G496" i="13"/>
  <c r="H588" i="13"/>
  <c r="I588" i="13"/>
  <c r="E156" i="20"/>
  <c r="F156" i="20" s="1"/>
  <c r="E675" i="13"/>
  <c r="F675" i="13" s="1"/>
  <c r="E245" i="20"/>
  <c r="F245" i="20" s="1"/>
  <c r="I598" i="20"/>
  <c r="G690" i="20"/>
  <c r="G674" i="13"/>
  <c r="H322" i="13"/>
  <c r="I322" i="13"/>
  <c r="E599" i="20"/>
  <c r="F599" i="20" s="1"/>
  <c r="H323" i="13"/>
  <c r="I323" i="13"/>
  <c r="E240" i="13"/>
  <c r="F240" i="13" s="1"/>
  <c r="E324" i="13"/>
  <c r="F324" i="13" s="1"/>
  <c r="E590" i="13"/>
  <c r="F590" i="13" s="1"/>
  <c r="G761" i="13"/>
  <c r="H411" i="13"/>
  <c r="I411" i="13"/>
  <c r="H412" i="13"/>
  <c r="I412" i="13"/>
  <c r="E762" i="13"/>
  <c r="F762" i="13" s="1"/>
  <c r="D763" i="13" s="1"/>
  <c r="E334" i="20"/>
  <c r="F334" i="20" s="1"/>
  <c r="G589" i="13"/>
  <c r="H673" i="13"/>
  <c r="I673" i="13"/>
  <c r="H155" i="20"/>
  <c r="H776" i="20"/>
  <c r="J495" i="13"/>
  <c r="G239" i="13"/>
  <c r="E420" i="20"/>
  <c r="F420" i="20" s="1"/>
  <c r="H777" i="20" l="1"/>
  <c r="H244" i="20"/>
  <c r="G777" i="20"/>
  <c r="G244" i="20"/>
  <c r="I690" i="20"/>
  <c r="I155" i="20"/>
  <c r="I333" i="20"/>
  <c r="I776" i="20"/>
  <c r="D600" i="20"/>
  <c r="G599" i="20"/>
  <c r="H599" i="20"/>
  <c r="H931" i="13"/>
  <c r="I931" i="13"/>
  <c r="G932" i="13"/>
  <c r="F933" i="13"/>
  <c r="D498" i="13"/>
  <c r="E498" i="13" s="1"/>
  <c r="F498" i="13" s="1"/>
  <c r="G497" i="13"/>
  <c r="H497" i="13" s="1"/>
  <c r="H842" i="13"/>
  <c r="I842" i="13"/>
  <c r="F843" i="13"/>
  <c r="J322" i="13"/>
  <c r="J588" i="13"/>
  <c r="J411" i="13"/>
  <c r="I511" i="20"/>
  <c r="J673" i="13"/>
  <c r="J323" i="13"/>
  <c r="D325" i="13"/>
  <c r="G324" i="13"/>
  <c r="D157" i="20"/>
  <c r="H156" i="20"/>
  <c r="G156" i="20"/>
  <c r="D241" i="13"/>
  <c r="G240" i="13"/>
  <c r="D414" i="13"/>
  <c r="G413" i="13"/>
  <c r="D591" i="13"/>
  <c r="G590" i="13"/>
  <c r="D421" i="20"/>
  <c r="H420" i="20"/>
  <c r="G420" i="20"/>
  <c r="D246" i="20"/>
  <c r="G245" i="20"/>
  <c r="H245" i="20"/>
  <c r="D692" i="20"/>
  <c r="G691" i="20"/>
  <c r="H691" i="20"/>
  <c r="D335" i="20"/>
  <c r="H334" i="20"/>
  <c r="G334" i="20"/>
  <c r="D676" i="13"/>
  <c r="G675" i="13"/>
  <c r="H674" i="13"/>
  <c r="I674" i="13"/>
  <c r="H496" i="13"/>
  <c r="I496" i="13"/>
  <c r="H153" i="13"/>
  <c r="I153" i="13"/>
  <c r="I497" i="13"/>
  <c r="J412" i="13"/>
  <c r="E154" i="13"/>
  <c r="F154" i="13" s="1"/>
  <c r="E763" i="13"/>
  <c r="F763" i="13" s="1"/>
  <c r="E600" i="20"/>
  <c r="F600" i="20" s="1"/>
  <c r="E778" i="20"/>
  <c r="F778" i="20" s="1"/>
  <c r="H761" i="13"/>
  <c r="I761" i="13"/>
  <c r="G762" i="13"/>
  <c r="H589" i="13"/>
  <c r="I589" i="13"/>
  <c r="H239" i="13"/>
  <c r="I239" i="13"/>
  <c r="E512" i="20"/>
  <c r="F512" i="20" s="1"/>
  <c r="I244" i="20" l="1"/>
  <c r="I777" i="20"/>
  <c r="D513" i="20"/>
  <c r="E513" i="20" s="1"/>
  <c r="F513" i="20" s="1"/>
  <c r="H512" i="20"/>
  <c r="G512" i="20"/>
  <c r="I599" i="20"/>
  <c r="J842" i="13"/>
  <c r="D601" i="20"/>
  <c r="E601" i="20" s="1"/>
  <c r="F601" i="20" s="1"/>
  <c r="D602" i="20" s="1"/>
  <c r="G600" i="20"/>
  <c r="D779" i="20"/>
  <c r="E779" i="20" s="1"/>
  <c r="F779" i="20" s="1"/>
  <c r="H778" i="20"/>
  <c r="J931" i="13"/>
  <c r="D934" i="13"/>
  <c r="E934" i="13" s="1"/>
  <c r="G933" i="13"/>
  <c r="I932" i="13"/>
  <c r="H932" i="13"/>
  <c r="D499" i="13"/>
  <c r="E499" i="13" s="1"/>
  <c r="G498" i="13"/>
  <c r="H498" i="13" s="1"/>
  <c r="D844" i="13"/>
  <c r="E844" i="13" s="1"/>
  <c r="G843" i="13"/>
  <c r="J761" i="13"/>
  <c r="J239" i="13"/>
  <c r="J674" i="13"/>
  <c r="J589" i="13"/>
  <c r="I420" i="20"/>
  <c r="J153" i="13"/>
  <c r="J496" i="13"/>
  <c r="D155" i="13"/>
  <c r="G154" i="13"/>
  <c r="D764" i="13"/>
  <c r="G763" i="13"/>
  <c r="E246" i="20"/>
  <c r="F246" i="20" s="1"/>
  <c r="H240" i="13"/>
  <c r="I240" i="13"/>
  <c r="E414" i="13"/>
  <c r="F414" i="13" s="1"/>
  <c r="I334" i="20"/>
  <c r="E241" i="13"/>
  <c r="F241" i="13" s="1"/>
  <c r="E676" i="13"/>
  <c r="F676" i="13" s="1"/>
  <c r="E335" i="20"/>
  <c r="F335" i="20" s="1"/>
  <c r="G778" i="20"/>
  <c r="J497" i="13"/>
  <c r="I691" i="20"/>
  <c r="E421" i="20"/>
  <c r="F421" i="20" s="1"/>
  <c r="I156" i="20"/>
  <c r="H762" i="13"/>
  <c r="I762" i="13"/>
  <c r="H590" i="13"/>
  <c r="I590" i="13"/>
  <c r="E157" i="20"/>
  <c r="F157" i="20" s="1"/>
  <c r="E692" i="20"/>
  <c r="F692" i="20" s="1"/>
  <c r="E591" i="13"/>
  <c r="F591" i="13" s="1"/>
  <c r="D592" i="13" s="1"/>
  <c r="H324" i="13"/>
  <c r="I324" i="13"/>
  <c r="H600" i="20"/>
  <c r="H675" i="13"/>
  <c r="I675" i="13"/>
  <c r="I245" i="20"/>
  <c r="H413" i="13"/>
  <c r="I413" i="13"/>
  <c r="E325" i="13"/>
  <c r="F325" i="13" s="1"/>
  <c r="I512" i="20" l="1"/>
  <c r="I498" i="13"/>
  <c r="J498" i="13" s="1"/>
  <c r="I600" i="20"/>
  <c r="I778" i="20"/>
  <c r="D336" i="20"/>
  <c r="E336" i="20" s="1"/>
  <c r="F336" i="20" s="1"/>
  <c r="D337" i="20" s="1"/>
  <c r="G335" i="20"/>
  <c r="H335" i="20"/>
  <c r="D326" i="13"/>
  <c r="G325" i="13"/>
  <c r="I325" i="13" s="1"/>
  <c r="I933" i="13"/>
  <c r="H933" i="13"/>
  <c r="J932" i="13"/>
  <c r="F934" i="13"/>
  <c r="F499" i="13"/>
  <c r="D500" i="13" s="1"/>
  <c r="E500" i="13" s="1"/>
  <c r="H843" i="13"/>
  <c r="I843" i="13"/>
  <c r="F844" i="13"/>
  <c r="J324" i="13"/>
  <c r="J590" i="13"/>
  <c r="J675" i="13"/>
  <c r="J240" i="13"/>
  <c r="J762" i="13"/>
  <c r="D158" i="20"/>
  <c r="G157" i="20"/>
  <c r="H157" i="20"/>
  <c r="D422" i="20"/>
  <c r="G421" i="20"/>
  <c r="H421" i="20"/>
  <c r="D780" i="20"/>
  <c r="G779" i="20"/>
  <c r="H779" i="20"/>
  <c r="D242" i="13"/>
  <c r="G241" i="13"/>
  <c r="D415" i="13"/>
  <c r="G414" i="13"/>
  <c r="D247" i="20"/>
  <c r="H246" i="20"/>
  <c r="G246" i="20"/>
  <c r="D693" i="20"/>
  <c r="G692" i="20"/>
  <c r="H692" i="20"/>
  <c r="D677" i="13"/>
  <c r="G676" i="13"/>
  <c r="D514" i="20"/>
  <c r="G513" i="20"/>
  <c r="H513" i="20"/>
  <c r="E602" i="20"/>
  <c r="F602" i="20" s="1"/>
  <c r="E592" i="13"/>
  <c r="F592" i="13" s="1"/>
  <c r="D593" i="13" s="1"/>
  <c r="H763" i="13"/>
  <c r="I763" i="13"/>
  <c r="E764" i="13"/>
  <c r="F764" i="13" s="1"/>
  <c r="D765" i="13" s="1"/>
  <c r="H325" i="13"/>
  <c r="H601" i="20"/>
  <c r="H154" i="13"/>
  <c r="I154" i="13"/>
  <c r="E326" i="13"/>
  <c r="F326" i="13" s="1"/>
  <c r="D327" i="13" s="1"/>
  <c r="J413" i="13"/>
  <c r="G591" i="13"/>
  <c r="G601" i="20"/>
  <c r="E155" i="13"/>
  <c r="F155" i="13" s="1"/>
  <c r="D156" i="13" s="1"/>
  <c r="I335" i="20" l="1"/>
  <c r="D603" i="20"/>
  <c r="G602" i="20"/>
  <c r="H602" i="20"/>
  <c r="J843" i="13"/>
  <c r="D935" i="13"/>
  <c r="E935" i="13" s="1"/>
  <c r="G934" i="13"/>
  <c r="J933" i="13"/>
  <c r="G499" i="13"/>
  <c r="F500" i="13"/>
  <c r="D501" i="13" s="1"/>
  <c r="E501" i="13" s="1"/>
  <c r="F501" i="13" s="1"/>
  <c r="G764" i="13"/>
  <c r="I764" i="13" s="1"/>
  <c r="D845" i="13"/>
  <c r="E845" i="13" s="1"/>
  <c r="G844" i="13"/>
  <c r="G155" i="13"/>
  <c r="I155" i="13" s="1"/>
  <c r="I692" i="20"/>
  <c r="I157" i="20"/>
  <c r="I421" i="20"/>
  <c r="J763" i="13"/>
  <c r="J325" i="13"/>
  <c r="J154" i="13"/>
  <c r="I513" i="20"/>
  <c r="H591" i="13"/>
  <c r="I591" i="13"/>
  <c r="I246" i="20"/>
  <c r="E780" i="20"/>
  <c r="F780" i="20" s="1"/>
  <c r="D781" i="20" s="1"/>
  <c r="E514" i="20"/>
  <c r="F514" i="20" s="1"/>
  <c r="E247" i="20"/>
  <c r="F247" i="20" s="1"/>
  <c r="E327" i="13"/>
  <c r="F327" i="13" s="1"/>
  <c r="E765" i="13"/>
  <c r="F765" i="13" s="1"/>
  <c r="D766" i="13" s="1"/>
  <c r="E593" i="13"/>
  <c r="F593" i="13" s="1"/>
  <c r="H676" i="13"/>
  <c r="I676" i="13"/>
  <c r="H414" i="13"/>
  <c r="I414" i="13"/>
  <c r="E156" i="13"/>
  <c r="F156" i="13" s="1"/>
  <c r="G326" i="13"/>
  <c r="E677" i="13"/>
  <c r="F677" i="13" s="1"/>
  <c r="D678" i="13" s="1"/>
  <c r="E415" i="13"/>
  <c r="F415" i="13" s="1"/>
  <c r="D416" i="13" s="1"/>
  <c r="E422" i="20"/>
  <c r="F422" i="20" s="1"/>
  <c r="H241" i="13"/>
  <c r="I241" i="13"/>
  <c r="G592" i="13"/>
  <c r="H336" i="20"/>
  <c r="E603" i="20"/>
  <c r="F603" i="20" s="1"/>
  <c r="D604" i="20" s="1"/>
  <c r="E242" i="13"/>
  <c r="F242" i="13" s="1"/>
  <c r="D243" i="13" s="1"/>
  <c r="E337" i="20"/>
  <c r="F337" i="20" s="1"/>
  <c r="G500" i="13"/>
  <c r="H155" i="13"/>
  <c r="I601" i="20"/>
  <c r="G336" i="20"/>
  <c r="E693" i="20"/>
  <c r="F693" i="20" s="1"/>
  <c r="D694" i="20" s="1"/>
  <c r="I779" i="20"/>
  <c r="E158" i="20"/>
  <c r="F158" i="20" s="1"/>
  <c r="H764" i="13" l="1"/>
  <c r="H603" i="20"/>
  <c r="I602" i="20"/>
  <c r="D423" i="20"/>
  <c r="E423" i="20" s="1"/>
  <c r="F423" i="20" s="1"/>
  <c r="D424" i="20" s="1"/>
  <c r="G422" i="20"/>
  <c r="H422" i="20"/>
  <c r="D159" i="20"/>
  <c r="E159" i="20" s="1"/>
  <c r="F159" i="20" s="1"/>
  <c r="D160" i="20" s="1"/>
  <c r="G158" i="20"/>
  <c r="H158" i="20"/>
  <c r="D328" i="13"/>
  <c r="G327" i="13"/>
  <c r="D338" i="20"/>
  <c r="E338" i="20" s="1"/>
  <c r="F338" i="20" s="1"/>
  <c r="D339" i="20" s="1"/>
  <c r="G337" i="20"/>
  <c r="H337" i="20"/>
  <c r="G603" i="20"/>
  <c r="H693" i="20"/>
  <c r="H780" i="20"/>
  <c r="G693" i="20"/>
  <c r="G780" i="20"/>
  <c r="H934" i="13"/>
  <c r="I934" i="13"/>
  <c r="F935" i="13"/>
  <c r="D936" i="13" s="1"/>
  <c r="E936" i="13" s="1"/>
  <c r="D502" i="13"/>
  <c r="E502" i="13" s="1"/>
  <c r="F502" i="13" s="1"/>
  <c r="G501" i="13"/>
  <c r="H501" i="13" s="1"/>
  <c r="H499" i="13"/>
  <c r="I499" i="13"/>
  <c r="H844" i="13"/>
  <c r="I844" i="13"/>
  <c r="F845" i="13"/>
  <c r="D846" i="13" s="1"/>
  <c r="E846" i="13" s="1"/>
  <c r="D594" i="13"/>
  <c r="E594" i="13" s="1"/>
  <c r="F594" i="13" s="1"/>
  <c r="D595" i="13" s="1"/>
  <c r="G593" i="13"/>
  <c r="I593" i="13" s="1"/>
  <c r="J676" i="13"/>
  <c r="J764" i="13"/>
  <c r="J241" i="13"/>
  <c r="J414" i="13"/>
  <c r="J591" i="13"/>
  <c r="J155" i="13"/>
  <c r="I336" i="20"/>
  <c r="D515" i="20"/>
  <c r="G514" i="20"/>
  <c r="H514" i="20"/>
  <c r="D157" i="13"/>
  <c r="G156" i="13"/>
  <c r="D248" i="20"/>
  <c r="H247" i="20"/>
  <c r="G247" i="20"/>
  <c r="H327" i="13"/>
  <c r="I327" i="13"/>
  <c r="E678" i="13"/>
  <c r="F678" i="13" s="1"/>
  <c r="E694" i="20"/>
  <c r="F694" i="20" s="1"/>
  <c r="G677" i="13"/>
  <c r="E766" i="13"/>
  <c r="F766" i="13" s="1"/>
  <c r="D767" i="13" s="1"/>
  <c r="E781" i="20"/>
  <c r="F781" i="20" s="1"/>
  <c r="D782" i="20" s="1"/>
  <c r="H500" i="13"/>
  <c r="I500" i="13"/>
  <c r="H593" i="13"/>
  <c r="H326" i="13"/>
  <c r="I326" i="13"/>
  <c r="G765" i="13"/>
  <c r="E416" i="13"/>
  <c r="F416" i="13" s="1"/>
  <c r="D417" i="13" s="1"/>
  <c r="E604" i="20"/>
  <c r="F604" i="20" s="1"/>
  <c r="D605" i="20" s="1"/>
  <c r="E243" i="13"/>
  <c r="F243" i="13" s="1"/>
  <c r="D244" i="13" s="1"/>
  <c r="E328" i="13"/>
  <c r="F328" i="13" s="1"/>
  <c r="H592" i="13"/>
  <c r="I592" i="13"/>
  <c r="G242" i="13"/>
  <c r="G415" i="13"/>
  <c r="I501" i="13" l="1"/>
  <c r="I603" i="20"/>
  <c r="I693" i="20"/>
  <c r="I158" i="20"/>
  <c r="I422" i="20"/>
  <c r="I337" i="20"/>
  <c r="I780" i="20"/>
  <c r="G159" i="20"/>
  <c r="H159" i="20"/>
  <c r="J499" i="13"/>
  <c r="J934" i="13"/>
  <c r="J844" i="13"/>
  <c r="G935" i="13"/>
  <c r="F936" i="13"/>
  <c r="F846" i="13"/>
  <c r="G845" i="13"/>
  <c r="J592" i="13"/>
  <c r="I514" i="20"/>
  <c r="J326" i="13"/>
  <c r="J500" i="13"/>
  <c r="J501" i="13"/>
  <c r="J593" i="13"/>
  <c r="D695" i="20"/>
  <c r="G694" i="20"/>
  <c r="H694" i="20"/>
  <c r="D329" i="13"/>
  <c r="G328" i="13"/>
  <c r="D679" i="13"/>
  <c r="G678" i="13"/>
  <c r="D503" i="13"/>
  <c r="G502" i="13"/>
  <c r="E244" i="13"/>
  <c r="F244" i="13" s="1"/>
  <c r="D245" i="13" s="1"/>
  <c r="G766" i="13"/>
  <c r="I247" i="20"/>
  <c r="E417" i="13"/>
  <c r="F417" i="13" s="1"/>
  <c r="D418" i="13" s="1"/>
  <c r="E515" i="20"/>
  <c r="F515" i="20" s="1"/>
  <c r="G416" i="13"/>
  <c r="G243" i="13"/>
  <c r="H765" i="13"/>
  <c r="I765" i="13"/>
  <c r="H677" i="13"/>
  <c r="I677" i="13"/>
  <c r="E248" i="20"/>
  <c r="F248" i="20" s="1"/>
  <c r="E424" i="20"/>
  <c r="F424" i="20" s="1"/>
  <c r="H338" i="20"/>
  <c r="H156" i="13"/>
  <c r="I156" i="13"/>
  <c r="E160" i="20"/>
  <c r="F160" i="20" s="1"/>
  <c r="H415" i="13"/>
  <c r="I415" i="13"/>
  <c r="H604" i="20"/>
  <c r="H781" i="20"/>
  <c r="H242" i="13"/>
  <c r="I242" i="13"/>
  <c r="G604" i="20"/>
  <c r="G594" i="13"/>
  <c r="G781" i="20"/>
  <c r="G338" i="20"/>
  <c r="E157" i="13"/>
  <c r="F157" i="13" s="1"/>
  <c r="D158" i="13" s="1"/>
  <c r="E767" i="13"/>
  <c r="F767" i="13" s="1"/>
  <c r="E605" i="20"/>
  <c r="F605" i="20" s="1"/>
  <c r="H423" i="20"/>
  <c r="E595" i="13"/>
  <c r="F595" i="13" s="1"/>
  <c r="D596" i="13" s="1"/>
  <c r="E782" i="20"/>
  <c r="F782" i="20" s="1"/>
  <c r="E339" i="20"/>
  <c r="F339" i="20" s="1"/>
  <c r="G423" i="20"/>
  <c r="J327" i="13"/>
  <c r="I159" i="20" l="1"/>
  <c r="D606" i="20"/>
  <c r="H605" i="20"/>
  <c r="G605" i="20"/>
  <c r="D516" i="20"/>
  <c r="E516" i="20" s="1"/>
  <c r="F516" i="20" s="1"/>
  <c r="H515" i="20"/>
  <c r="D937" i="13"/>
  <c r="E937" i="13" s="1"/>
  <c r="G936" i="13"/>
  <c r="I935" i="13"/>
  <c r="H935" i="13"/>
  <c r="D847" i="13"/>
  <c r="E847" i="13" s="1"/>
  <c r="G846" i="13"/>
  <c r="H845" i="13"/>
  <c r="I845" i="13"/>
  <c r="J677" i="13"/>
  <c r="J242" i="13"/>
  <c r="J156" i="13"/>
  <c r="I781" i="20"/>
  <c r="I694" i="20"/>
  <c r="I604" i="20"/>
  <c r="I423" i="20"/>
  <c r="D340" i="20"/>
  <c r="G339" i="20"/>
  <c r="H339" i="20"/>
  <c r="D768" i="13"/>
  <c r="G767" i="13"/>
  <c r="D161" i="20"/>
  <c r="G160" i="20"/>
  <c r="H160" i="20"/>
  <c r="D783" i="20"/>
  <c r="G782" i="20"/>
  <c r="H782" i="20"/>
  <c r="D425" i="20"/>
  <c r="H424" i="20"/>
  <c r="G424" i="20"/>
  <c r="D249" i="20"/>
  <c r="G248" i="20"/>
  <c r="H248" i="20"/>
  <c r="H243" i="13"/>
  <c r="I243" i="13"/>
  <c r="H678" i="13"/>
  <c r="I678" i="13"/>
  <c r="E418" i="13"/>
  <c r="F418" i="13" s="1"/>
  <c r="H416" i="13"/>
  <c r="I416" i="13"/>
  <c r="E679" i="13"/>
  <c r="F679" i="13" s="1"/>
  <c r="E503" i="13"/>
  <c r="F503" i="13" s="1"/>
  <c r="D504" i="13" s="1"/>
  <c r="H766" i="13"/>
  <c r="I766" i="13"/>
  <c r="H328" i="13"/>
  <c r="I328" i="13"/>
  <c r="E158" i="13"/>
  <c r="F158" i="13" s="1"/>
  <c r="D159" i="13" s="1"/>
  <c r="G157" i="13"/>
  <c r="J415" i="13"/>
  <c r="I338" i="20"/>
  <c r="G515" i="20"/>
  <c r="G244" i="13"/>
  <c r="E329" i="13"/>
  <c r="F329" i="13" s="1"/>
  <c r="E245" i="13"/>
  <c r="F245" i="13" s="1"/>
  <c r="E606" i="20"/>
  <c r="F606" i="20" s="1"/>
  <c r="D607" i="20" s="1"/>
  <c r="H594" i="13"/>
  <c r="I594" i="13"/>
  <c r="E596" i="13"/>
  <c r="E597" i="13" s="1"/>
  <c r="G595" i="13"/>
  <c r="J765" i="13"/>
  <c r="G417" i="13"/>
  <c r="H502" i="13"/>
  <c r="I502" i="13"/>
  <c r="E695" i="20"/>
  <c r="F695" i="20"/>
  <c r="D696" i="20" s="1"/>
  <c r="G695" i="20"/>
  <c r="I605" i="20" l="1"/>
  <c r="I515" i="20"/>
  <c r="D330" i="13"/>
  <c r="E330" i="13" s="1"/>
  <c r="F330" i="13" s="1"/>
  <c r="D331" i="13" s="1"/>
  <c r="G329" i="13"/>
  <c r="H329" i="13" s="1"/>
  <c r="J845" i="13"/>
  <c r="H936" i="13"/>
  <c r="I936" i="13"/>
  <c r="J935" i="13"/>
  <c r="F937" i="13"/>
  <c r="H846" i="13"/>
  <c r="I846" i="13"/>
  <c r="F847" i="13"/>
  <c r="D680" i="13"/>
  <c r="E680" i="13" s="1"/>
  <c r="F680" i="13" s="1"/>
  <c r="G679" i="13"/>
  <c r="H679" i="13" s="1"/>
  <c r="J243" i="13"/>
  <c r="I782" i="20"/>
  <c r="I339" i="20"/>
  <c r="J416" i="13"/>
  <c r="I160" i="20"/>
  <c r="J594" i="13"/>
  <c r="J328" i="13"/>
  <c r="J766" i="13"/>
  <c r="J502" i="13"/>
  <c r="J678" i="13"/>
  <c r="D246" i="13"/>
  <c r="G245" i="13"/>
  <c r="D517" i="20"/>
  <c r="G516" i="20"/>
  <c r="H516" i="20"/>
  <c r="D419" i="13"/>
  <c r="G418" i="13"/>
  <c r="E607" i="20"/>
  <c r="E608" i="20" s="1"/>
  <c r="G503" i="13"/>
  <c r="E249" i="20"/>
  <c r="F249" i="20" s="1"/>
  <c r="E696" i="20"/>
  <c r="E697" i="20" s="1"/>
  <c r="G158" i="13"/>
  <c r="E161" i="20"/>
  <c r="F161" i="20" s="1"/>
  <c r="I424" i="20"/>
  <c r="H767" i="13"/>
  <c r="I767" i="13"/>
  <c r="E425" i="20"/>
  <c r="F425" i="20" s="1"/>
  <c r="E768" i="13"/>
  <c r="F768" i="13" s="1"/>
  <c r="E504" i="13"/>
  <c r="F504" i="13" s="1"/>
  <c r="F596" i="13"/>
  <c r="G596" i="13" s="1"/>
  <c r="H244" i="13"/>
  <c r="I244" i="13"/>
  <c r="H606" i="20"/>
  <c r="G606" i="20"/>
  <c r="E159" i="13"/>
  <c r="F159" i="13" s="1"/>
  <c r="H417" i="13"/>
  <c r="I417" i="13"/>
  <c r="H695" i="20"/>
  <c r="I695" i="20" s="1"/>
  <c r="H595" i="13"/>
  <c r="I595" i="13"/>
  <c r="H157" i="13"/>
  <c r="I157" i="13"/>
  <c r="I248" i="20"/>
  <c r="E783" i="20"/>
  <c r="F783" i="20" s="1"/>
  <c r="E340" i="20"/>
  <c r="E341" i="20" s="1"/>
  <c r="I329" i="13" l="1"/>
  <c r="J936" i="13"/>
  <c r="D938" i="13"/>
  <c r="E938" i="13" s="1"/>
  <c r="G937" i="13"/>
  <c r="I679" i="13"/>
  <c r="J679" i="13" s="1"/>
  <c r="J846" i="13"/>
  <c r="D848" i="13"/>
  <c r="E848" i="13" s="1"/>
  <c r="G847" i="13"/>
  <c r="J595" i="13"/>
  <c r="J244" i="13"/>
  <c r="I516" i="20"/>
  <c r="D160" i="13"/>
  <c r="G159" i="13"/>
  <c r="D162" i="20"/>
  <c r="G161" i="20"/>
  <c r="H161" i="20"/>
  <c r="D681" i="13"/>
  <c r="G680" i="13"/>
  <c r="D505" i="13"/>
  <c r="G504" i="13"/>
  <c r="D769" i="13"/>
  <c r="G768" i="13"/>
  <c r="D250" i="20"/>
  <c r="H249" i="20"/>
  <c r="G249" i="20"/>
  <c r="D426" i="20"/>
  <c r="G425" i="20"/>
  <c r="H425" i="20"/>
  <c r="D784" i="20"/>
  <c r="G783" i="20"/>
  <c r="H783" i="20"/>
  <c r="J157" i="13"/>
  <c r="G330" i="13"/>
  <c r="H158" i="13"/>
  <c r="I158" i="13"/>
  <c r="H418" i="13"/>
  <c r="I418" i="13"/>
  <c r="E331" i="13"/>
  <c r="F331" i="13" s="1"/>
  <c r="D332" i="13" s="1"/>
  <c r="J767" i="13"/>
  <c r="E419" i="13"/>
  <c r="F419" i="13" s="1"/>
  <c r="D420" i="13" s="1"/>
  <c r="F340" i="20"/>
  <c r="I606" i="20"/>
  <c r="F696" i="20"/>
  <c r="H503" i="13"/>
  <c r="I503" i="13"/>
  <c r="E517" i="20"/>
  <c r="F517" i="20"/>
  <c r="D518" i="20" s="1"/>
  <c r="J417" i="13"/>
  <c r="J329" i="13"/>
  <c r="H245" i="13"/>
  <c r="I245" i="13"/>
  <c r="H596" i="13"/>
  <c r="H597" i="13" s="1"/>
  <c r="I596" i="13"/>
  <c r="F607" i="20"/>
  <c r="E246" i="13"/>
  <c r="F246" i="13" s="1"/>
  <c r="D247" i="13" s="1"/>
  <c r="H937" i="13" l="1"/>
  <c r="I937" i="13"/>
  <c r="F938" i="13"/>
  <c r="H847" i="13"/>
  <c r="I847" i="13"/>
  <c r="F848" i="13"/>
  <c r="I161" i="20"/>
  <c r="J503" i="13"/>
  <c r="I783" i="20"/>
  <c r="J245" i="13"/>
  <c r="J418" i="13"/>
  <c r="J158" i="13"/>
  <c r="E518" i="20"/>
  <c r="E519" i="20" s="1"/>
  <c r="E426" i="20"/>
  <c r="F426" i="20" s="1"/>
  <c r="D427" i="20" s="1"/>
  <c r="H680" i="13"/>
  <c r="I680" i="13"/>
  <c r="J596" i="13"/>
  <c r="J597" i="13" s="1"/>
  <c r="I597" i="13"/>
  <c r="E505" i="13"/>
  <c r="F505" i="13" s="1"/>
  <c r="E681" i="13"/>
  <c r="F681" i="13" s="1"/>
  <c r="I249" i="20"/>
  <c r="H330" i="13"/>
  <c r="I330" i="13"/>
  <c r="G696" i="20"/>
  <c r="G697" i="20" s="1"/>
  <c r="H696" i="20"/>
  <c r="E250" i="20"/>
  <c r="F250" i="20" s="1"/>
  <c r="H768" i="13"/>
  <c r="I768" i="13"/>
  <c r="E162" i="20"/>
  <c r="E163" i="20" s="1"/>
  <c r="E332" i="13"/>
  <c r="F332" i="13" s="1"/>
  <c r="G246" i="13"/>
  <c r="G340" i="20"/>
  <c r="G341" i="20" s="1"/>
  <c r="H340" i="20"/>
  <c r="E784" i="20"/>
  <c r="F784" i="20" s="1"/>
  <c r="E769" i="13"/>
  <c r="F769" i="13" s="1"/>
  <c r="H159" i="13"/>
  <c r="I159" i="13"/>
  <c r="E420" i="13"/>
  <c r="F420" i="13" s="1"/>
  <c r="E247" i="13"/>
  <c r="F247" i="13" s="1"/>
  <c r="G331" i="13"/>
  <c r="H517" i="20"/>
  <c r="G607" i="20"/>
  <c r="G608" i="20" s="1"/>
  <c r="H607" i="20"/>
  <c r="G517" i="20"/>
  <c r="G419" i="13"/>
  <c r="I425" i="20"/>
  <c r="H504" i="13"/>
  <c r="I504" i="13"/>
  <c r="E160" i="13"/>
  <c r="F160" i="13" s="1"/>
  <c r="G426" i="20" l="1"/>
  <c r="H426" i="20"/>
  <c r="J937" i="13"/>
  <c r="J847" i="13"/>
  <c r="D939" i="13"/>
  <c r="E939" i="13" s="1"/>
  <c r="G938" i="13"/>
  <c r="D849" i="13"/>
  <c r="E849" i="13" s="1"/>
  <c r="G848" i="13"/>
  <c r="D770" i="13"/>
  <c r="E770" i="13" s="1"/>
  <c r="E771" i="13" s="1"/>
  <c r="G769" i="13"/>
  <c r="H769" i="13" s="1"/>
  <c r="D421" i="13"/>
  <c r="E421" i="13" s="1"/>
  <c r="F421" i="13" s="1"/>
  <c r="G420" i="13"/>
  <c r="H420" i="13" s="1"/>
  <c r="J504" i="13"/>
  <c r="J768" i="13"/>
  <c r="J159" i="13"/>
  <c r="J330" i="13"/>
  <c r="I517" i="20"/>
  <c r="D333" i="13"/>
  <c r="G332" i="13"/>
  <c r="D251" i="20"/>
  <c r="G250" i="20"/>
  <c r="H250" i="20"/>
  <c r="D161" i="13"/>
  <c r="G160" i="13"/>
  <c r="D785" i="20"/>
  <c r="G784" i="20"/>
  <c r="H784" i="20"/>
  <c r="D682" i="13"/>
  <c r="G681" i="13"/>
  <c r="D248" i="13"/>
  <c r="G247" i="13"/>
  <c r="D506" i="13"/>
  <c r="G505" i="13"/>
  <c r="H331" i="13"/>
  <c r="I331" i="13"/>
  <c r="I340" i="20"/>
  <c r="I341" i="20" s="1"/>
  <c r="H341" i="20"/>
  <c r="F162" i="20"/>
  <c r="I696" i="20"/>
  <c r="I697" i="20" s="1"/>
  <c r="H697" i="20"/>
  <c r="E427" i="20"/>
  <c r="F427" i="20"/>
  <c r="D428" i="20" s="1"/>
  <c r="H246" i="13"/>
  <c r="I246" i="13"/>
  <c r="H419" i="13"/>
  <c r="I419" i="13"/>
  <c r="I607" i="20"/>
  <c r="I608" i="20" s="1"/>
  <c r="H608" i="20"/>
  <c r="J680" i="13"/>
  <c r="F518" i="20"/>
  <c r="I769" i="13" l="1"/>
  <c r="I426" i="20"/>
  <c r="H427" i="20"/>
  <c r="I938" i="13"/>
  <c r="H938" i="13"/>
  <c r="F939" i="13"/>
  <c r="D940" i="13" s="1"/>
  <c r="E940" i="13" s="1"/>
  <c r="I420" i="13"/>
  <c r="J420" i="13" s="1"/>
  <c r="H848" i="13"/>
  <c r="I848" i="13"/>
  <c r="F849" i="13"/>
  <c r="I250" i="20"/>
  <c r="D422" i="13"/>
  <c r="G421" i="13"/>
  <c r="E506" i="13"/>
  <c r="F506" i="13" s="1"/>
  <c r="H160" i="13"/>
  <c r="I160" i="13"/>
  <c r="F770" i="13"/>
  <c r="G770" i="13" s="1"/>
  <c r="H247" i="13"/>
  <c r="I247" i="13"/>
  <c r="E161" i="13"/>
  <c r="E162" i="13" s="1"/>
  <c r="H162" i="20"/>
  <c r="G162" i="20"/>
  <c r="G163" i="20" s="1"/>
  <c r="E785" i="20"/>
  <c r="E786" i="20" s="1"/>
  <c r="E248" i="13"/>
  <c r="E249" i="13" s="1"/>
  <c r="J419" i="13"/>
  <c r="G427" i="20"/>
  <c r="H681" i="13"/>
  <c r="I681" i="13"/>
  <c r="G518" i="20"/>
  <c r="G519" i="20" s="1"/>
  <c r="H518" i="20"/>
  <c r="E682" i="13"/>
  <c r="F682" i="13" s="1"/>
  <c r="E251" i="20"/>
  <c r="E252" i="20" s="1"/>
  <c r="H505" i="13"/>
  <c r="I505" i="13"/>
  <c r="E428" i="20"/>
  <c r="F428" i="20" s="1"/>
  <c r="J246" i="13"/>
  <c r="J331" i="13"/>
  <c r="I784" i="20"/>
  <c r="H332" i="13"/>
  <c r="I332" i="13"/>
  <c r="J769" i="13"/>
  <c r="E333" i="13"/>
  <c r="F333" i="13" s="1"/>
  <c r="I427" i="20" l="1"/>
  <c r="F248" i="13"/>
  <c r="G248" i="13" s="1"/>
  <c r="I248" i="13" s="1"/>
  <c r="F940" i="13"/>
  <c r="D941" i="13" s="1"/>
  <c r="E941" i="13" s="1"/>
  <c r="G939" i="13"/>
  <c r="J938" i="13"/>
  <c r="J848" i="13"/>
  <c r="D850" i="13"/>
  <c r="E850" i="13" s="1"/>
  <c r="G849" i="13"/>
  <c r="D683" i="13"/>
  <c r="G682" i="13"/>
  <c r="H682" i="13" s="1"/>
  <c r="J332" i="13"/>
  <c r="J160" i="13"/>
  <c r="J247" i="13"/>
  <c r="J505" i="13"/>
  <c r="J681" i="13"/>
  <c r="D429" i="20"/>
  <c r="G428" i="20"/>
  <c r="H428" i="20"/>
  <c r="D334" i="13"/>
  <c r="G333" i="13"/>
  <c r="D507" i="13"/>
  <c r="G506" i="13"/>
  <c r="I162" i="20"/>
  <c r="I163" i="20" s="1"/>
  <c r="H163" i="20"/>
  <c r="F161" i="13"/>
  <c r="G161" i="13" s="1"/>
  <c r="H770" i="13"/>
  <c r="H771" i="13" s="1"/>
  <c r="I770" i="13"/>
  <c r="H248" i="13"/>
  <c r="H249" i="13" s="1"/>
  <c r="I518" i="20"/>
  <c r="I519" i="20" s="1"/>
  <c r="H519" i="20"/>
  <c r="F251" i="20"/>
  <c r="H421" i="13"/>
  <c r="I421" i="13"/>
  <c r="E683" i="13"/>
  <c r="E684" i="13" s="1"/>
  <c r="F785" i="20"/>
  <c r="E422" i="13"/>
  <c r="E423" i="13" s="1"/>
  <c r="H939" i="13" l="1"/>
  <c r="I939" i="13"/>
  <c r="G940" i="13"/>
  <c r="F941" i="13"/>
  <c r="I682" i="13"/>
  <c r="J682" i="13" s="1"/>
  <c r="H849" i="13"/>
  <c r="I849" i="13"/>
  <c r="F850" i="13"/>
  <c r="J421" i="13"/>
  <c r="I428" i="20"/>
  <c r="G785" i="20"/>
  <c r="G786" i="20" s="1"/>
  <c r="H785" i="20"/>
  <c r="H506" i="13"/>
  <c r="I506" i="13"/>
  <c r="J770" i="13"/>
  <c r="J771" i="13" s="1"/>
  <c r="I771" i="13"/>
  <c r="E507" i="13"/>
  <c r="F507" i="13" s="1"/>
  <c r="E429" i="20"/>
  <c r="E430" i="20" s="1"/>
  <c r="H333" i="13"/>
  <c r="I333" i="13"/>
  <c r="F683" i="13"/>
  <c r="G683" i="13" s="1"/>
  <c r="H161" i="13"/>
  <c r="H162" i="13" s="1"/>
  <c r="I161" i="13"/>
  <c r="E334" i="13"/>
  <c r="F334" i="13" s="1"/>
  <c r="J248" i="13"/>
  <c r="J249" i="13" s="1"/>
  <c r="I249" i="13"/>
  <c r="H251" i="20"/>
  <c r="G251" i="20"/>
  <c r="G252" i="20" s="1"/>
  <c r="F422" i="13"/>
  <c r="G422" i="13" s="1"/>
  <c r="J849" i="13" l="1"/>
  <c r="J939" i="13"/>
  <c r="D942" i="13"/>
  <c r="E942" i="13" s="1"/>
  <c r="G941" i="13"/>
  <c r="H940" i="13"/>
  <c r="I940" i="13"/>
  <c r="D851" i="13"/>
  <c r="E851" i="13" s="1"/>
  <c r="G850" i="13"/>
  <c r="J506" i="13"/>
  <c r="J333" i="13"/>
  <c r="D508" i="13"/>
  <c r="G507" i="13"/>
  <c r="D335" i="13"/>
  <c r="G334" i="13"/>
  <c r="H683" i="13"/>
  <c r="H684" i="13" s="1"/>
  <c r="I683" i="13"/>
  <c r="I251" i="20"/>
  <c r="I252" i="20" s="1"/>
  <c r="H252" i="20"/>
  <c r="H422" i="13"/>
  <c r="H423" i="13" s="1"/>
  <c r="I422" i="13"/>
  <c r="J161" i="13"/>
  <c r="J162" i="13" s="1"/>
  <c r="I162" i="13"/>
  <c r="F429" i="20"/>
  <c r="I785" i="20"/>
  <c r="I786" i="20" s="1"/>
  <c r="H786" i="20"/>
  <c r="J940" i="13" l="1"/>
  <c r="I941" i="13"/>
  <c r="H941" i="13"/>
  <c r="F942" i="13"/>
  <c r="H850" i="13"/>
  <c r="I850" i="13"/>
  <c r="F851" i="13"/>
  <c r="G429" i="20"/>
  <c r="G430" i="20" s="1"/>
  <c r="H429" i="20"/>
  <c r="H334" i="13"/>
  <c r="I334" i="13"/>
  <c r="J683" i="13"/>
  <c r="J684" i="13" s="1"/>
  <c r="I684" i="13"/>
  <c r="E335" i="13"/>
  <c r="E336" i="13" s="1"/>
  <c r="J422" i="13"/>
  <c r="J423" i="13" s="1"/>
  <c r="I423" i="13"/>
  <c r="H507" i="13"/>
  <c r="I507" i="13"/>
  <c r="E508" i="13"/>
  <c r="F508" i="13" s="1"/>
  <c r="D943" i="13" l="1"/>
  <c r="E943" i="13" s="1"/>
  <c r="G942" i="13"/>
  <c r="J941" i="13"/>
  <c r="J850" i="13"/>
  <c r="F335" i="13"/>
  <c r="G335" i="13" s="1"/>
  <c r="H335" i="13" s="1"/>
  <c r="H336" i="13" s="1"/>
  <c r="D852" i="13"/>
  <c r="E852" i="13" s="1"/>
  <c r="G851" i="13"/>
  <c r="J507" i="13"/>
  <c r="J334" i="13"/>
  <c r="D509" i="13"/>
  <c r="G508" i="13"/>
  <c r="I429" i="20"/>
  <c r="I430" i="20" s="1"/>
  <c r="H430" i="20"/>
  <c r="I335" i="13" l="1"/>
  <c r="J335" i="13" s="1"/>
  <c r="J336" i="13" s="1"/>
  <c r="H942" i="13"/>
  <c r="I942" i="13"/>
  <c r="F943" i="13"/>
  <c r="H851" i="13"/>
  <c r="I851" i="13"/>
  <c r="F852" i="13"/>
  <c r="H508" i="13"/>
  <c r="I508" i="13"/>
  <c r="E509" i="13"/>
  <c r="E510" i="13" s="1"/>
  <c r="I336" i="13" l="1"/>
  <c r="J851" i="13"/>
  <c r="J942" i="13"/>
  <c r="D944" i="13"/>
  <c r="E944" i="13" s="1"/>
  <c r="G943" i="13"/>
  <c r="D853" i="13"/>
  <c r="E853" i="13" s="1"/>
  <c r="G852" i="13"/>
  <c r="F509" i="13"/>
  <c r="G509" i="13" s="1"/>
  <c r="J508" i="13"/>
  <c r="I943" i="13" l="1"/>
  <c r="H943" i="13"/>
  <c r="H852" i="13"/>
  <c r="I852" i="13"/>
  <c r="F853" i="13"/>
  <c r="H509" i="13"/>
  <c r="H510" i="13" s="1"/>
  <c r="I509" i="13"/>
  <c r="J852" i="13" l="1"/>
  <c r="F944" i="13"/>
  <c r="G944" i="13" s="1"/>
  <c r="H944" i="13" s="1"/>
  <c r="H945" i="13" s="1"/>
  <c r="E945" i="13"/>
  <c r="I944" i="13"/>
  <c r="I945" i="13" s="1"/>
  <c r="J943" i="13"/>
  <c r="D854" i="13"/>
  <c r="E854" i="13" s="1"/>
  <c r="G853" i="13"/>
  <c r="J509" i="13"/>
  <c r="J510" i="13" s="1"/>
  <c r="I510" i="13"/>
  <c r="J944" i="13" l="1"/>
  <c r="J945" i="13" s="1"/>
  <c r="H853" i="13"/>
  <c r="I853" i="13"/>
  <c r="F854" i="13"/>
  <c r="J853" i="13" l="1"/>
  <c r="D855" i="13"/>
  <c r="E855" i="13" s="1"/>
  <c r="G854" i="13"/>
  <c r="H854" i="13" l="1"/>
  <c r="I854" i="13"/>
  <c r="F855" i="13"/>
  <c r="J854" i="13" l="1"/>
  <c r="D856" i="13"/>
  <c r="E856" i="13" s="1"/>
  <c r="G855" i="13"/>
  <c r="H855" i="13" l="1"/>
  <c r="I855" i="13"/>
  <c r="F856" i="13"/>
  <c r="J855" i="13" l="1"/>
  <c r="D857" i="13"/>
  <c r="E857" i="13" s="1"/>
  <c r="G856" i="13"/>
  <c r="H856" i="13" l="1"/>
  <c r="I856" i="13"/>
  <c r="E858" i="13"/>
  <c r="J856" i="13" l="1"/>
  <c r="F857" i="13"/>
  <c r="G857" i="13" s="1"/>
  <c r="H857" i="13" l="1"/>
  <c r="H858" i="13" s="1"/>
  <c r="I857" i="13"/>
  <c r="J857" i="13" l="1"/>
  <c r="J858" i="13" s="1"/>
  <c r="I858" i="13"/>
  <c r="D93" i="38" l="1"/>
  <c r="F93" i="38"/>
  <c r="G93" i="38" l="1"/>
</calcChain>
</file>

<file path=xl/sharedStrings.xml><?xml version="1.0" encoding="utf-8"?>
<sst xmlns="http://schemas.openxmlformats.org/spreadsheetml/2006/main" count="3450" uniqueCount="1483">
  <si>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</si>
  <si>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</si>
  <si>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</si>
  <si>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</si>
  <si>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</si>
  <si>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</si>
  <si>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</si>
  <si>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</si>
  <si>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</si>
  <si>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</si>
  <si>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</si>
  <si>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</si>
  <si>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</si>
  <si>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</si>
  <si>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</si>
  <si>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</si>
  <si>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</si>
  <si>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</si>
  <si>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</si>
  <si>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</si>
  <si>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</si>
  <si>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</si>
  <si>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</si>
  <si>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</si>
  <si>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</si>
  <si>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</si>
  <si>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</si>
  <si>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</si>
  <si>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</si>
  <si>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</si>
  <si>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</si>
  <si>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</si>
  <si>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</si>
  <si>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</si>
  <si>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</si>
  <si>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</si>
  <si>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</si>
  <si>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</si>
  <si>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</si>
  <si>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</si>
  <si>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</si>
  <si>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</si>
  <si>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</si>
  <si>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</si>
  <si>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</si>
  <si>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</si>
  <si>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</si>
  <si>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</si>
  <si>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</si>
  <si>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</si>
  <si>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</si>
  <si>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</si>
  <si>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</si>
  <si>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</si>
  <si>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</si>
  <si>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</si>
  <si>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</si>
  <si>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</si>
  <si>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</si>
  <si>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</si>
  <si>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</si>
  <si>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</si>
  <si>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</si>
  <si>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</si>
  <si>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</si>
  <si>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</si>
  <si>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</si>
  <si>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</si>
  <si>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</si>
  <si>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</si>
  <si>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</si>
  <si>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</si>
  <si>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</si>
  <si>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</si>
  <si>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</si>
  <si>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</si>
  <si>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</si>
  <si>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</si>
  <si>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</si>
  <si>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</si>
  <si>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</si>
  <si>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</si>
  <si>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</si>
  <si>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</si>
  <si>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</si>
  <si>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</si>
  <si>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</si>
  <si>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</si>
  <si>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</si>
  <si>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</si>
  <si>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</si>
  <si>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</si>
  <si>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</si>
  <si>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</si>
  <si>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</si>
  <si>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</si>
  <si>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</si>
  <si>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</si>
  <si>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</si>
  <si>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</si>
  <si>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</si>
  <si>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</si>
  <si>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</si>
  <si>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</si>
  <si>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</si>
  <si>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</si>
  <si>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</si>
  <si>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</si>
  <si>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</si>
  <si>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</si>
  <si>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</si>
  <si>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</si>
  <si>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</si>
  <si>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</si>
  <si>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</si>
  <si>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</si>
  <si>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</si>
  <si>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</si>
  <si>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</si>
  <si>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</si>
  <si>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</si>
  <si>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</si>
  <si>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</si>
  <si>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</si>
  <si>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</si>
  <si>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</si>
  <si>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</si>
  <si>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</si>
  <si>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</si>
  <si>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</si>
  <si>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</si>
  <si>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</si>
  <si>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</si>
  <si>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</si>
  <si>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</si>
  <si>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</si>
  <si>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</si>
  <si>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</si>
  <si>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</si>
  <si>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</si>
  <si>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</si>
  <si>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</si>
  <si>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</si>
  <si>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</si>
  <si>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</si>
  <si>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</si>
  <si>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</si>
  <si>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</si>
  <si>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</si>
  <si>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</si>
  <si>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</si>
  <si>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</si>
  <si>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</si>
  <si>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</si>
  <si>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</si>
  <si>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</si>
  <si>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</si>
  <si>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</si>
  <si>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</si>
  <si>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</si>
  <si>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</si>
  <si>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</si>
  <si>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</si>
  <si>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</si>
  <si>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</si>
  <si>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</si>
  <si>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</si>
  <si>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</si>
  <si>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</si>
  <si>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</si>
  <si>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</si>
  <si>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</si>
  <si>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</si>
  <si>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</si>
  <si>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</si>
  <si>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</si>
  <si>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</si>
  <si>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</si>
  <si>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</si>
  <si>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</si>
  <si>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</si>
  <si>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</si>
  <si>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</si>
  <si>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</si>
  <si>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</si>
  <si>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</si>
  <si>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</si>
  <si>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</si>
  <si>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</si>
  <si>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</si>
  <si>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</si>
  <si>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</si>
  <si>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</si>
  <si>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</si>
  <si>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</si>
  <si>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</si>
  <si>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</si>
  <si>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</si>
  <si>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</si>
  <si>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</si>
  <si>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</si>
  <si>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</si>
  <si>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</si>
  <si>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</si>
  <si>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</si>
  <si>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</si>
  <si>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</si>
  <si>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</si>
  <si>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</si>
  <si>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</si>
  <si>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</si>
  <si>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</si>
  <si>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</si>
  <si>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</si>
  <si>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</si>
  <si>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</si>
  <si>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</si>
  <si>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</si>
  <si>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</si>
  <si>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</si>
  <si>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</si>
  <si>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</si>
  <si>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</si>
  <si>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</si>
  <si>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</si>
  <si>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</si>
  <si>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</si>
  <si>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</si>
  <si>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</si>
  <si>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</si>
  <si>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</si>
  <si>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</si>
  <si>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</si>
  <si>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</si>
  <si>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</si>
  <si>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</si>
  <si>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</si>
  <si>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</si>
  <si>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</si>
  <si>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</si>
  <si>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</si>
  <si>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</si>
  <si>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</si>
  <si>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</si>
  <si>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</si>
  <si>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</si>
  <si>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</si>
  <si>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</si>
  <si>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</si>
  <si>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</si>
  <si>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</si>
  <si>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</si>
  <si>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</si>
  <si>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</si>
  <si>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</si>
  <si>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</si>
  <si>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</si>
  <si>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</si>
  <si>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</si>
  <si>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</si>
  <si>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</si>
  <si>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</si>
  <si>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</si>
  <si>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</si>
  <si>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</si>
  <si>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</si>
  <si>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</si>
  <si>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</si>
  <si>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</si>
  <si>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</si>
  <si>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</si>
  <si>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</si>
  <si>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</si>
  <si>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</si>
  <si>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</si>
  <si>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</si>
  <si>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</si>
  <si>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</si>
  <si>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</si>
  <si>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</si>
  <si>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</si>
  <si>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</si>
  <si>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</si>
  <si>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</si>
  <si>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</si>
  <si>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</si>
  <si>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</si>
  <si>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</si>
  <si>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</si>
  <si>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</si>
  <si>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</si>
  <si>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</si>
  <si>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</si>
  <si>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</si>
  <si>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</si>
  <si>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</si>
  <si>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</si>
  <si>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</si>
  <si>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</si>
  <si>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</si>
  <si>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</si>
  <si>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</si>
  <si>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</si>
  <si>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</si>
  <si>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</si>
  <si>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</si>
  <si>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</si>
  <si>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</si>
  <si>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</si>
  <si>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</si>
  <si>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</si>
  <si>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</si>
  <si>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</si>
  <si>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</si>
  <si>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</si>
  <si>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</si>
  <si>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</si>
  <si>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</si>
  <si>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</si>
  <si>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</si>
  <si>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</si>
  <si>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</si>
  <si>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</si>
  <si>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</si>
  <si>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</si>
  <si>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</si>
  <si>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</si>
  <si>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</si>
  <si>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</si>
  <si>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</si>
  <si>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</si>
  <si>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</si>
  <si>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</si>
  <si>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</si>
  <si>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</si>
  <si>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</si>
  <si>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</si>
  <si>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</si>
  <si>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</si>
  <si>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</si>
  <si>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</si>
  <si>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</si>
  <si>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</si>
  <si>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</si>
  <si>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</si>
  <si>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</si>
  <si>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</si>
  <si>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</si>
  <si>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</si>
  <si>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</si>
  <si>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</si>
  <si>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</si>
  <si>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</si>
  <si>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</si>
  <si>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</si>
  <si>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</si>
  <si>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</si>
  <si>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</si>
  <si>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</si>
  <si>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</si>
  <si>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</si>
  <si>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</si>
  <si>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</si>
  <si>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</si>
  <si>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</si>
  <si>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</si>
  <si>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</si>
  <si>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</si>
  <si>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</si>
  <si>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</si>
  <si>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</si>
  <si>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</si>
  <si>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</si>
  <si>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</si>
  <si>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</si>
  <si>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</si>
  <si>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</si>
  <si>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</si>
  <si>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</si>
  <si>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</si>
  <si>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</si>
  <si>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</si>
  <si>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</si>
  <si>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</si>
  <si>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</si>
  <si>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</si>
  <si>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</si>
  <si>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</si>
  <si>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</si>
  <si>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</si>
  <si>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</si>
  <si>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</si>
  <si>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</si>
  <si>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</si>
  <si>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</si>
  <si>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</si>
  <si>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</si>
  <si>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</si>
  <si>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</si>
  <si>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</si>
  <si>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</si>
  <si>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</si>
  <si>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</si>
  <si>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</si>
  <si>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</si>
  <si>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</si>
  <si>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</si>
  <si>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</si>
  <si>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</si>
  <si>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</si>
  <si>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</si>
  <si>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</si>
  <si>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</si>
  <si>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</si>
  <si>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</si>
  <si>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</si>
  <si>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</si>
  <si>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</si>
  <si>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</si>
  <si>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</si>
  <si>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</si>
  <si>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</si>
  <si>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</si>
  <si>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</si>
  <si>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</si>
  <si>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</si>
  <si>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</si>
  <si>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</si>
  <si>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</si>
  <si>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</si>
  <si>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</si>
  <si>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</si>
  <si>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</si>
  <si>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</si>
  <si>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</si>
  <si>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</si>
  <si>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</si>
  <si>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</si>
  <si>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</si>
  <si>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</si>
  <si>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</si>
  <si>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</si>
  <si>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</si>
  <si>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</si>
  <si>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</si>
  <si>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</si>
  <si>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</si>
  <si>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</si>
  <si>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</si>
  <si>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</si>
  <si>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</si>
  <si>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</si>
  <si>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</si>
  <si>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</si>
  <si>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</si>
  <si>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</si>
  <si>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</si>
  <si>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</si>
  <si>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</si>
  <si>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</si>
  <si>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</si>
  <si>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</si>
  <si>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</si>
  <si>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</si>
  <si>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</si>
  <si>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</si>
  <si>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</si>
  <si>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</si>
  <si>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</si>
  <si>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</si>
  <si>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</si>
  <si>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</si>
  <si>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</si>
  <si>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</si>
  <si>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</si>
  <si>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</si>
  <si>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</si>
  <si>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</si>
  <si>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</si>
  <si>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</si>
  <si>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</si>
  <si>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</si>
  <si>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</si>
  <si>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</si>
  <si>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</si>
  <si>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</si>
  <si>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</si>
  <si>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</si>
  <si>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</si>
  <si>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</si>
  <si>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</si>
  <si>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</si>
  <si>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</si>
  <si>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</si>
  <si>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</si>
  <si>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</si>
  <si>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</si>
  <si>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</si>
  <si>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</si>
  <si>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</si>
  <si>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</si>
  <si>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</si>
  <si>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</si>
  <si>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</si>
  <si>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</si>
  <si>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</si>
  <si>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</si>
  <si>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</si>
  <si>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</si>
  <si>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</si>
  <si>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</si>
  <si>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</si>
  <si>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</si>
  <si>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</si>
  <si>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</si>
  <si>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</si>
  <si>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</si>
  <si>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</si>
  <si>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</si>
  <si>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</si>
  <si>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</si>
  <si>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</si>
  <si>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</si>
  <si>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</si>
  <si>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</si>
  <si>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</si>
  <si>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</si>
  <si>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</si>
  <si>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</si>
  <si>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</si>
  <si>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</si>
  <si>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</si>
  <si>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</si>
  <si>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</si>
  <si>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</si>
  <si>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</si>
  <si>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</si>
  <si>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</si>
  <si>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</si>
  <si>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</si>
  <si>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</si>
  <si>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</si>
  <si>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</si>
  <si>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</si>
  <si>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</si>
  <si>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</si>
  <si>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</si>
  <si>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</si>
  <si>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</si>
  <si>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</si>
  <si>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</si>
  <si>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</si>
  <si>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</si>
  <si>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</si>
  <si>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</si>
  <si>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</si>
  <si>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</si>
  <si>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</si>
  <si>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</si>
  <si>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</si>
  <si>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</si>
  <si>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</si>
  <si>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</si>
  <si>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</si>
  <si>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</si>
  <si>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</si>
  <si>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</si>
  <si>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</si>
  <si>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</si>
  <si>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</si>
  <si>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</si>
  <si>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</si>
  <si>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</si>
  <si>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</si>
  <si>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</si>
  <si>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</si>
  <si>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</si>
  <si>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</si>
  <si>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</si>
  <si>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</si>
  <si>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</si>
  <si>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</si>
  <si>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</si>
  <si>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</si>
  <si>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</si>
  <si>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</si>
  <si>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</si>
  <si>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</si>
  <si>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</si>
  <si>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</si>
  <si>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</si>
  <si>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</si>
  <si>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</si>
  <si>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</si>
  <si>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</si>
  <si>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</si>
  <si>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</si>
  <si>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</si>
  <si>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</si>
  <si>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</si>
  <si>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</si>
  <si>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</si>
  <si>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</si>
  <si>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</si>
  <si>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</si>
  <si>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</si>
  <si>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</si>
  <si>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</si>
  <si>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</si>
  <si>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</si>
  <si>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</si>
  <si>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</si>
  <si>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</si>
  <si>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</si>
  <si>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</si>
  <si>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</si>
  <si>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</si>
  <si>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</si>
  <si>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</si>
  <si>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</si>
  <si>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</si>
  <si>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</si>
  <si>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</si>
  <si>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</si>
  <si>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</si>
  <si>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</si>
  <si>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</si>
  <si>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</si>
  <si>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</si>
  <si>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</si>
  <si>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</si>
  <si>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</si>
  <si>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</si>
  <si>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</si>
  <si>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</si>
  <si>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</si>
  <si>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</si>
  <si>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</si>
  <si>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</si>
  <si>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</si>
  <si>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</si>
  <si>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</si>
  <si>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</si>
  <si>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</si>
  <si>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</si>
  <si>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</si>
  <si>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</si>
  <si>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</si>
  <si>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</si>
  <si>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</si>
  <si>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</si>
  <si>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</si>
  <si>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</si>
  <si>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</si>
  <si>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</si>
  <si>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</si>
  <si>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</si>
  <si>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</si>
  <si>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</si>
  <si>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</si>
  <si>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</si>
  <si>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</si>
  <si>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</si>
  <si>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</si>
  <si>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</si>
  <si>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</si>
  <si>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</si>
  <si>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</si>
  <si>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</si>
  <si>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</si>
  <si>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</si>
  <si>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</si>
  <si>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</si>
  <si>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</si>
  <si>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</si>
  <si>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</si>
  <si>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</si>
  <si>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</si>
  <si>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</si>
  <si>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</si>
  <si>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</si>
  <si>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</si>
  <si>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</si>
  <si>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</si>
  <si>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</si>
  <si>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</si>
  <si>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</si>
  <si>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</si>
  <si>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</si>
  <si>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</si>
  <si>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</si>
  <si>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</si>
  <si>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</si>
  <si>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</si>
  <si>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</si>
  <si>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</si>
  <si>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</si>
  <si>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</si>
  <si>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</si>
  <si>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</si>
  <si>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</si>
  <si>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</si>
  <si>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</si>
  <si>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</si>
  <si>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</si>
  <si>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</si>
  <si>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</si>
  <si>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</si>
  <si>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</si>
  <si>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</si>
  <si>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</si>
  <si>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</si>
  <si>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</si>
  <si>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</si>
  <si>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</si>
  <si>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</si>
  <si>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</si>
  <si>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</si>
  <si>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</si>
  <si>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</si>
  <si>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</si>
  <si>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</si>
  <si>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</si>
  <si>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</si>
  <si>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</si>
  <si>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</si>
  <si>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</si>
  <si>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</si>
  <si>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</si>
  <si>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</si>
  <si>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</si>
  <si>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</si>
  <si>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</si>
  <si>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</si>
  <si>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</si>
  <si>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</si>
  <si>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</si>
  <si>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</si>
  <si>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</si>
  <si>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</si>
  <si>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</si>
  <si>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</si>
  <si>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</si>
  <si>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</si>
  <si>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</si>
  <si>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</si>
  <si>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</si>
  <si>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</si>
  <si>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</si>
  <si>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</si>
  <si>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</si>
  <si>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</si>
  <si>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</si>
  <si>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</si>
  <si>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</si>
  <si>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</si>
  <si>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</si>
  <si>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</si>
  <si>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</si>
  <si>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</si>
  <si>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</si>
  <si>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</si>
  <si>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</si>
  <si>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</si>
  <si>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</si>
  <si>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</si>
  <si>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</si>
  <si>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</si>
  <si>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</si>
  <si>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</si>
  <si>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</si>
  <si>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</si>
  <si>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</si>
  <si>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</si>
  <si>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</si>
  <si>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</si>
  <si>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</si>
  <si>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</si>
  <si>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</si>
  <si>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</si>
  <si>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</si>
  <si>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</si>
  <si>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</si>
  <si>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</si>
  <si>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(1) As approved in Indiana Case No. 44075.</t>
  </si>
  <si>
    <t xml:space="preserve">  (2) As approved in MICHIGAN Case No. U16801.</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</si>
  <si>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</si>
  <si>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</si>
  <si>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</si>
  <si>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</si>
  <si>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</si>
  <si>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</si>
  <si>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</si>
  <si>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</si>
  <si>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</si>
  <si>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</si>
  <si>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</si>
  <si>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</si>
  <si>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</si>
  <si>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</si>
  <si>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</si>
  <si>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</si>
  <si>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</si>
  <si>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</si>
  <si>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</si>
  <si>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</si>
  <si>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</si>
  <si>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</si>
  <si>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</si>
  <si>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</si>
  <si>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</si>
  <si>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</si>
  <si>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</si>
  <si>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</si>
  <si>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</si>
  <si>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</si>
  <si>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</si>
  <si>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</si>
  <si>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</si>
  <si>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</si>
  <si>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</si>
  <si>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</si>
  <si>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</si>
  <si>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</si>
  <si>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</si>
  <si>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</si>
  <si>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</si>
  <si>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</si>
  <si>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</si>
  <si>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</si>
  <si>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</si>
  <si>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</si>
  <si>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</si>
  <si>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</si>
  <si>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</si>
  <si>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</si>
  <si>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</si>
  <si>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</si>
  <si>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</si>
  <si>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</si>
  <si>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</si>
  <si>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</si>
  <si>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</si>
  <si>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</si>
  <si>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</si>
  <si>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</si>
  <si>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</si>
  <si>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</si>
  <si>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</si>
  <si>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</si>
  <si>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</si>
  <si>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</si>
  <si>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</si>
  <si>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</si>
  <si>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</si>
  <si>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</si>
  <si>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</si>
  <si>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</si>
  <si>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</si>
  <si>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</si>
  <si>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</si>
  <si>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</si>
  <si>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</si>
  <si>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</si>
  <si>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</si>
  <si>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</si>
  <si>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</si>
  <si>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</si>
  <si>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</si>
  <si>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</si>
  <si>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</si>
  <si>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</si>
  <si>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</si>
  <si>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</si>
  <si>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</si>
  <si>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</si>
  <si>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</si>
  <si>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 xml:space="preserve">Indiana Michigan Power Company </t>
  </si>
  <si>
    <t>Accum Prv I/D Worker's Com</t>
  </si>
  <si>
    <t>1650001</t>
  </si>
  <si>
    <t>Prepaid Insurance</t>
  </si>
  <si>
    <t>Prepaid Taxes</t>
  </si>
  <si>
    <t>1650003</t>
  </si>
  <si>
    <t>Prepaid Rents</t>
  </si>
  <si>
    <t>1650005</t>
  </si>
  <si>
    <t>Prepaid Employee Benefits</t>
  </si>
  <si>
    <t>1650006</t>
  </si>
  <si>
    <t>Other Prepayments</t>
  </si>
  <si>
    <t>1650009</t>
  </si>
  <si>
    <t>Prepaid Carry Cost-Factored AR</t>
  </si>
  <si>
    <t>1650010</t>
  </si>
  <si>
    <t>Prepaid Pension Benefits</t>
  </si>
  <si>
    <t>1650014</t>
  </si>
  <si>
    <t>FAS 158 Qual Contra Asset</t>
  </si>
  <si>
    <t>Prepaid Sales Taxes</t>
  </si>
  <si>
    <t>Prepaid Use Taxes</t>
  </si>
  <si>
    <t>Prepaid Insurance - EIS</t>
  </si>
  <si>
    <t>Prepaid SNF Container Costs</t>
  </si>
  <si>
    <t>Prepaid Lease</t>
  </si>
  <si>
    <t>Prepaid SNF Costs</t>
  </si>
  <si>
    <t>Other Payments - Long Term</t>
  </si>
  <si>
    <t>PRW without MED-D Benefits</t>
  </si>
  <si>
    <t>FAS 158 Contra-PRW Exc Med-D</t>
  </si>
  <si>
    <t>Prepaid Taxes-Distribution</t>
  </si>
  <si>
    <t>River Transport</t>
  </si>
  <si>
    <t>Relates to EPRI dues</t>
  </si>
  <si>
    <t xml:space="preserve">AR Factoring </t>
  </si>
  <si>
    <t>Prepaid Sales Tax - Distribution</t>
  </si>
  <si>
    <t>Prepaid Use Tax - Distribution</t>
  </si>
  <si>
    <t>Energy INS Services</t>
  </si>
  <si>
    <t>Med-D Benefits</t>
  </si>
  <si>
    <t>9280000</t>
  </si>
  <si>
    <t>Regulatory Commission Exp</t>
  </si>
  <si>
    <t>9280001</t>
  </si>
  <si>
    <t>Regulatory Commission Exp-Adm</t>
  </si>
  <si>
    <t>9280002</t>
  </si>
  <si>
    <t>Regulatory Commission Exp-Case</t>
  </si>
  <si>
    <t>9301000</t>
  </si>
  <si>
    <t>General Advertising Expenses</t>
  </si>
  <si>
    <t>9301001</t>
  </si>
  <si>
    <t>Newspaper Advertising Space</t>
  </si>
  <si>
    <t>9301002</t>
  </si>
  <si>
    <t>Radio Station Advertising Time</t>
  </si>
  <si>
    <t>9301003</t>
  </si>
  <si>
    <t>TV Station Advertising Time</t>
  </si>
  <si>
    <t>9301006</t>
  </si>
  <si>
    <t>Spec Corporate Comm Info Proj</t>
  </si>
  <si>
    <t>9301007</t>
  </si>
  <si>
    <t>Special Adv Space &amp; Prod Exp</t>
  </si>
  <si>
    <t>9301008</t>
  </si>
  <si>
    <t>Direct Mail and Handouts</t>
  </si>
  <si>
    <t>9301009</t>
  </si>
  <si>
    <t>Fairs, Shows, and Exhibits</t>
  </si>
  <si>
    <t>9301010</t>
  </si>
  <si>
    <t>Publicity</t>
  </si>
  <si>
    <t>9301011</t>
  </si>
  <si>
    <t>Dedications, Tours, &amp; Openings</t>
  </si>
  <si>
    <t>9301012</t>
  </si>
  <si>
    <t>Public Opinion Surveys</t>
  </si>
  <si>
    <t>9301013</t>
  </si>
  <si>
    <t>Movies Slide Films &amp; Speeches</t>
  </si>
  <si>
    <t>9301014</t>
  </si>
  <si>
    <t>Video Communications</t>
  </si>
  <si>
    <t>9301015</t>
  </si>
  <si>
    <t>Other Corporate Comm Exp</t>
  </si>
  <si>
    <t>9302000</t>
  </si>
  <si>
    <t>Misc General Expenses</t>
  </si>
  <si>
    <t>9302003</t>
  </si>
  <si>
    <t>Corporate &amp; Fiscal Expenses</t>
  </si>
  <si>
    <t>9302004</t>
  </si>
  <si>
    <t>Research, Develop&amp;Demonstr Exp</t>
  </si>
  <si>
    <t>9302005</t>
  </si>
  <si>
    <t>Nucl Fac Ins - Replce Engy Cst</t>
  </si>
  <si>
    <t>9302006</t>
  </si>
  <si>
    <t>Assoc Business Development Materials Sold</t>
  </si>
  <si>
    <t>9302007</t>
  </si>
  <si>
    <t>Assoc Business Development Exp</t>
  </si>
  <si>
    <t>AEPSC nonaffiliated expense</t>
  </si>
  <si>
    <t>Indiana Corporate Income Tax Rate</t>
  </si>
  <si>
    <t>Apportionment Factor - Note 2</t>
  </si>
  <si>
    <t xml:space="preserve">Michigan Single Business Tax Rate </t>
  </si>
  <si>
    <t>West Virginia Corporation Income Tax Rate</t>
  </si>
  <si>
    <t>Ohio Franchise Tax Rate</t>
  </si>
  <si>
    <t>Phase-out Factor Note 1</t>
  </si>
  <si>
    <t>Kentucky Corporation Income Tax Rate</t>
  </si>
  <si>
    <t>Missouri Corporation Income Tax Rate</t>
  </si>
  <si>
    <t>Illinois Corporation Income Tax Rate</t>
  </si>
  <si>
    <t>MICHIGAN JURISDICTION</t>
  </si>
  <si>
    <t>INDIANA JURISDICTION</t>
  </si>
  <si>
    <t>Real and Personal Property - Michigan</t>
  </si>
  <si>
    <t>Real and Personal Property - Indiana</t>
  </si>
  <si>
    <t>Real and Personal Property - Other</t>
  </si>
  <si>
    <t>Senior Unsecured Notes - Series G</t>
  </si>
  <si>
    <t>Senior Unsecured Notes - Series H</t>
  </si>
  <si>
    <t>Senior Unsecured Notes - Series J</t>
  </si>
  <si>
    <t>2016 Forecasted Revenue Requirement For Year 2016</t>
  </si>
  <si>
    <t>An over or under collection will be recovered prorata over 2016, held for 2017 and returned prorate over 2018</t>
  </si>
  <si>
    <t>I &amp; M Worksheet J -  ATRR PROJECTED Calculation for PJM Projects Charged to Benefiting Zones</t>
  </si>
  <si>
    <t>RTEP ID: b0839 (Replace existing 450 MVA transformer at Twin Branch 345 / 138 kV with a 675 MVA transformer)</t>
  </si>
  <si>
    <t>No</t>
  </si>
  <si>
    <r>
      <t xml:space="preserve">** </t>
    </r>
    <r>
      <rPr>
        <sz val="10"/>
        <rFont val="Arial"/>
        <family val="2"/>
      </rPr>
      <t xml:space="preserve"> This is the total amount that needs to be reported to PJM for billing to all regions. </t>
    </r>
  </si>
  <si>
    <r>
      <t xml:space="preserve">## </t>
    </r>
    <r>
      <rPr>
        <b/>
        <sz val="10"/>
        <color indexed="8"/>
        <rFont val="Arial"/>
        <family val="2"/>
      </rPr>
      <t>This is the calculation of  additional incentive revenue on projects deemed by the FERC to be eligible for an incentive return.  This</t>
    </r>
  </si>
  <si>
    <t>RTEP ID: b1465.2 (Replace the 100 MVAR 765 kV shunt reactor bank on Rockport - Jefferson 765 kV line with a 300 MVAR bank at Rockport Station)</t>
  </si>
  <si>
    <t>RTEP ID: b1465.3 (Transpose the Rockport - Sullivan 765 kV line and the Rockport - Jefferson  765 kV line)</t>
  </si>
  <si>
    <t>RTEP ID: b1659.14 (Fort Wayne - Marion: Relocate 138 kV line due to new 765 kV build into Sorenson)</t>
  </si>
  <si>
    <t>RTEP ID: b2048 (Tanners Creek - Support for Transformer A/B Replacement)</t>
  </si>
  <si>
    <t>RTEP ID: b1818 (Expand the Allen station by installing a second 345/138 kV transformer and adding four exits by cutting in the Lincoln-Sterling and Timber Switch -Milan 138 kV double circuit tower line)</t>
  </si>
  <si>
    <t>RTEP ID: b1819 (Rebuild the Robinson Park-Sorneson 138 kV line corridor as a 345 kV double circuit line with one side operated at 345 kV and one side at 138 kV)</t>
  </si>
  <si>
    <t>RTEP ID: b1465.4 (Make switching improvements at Sullivan and Jefferson 765 kV stations)</t>
  </si>
  <si>
    <t>Total Other Jurisdictions:  (Line 6 * Net Plant Allocator)</t>
  </si>
  <si>
    <t>State Public Service Commission Fees</t>
  </si>
  <si>
    <t>State Franchise Taxes</t>
  </si>
  <si>
    <t>State Lic/Registration Fee</t>
  </si>
  <si>
    <t>Misc. State and Local Tax</t>
  </si>
  <si>
    <t>Sales &amp; Use</t>
  </si>
  <si>
    <t>EFFECTIVE AS OF October 31, 2018</t>
  </si>
  <si>
    <t>Z</t>
  </si>
  <si>
    <t xml:space="preserve">Per the settlement in EL17-13, equity is limited to 55% in of the Company's capital structure.  If the percentage of actual equity exceeds the cap, the excess is included as long term debt in the capital structure.  </t>
  </si>
  <si>
    <t>Cap Limit</t>
  </si>
  <si>
    <t>Capital Structure Percentages</t>
  </si>
  <si>
    <t>Capital Structure Equity Limit (Note Z)</t>
  </si>
  <si>
    <t>Reg Com Exp-FERC Trans Cases</t>
  </si>
  <si>
    <t>9280005</t>
  </si>
  <si>
    <t>RTEP ID: b1465.5 (Make switching changes at Sullivan 765 kV station)</t>
  </si>
  <si>
    <t>RTEP ID: b2831.1 (Upgrade the Tanner Creek-Miami Fort 345kV circuit)</t>
  </si>
  <si>
    <t>Other - Dist</t>
  </si>
  <si>
    <t>Prepaid Leases-All Functions</t>
  </si>
  <si>
    <t>Senior Unsecured Notes - Series F</t>
  </si>
  <si>
    <t>November 2004</t>
  </si>
  <si>
    <t>November 2014</t>
  </si>
  <si>
    <t>pg. 263, ln.5(i)</t>
  </si>
  <si>
    <t>pg. 263, ln.6(i)</t>
  </si>
  <si>
    <t>pg. 263, ln.7(i)</t>
  </si>
  <si>
    <t>pg. 263, ln.16(i)</t>
  </si>
  <si>
    <t>pg. 263, ln.23(i)</t>
  </si>
  <si>
    <t>pg. 263, ln.26(i)</t>
  </si>
  <si>
    <t>pg. 263, ln.27(i)</t>
  </si>
  <si>
    <t>pg. 263, ln.28(i)</t>
  </si>
  <si>
    <t>pg. 263, ln.30(i)</t>
  </si>
  <si>
    <t>pg. 263.1, ln.12(i)</t>
  </si>
  <si>
    <t>pg. 263.1, ln.13(i)</t>
  </si>
  <si>
    <t>pg. 263.1, ln.14(i)</t>
  </si>
  <si>
    <t>pg. 263.1, ln.26(i)</t>
  </si>
  <si>
    <t>pg. 263.1, ln.23(i)</t>
  </si>
  <si>
    <t>pg. 263.1, ln.25(i)</t>
  </si>
  <si>
    <t>pg. 263.1, ln.29(i)</t>
  </si>
  <si>
    <t>pg. 263.1, ln.30(i)</t>
  </si>
  <si>
    <t>pg. 263.2, ln.30(i)</t>
  </si>
  <si>
    <t>pg. 263.2, ln.16(i)</t>
  </si>
  <si>
    <t>TX AMORT POLLUTION CONT EQPT</t>
  </si>
  <si>
    <t xml:space="preserve">NON-UTILITY DEFERRED FIT </t>
  </si>
  <si>
    <t>SFAS 109 FLOW-THRU 281.3</t>
  </si>
  <si>
    <t>SFAS 109 EXCESS DFIT 281.4</t>
  </si>
  <si>
    <t>EX L/T DFIT TX RESRV-SNF</t>
  </si>
  <si>
    <t>FERC - MPCO DEFD FIT @ MERGER</t>
  </si>
  <si>
    <t>FIT % RATE CHANGE-LD</t>
  </si>
  <si>
    <t>BOOK VS. TAX DEPRECIATION</t>
  </si>
  <si>
    <t>R &amp; D DEDUCTION - SECTION 174</t>
  </si>
  <si>
    <t>CAPD INTEREST - SECTION 481(a) - CHANGE IN METHD</t>
  </si>
  <si>
    <t>RELOCATION COST - SECTION 481(a) - CHANGE IN METH</t>
  </si>
  <si>
    <t>PJM INTEGRATION - SEC 481(a) - INTANG - DFD LABOR</t>
  </si>
  <si>
    <t>BK PLANT IN SERVICE-SFAS 143-ARO</t>
  </si>
  <si>
    <t>GAIN/LOSS ON ACRS/MACRS PROPERTY</t>
  </si>
  <si>
    <t>GAIN/LOSS ON ACRS/MACRS-BK/TX UNIT PROP</t>
  </si>
  <si>
    <t>TAX LOSS ON PLANT RETIREMENTS</t>
  </si>
  <si>
    <t>ABFUDC</t>
  </si>
  <si>
    <t>ABFUDC-NUCLEAR FUEL</t>
  </si>
  <si>
    <t>ABFUDC - ROCKPORT SPARE PARTS</t>
  </si>
  <si>
    <t>ABFUDC-RKPRT-SULL EHV</t>
  </si>
  <si>
    <t>ABFUDC - ROCKPORT UNIT 1</t>
  </si>
  <si>
    <t>ABFUDC - ROCKPORT UNIT 2</t>
  </si>
  <si>
    <t>ABFUDC- RKPRT-JEFF EHV</t>
  </si>
  <si>
    <t>ABFUDC-RKPRT PC U1</t>
  </si>
  <si>
    <t>ABFUDC - COOK PLANT/U2 STEAM GNR</t>
  </si>
  <si>
    <t>INVOL CONV RKPT U1-TURBINE</t>
  </si>
  <si>
    <t>INVOL CONV RKPT U1-ASH HOPPER</t>
  </si>
  <si>
    <t>TAXES CAPITALIZED</t>
  </si>
  <si>
    <t>TAXES CAPITALIZED-ROCKPORT SPARE PARTS</t>
  </si>
  <si>
    <t>TAXES CAPITALIZED-RKPRT-SULL EHV</t>
  </si>
  <si>
    <t>TAXES CAPITALIZED - ROCKPORT UNIT 1</t>
  </si>
  <si>
    <t>TAXES CAPITALIZED - ROCKPORT UNIT 2</t>
  </si>
  <si>
    <t>TAXES CAPITALIZED-RKPRT-JEFF EHV</t>
  </si>
  <si>
    <t>PENSIONS CAPITALIZED</t>
  </si>
  <si>
    <t>PENSIONS CAPITALIZED-RKPRT-SULL EHV</t>
  </si>
  <si>
    <t>PENSIONS CAPITALIZED-ROCKPORT SPARE PARTS</t>
  </si>
  <si>
    <t>PENSIONS CAPITALIZED - ROCKPORT UNIT 1</t>
  </si>
  <si>
    <t>PENSIONS CAPITALIZED - RKPRT-JEFF EHV</t>
  </si>
  <si>
    <t>SEC 481 PENS/OPEB ADJUSTMENT</t>
  </si>
  <si>
    <t>SAVINGS PLAN CAPITALIZED</t>
  </si>
  <si>
    <t>SAVINGS PLAN CAPITALIZED-RKPRT-SULL EHV</t>
  </si>
  <si>
    <t>SAVINGS PLAN CAPITALIZED-RKPT SPARE PARTS</t>
  </si>
  <si>
    <t>SAVINGS PLAN CAPITALIZED - ROCKPORT UNIT1</t>
  </si>
  <si>
    <t>SAVINGS PLAN CAPITALIZED - RKPRT-JEFF EHV</t>
  </si>
  <si>
    <t>CIAC - BK RECEIPTS - STEEL DYNAMICS</t>
  </si>
  <si>
    <t>INT EXP CAPD BK - THI SETTLE</t>
  </si>
  <si>
    <t>PERCENT REPAIR ALLOWANCE</t>
  </si>
  <si>
    <t>BOOK/TAX UNIT OF PROPERTY ADJ</t>
  </si>
  <si>
    <t>BK/TAX UNIT OF PROPERTY ADJ-SEC 481 ADJ</t>
  </si>
  <si>
    <t>TX ACCEL AMORT - CAPITALIZED SOFTWARE</t>
  </si>
  <si>
    <t>CAPITALIZED RELOCATION COSTS</t>
  </si>
  <si>
    <t>DEFD TX GAIN RKPRT LAND ABFUDC</t>
  </si>
  <si>
    <t>DEFD TX GAIN RKPRT LAND O/H</t>
  </si>
  <si>
    <t>CAPITALIZED LEASES - A/C 1011 ASSETS</t>
  </si>
  <si>
    <t>GAIN ON REACQUIRED DEBT</t>
  </si>
  <si>
    <t>REMOVAL COSTS-COOK U2 STM GNR</t>
  </si>
  <si>
    <t>REMOVAL COSTS-COOK U1 STM GNR</t>
  </si>
  <si>
    <t>REMOVAL CST - NORMALIZED</t>
  </si>
  <si>
    <t>EXCESS ADFIT</t>
  </si>
  <si>
    <t>SFAS 109 FLOW-THRU 282.3</t>
  </si>
  <si>
    <t>SFAS 109 EXCESS DFIT 282.4</t>
  </si>
  <si>
    <t>NUCLEAR</t>
  </si>
  <si>
    <t>RTD</t>
  </si>
  <si>
    <t>NOL-STATE  C/F-DEF TAX ASSET</t>
  </si>
  <si>
    <t>SI-UNRECD FUEL CSTS (CUR MO)</t>
  </si>
  <si>
    <t>SM-UNRECD FUEL CSTS</t>
  </si>
  <si>
    <t>UNRECD FUEL-3 RIVERS-PRE-MERGE</t>
  </si>
  <si>
    <t>UNRECD FUEL INTEREST</t>
  </si>
  <si>
    <t>PROP TX-RKPT SPARES-WVA-TAX</t>
  </si>
  <si>
    <t>PROP TAX-RKPT U2-OLD METHOD TX</t>
  </si>
  <si>
    <t>DEFERRED INTERCOMPANY TAX G/L</t>
  </si>
  <si>
    <t>MTM BK GAIN - A/L - TAX DEFL</t>
  </si>
  <si>
    <t>MARK &amp; SPREAD - DEFL - 283 A/L</t>
  </si>
  <si>
    <t>REG ASSET - UNREAL LOSS FWD CMMT</t>
  </si>
  <si>
    <t>DEFD ENVIRON COMP COSTS &amp; CARRYING CHARGES</t>
  </si>
  <si>
    <t>FRT WAYNE CITY LGTS-RIGHT TO SERVE SETTLE</t>
  </si>
  <si>
    <t>REG ASSET - DEFERRED RTO COSTS</t>
  </si>
  <si>
    <t>DEFD STORM DAMAGE</t>
  </si>
  <si>
    <t>RATE CASE DEFERRED CHARGES</t>
  </si>
  <si>
    <t>BK DEFL-DEMAND SIDE MNGMT EXP</t>
  </si>
  <si>
    <t>SM-OVER RECOVD RCS COSTS-DEFL</t>
  </si>
  <si>
    <t>BOOK &gt; TAX - EMA - A/C 283</t>
  </si>
  <si>
    <t>DEFD TX GAIN - INTERCO SALE - EMA</t>
  </si>
  <si>
    <t>DEFD TAX GAIN - EPA AUCTION</t>
  </si>
  <si>
    <t>REG ASSET-SFAS 143 - ARO</t>
  </si>
  <si>
    <t>REG ASSET-DEFD CARRY COST ON STRANDED COST</t>
  </si>
  <si>
    <t>REG ASSET-DEFERRED PJM FEES</t>
  </si>
  <si>
    <t>REG ASSET-SFAS 158 - PENSIONS</t>
  </si>
  <si>
    <t>REG ASSET-SFAS 158 - SERP</t>
  </si>
  <si>
    <t>REG ASSET-SFAS 158 - OPEB</t>
  </si>
  <si>
    <t>REG ASSET-DEFD EVSE PROGRAM COSTS</t>
  </si>
  <si>
    <t>REG ASSET-ENVIRON COMPLIANCE CARRY COSTS</t>
  </si>
  <si>
    <t>REG ASSET-OSS MARGIN SHARING</t>
  </si>
  <si>
    <t>REG ASSET-UNDERRECOVERY PJM EXPENSES</t>
  </si>
  <si>
    <t>REG ASSET-NSR CONSENT DECREE</t>
  </si>
  <si>
    <t>REG ASSET-UND/REC-CCT RIDER CAR CHGS</t>
  </si>
  <si>
    <t>REG ASSET-UNDERRECOVERY-DSM ENERGY OPT</t>
  </si>
  <si>
    <t>REG ASSET-UND/REC-CCTR PST APP ADD CAR CHGS</t>
  </si>
  <si>
    <t>REG ASSET-UND/REC-DEFD NUC DECOM STUDY CSTS</t>
  </si>
  <si>
    <t>REG ASSET-ENHNCD COOK PLT SECURITY COSTS</t>
  </si>
  <si>
    <t>REG ASSET-DEFD SEVERANCE COSTS</t>
  </si>
  <si>
    <t>REG ASSET-EO FINANCIAL INCENTIVES-MI</t>
  </si>
  <si>
    <t>REG ASSET-MI CARRYING CHARGE-EECO</t>
  </si>
  <si>
    <t>REG ASSET-MI CC-EECO UNREC EQUITY</t>
  </si>
  <si>
    <t>REG ASSET-MI DSM-EECO</t>
  </si>
  <si>
    <t>REG ASSET-IN-EECO EQUITY CC-RES</t>
  </si>
  <si>
    <t>REG ASSET-IN-EECO EQUITY CC-C&amp;I</t>
  </si>
  <si>
    <t>REG ASSET-IN-EECO TOTAL CC-RES</t>
  </si>
  <si>
    <t>REG ASSET-IN-EECO TOTAL CC-C&amp;I</t>
  </si>
  <si>
    <t>REG ASSET-IN DSM UNDER RECOV C&amp;I</t>
  </si>
  <si>
    <t>REG ASSET-IN DSM UNDER RECOV NON C&amp;I</t>
  </si>
  <si>
    <t>REG ASSET-CARRY CHARGES-MI LOST REVENUES</t>
  </si>
  <si>
    <t>REG ASSET-MI NET LOST REVENUES-CONTRA</t>
  </si>
  <si>
    <t>REG ASSET-DEFD COOK TURBINE REPL/COSTS-MI</t>
  </si>
  <si>
    <t>REG ASSET-TURBINE REPL UNRECOG EQ CC</t>
  </si>
  <si>
    <t>REG ASSET-DEFD TURBINE REPLACE EXP CC</t>
  </si>
  <si>
    <t>TAX DEFL - DEBT ISSUE COSTS</t>
  </si>
  <si>
    <t>REG ASSET-NET CCS FEED STUDY COSTS</t>
  </si>
  <si>
    <t>REG ASSET-UNRECOVERED RES-MI</t>
  </si>
  <si>
    <t>REG ASSET-RES CARRYING COSTS-MI</t>
  </si>
  <si>
    <t>REG ASSET-RES UNRECOGNIZED EQUITY CC-MI</t>
  </si>
  <si>
    <t>REG ASSET-BAFFLE BOLTS</t>
  </si>
  <si>
    <t>REG ASSET-MI DEFERRED DEPR-COOK LCM</t>
  </si>
  <si>
    <t>REG ASSET-MI CARRYING CHARGE-COOK LCM</t>
  </si>
  <si>
    <t>REG ASSET-MI CC COOK LCM UNREC EQUITY</t>
  </si>
  <si>
    <t>REG ASSET-IN COOK TURBINE CC EQUITY</t>
  </si>
  <si>
    <t>REG ASSET-IN COOK TURBINE CC</t>
  </si>
  <si>
    <t xml:space="preserve">REG ASSET-IN DEF O&amp;M-DSI-20% NON-FMR </t>
  </si>
  <si>
    <t>REG ASSET-IN DEF CONSUM DSI-20% NON-FMR</t>
  </si>
  <si>
    <t xml:space="preserve">REG ASSET-IN DEF PROP TX-DSI-20% </t>
  </si>
  <si>
    <t>REG ASSET-IN CARRY CHGS-CESPP</t>
  </si>
  <si>
    <t>REG ASSET-IN CAR CHGS-UNREC EQTY-CESPP</t>
  </si>
  <si>
    <t>REG ASSET-IN DEFERRED CESPP-O&amp;M EXP</t>
  </si>
  <si>
    <t>REG ASSET-IN DEFD DEPR-CESPP</t>
  </si>
  <si>
    <t xml:space="preserve">REG ASSET-IN GPR MKTG EXP-CESPP-SPR </t>
  </si>
  <si>
    <t>REG ASSET-RES SOLAR CARRYING COSTS-MI</t>
  </si>
  <si>
    <t>REG ASSET-IN DEFD PROP TAX-CESPP-SPR</t>
  </si>
  <si>
    <t xml:space="preserve">REG ASSET-IN DEFD GPR MKTG EXP-CESPP-GPR </t>
  </si>
  <si>
    <t>REG ASSET-NBV-ARO-RETIRED PLANTS</t>
  </si>
  <si>
    <t>REG ASSET-IN CARRYING CHARGES COOK PLANT LCM UNREC EQUITY</t>
  </si>
  <si>
    <t>REG ASSET-IN CARRYING CHARGES COOK PLANT LCM</t>
  </si>
  <si>
    <t>REG ASSET-MI DEFERRED PROP TAX-COOK LCM</t>
  </si>
  <si>
    <t>REG ASSET-IN DEFERRED PROP TAX-COOK LCM</t>
  </si>
  <si>
    <t>REG ASSET-IN DEFERRED DEPRECIATION-COOK LCM</t>
  </si>
  <si>
    <t>REG ASSET-IN UNDER RECOVERY CAPACITY</t>
  </si>
  <si>
    <t>REG ASSET-ABANDONED PLANT STRANDED COSTS</t>
  </si>
  <si>
    <t>REG ASSET-ROCKPORT DSI DEPR-80PCT FMR</t>
  </si>
  <si>
    <t>REG ASSET-ROCKPORT DSI DEPR-20PCT NON-FMR</t>
  </si>
  <si>
    <t>REG ASSET-ROCKPORT DSI CC-80PCT FMR</t>
  </si>
  <si>
    <t>REG ASSET-ROCKPORT DSI EQUITY CC 80PCT FMR</t>
  </si>
  <si>
    <t>REG ASSET-ROCKPORT DSI CC-20PCT NON-FMR</t>
  </si>
  <si>
    <t>REG ASSET-ROCKPORT DSI EQ CC-20PCT NON-FMR</t>
  </si>
  <si>
    <t>REG ASSET-IN DEFERRED LCM - E3 COSTS</t>
  </si>
  <si>
    <t>REG ASSET-IN TOTAL E3 CARRYING COSTS</t>
  </si>
  <si>
    <t>REG ASSET-IN E3 EQUITY CARRYING COSTS</t>
  </si>
  <si>
    <t>REG ASSET-COOK UPRATE PROJECT</t>
  </si>
  <si>
    <t>REG ASSET-MI DEFD DEPR-EECO</t>
  </si>
  <si>
    <t>REG ASSET-DSM DEFD LOAD MGT PROG COSTS</t>
  </si>
  <si>
    <t>REG ASSET-DEFD DEPREC-ROCKPORT U2</t>
  </si>
  <si>
    <t>REG ASSET-PJM EXP &amp; OSS MARGIN SHARING</t>
  </si>
  <si>
    <t>REG ASSET-MI LOW-INCOME COST RECSURCHG</t>
  </si>
  <si>
    <t>REG ASSET-MI LOW-INC CST RECSUR-CONTRA</t>
  </si>
  <si>
    <t xml:space="preserve">REG ASSET-IN ROCKPORT UNDER-RECOVERY </t>
  </si>
  <si>
    <t>BOOK LEASES CAPITALIZED FOR TAX</t>
  </si>
  <si>
    <t>CAPITALIZED SOFTWARE COST - BOOK</t>
  </si>
  <si>
    <t>U1 TX DEPR NUC FUEL</t>
  </si>
  <si>
    <t>AMORT OF NUCLEAR FUEL - UNIT 1</t>
  </si>
  <si>
    <t>U2 TX DEPR NUC FUEL</t>
  </si>
  <si>
    <t>AMORT OF NUCLEAR FUEL - UNIT 2</t>
  </si>
  <si>
    <t>NUC DECOM TRUST-SFAS 143-ARO-BK</t>
  </si>
  <si>
    <t>U1-BK DEFD NUC REFUEL COSTS</t>
  </si>
  <si>
    <t>U2-BK DEFD NUC REFUEL COSTS</t>
  </si>
  <si>
    <t>BK DEFD COOK RESTART COSTS</t>
  </si>
  <si>
    <t>LOSS ON REACQUIRED DEBT</t>
  </si>
  <si>
    <t>REG ASSET - REACQ DEBT-RKPT U2</t>
  </si>
  <si>
    <t>POST RETIREMENT BEN - PAYMENT</t>
  </si>
  <si>
    <t>DEFD EARN-POST RETIRE BEN PYMT</t>
  </si>
  <si>
    <t>DEFD SFAS 106 BOOK COSTS</t>
  </si>
  <si>
    <t>SFAS 106 PST RETIREMENT EXP - NON-DEDUCT CONT</t>
  </si>
  <si>
    <t>SFAS 106-MEDICARE SUBSIDY-(PPACA)-REG ASSET</t>
  </si>
  <si>
    <t>IND GROSS REC TAX-A/C 283-CUR</t>
  </si>
  <si>
    <t>BK DEFL - MERGER COSTS</t>
  </si>
  <si>
    <t>REG ASSET - ACCRUED SFAS 112</t>
  </si>
  <si>
    <t xml:space="preserve">IRS AUDIT SETTLEMENTS </t>
  </si>
  <si>
    <t>SFAS 109 FLOW-THRU 283.3</t>
  </si>
  <si>
    <t>SFAS 109 EXCESS DFIT 283.4</t>
  </si>
  <si>
    <t>SFAS 133 ADIT FED - SFAS 133 NONAFFIL - 2830006</t>
  </si>
  <si>
    <t>ADIT FED HDG CF INT RATE - 2830015</t>
  </si>
  <si>
    <t>SFAS 109 - DEFD STATE INCOME TAXES</t>
  </si>
  <si>
    <t>NOL &amp; TAX CREDIT C/F - DEF TAX ASSET</t>
  </si>
  <si>
    <t>INT EXP CAPITALIZED FOR TAX</t>
  </si>
  <si>
    <t>INT EXP CAPD - COOK U2 STEAM</t>
  </si>
  <si>
    <t>TXBL INT INC CAP FOR BK-BFSHAW</t>
  </si>
  <si>
    <t>INT EXP CAPD TAX - RKPT SPARES</t>
  </si>
  <si>
    <t>CIAC - BOOK RECEIPTS</t>
  </si>
  <si>
    <t>CUST ADV INC FOR TAX</t>
  </si>
  <si>
    <t>PROPERTY TAX - NEW METHOD - BOOK</t>
  </si>
  <si>
    <t>PROVS POSS REV REFDS</t>
  </si>
  <si>
    <t>PROV FOR REFUND - FERC TRANS</t>
  </si>
  <si>
    <t>PROVS POSS REV REFD-FR</t>
  </si>
  <si>
    <t>PROV FOR RATE REFUND-TAX REFORM</t>
  </si>
  <si>
    <t>PROV FOR RATE REFUND-EXCESS PROTECTED</t>
  </si>
  <si>
    <t>DEFD BK GAIN-RKPT 2 SALE/LEASE</t>
  </si>
  <si>
    <t>MARK &amp; SPREAD-DEFL-190-A/L</t>
  </si>
  <si>
    <t>PROV WORKER'S COMP</t>
  </si>
  <si>
    <t>PROV POSS PEN PYMTS</t>
  </si>
  <si>
    <t>ACCRUED BK PENSION EXPENSE</t>
  </si>
  <si>
    <t>ACCRUED BK PENSION COSTS - SFAS 158</t>
  </si>
  <si>
    <t>SUPPLEMENTAL EXECUTIVE RETIREMENT PLAN</t>
  </si>
  <si>
    <t>ACCRD SUP EXEC RETIR PLAN COSTS-SFAS 158</t>
  </si>
  <si>
    <t>ACCRD BK SUP. SAVINGS PLAN EXP</t>
  </si>
  <si>
    <t>EMPLOYERS SAVINGS PLAN MATCH</t>
  </si>
  <si>
    <t xml:space="preserve">ACCRUED BK BENEFIT COSTS </t>
  </si>
  <si>
    <t>ACCRUED PSI PLAN EXP</t>
  </si>
  <si>
    <t>STOCK BASED COMP-CAREER SHARES</t>
  </si>
  <si>
    <t>PROVISION FOR R &amp; D WASTE ACCRUAL LT</t>
  </si>
  <si>
    <t>PROV RAD WASTE ACCRUAL-LT</t>
  </si>
  <si>
    <t>PROV RAD WASTE ACCRUAL-ST</t>
  </si>
  <si>
    <t>BK PROV UNCOLL ACCTS</t>
  </si>
  <si>
    <t>BK PROV UNCOLL ACCTS-LT</t>
  </si>
  <si>
    <t>PROV-TRADING CREDIT RISK - A/L</t>
  </si>
  <si>
    <t>PROV-FAS 157 - A/L</t>
  </si>
  <si>
    <t>PROVISION FOR LITIGATION</t>
  </si>
  <si>
    <t>ACCRD COMPANY INCENT PLAN-ENGAGE TO GAIN</t>
  </si>
  <si>
    <t>ACCRD COMPANYWIDE INCENTV PLAN</t>
  </si>
  <si>
    <t>ACCRD ENVIRONMENTAL LIAB-CURRENT</t>
  </si>
  <si>
    <t>ACCRUED BOOK VACATION PAY</t>
  </si>
  <si>
    <t xml:space="preserve">ACCRD ENVIRONMENTAL LIAB-LONG TERM </t>
  </si>
  <si>
    <t>ACCRUED LEASE LIABILITY - FORT WAYNE</t>
  </si>
  <si>
    <t>(ICDP)-INCENTIVE COMP DEFERRAL PLAN</t>
  </si>
  <si>
    <t>ACCRD SEMCO ENVIRON REMEDIATION CSTS-S/T</t>
  </si>
  <si>
    <t>ACCRD BK SEI EMP BENEFIT COSTS</t>
  </si>
  <si>
    <t>ACCRUED BK SEVERANCE BENEFITS</t>
  </si>
  <si>
    <t>FRT WAYNE CITY LGTS SETTLEMENT</t>
  </si>
  <si>
    <t>ACCRUED INTEREST EXP -STATE</t>
  </si>
  <si>
    <t>ACCRUED INTEREST-LONG-TERM - FIN 48</t>
  </si>
  <si>
    <t>ACCRUED INTEREST-SHORT-TERM - FIN 48</t>
  </si>
  <si>
    <t>ACCRUED STATE INCOME TAX EXP</t>
  </si>
  <si>
    <t>ACCRUED RTO CARRYING CHARGES</t>
  </si>
  <si>
    <t>BK DFL RAIL TRANS REV/EXP</t>
  </si>
  <si>
    <t>IN CUSTOMER PROGRAM CONTRIBUTIONS - S/T</t>
  </si>
  <si>
    <t>FEDERAL MITIGATION PROGRAMS</t>
  </si>
  <si>
    <t xml:space="preserve">STATE MITIGATION PROGRAMS </t>
  </si>
  <si>
    <t>DEFD BK CONTRACT REVENUE</t>
  </si>
  <si>
    <t>TAX&gt;BOOK BASIS-EMA-A/C-190</t>
  </si>
  <si>
    <t>DEFD BK GAIN-NON-AFF SALE-EMA</t>
  </si>
  <si>
    <t>DEFD BK LOSS-NON-AFF SALE-EMA</t>
  </si>
  <si>
    <t>DEFD TX LOSS-INTERCO SALE-EMA</t>
  </si>
  <si>
    <t>ADVANCE RENTAL INC (CUR MO)</t>
  </si>
  <si>
    <t>REG LIAB-UNREAL MTM GAIN-DEFL</t>
  </si>
  <si>
    <t>OUTAGE INSURANCE PROCEEDS</t>
  </si>
  <si>
    <t>REG LIABILITY-SFAS 143 - ARO</t>
  </si>
  <si>
    <t>CAPITALIZED SOFTWARE COSTS-TAX</t>
  </si>
  <si>
    <t>INSTALL ALLOWANCES CAPD - TAX</t>
  </si>
  <si>
    <t>SM-DEFD PRE 4 7 83 DISP CSTS</t>
  </si>
  <si>
    <t>SI-DEFD PRE 4 7 83 DISP CSTS</t>
  </si>
  <si>
    <t>FR-DEFD PRE 4 7 83 DISP CSTS</t>
  </si>
  <si>
    <t>TC-DEFD DISPOL CSTS NUC FUEL</t>
  </si>
  <si>
    <t>AMORT SNF DISPOSAL CONTAINER COSTS</t>
  </si>
  <si>
    <t>FR-AMORT INT PRE 4 7 83 DISP</t>
  </si>
  <si>
    <t>SI-AMORT INT PRE 4 7 83 DISP</t>
  </si>
  <si>
    <t>SM-AMORT INT PRE 4 7 83 DISP</t>
  </si>
  <si>
    <t>TC-ACC INT PRE 4 7 83 DISP CST</t>
  </si>
  <si>
    <t>BK EXP NUC FUEL DECONTAM FUND</t>
  </si>
  <si>
    <t>SM-ACC NQ NUC DECOM EXP -RATES</t>
  </si>
  <si>
    <t>SI-ACC NQ NUC DECOM EXP -RATES</t>
  </si>
  <si>
    <t>FR-ACC NQ NUC DECOM EXP -RATES</t>
  </si>
  <si>
    <t>SM-ACC NUC DCM EXP-NQ TR INC</t>
  </si>
  <si>
    <t>SI-ACC NUC DCM EXP-NQ TR INC</t>
  </si>
  <si>
    <t>FR-ACC NUC DCM EXP-NQ TR INC</t>
  </si>
  <si>
    <t>BK DEFL-GAIN REACQUIRED DEBT</t>
  </si>
  <si>
    <t>ACCRD SFAS 106 PST RETIRE EXP</t>
  </si>
  <si>
    <t>ACCRD OPEB COSTS - SFAS 158</t>
  </si>
  <si>
    <t>ACCRD SFAS 112 PST EMPLOY BEN</t>
  </si>
  <si>
    <t>BK PROV-W/O DEFD SFAS 106 BAL</t>
  </si>
  <si>
    <t>ACCRD BOOK ARO EXPENSE - SFAS 143</t>
  </si>
  <si>
    <t>GROSS RECEIPTS- TAX EXPENSE</t>
  </si>
  <si>
    <t>AMORT STEP-UP ITC TO TI-RKPT 2</t>
  </si>
  <si>
    <t>ACCRD SIT/FRANCHISE TAX RESERVE</t>
  </si>
  <si>
    <t>ACCRUED SALES &amp; USE TAX RESERVE</t>
  </si>
  <si>
    <t>ACCRD SIT TX RESERVE-LNG-TERM-FIN 48</t>
  </si>
  <si>
    <t>ACCRD SIT TX RESERVE-SHRT-TERM-FIN 48</t>
  </si>
  <si>
    <t>CAPITALIZED COOK COSTS - TAX</t>
  </si>
  <si>
    <t>IRS AUDIT SETTLEMENT</t>
  </si>
  <si>
    <t>1977-1980 IRS AUDIT SETTLEMENT</t>
  </si>
  <si>
    <t>1981-1982 IRS AUDIT SETTLEMENT</t>
  </si>
  <si>
    <t>1985-1987 IRS AUDIT SETTLEMENT</t>
  </si>
  <si>
    <t>1988-1990 IRS AUDIT SETTLEMENT</t>
  </si>
  <si>
    <t>1991-1996 IRS AUDIT SETTLEMENT</t>
  </si>
  <si>
    <t>1997-1999 IRS AUDIT SETTLEMENT</t>
  </si>
  <si>
    <t>1997-2003 IRS AUDIT SETTLEMENT</t>
  </si>
  <si>
    <t>IRS CAPITALIZATION ADJUSTMENT</t>
  </si>
  <si>
    <t>AMT CREDIT - DEFERRED</t>
  </si>
  <si>
    <t>NOL - DEFERRED TAX ASSET RECLASS</t>
  </si>
  <si>
    <t>DEFD FIT - CAPITAL LOSS CFWD</t>
  </si>
  <si>
    <t xml:space="preserve">DEFD STATE INCOME TAXES  </t>
  </si>
  <si>
    <t>FIN 48 - DEFD STATE INCOME TAXES</t>
  </si>
  <si>
    <t>RESTRICTED STOCK PLAN</t>
  </si>
  <si>
    <t>PSI - STOCK BASED COMP</t>
  </si>
  <si>
    <t>DEFERRED SIT  1901002</t>
  </si>
  <si>
    <t>SFAS 109 FLOW-THRU 190.3</t>
  </si>
  <si>
    <t>SFAS 109 EXCESS DFIT 190.4</t>
  </si>
  <si>
    <t>SFAS 133 ADIT FED - SFAS NONAFFIL 1900006</t>
  </si>
  <si>
    <t>ADIT FED - PENSION OCI NAF 1900009</t>
  </si>
  <si>
    <t>ADIT FED - PENSION OCI 1900010</t>
  </si>
  <si>
    <t>ADIT FED - PENSION NON-UMWA PRW OCI 1900011</t>
  </si>
  <si>
    <t>ADIT FED HDG CF INT RATE 1900015</t>
  </si>
  <si>
    <t>NON-UTILITY DEFERRED SIT  1902002</t>
  </si>
  <si>
    <t>COLUMN P</t>
  </si>
  <si>
    <t>COLUMN Q</t>
  </si>
  <si>
    <t>COLUMN R</t>
  </si>
  <si>
    <t>COLUMN S</t>
  </si>
  <si>
    <t>COLUMN T</t>
  </si>
  <si>
    <t>COLUMN U</t>
  </si>
  <si>
    <t>BOOK OPERATING LEASE - LIAB</t>
  </si>
  <si>
    <t>481 a BONUS DEPRECIATION</t>
  </si>
  <si>
    <t>TAX DEPRECIATION LOOKBACK</t>
  </si>
  <si>
    <t>BOOK OPERATING LEASE - ASSET</t>
  </si>
  <si>
    <t>REG ASSET-RESOURCE ADEQUACY RIDER</t>
  </si>
  <si>
    <t>REG ASSET-SNF Incremental Costs</t>
  </si>
  <si>
    <t>EFFECTIVE AS OF 3/6/2019</t>
  </si>
  <si>
    <t xml:space="preserve"> GENERAL PLANT</t>
  </si>
  <si>
    <t>Transportation Equipment</t>
  </si>
  <si>
    <t>Power Operated Equipment</t>
  </si>
  <si>
    <t>INDIANA MICHIGAN POWER COMPANY, INC.</t>
  </si>
  <si>
    <t>Worksheet B-3</t>
  </si>
  <si>
    <t>Excess/ Deficient ADIT Worksheet for Total Company and Functional Balances</t>
  </si>
  <si>
    <t>For Year Ended December 31, 2019</t>
  </si>
  <si>
    <t>Debit/(Credit)</t>
  </si>
  <si>
    <t xml:space="preserve">I </t>
  </si>
  <si>
    <t xml:space="preserve">J </t>
  </si>
  <si>
    <t>TOTAL COMPANY BALANCES</t>
  </si>
  <si>
    <t>1/1/2019 Beginning  Balances</t>
  </si>
  <si>
    <t>Balance Sheet Entries</t>
  </si>
  <si>
    <t>Tax Expense Entries</t>
  </si>
  <si>
    <t>12/31/2019 Ending Balance</t>
  </si>
  <si>
    <t xml:space="preserve">Line No. </t>
  </si>
  <si>
    <t>Account (NOTE A)</t>
  </si>
  <si>
    <t>Description of Account</t>
  </si>
  <si>
    <t>Protected
Unprotected</t>
  </si>
  <si>
    <t>Tax Rate Change Act</t>
  </si>
  <si>
    <t>Amotization Period</t>
  </si>
  <si>
    <t>Excess ADIT Regulatory  Offset</t>
  </si>
  <si>
    <t>Excess ADIT in Utility Deferrals</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</si>
  <si>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</si>
  <si>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</si>
  <si>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</si>
  <si>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</si>
  <si>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</si>
  <si>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</si>
  <si>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</si>
  <si>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</si>
  <si>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</si>
  <si>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</si>
  <si>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</si>
  <si>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</si>
  <si>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</si>
  <si>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</si>
  <si>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</si>
  <si>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</si>
  <si>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</si>
  <si>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</si>
  <si>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</si>
  <si>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</si>
  <si>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</si>
  <si>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</si>
  <si>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</si>
  <si>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</si>
  <si>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</si>
  <si>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</si>
  <si>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</si>
  <si>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</si>
  <si>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</si>
  <si>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</si>
  <si>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</si>
  <si>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</si>
  <si>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</si>
  <si>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</si>
  <si>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</si>
  <si>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</si>
  <si>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</si>
  <si>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</si>
  <si>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</si>
  <si>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</si>
  <si>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</si>
  <si>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</si>
  <si>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</si>
  <si>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FERC Form 1 p. 278 Ln. 3 Cols, (b) /(f)</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</si>
  <si>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</si>
  <si>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</si>
  <si>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</si>
  <si>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</si>
  <si>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</si>
  <si>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</si>
  <si>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</si>
  <si>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</si>
  <si>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</si>
  <si>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</si>
  <si>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</si>
  <si>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</si>
  <si>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</si>
  <si>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</si>
  <si>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</si>
  <si>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</si>
  <si>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</si>
  <si>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in both the Total Company and Transmission Funcational sections above as required to reflect  any new ADIT or regulatory deferral accounts that may be necessary to track that tax rate change.</t>
  </si>
  <si>
    <t>NOTE E:</t>
  </si>
  <si>
    <t>ARCS BENEFITS NORMALIZED</t>
  </si>
  <si>
    <t>Excess Balance at Remeasurement (NOTE C)</t>
  </si>
  <si>
    <t>Amortization Methodology (NOTE D)</t>
  </si>
  <si>
    <t xml:space="preserve">410/411
Excess Amortization </t>
  </si>
  <si>
    <t>NOTE E</t>
  </si>
  <si>
    <t>NOTE F</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</si>
  <si>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</si>
  <si>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</si>
  <si>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The amounts of the remeasurement shown here are as of the effective date of the change in tax rates and will remain static on this workpaper.</t>
  </si>
  <si>
    <t>NOTE F:</t>
  </si>
  <si>
    <t>pg. 263.2, ln.31(i)</t>
  </si>
  <si>
    <t>pg. 263.3, ln.6(i)</t>
  </si>
  <si>
    <t>pg. 263.3, ln.8(i)</t>
  </si>
  <si>
    <t>pg. 263, ln.18(i)</t>
  </si>
  <si>
    <t>pg. 263, ln.19(i)</t>
  </si>
  <si>
    <t>pg. 263.1, ln.24(i)</t>
  </si>
  <si>
    <t>pg. 263.1, ln.27(i)</t>
  </si>
  <si>
    <t>pg. 263.1, ln.31(i)</t>
  </si>
  <si>
    <t>pg. 263.2, ln.40(i)</t>
  </si>
  <si>
    <t>pg. 263.3, ln.21(i)</t>
  </si>
  <si>
    <t>pg. 263.3, ln.23(i)</t>
  </si>
  <si>
    <t>pg. 263.3, ln.24(i)</t>
  </si>
  <si>
    <t>pg. 263.3, ln.25(i)</t>
  </si>
  <si>
    <t>pg. 263.2, ln.24(i)</t>
  </si>
  <si>
    <t>pg. 263, ln.25(i)</t>
  </si>
  <si>
    <t>pg. 263, ln.37(i)</t>
  </si>
  <si>
    <t>pg. 263.2, ln.8(i)</t>
  </si>
  <si>
    <t>pg. 263.1, Ln. 33(i)</t>
  </si>
  <si>
    <t>pg. 263.1, Ln. 10(i)</t>
  </si>
  <si>
    <t>pg. 263.3, Ln. 17(i)</t>
  </si>
  <si>
    <t>pg. 263, Ln. 15(i)</t>
  </si>
  <si>
    <t>pg. 263.3, Ln. 32(i)</t>
  </si>
  <si>
    <t>pg. 263.3, Ln. 37(i)</t>
  </si>
  <si>
    <t>pg. 263.1, ln.15(i)</t>
  </si>
  <si>
    <t>pg. 263.1, ln.16i)</t>
  </si>
  <si>
    <t>pg. 263.1, ln.17i)</t>
  </si>
  <si>
    <t>EFFECTIVE AS OF 3/1/2019</t>
  </si>
  <si>
    <t>EFFECTIVE AS OF 4/1/2012</t>
  </si>
  <si>
    <t>Gross Receipts Audit</t>
  </si>
  <si>
    <t>WS B - 2 Col B/C, ADIT item 3.16</t>
  </si>
  <si>
    <t>WS B - 1, Col B/C, ADIT Item 2.06</t>
  </si>
  <si>
    <t>WS B - 1 Col B/C, ADIT Item 5.59</t>
  </si>
  <si>
    <t>WS B - 1 Col B/C, Items 10.25</t>
  </si>
  <si>
    <t>WS B - 1 Col B/C, Item 10.28</t>
  </si>
  <si>
    <t>WS B - 1 Cols O+P+Q+R+S , ADIT Item 5.59</t>
  </si>
  <si>
    <t>WS B - 1 Col Q, ADIT 5.59</t>
  </si>
  <si>
    <t>WS B - 1 Col Q, item 10.25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</si>
</sst>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 numFmtId="200" formatCode="mm/dd/yy"/>
  </numFmts>
  <fonts count="1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b/>
      <sz val="12"/>
      <name val="Arial MT"/>
    </font>
    <font>
      <sz val="14"/>
      <color indexed="12"/>
      <name val="Helv"/>
    </font>
    <font>
      <b/>
      <sz val="10"/>
      <color indexed="10"/>
      <name val="Arial Narrow"/>
      <family val="2"/>
    </font>
    <font>
      <b/>
      <u/>
      <sz val="14"/>
      <name val="Arial"/>
      <family val="2"/>
    </font>
    <font>
      <u/>
      <sz val="12"/>
      <name val="Arial MT"/>
    </font>
    <font>
      <u/>
      <sz val="12"/>
      <name val="Times New Roman"/>
      <family val="1"/>
    </font>
    <font>
      <sz val="10"/>
      <color indexed="12"/>
      <name val="Times New Roman"/>
      <family val="1"/>
    </font>
    <font>
      <u val="singleAccounting"/>
      <sz val="10"/>
      <name val="Arial"/>
      <family val="2"/>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b/>
      <sz val="14"/>
      <color rgb="FFFF0000"/>
      <name val="Arial"/>
      <family val="2"/>
    </font>
    <font>
      <sz val="10"/>
      <name val="Arial"/>
      <family val="2"/>
    </font>
    <font>
      <sz val="10"/>
      <color indexed="12"/>
      <name val="Calibri"/>
      <family val="2"/>
      <scheme val="minor"/>
    </font>
    <font>
      <sz val="10"/>
      <name val="Calibri"/>
      <family val="2"/>
      <scheme val="minor"/>
    </font>
    <font>
      <strike/>
      <sz val="14"/>
      <color rgb="FFFF0000"/>
      <name val="Arial"/>
      <family val="2"/>
    </font>
    <font>
      <strike/>
      <sz val="14"/>
      <color indexed="10"/>
      <name val="Arial"/>
      <family val="2"/>
    </font>
    <font>
      <u/>
      <sz val="14"/>
      <name val="Arial"/>
      <family val="2"/>
    </font>
    <font>
      <sz val="14"/>
      <color indexed="8"/>
      <name val="Arial"/>
      <family val="2"/>
    </font>
    <font>
      <sz val="14"/>
      <color indexed="23"/>
      <name val="Arial"/>
      <family val="2"/>
    </font>
    <font>
      <sz val="14"/>
      <color indexed="9"/>
      <name val="Arial"/>
      <family val="2"/>
    </font>
    <font>
      <sz val="12"/>
      <name val="Arial MT"/>
      <family val="2"/>
    </font>
    <font>
      <sz val="9"/>
      <color rgb="FFFF0000"/>
      <name val="Arial"/>
      <family val="2"/>
    </font>
    <font>
      <sz val="9"/>
      <name val="Arial MT"/>
      <family val="2"/>
    </font>
    <font>
      <i/>
      <sz val="9"/>
      <name val="Arial"/>
      <family val="2"/>
    </font>
    <font>
      <sz val="10"/>
      <color theme="1"/>
      <name val="Arial"/>
      <family val="2"/>
    </font>
    <font>
      <sz val="11"/>
      <color indexed="8"/>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64">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61">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72" fontId="40" fillId="0" borderId="0" applyFill="0"/>
    <xf numFmtId="172" fontId="40" fillId="0" borderId="0">
      <alignment horizontal="center"/>
    </xf>
    <xf numFmtId="0" fontId="40" fillId="0" borderId="0" applyFill="0">
      <alignment horizontal="center"/>
    </xf>
    <xf numFmtId="172" fontId="6" fillId="0" borderId="1" applyFill="0"/>
    <xf numFmtId="0" fontId="14" fillId="0" borderId="0" applyFont="0" applyAlignment="0"/>
    <xf numFmtId="0" fontId="41" fillId="0" borderId="0" applyFill="0">
      <alignment vertical="top"/>
    </xf>
    <xf numFmtId="0" fontId="6" fillId="0" borderId="0" applyFill="0">
      <alignment horizontal="left" vertical="top"/>
    </xf>
    <xf numFmtId="172" fontId="8" fillId="0" borderId="2" applyFill="0"/>
    <xf numFmtId="0" fontId="14" fillId="0" borderId="0" applyNumberFormat="0" applyFont="0" applyAlignment="0"/>
    <xf numFmtId="0" fontId="41" fillId="0" borderId="0" applyFill="0">
      <alignment wrapText="1"/>
    </xf>
    <xf numFmtId="0" fontId="6" fillId="0" borderId="0" applyFill="0">
      <alignment horizontal="left" vertical="top" wrapText="1"/>
    </xf>
    <xf numFmtId="172" fontId="42" fillId="0" borderId="0" applyFill="0"/>
    <xf numFmtId="0" fontId="43" fillId="0" borderId="0" applyNumberFormat="0" applyFont="0" applyAlignment="0">
      <alignment horizontal="center"/>
    </xf>
    <xf numFmtId="0" fontId="44" fillId="0" borderId="0" applyFill="0">
      <alignment vertical="top" wrapText="1"/>
    </xf>
    <xf numFmtId="0" fontId="8" fillId="0" borderId="0" applyFill="0">
      <alignment horizontal="left" vertical="top" wrapText="1"/>
    </xf>
    <xf numFmtId="172" fontId="14" fillId="0" borderId="0" applyFill="0"/>
    <xf numFmtId="0" fontId="43" fillId="0" borderId="0" applyNumberFormat="0" applyFont="0" applyAlignment="0">
      <alignment horizontal="center"/>
    </xf>
    <xf numFmtId="0" fontId="30" fillId="0" borderId="0" applyFill="0">
      <alignment vertical="center" wrapText="1"/>
    </xf>
    <xf numFmtId="0" fontId="7" fillId="0" borderId="0">
      <alignment horizontal="left" vertical="center" wrapText="1"/>
    </xf>
    <xf numFmtId="172" fontId="26" fillId="0" borderId="0" applyFill="0"/>
    <xf numFmtId="0" fontId="43" fillId="0" borderId="0" applyNumberFormat="0" applyFont="0" applyAlignment="0">
      <alignment horizontal="center"/>
    </xf>
    <xf numFmtId="0" fontId="18" fillId="0" borderId="0" applyFill="0">
      <alignment horizontal="center" vertical="center" wrapText="1"/>
    </xf>
    <xf numFmtId="0" fontId="14" fillId="0" borderId="0" applyFill="0">
      <alignment horizontal="center" vertical="center" wrapText="1"/>
    </xf>
    <xf numFmtId="172" fontId="45" fillId="0" borderId="0" applyFill="0"/>
    <xf numFmtId="0" fontId="43"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172" fontId="48" fillId="0" borderId="0" applyFill="0"/>
    <xf numFmtId="0" fontId="43" fillId="0" borderId="0" applyNumberFormat="0" applyFont="0" applyAlignment="0">
      <alignment horizontal="center"/>
    </xf>
    <xf numFmtId="0" fontId="49" fillId="0" borderId="0">
      <alignment horizontal="center" wrapText="1"/>
    </xf>
    <xf numFmtId="0" fontId="45" fillId="0" borderId="0" applyFill="0">
      <alignment horizontal="center" wrapText="1"/>
    </xf>
    <xf numFmtId="0" fontId="50" fillId="20" borderId="3" applyNumberFormat="0" applyAlignment="0" applyProtection="0"/>
    <xf numFmtId="0" fontId="50" fillId="20" borderId="3" applyNumberFormat="0" applyAlignment="0" applyProtection="0"/>
    <xf numFmtId="0" fontId="51" fillId="21" borderId="4" applyNumberFormat="0" applyAlignment="0" applyProtection="0"/>
    <xf numFmtId="0" fontId="51" fillId="21" borderId="4" applyNumberFormat="0" applyAlignment="0" applyProtection="0"/>
    <xf numFmtId="43" fontId="4" fillId="0" borderId="0" applyFont="0" applyFill="0" applyBorder="0" applyAlignment="0" applyProtection="0"/>
    <xf numFmtId="43" fontId="15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2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7"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1" fillId="0" borderId="0" applyFont="0" applyFill="0" applyBorder="0" applyAlignment="0" applyProtection="0"/>
    <xf numFmtId="43" fontId="14" fillId="0" borderId="0" applyFont="0" applyFill="0" applyBorder="0" applyAlignment="0" applyProtection="0"/>
    <xf numFmtId="43" fontId="134" fillId="0" borderId="0" applyFont="0" applyFill="0" applyBorder="0" applyAlignment="0" applyProtection="0"/>
    <xf numFmtId="43" fontId="14" fillId="0" borderId="0" applyFont="0" applyFill="0" applyBorder="0" applyAlignment="0" applyProtection="0"/>
    <xf numFmtId="43" fontId="150" fillId="0" borderId="0" applyFont="0" applyFill="0" applyBorder="0" applyAlignment="0" applyProtection="0"/>
    <xf numFmtId="43" fontId="150" fillId="0" borderId="0" applyFont="0" applyFill="0" applyBorder="0" applyAlignment="0" applyProtection="0"/>
    <xf numFmtId="43" fontId="152" fillId="0" borderId="0" applyFont="0" applyFill="0" applyBorder="0" applyAlignment="0" applyProtection="0"/>
    <xf numFmtId="43" fontId="14" fillId="0" borderId="0" applyFont="0" applyFill="0" applyBorder="0" applyAlignment="0" applyProtection="0"/>
    <xf numFmtId="43" fontId="131" fillId="0" borderId="0" applyFont="0" applyFill="0" applyBorder="0" applyAlignment="0" applyProtection="0"/>
    <xf numFmtId="43" fontId="14" fillId="0" borderId="0" applyFont="0" applyFill="0" applyBorder="0" applyAlignment="0" applyProtection="0"/>
    <xf numFmtId="43" fontId="152" fillId="0" borderId="0" applyFont="0" applyFill="0" applyBorder="0" applyAlignment="0" applyProtection="0"/>
    <xf numFmtId="43" fontId="14" fillId="0" borderId="0" applyFont="0" applyFill="0" applyBorder="0" applyAlignment="0" applyProtection="0"/>
    <xf numFmtId="43" fontId="152" fillId="0" borderId="0" applyFont="0" applyFill="0" applyBorder="0" applyAlignment="0" applyProtection="0"/>
    <xf numFmtId="43" fontId="139" fillId="0" borderId="0" applyFont="0" applyFill="0" applyBorder="0" applyAlignment="0" applyProtection="0"/>
    <xf numFmtId="43" fontId="14" fillId="0" borderId="0" applyFont="0" applyFill="0" applyBorder="0" applyAlignment="0" applyProtection="0"/>
    <xf numFmtId="43" fontId="150" fillId="0" borderId="0" applyFont="0" applyFill="0" applyBorder="0" applyAlignment="0" applyProtection="0"/>
    <xf numFmtId="43" fontId="150" fillId="0" borderId="0" applyFont="0" applyFill="0" applyBorder="0" applyAlignment="0" applyProtection="0"/>
    <xf numFmtId="43" fontId="4" fillId="0" borderId="0" applyFont="0" applyFill="0" applyBorder="0" applyAlignment="0" applyProtection="0"/>
    <xf numFmtId="3"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26"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27"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1" fillId="0" borderId="0" applyFont="0" applyFill="0" applyBorder="0" applyAlignment="0" applyProtection="0"/>
    <xf numFmtId="44" fontId="14" fillId="0" borderId="0" applyFont="0" applyFill="0" applyBorder="0" applyAlignment="0" applyProtection="0"/>
    <xf numFmtId="44" fontId="150" fillId="0" borderId="0" applyFont="0" applyFill="0" applyBorder="0" applyAlignment="0" applyProtection="0"/>
    <xf numFmtId="44" fontId="150" fillId="0" borderId="0" applyFont="0" applyFill="0" applyBorder="0" applyAlignment="0" applyProtection="0"/>
    <xf numFmtId="44" fontId="152" fillId="0" borderId="0" applyFont="0" applyFill="0" applyBorder="0" applyAlignment="0" applyProtection="0"/>
    <xf numFmtId="44" fontId="14" fillId="0" borderId="0" applyFont="0" applyFill="0" applyBorder="0" applyAlignment="0" applyProtection="0"/>
    <xf numFmtId="44" fontId="131" fillId="0" borderId="0" applyFont="0" applyFill="0" applyBorder="0" applyAlignment="0" applyProtection="0"/>
    <xf numFmtId="44" fontId="14" fillId="0" borderId="0" applyFont="0" applyFill="0" applyBorder="0" applyAlignment="0" applyProtection="0"/>
    <xf numFmtId="44" fontId="152" fillId="0" borderId="0" applyFont="0" applyFill="0" applyBorder="0" applyAlignment="0" applyProtection="0"/>
    <xf numFmtId="44" fontId="150" fillId="0" borderId="0" applyFont="0" applyFill="0" applyBorder="0" applyAlignment="0" applyProtection="0"/>
    <xf numFmtId="44" fontId="150"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1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xf numFmtId="0" fontId="56" fillId="0" borderId="0"/>
    <xf numFmtId="0" fontId="57" fillId="7" borderId="3" applyNumberFormat="0" applyAlignment="0" applyProtection="0"/>
    <xf numFmtId="0" fontId="57" fillId="7" borderId="3" applyNumberFormat="0" applyAlignment="0" applyProtection="0"/>
    <xf numFmtId="0" fontId="58" fillId="0" borderId="7" applyNumberFormat="0" applyFill="0" applyAlignment="0" applyProtection="0"/>
    <xf numFmtId="0" fontId="58" fillId="0" borderId="7"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3" fontId="126" fillId="0" borderId="0"/>
    <xf numFmtId="3" fontId="14" fillId="0" borderId="0"/>
    <xf numFmtId="3" fontId="14" fillId="0" borderId="0"/>
    <xf numFmtId="3" fontId="126" fillId="0" borderId="0"/>
    <xf numFmtId="0" fontId="14" fillId="0" borderId="0"/>
    <xf numFmtId="3" fontId="14" fillId="0" borderId="0"/>
    <xf numFmtId="3" fontId="126" fillId="0" borderId="0"/>
    <xf numFmtId="3" fontId="14" fillId="0" borderId="0"/>
    <xf numFmtId="0" fontId="152" fillId="0" borderId="0"/>
    <xf numFmtId="3" fontId="126" fillId="0" borderId="0"/>
    <xf numFmtId="3" fontId="14" fillId="0" borderId="0"/>
    <xf numFmtId="3" fontId="126" fillId="0" borderId="0"/>
    <xf numFmtId="3" fontId="14" fillId="0" borderId="0"/>
    <xf numFmtId="0" fontId="14" fillId="0" borderId="0"/>
    <xf numFmtId="3" fontId="126" fillId="0" borderId="0"/>
    <xf numFmtId="3" fontId="14" fillId="0" borderId="0"/>
    <xf numFmtId="3" fontId="126" fillId="0" borderId="0"/>
    <xf numFmtId="3" fontId="14" fillId="0" borderId="0"/>
    <xf numFmtId="3" fontId="126" fillId="0" borderId="0"/>
    <xf numFmtId="3" fontId="14" fillId="0" borderId="0"/>
    <xf numFmtId="3" fontId="127" fillId="0" borderId="0"/>
    <xf numFmtId="3" fontId="14" fillId="0" borderId="0"/>
    <xf numFmtId="0" fontId="14" fillId="0" borderId="0"/>
    <xf numFmtId="0" fontId="125" fillId="0" borderId="0"/>
    <xf numFmtId="0" fontId="153" fillId="0" borderId="0"/>
    <xf numFmtId="0" fontId="14" fillId="0" borderId="0"/>
    <xf numFmtId="0" fontId="14" fillId="0" borderId="0"/>
    <xf numFmtId="0" fontId="153" fillId="0" borderId="0"/>
    <xf numFmtId="0" fontId="14" fillId="0" borderId="0"/>
    <xf numFmtId="0" fontId="14" fillId="0" borderId="0"/>
    <xf numFmtId="3" fontId="127" fillId="0" borderId="0"/>
    <xf numFmtId="3" fontId="14" fillId="0" borderId="0"/>
    <xf numFmtId="3" fontId="127" fillId="0" borderId="0"/>
    <xf numFmtId="3" fontId="14" fillId="0" borderId="0"/>
    <xf numFmtId="3" fontId="127" fillId="0" borderId="0"/>
    <xf numFmtId="3" fontId="14" fillId="0" borderId="0"/>
    <xf numFmtId="3" fontId="127" fillId="0" borderId="0"/>
    <xf numFmtId="3" fontId="14" fillId="0" borderId="0"/>
    <xf numFmtId="3" fontId="127" fillId="0" borderId="0"/>
    <xf numFmtId="3" fontId="14" fillId="0" borderId="0"/>
    <xf numFmtId="3" fontId="127" fillId="0" borderId="0"/>
    <xf numFmtId="3" fontId="14" fillId="0" borderId="0"/>
    <xf numFmtId="3" fontId="127" fillId="0" borderId="0"/>
    <xf numFmtId="3" fontId="14" fillId="0" borderId="0"/>
    <xf numFmtId="3" fontId="14" fillId="0" borderId="0"/>
    <xf numFmtId="3" fontId="134" fillId="0" borderId="0"/>
    <xf numFmtId="3" fontId="14" fillId="0" borderId="0"/>
    <xf numFmtId="3" fontId="134" fillId="0" borderId="0"/>
    <xf numFmtId="3" fontId="14" fillId="0" borderId="0"/>
    <xf numFmtId="0" fontId="14" fillId="0" borderId="0"/>
    <xf numFmtId="0" fontId="14" fillId="0" borderId="0"/>
    <xf numFmtId="3" fontId="14" fillId="0" borderId="0"/>
    <xf numFmtId="0" fontId="14" fillId="0" borderId="0"/>
    <xf numFmtId="0" fontId="4" fillId="0" borderId="0"/>
    <xf numFmtId="0" fontId="14" fillId="0" borderId="0"/>
    <xf numFmtId="0" fontId="126" fillId="0" borderId="0"/>
    <xf numFmtId="0" fontId="14" fillId="0" borderId="0"/>
    <xf numFmtId="0" fontId="14" fillId="0" borderId="0"/>
    <xf numFmtId="0" fontId="127" fillId="0" borderId="0"/>
    <xf numFmtId="0" fontId="14" fillId="0" borderId="0"/>
    <xf numFmtId="0" fontId="14" fillId="0" borderId="0"/>
    <xf numFmtId="0" fontId="14" fillId="0" borderId="0"/>
    <xf numFmtId="0" fontId="131" fillId="0" borderId="0"/>
    <xf numFmtId="0" fontId="14" fillId="0" borderId="0"/>
    <xf numFmtId="0" fontId="134" fillId="0" borderId="0"/>
    <xf numFmtId="0" fontId="14" fillId="0" borderId="0"/>
    <xf numFmtId="0" fontId="150" fillId="0" borderId="0"/>
    <xf numFmtId="0" fontId="150" fillId="0" borderId="0"/>
    <xf numFmtId="0" fontId="14" fillId="0" borderId="0"/>
    <xf numFmtId="3" fontId="119" fillId="0" borderId="0"/>
    <xf numFmtId="3" fontId="14" fillId="0" borderId="0"/>
    <xf numFmtId="0" fontId="14" fillId="0" borderId="0"/>
    <xf numFmtId="3" fontId="14" fillId="0" borderId="0"/>
    <xf numFmtId="0" fontId="14" fillId="0" borderId="0"/>
    <xf numFmtId="0" fontId="152" fillId="0" borderId="0"/>
    <xf numFmtId="0" fontId="126" fillId="0" borderId="0"/>
    <xf numFmtId="0" fontId="14" fillId="0" borderId="0"/>
    <xf numFmtId="0" fontId="14" fillId="0" borderId="0"/>
    <xf numFmtId="0" fontId="127" fillId="0" borderId="0"/>
    <xf numFmtId="0" fontId="14" fillId="0" borderId="0"/>
    <xf numFmtId="0" fontId="134" fillId="0" borderId="0"/>
    <xf numFmtId="0" fontId="14" fillId="0" borderId="0"/>
    <xf numFmtId="0" fontId="152" fillId="0" borderId="0"/>
    <xf numFmtId="0" fontId="14" fillId="0" borderId="0"/>
    <xf numFmtId="0" fontId="152" fillId="0" borderId="0"/>
    <xf numFmtId="0" fontId="14" fillId="0" borderId="0"/>
    <xf numFmtId="0" fontId="152" fillId="0" borderId="0"/>
    <xf numFmtId="0" fontId="14" fillId="0" borderId="0"/>
    <xf numFmtId="0" fontId="5" fillId="0" borderId="0" applyProtection="0"/>
    <xf numFmtId="0" fontId="4" fillId="0" borderId="0"/>
    <xf numFmtId="0" fontId="127" fillId="0" borderId="0"/>
    <xf numFmtId="0" fontId="14" fillId="0" borderId="0"/>
    <xf numFmtId="0" fontId="14" fillId="0" borderId="0"/>
    <xf numFmtId="0" fontId="131" fillId="0" borderId="0"/>
    <xf numFmtId="0" fontId="14" fillId="0" borderId="0"/>
    <xf numFmtId="172" fontId="5" fillId="0" borderId="0" applyProtection="0"/>
    <xf numFmtId="0" fontId="4" fillId="0" borderId="0"/>
    <xf numFmtId="0" fontId="4" fillId="0" borderId="0"/>
    <xf numFmtId="0" fontId="14" fillId="0" borderId="0"/>
    <xf numFmtId="172" fontId="5" fillId="0" borderId="0" applyProtection="0"/>
    <xf numFmtId="0" fontId="72" fillId="0" borderId="0"/>
    <xf numFmtId="0" fontId="5" fillId="0" borderId="0"/>
    <xf numFmtId="0" fontId="14" fillId="0" borderId="0"/>
    <xf numFmtId="0" fontId="4" fillId="0" borderId="0"/>
    <xf numFmtId="0" fontId="5" fillId="23" borderId="8" applyNumberFormat="0" applyFont="0" applyAlignment="0" applyProtection="0"/>
    <xf numFmtId="0" fontId="5" fillId="23" borderId="8" applyNumberFormat="0" applyFont="0" applyAlignment="0" applyProtection="0"/>
    <xf numFmtId="0" fontId="60" fillId="20" borderId="9" applyNumberFormat="0" applyAlignment="0" applyProtection="0"/>
    <xf numFmtId="0" fontId="60" fillId="20" borderId="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2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2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1" fillId="0" borderId="0" applyFont="0" applyFill="0" applyBorder="0" applyAlignment="0" applyProtection="0"/>
    <xf numFmtId="9" fontId="14" fillId="0" borderId="0" applyFont="0" applyFill="0" applyBorder="0" applyAlignment="0" applyProtection="0"/>
    <xf numFmtId="9" fontId="150" fillId="0" borderId="0" applyFont="0" applyFill="0" applyBorder="0" applyAlignment="0" applyProtection="0"/>
    <xf numFmtId="9" fontId="150" fillId="0" borderId="0" applyFont="0" applyFill="0" applyBorder="0" applyAlignment="0" applyProtection="0"/>
    <xf numFmtId="9" fontId="15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1" fillId="0" borderId="0" applyFont="0" applyFill="0" applyBorder="0" applyAlignment="0" applyProtection="0"/>
    <xf numFmtId="9" fontId="14" fillId="0" borderId="0" applyFont="0" applyFill="0" applyBorder="0" applyAlignment="0" applyProtection="0"/>
    <xf numFmtId="9" fontId="152" fillId="0" borderId="0" applyFont="0" applyFill="0" applyBorder="0" applyAlignment="0" applyProtection="0"/>
    <xf numFmtId="9" fontId="139" fillId="0" borderId="0" applyFont="0" applyFill="0" applyBorder="0" applyAlignment="0" applyProtection="0"/>
    <xf numFmtId="9" fontId="14" fillId="0" borderId="0" applyFont="0" applyFill="0" applyBorder="0" applyAlignment="0" applyProtection="0"/>
    <xf numFmtId="9" fontId="150" fillId="0" borderId="0" applyFont="0" applyFill="0" applyBorder="0" applyAlignment="0" applyProtection="0"/>
    <xf numFmtId="9" fontId="150" fillId="0" borderId="0" applyFont="0" applyFill="0" applyBorder="0" applyAlignment="0" applyProtection="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6">
      <alignment horizontal="center"/>
    </xf>
    <xf numFmtId="3" fontId="35" fillId="0" borderId="0" applyFont="0" applyFill="0" applyBorder="0" applyAlignment="0" applyProtection="0"/>
    <xf numFmtId="0" fontId="35" fillId="24" borderId="0" applyNumberFormat="0" applyFont="0" applyBorder="0" applyAlignment="0" applyProtection="0"/>
    <xf numFmtId="3" fontId="14" fillId="0" borderId="0">
      <alignment horizontal="right" vertical="top"/>
    </xf>
    <xf numFmtId="41" fontId="7" fillId="25" borderId="10" applyFill="0"/>
    <xf numFmtId="0" fontId="61" fillId="0" borderId="0">
      <alignment horizontal="left" indent="7"/>
    </xf>
    <xf numFmtId="41" fontId="7" fillId="0" borderId="10" applyFill="0">
      <alignment horizontal="left" indent="2"/>
    </xf>
    <xf numFmtId="172" fontId="27" fillId="0" borderId="11" applyFill="0">
      <alignment horizontal="right"/>
    </xf>
    <xf numFmtId="0" fontId="11" fillId="0" borderId="12" applyNumberFormat="0" applyFont="0" applyBorder="0">
      <alignment horizontal="right"/>
    </xf>
    <xf numFmtId="0" fontId="62" fillId="0" borderId="0" applyFill="0"/>
    <xf numFmtId="0" fontId="8" fillId="0" borderId="0" applyFill="0"/>
    <xf numFmtId="4" fontId="27" fillId="0" borderId="11" applyFill="0"/>
    <xf numFmtId="0" fontId="14" fillId="0" borderId="0" applyNumberFormat="0" applyFont="0" applyBorder="0" applyAlignment="0"/>
    <xf numFmtId="0" fontId="44" fillId="0" borderId="0" applyFill="0">
      <alignment horizontal="left" indent="1"/>
    </xf>
    <xf numFmtId="0" fontId="63" fillId="0" borderId="0" applyFill="0">
      <alignment horizontal="left" indent="1"/>
    </xf>
    <xf numFmtId="4" fontId="26" fillId="0" borderId="0" applyFill="0"/>
    <xf numFmtId="0" fontId="14" fillId="0" borderId="0" applyNumberFormat="0" applyFont="0" applyFill="0" applyBorder="0" applyAlignment="0"/>
    <xf numFmtId="0" fontId="44" fillId="0" borderId="0" applyFill="0">
      <alignment horizontal="left" indent="2"/>
    </xf>
    <xf numFmtId="0" fontId="8" fillId="0" borderId="0" applyFill="0">
      <alignment horizontal="left" indent="2"/>
    </xf>
    <xf numFmtId="4" fontId="26" fillId="0" borderId="0" applyFill="0"/>
    <xf numFmtId="0" fontId="14" fillId="0" borderId="0" applyNumberFormat="0" applyFont="0" applyBorder="0" applyAlignment="0"/>
    <xf numFmtId="0" fontId="64" fillId="0" borderId="0">
      <alignment horizontal="left" indent="3"/>
    </xf>
    <xf numFmtId="0" fontId="65" fillId="0" borderId="0" applyFill="0">
      <alignment horizontal="left" indent="3"/>
    </xf>
    <xf numFmtId="4" fontId="26" fillId="0" borderId="0" applyFill="0"/>
    <xf numFmtId="0" fontId="14" fillId="0" borderId="0" applyNumberFormat="0" applyFont="0" applyBorder="0" applyAlignment="0"/>
    <xf numFmtId="0" fontId="18" fillId="0" borderId="0">
      <alignment horizontal="left" indent="4"/>
    </xf>
    <xf numFmtId="0" fontId="14" fillId="0" borderId="0" applyFill="0">
      <alignment horizontal="left" indent="4"/>
    </xf>
    <xf numFmtId="4" fontId="45" fillId="0" borderId="0" applyFill="0"/>
    <xf numFmtId="0" fontId="14" fillId="0" borderId="0" applyNumberFormat="0" applyFont="0" applyBorder="0" applyAlignment="0"/>
    <xf numFmtId="0" fontId="46" fillId="0" borderId="0">
      <alignment horizontal="left" indent="5"/>
    </xf>
    <xf numFmtId="0" fontId="47" fillId="0" borderId="0" applyFill="0">
      <alignment horizontal="left" indent="5"/>
    </xf>
    <xf numFmtId="4" fontId="48" fillId="0" borderId="0" applyFill="0"/>
    <xf numFmtId="0" fontId="14" fillId="0" borderId="0" applyNumberFormat="0" applyFont="0" applyFill="0" applyBorder="0" applyAlignment="0"/>
    <xf numFmtId="0" fontId="49" fillId="0" borderId="0" applyFill="0">
      <alignment horizontal="left" indent="6"/>
    </xf>
    <xf numFmtId="0" fontId="45" fillId="0" borderId="0" applyFill="0">
      <alignment horizontal="left" indent="6"/>
    </xf>
    <xf numFmtId="0" fontId="66" fillId="0" borderId="0" applyNumberFormat="0" applyFill="0" applyBorder="0" applyAlignment="0" applyProtection="0"/>
    <xf numFmtId="0" fontId="66" fillId="0" borderId="0" applyNumberForma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62" fillId="0" borderId="0"/>
    <xf numFmtId="0" fontId="3" fillId="0" borderId="0"/>
    <xf numFmtId="0" fontId="4" fillId="0" borderId="0"/>
    <xf numFmtId="9" fontId="171" fillId="0" borderId="0" applyFont="0" applyFill="0" applyBorder="0" applyAlignment="0" applyProtection="0"/>
    <xf numFmtId="9" fontId="4" fillId="0" borderId="0" applyFont="0" applyFill="0" applyBorder="0" applyAlignment="0" applyProtection="0"/>
    <xf numFmtId="172" fontId="171" fillId="0" borderId="0" applyProtection="0"/>
    <xf numFmtId="43" fontId="3" fillId="0" borderId="0" applyFont="0" applyFill="0" applyBorder="0" applyAlignment="0" applyProtection="0"/>
    <xf numFmtId="43" fontId="171" fillId="0" borderId="0" applyFont="0" applyFill="0" applyBorder="0" applyAlignment="0" applyProtection="0"/>
    <xf numFmtId="0" fontId="2" fillId="0" borderId="0"/>
    <xf numFmtId="172" fontId="6" fillId="0" borderId="59" applyFill="0"/>
    <xf numFmtId="0" fontId="4" fillId="0" borderId="0" applyFont="0" applyAlignment="0"/>
    <xf numFmtId="172" fontId="8" fillId="0" borderId="60" applyFill="0"/>
    <xf numFmtId="0" fontId="4" fillId="0" borderId="0" applyNumberFormat="0" applyFont="0" applyAlignment="0"/>
    <xf numFmtId="172" fontId="4" fillId="0" borderId="0" applyFill="0"/>
    <xf numFmtId="0" fontId="4" fillId="0" borderId="0" applyFill="0">
      <alignment horizontal="center" vertical="center" wrapText="1"/>
    </xf>
    <xf numFmtId="0" fontId="50" fillId="20" borderId="61" applyNumberFormat="0" applyAlignment="0" applyProtection="0"/>
    <xf numFmtId="0" fontId="50" fillId="20" borderId="61" applyNumberFormat="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0" fontId="57" fillId="7" borderId="61" applyNumberFormat="0" applyAlignment="0" applyProtection="0"/>
    <xf numFmtId="0" fontId="57" fillId="7" borderId="61" applyNumberFormat="0" applyAlignment="0" applyProtection="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1" fillId="0" borderId="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0" fontId="4" fillId="0" borderId="0"/>
    <xf numFmtId="3"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5" fillId="23" borderId="62" applyNumberFormat="0" applyFont="0" applyAlignment="0" applyProtection="0"/>
    <xf numFmtId="0" fontId="5" fillId="23" borderId="62" applyNumberFormat="0" applyFont="0" applyAlignment="0" applyProtection="0"/>
    <xf numFmtId="0" fontId="60" fillId="20" borderId="63" applyNumberFormat="0" applyAlignment="0" applyProtection="0"/>
    <xf numFmtId="0" fontId="60" fillId="20" borderId="6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lignment horizontal="left" vertical="top"/>
    </xf>
    <xf numFmtId="3" fontId="4" fillId="0" borderId="0">
      <alignment horizontal="right" vertical="top"/>
    </xf>
    <xf numFmtId="0" fontId="11" fillId="0" borderId="55" applyNumberFormat="0" applyFont="0" applyBorder="0">
      <alignment horizontal="right"/>
    </xf>
    <xf numFmtId="0" fontId="4" fillId="0" borderId="0" applyNumberFormat="0" applyFont="0" applyBorder="0" applyAlignment="0"/>
    <xf numFmtId="0" fontId="4" fillId="0" borderId="0" applyNumberFormat="0" applyFont="0" applyFill="0" applyBorder="0" applyAlignment="0"/>
    <xf numFmtId="0" fontId="4" fillId="0" borderId="0" applyNumberFormat="0" applyFont="0" applyBorder="0" applyAlignment="0"/>
    <xf numFmtId="0" fontId="4" fillId="0" borderId="0" applyNumberFormat="0" applyFont="0" applyBorder="0" applyAlignment="0"/>
    <xf numFmtId="0" fontId="4" fillId="0" borderId="0" applyFill="0">
      <alignment horizontal="left" indent="4"/>
    </xf>
    <xf numFmtId="0" fontId="4" fillId="0" borderId="0" applyNumberFormat="0" applyFont="0" applyBorder="0" applyAlignment="0"/>
    <xf numFmtId="0" fontId="4" fillId="0" borderId="0" applyNumberFormat="0" applyFont="0" applyFill="0" applyBorder="0" applyAlignment="0"/>
    <xf numFmtId="0" fontId="4" fillId="0" borderId="0" applyFont="0" applyFill="0" applyBorder="0" applyAlignment="0" applyProtection="0"/>
    <xf numFmtId="0" fontId="4" fillId="0" borderId="0" applyFont="0" applyFill="0" applyBorder="0" applyAlignment="0" applyProtection="0"/>
    <xf numFmtId="0" fontId="4" fillId="0" borderId="0"/>
    <xf numFmtId="0" fontId="1" fillId="0" borderId="0"/>
    <xf numFmtId="9" fontId="171" fillId="0" borderId="0" applyFont="0" applyFill="0" applyBorder="0" applyAlignment="0" applyProtection="0"/>
    <xf numFmtId="172" fontId="171" fillId="0" borderId="0" applyProtection="0"/>
    <xf numFmtId="43" fontId="1" fillId="0" borderId="0" applyFont="0" applyFill="0" applyBorder="0" applyAlignment="0" applyProtection="0"/>
    <xf numFmtId="43" fontId="171" fillId="0" borderId="0" applyFont="0" applyFill="0" applyBorder="0" applyAlignment="0" applyProtection="0"/>
    <xf numFmtId="172" fontId="171" fillId="0" borderId="0" applyProtection="0"/>
    <xf numFmtId="44" fontId="175" fillId="0" borderId="0" applyFont="0" applyFill="0" applyBorder="0" applyAlignment="0" applyProtection="0"/>
    <xf numFmtId="42" fontId="175" fillId="0" borderId="0" applyFont="0" applyFill="0" applyBorder="0" applyAlignment="0" applyProtection="0"/>
    <xf numFmtId="41" fontId="175" fillId="0" borderId="0" applyFont="0" applyFill="0" applyBorder="0" applyAlignment="0" applyProtection="0"/>
    <xf numFmtId="0" fontId="1" fillId="0" borderId="0"/>
    <xf numFmtId="43" fontId="1" fillId="0" borderId="0" applyFont="0" applyFill="0" applyBorder="0" applyAlignment="0" applyProtection="0"/>
  </cellStyleXfs>
  <cellXfs count="1608">
    <xf numFmtId="0" fontId="0" fillId="0" borderId="0" xfId="0"/>
    <xf numFmtId="0" fontId="0" fillId="0" borderId="0" xfId="0" applyAlignment="1">
      <alignment horizontal="center"/>
    </xf>
    <xf numFmtId="0" fontId="7" fillId="0" borderId="0" xfId="0" applyFont="1"/>
    <xf numFmtId="0" fontId="0" fillId="0" borderId="0" xfId="0" applyAlignment="1"/>
    <xf numFmtId="3" fontId="7" fillId="0" borderId="0" xfId="0" applyNumberFormat="1" applyFont="1" applyAlignment="1">
      <alignment horizontal="center"/>
    </xf>
    <xf numFmtId="0" fontId="14" fillId="0" borderId="0" xfId="0" applyFont="1" applyFill="1"/>
    <xf numFmtId="0" fontId="14" fillId="0" borderId="0" xfId="0" applyFont="1"/>
    <xf numFmtId="0" fontId="14" fillId="0" borderId="0" xfId="0" applyFont="1" applyFill="1" applyBorder="1"/>
    <xf numFmtId="0" fontId="11" fillId="0" borderId="0" xfId="253" applyFont="1" applyFill="1" applyAlignment="1">
      <alignment horizontal="center"/>
    </xf>
    <xf numFmtId="0" fontId="17" fillId="0" borderId="0" xfId="253" applyFont="1" applyFill="1"/>
    <xf numFmtId="9" fontId="11" fillId="0" borderId="0" xfId="253" quotePrefix="1" applyNumberFormat="1" applyFont="1" applyFill="1" applyAlignment="1">
      <alignment horizontal="center"/>
    </xf>
    <xf numFmtId="0" fontId="19" fillId="0" borderId="0" xfId="253" applyFont="1" applyAlignment="1">
      <alignment horizontal="right"/>
    </xf>
    <xf numFmtId="0" fontId="19" fillId="0" borderId="0" xfId="253" applyFont="1" applyAlignment="1">
      <alignment horizontal="center"/>
    </xf>
    <xf numFmtId="0" fontId="19" fillId="0" borderId="0" xfId="253" applyFont="1" applyFill="1" applyAlignment="1">
      <alignment horizontal="center"/>
    </xf>
    <xf numFmtId="9" fontId="11" fillId="0" borderId="0" xfId="253" applyNumberFormat="1" applyFont="1" applyFill="1" applyAlignment="1">
      <alignment horizontal="center"/>
    </xf>
    <xf numFmtId="0" fontId="20" fillId="0" borderId="0" xfId="0" applyFont="1" applyAlignment="1">
      <alignment horizontal="right"/>
    </xf>
    <xf numFmtId="0" fontId="0" fillId="0" borderId="0" xfId="0" applyBorder="1"/>
    <xf numFmtId="0" fontId="7" fillId="0" borderId="0" xfId="0" applyFont="1" applyFill="1" applyAlignment="1"/>
    <xf numFmtId="0" fontId="0" fillId="0" borderId="0" xfId="0" applyAlignment="1">
      <alignment wrapText="1"/>
    </xf>
    <xf numFmtId="0" fontId="6" fillId="0" borderId="0" xfId="0" applyFont="1"/>
    <xf numFmtId="0" fontId="7" fillId="0" borderId="0" xfId="0" applyFont="1" applyFill="1"/>
    <xf numFmtId="0" fontId="0" fillId="0" borderId="0" xfId="0" applyFill="1"/>
    <xf numFmtId="0" fontId="0" fillId="0" borderId="0" xfId="0" applyFont="1" applyFill="1" applyAlignment="1">
      <alignment horizontal="center"/>
    </xf>
    <xf numFmtId="0" fontId="17" fillId="0" borderId="0" xfId="0" applyFont="1" applyFill="1"/>
    <xf numFmtId="0" fontId="20" fillId="0" borderId="0" xfId="0" applyFont="1"/>
    <xf numFmtId="0" fontId="6" fillId="0" borderId="0" xfId="0" applyFont="1" applyAlignment="1">
      <alignment wrapText="1"/>
    </xf>
    <xf numFmtId="0" fontId="14" fillId="0" borderId="0" xfId="253" applyFont="1" applyFill="1"/>
    <xf numFmtId="41" fontId="14" fillId="0" borderId="0" xfId="253" applyNumberFormat="1" applyFont="1" applyFill="1"/>
    <xf numFmtId="0" fontId="17" fillId="0" borderId="0" xfId="253" applyFont="1" applyFill="1" applyAlignment="1">
      <alignment horizontal="left"/>
    </xf>
    <xf numFmtId="3" fontId="14" fillId="0" borderId="0" xfId="0" applyNumberFormat="1" applyFont="1" applyFill="1"/>
    <xf numFmtId="0" fontId="7" fillId="0" borderId="0" xfId="253" applyFont="1" applyFill="1" applyAlignment="1">
      <alignment horizontal="right"/>
    </xf>
    <xf numFmtId="40" fontId="14" fillId="0" borderId="0" xfId="0" applyNumberFormat="1" applyFont="1" applyFill="1"/>
    <xf numFmtId="0" fontId="14" fillId="0" borderId="0" xfId="253" applyFont="1"/>
    <xf numFmtId="0" fontId="7" fillId="0" borderId="0" xfId="253" applyFont="1" applyFill="1"/>
    <xf numFmtId="0" fontId="11" fillId="0" borderId="0" xfId="253" applyFont="1" applyFill="1" applyBorder="1" applyAlignment="1">
      <alignment horizontal="left"/>
    </xf>
    <xf numFmtId="0" fontId="11" fillId="0" borderId="0" xfId="253" applyFont="1" applyFill="1" applyBorder="1"/>
    <xf numFmtId="0" fontId="14" fillId="0" borderId="0" xfId="253" applyFont="1" applyAlignment="1">
      <alignment horizontal="left"/>
    </xf>
    <xf numFmtId="0" fontId="8" fillId="0" borderId="0" xfId="253" applyFont="1" applyFill="1" applyAlignment="1">
      <alignment horizontal="center"/>
    </xf>
    <xf numFmtId="37" fontId="7" fillId="0" borderId="0" xfId="0" applyNumberFormat="1" applyFont="1" applyFill="1" applyAlignment="1"/>
    <xf numFmtId="0" fontId="28" fillId="0" borderId="0" xfId="0" applyFont="1" applyFill="1"/>
    <xf numFmtId="0" fontId="7" fillId="0" borderId="0" xfId="0" applyFont="1" applyAlignment="1">
      <alignment horizontal="center"/>
    </xf>
    <xf numFmtId="37" fontId="7" fillId="0" borderId="0" xfId="0" applyNumberFormat="1" applyFont="1" applyFill="1" applyAlignment="1">
      <alignment horizontal="center"/>
    </xf>
    <xf numFmtId="10" fontId="7" fillId="0" borderId="0" xfId="0" applyNumberFormat="1" applyFont="1" applyFill="1" applyBorder="1" applyAlignment="1"/>
    <xf numFmtId="176" fontId="7" fillId="0" borderId="0" xfId="0" applyNumberFormat="1" applyFont="1" applyFill="1"/>
    <xf numFmtId="3" fontId="21" fillId="0" borderId="0" xfId="0" applyNumberFormat="1" applyFont="1" applyFill="1" applyAlignment="1"/>
    <xf numFmtId="41" fontId="29" fillId="0" borderId="0" xfId="253" applyNumberFormat="1" applyFont="1" applyFill="1" applyBorder="1"/>
    <xf numFmtId="0" fontId="30" fillId="0" borderId="0" xfId="253" applyFont="1" applyFill="1" applyAlignment="1">
      <alignment horizontal="left"/>
    </xf>
    <xf numFmtId="0" fontId="28" fillId="0" borderId="0" xfId="253" applyFont="1" applyFill="1"/>
    <xf numFmtId="41" fontId="28" fillId="0" borderId="0" xfId="253" applyNumberFormat="1" applyFont="1" applyFill="1" applyBorder="1" applyAlignment="1">
      <alignment vertical="top"/>
    </xf>
    <xf numFmtId="181" fontId="28" fillId="0" borderId="0" xfId="253" applyNumberFormat="1" applyFont="1" applyFill="1"/>
    <xf numFmtId="41" fontId="28" fillId="0" borderId="0" xfId="253" applyNumberFormat="1" applyFont="1" applyFill="1" applyBorder="1"/>
    <xf numFmtId="0" fontId="28" fillId="0" borderId="0" xfId="253" applyFont="1" applyFill="1" applyAlignment="1">
      <alignment horizontal="left"/>
    </xf>
    <xf numFmtId="0" fontId="31" fillId="0" borderId="0" xfId="253" applyFont="1" applyFill="1" applyBorder="1"/>
    <xf numFmtId="0" fontId="28" fillId="0" borderId="0" xfId="253" applyFont="1" applyFill="1" applyAlignment="1">
      <alignment horizontal="center"/>
    </xf>
    <xf numFmtId="0" fontId="12" fillId="0" borderId="0" xfId="253" applyFont="1" applyFill="1" applyAlignment="1">
      <alignment horizontal="center"/>
    </xf>
    <xf numFmtId="173" fontId="28" fillId="0" borderId="0" xfId="253" applyNumberFormat="1" applyFont="1" applyFill="1"/>
    <xf numFmtId="173" fontId="28" fillId="0" borderId="0" xfId="253" applyNumberFormat="1" applyFont="1" applyFill="1" applyBorder="1" applyAlignment="1">
      <alignment vertical="top"/>
    </xf>
    <xf numFmtId="41" fontId="28" fillId="0" borderId="13" xfId="253" applyNumberFormat="1" applyFont="1" applyFill="1" applyBorder="1"/>
    <xf numFmtId="173" fontId="8" fillId="0" borderId="0" xfId="86" applyNumberFormat="1" applyFont="1" applyFill="1" applyAlignment="1">
      <alignment horizontal="center"/>
    </xf>
    <xf numFmtId="0" fontId="7" fillId="0" borderId="0" xfId="253" applyFont="1" applyFill="1" applyAlignment="1">
      <alignment horizontal="center"/>
    </xf>
    <xf numFmtId="0" fontId="32" fillId="0" borderId="0" xfId="253" applyFont="1" applyFill="1" applyBorder="1"/>
    <xf numFmtId="0" fontId="12" fillId="0" borderId="0" xfId="253" applyFont="1" applyAlignment="1">
      <alignment horizontal="center"/>
    </xf>
    <xf numFmtId="41" fontId="7" fillId="0" borderId="13" xfId="253" applyNumberFormat="1" applyFont="1" applyFill="1" applyBorder="1"/>
    <xf numFmtId="38" fontId="14" fillId="0" borderId="0" xfId="0" applyNumberFormat="1" applyFont="1" applyFill="1" applyBorder="1" applyAlignment="1"/>
    <xf numFmtId="3" fontId="14" fillId="0" borderId="0" xfId="0" applyNumberFormat="1" applyFont="1"/>
    <xf numFmtId="40" fontId="14" fillId="0" borderId="0" xfId="0" applyNumberFormat="1" applyFont="1"/>
    <xf numFmtId="43" fontId="7" fillId="0" borderId="0" xfId="253" applyNumberFormat="1" applyFont="1" applyFill="1"/>
    <xf numFmtId="3" fontId="7" fillId="0" borderId="0" xfId="0" applyNumberFormat="1" applyFont="1" applyFill="1" applyAlignment="1"/>
    <xf numFmtId="41" fontId="29" fillId="25" borderId="0" xfId="253" applyNumberFormat="1" applyFont="1" applyFill="1" applyBorder="1"/>
    <xf numFmtId="0" fontId="9" fillId="0" borderId="0" xfId="214" applyFont="1" applyFill="1" applyBorder="1" applyAlignment="1">
      <alignment horizontal="left"/>
    </xf>
    <xf numFmtId="0" fontId="14" fillId="0" borderId="0" xfId="214" applyFont="1" applyBorder="1" applyAlignment="1"/>
    <xf numFmtId="0" fontId="14" fillId="0" borderId="0" xfId="214" applyFont="1" applyBorder="1" applyAlignment="1">
      <alignment horizontal="center"/>
    </xf>
    <xf numFmtId="0" fontId="14" fillId="0" borderId="0" xfId="214" applyFont="1" applyBorder="1"/>
    <xf numFmtId="0" fontId="14" fillId="0" borderId="0" xfId="214" applyNumberFormat="1" applyFont="1" applyFill="1" applyBorder="1" applyAlignment="1">
      <alignment horizontal="left"/>
    </xf>
    <xf numFmtId="0" fontId="11" fillId="0" borderId="0" xfId="214" applyNumberFormat="1" applyFont="1" applyFill="1" applyBorder="1" applyAlignment="1">
      <alignment horizontal="left"/>
    </xf>
    <xf numFmtId="0" fontId="14" fillId="0" borderId="0" xfId="214" applyFont="1" applyFill="1" applyBorder="1" applyAlignment="1">
      <alignment horizontal="center" wrapText="1"/>
    </xf>
    <xf numFmtId="3" fontId="14" fillId="0" borderId="0" xfId="214" applyNumberFormat="1" applyFont="1" applyFill="1" applyBorder="1" applyAlignment="1"/>
    <xf numFmtId="0" fontId="14" fillId="0" borderId="0" xfId="214" applyFont="1" applyFill="1" applyBorder="1" applyAlignment="1"/>
    <xf numFmtId="0" fontId="14" fillId="0" borderId="0" xfId="214" applyNumberFormat="1" applyFont="1" applyFill="1" applyBorder="1" applyAlignment="1">
      <alignment horizontal="center"/>
    </xf>
    <xf numFmtId="173" fontId="14" fillId="0" borderId="0" xfId="89" applyNumberFormat="1" applyFont="1" applyFill="1" applyBorder="1" applyAlignment="1">
      <alignment horizontal="right"/>
    </xf>
    <xf numFmtId="0" fontId="10" fillId="0" borderId="0" xfId="214" applyFont="1" applyFill="1" applyBorder="1" applyAlignment="1"/>
    <xf numFmtId="0" fontId="14" fillId="0" borderId="0" xfId="214" applyFont="1" applyFill="1" applyBorder="1"/>
    <xf numFmtId="0" fontId="11" fillId="0" borderId="0" xfId="214" applyFont="1" applyBorder="1" applyAlignment="1"/>
    <xf numFmtId="0" fontId="11" fillId="0" borderId="0" xfId="214" applyNumberFormat="1" applyFont="1" applyFill="1" applyBorder="1" applyAlignment="1">
      <alignment horizontal="center"/>
    </xf>
    <xf numFmtId="164" fontId="14" fillId="0" borderId="0" xfId="274" applyNumberFormat="1" applyFont="1" applyFill="1" applyBorder="1" applyAlignment="1"/>
    <xf numFmtId="173" fontId="14" fillId="0" borderId="0" xfId="89" applyNumberFormat="1" applyFont="1" applyFill="1" applyBorder="1" applyAlignment="1">
      <alignment horizontal="left"/>
    </xf>
    <xf numFmtId="0" fontId="14" fillId="0" borderId="0" xfId="214" applyFont="1" applyFill="1" applyBorder="1" applyAlignment="1">
      <alignment horizontal="center"/>
    </xf>
    <xf numFmtId="3" fontId="14" fillId="0" borderId="0" xfId="214" applyNumberFormat="1" applyFont="1" applyFill="1" applyBorder="1" applyAlignment="1">
      <alignment horizontal="right"/>
    </xf>
    <xf numFmtId="3" fontId="14" fillId="0" borderId="0" xfId="214" applyNumberFormat="1" applyFont="1" applyFill="1" applyBorder="1" applyAlignment="1">
      <alignment horizontal="center"/>
    </xf>
    <xf numFmtId="0" fontId="0" fillId="0" borderId="0" xfId="0" applyAlignment="1">
      <alignment horizontal="center" wrapText="1"/>
    </xf>
    <xf numFmtId="0" fontId="34" fillId="0" borderId="0" xfId="0" applyFont="1" applyFill="1"/>
    <xf numFmtId="0" fontId="21" fillId="0" borderId="0" xfId="253" applyFont="1" applyFill="1"/>
    <xf numFmtId="0" fontId="19" fillId="0" borderId="0" xfId="214" applyFont="1" applyFill="1" applyBorder="1" applyAlignment="1">
      <alignment horizontal="left"/>
    </xf>
    <xf numFmtId="0" fontId="11" fillId="0" borderId="0" xfId="214" applyFont="1" applyFill="1" applyBorder="1" applyAlignment="1">
      <alignment horizontal="left"/>
    </xf>
    <xf numFmtId="0" fontId="11" fillId="0" borderId="0" xfId="214" applyFont="1" applyFill="1" applyBorder="1" applyAlignment="1">
      <alignment horizontal="center"/>
    </xf>
    <xf numFmtId="173" fontId="14" fillId="0" borderId="14" xfId="89" applyNumberFormat="1" applyFont="1" applyFill="1" applyBorder="1" applyAlignment="1">
      <alignment horizontal="right"/>
    </xf>
    <xf numFmtId="0" fontId="11" fillId="0" borderId="0" xfId="214" applyFont="1" applyBorder="1" applyAlignment="1">
      <alignment horizontal="center"/>
    </xf>
    <xf numFmtId="0" fontId="14" fillId="0" borderId="0" xfId="253" applyFont="1" applyAlignment="1">
      <alignment horizontal="center"/>
    </xf>
    <xf numFmtId="0" fontId="7" fillId="0" borderId="0" xfId="214" applyFont="1" applyBorder="1" applyAlignment="1">
      <alignment horizontal="center"/>
    </xf>
    <xf numFmtId="49" fontId="7" fillId="0" borderId="0" xfId="253" applyNumberFormat="1" applyFont="1" applyAlignment="1">
      <alignment horizontal="center"/>
    </xf>
    <xf numFmtId="0" fontId="0" fillId="0" borderId="0" xfId="0" applyAlignment="1">
      <alignment horizontal="right"/>
    </xf>
    <xf numFmtId="0" fontId="11" fillId="0" borderId="0" xfId="214" applyFont="1" applyBorder="1"/>
    <xf numFmtId="3" fontId="12" fillId="0" borderId="0" xfId="0" applyNumberFormat="1" applyFont="1" applyFill="1" applyAlignment="1">
      <alignment horizontal="center"/>
    </xf>
    <xf numFmtId="173" fontId="4" fillId="0" borderId="0" xfId="86" applyNumberFormat="1"/>
    <xf numFmtId="0" fontId="6" fillId="0" borderId="0" xfId="0" applyFont="1" applyFill="1"/>
    <xf numFmtId="0" fontId="14" fillId="0" borderId="0" xfId="0" applyFont="1" applyBorder="1"/>
    <xf numFmtId="0" fontId="14" fillId="0" borderId="0" xfId="0" applyFont="1" applyAlignment="1">
      <alignment horizontal="center"/>
    </xf>
    <xf numFmtId="173" fontId="14" fillId="0" borderId="0" xfId="86" applyNumberFormat="1" applyFont="1"/>
    <xf numFmtId="10" fontId="14" fillId="0" borderId="0" xfId="0" applyNumberFormat="1" applyFont="1"/>
    <xf numFmtId="173" fontId="4" fillId="0" borderId="0" xfId="86" applyNumberFormat="1" applyFill="1"/>
    <xf numFmtId="10" fontId="0" fillId="0" borderId="0" xfId="0" applyNumberFormat="1"/>
    <xf numFmtId="185" fontId="20" fillId="0" borderId="0" xfId="264" applyNumberFormat="1" applyFont="1"/>
    <xf numFmtId="0" fontId="73" fillId="0" borderId="0" xfId="264" applyFont="1"/>
    <xf numFmtId="185" fontId="20" fillId="0" borderId="0" xfId="264" applyNumberFormat="1" applyFont="1" applyAlignment="1">
      <alignment horizontal="center"/>
    </xf>
    <xf numFmtId="0" fontId="14" fillId="0" borderId="0" xfId="264" applyFont="1"/>
    <xf numFmtId="0" fontId="20" fillId="0" borderId="0" xfId="264" applyFont="1"/>
    <xf numFmtId="0" fontId="20" fillId="0" borderId="0" xfId="264" applyNumberFormat="1" applyFont="1" applyAlignment="1">
      <alignment horizontal="center"/>
    </xf>
    <xf numFmtId="0" fontId="20" fillId="0" borderId="0" xfId="264" applyNumberFormat="1" applyFont="1"/>
    <xf numFmtId="0" fontId="20" fillId="0" borderId="0" xfId="264" applyNumberFormat="1" applyFont="1" applyBorder="1" applyAlignment="1">
      <alignment horizontal="center"/>
    </xf>
    <xf numFmtId="185" fontId="74" fillId="0" borderId="0" xfId="264" applyNumberFormat="1" applyFont="1"/>
    <xf numFmtId="0" fontId="75" fillId="0" borderId="0" xfId="264" applyFont="1"/>
    <xf numFmtId="173" fontId="73" fillId="0" borderId="0" xfId="264" applyNumberFormat="1" applyFont="1"/>
    <xf numFmtId="0" fontId="76" fillId="0" borderId="0" xfId="264" applyFont="1"/>
    <xf numFmtId="185" fontId="14" fillId="0" borderId="0" xfId="264" applyNumberFormat="1" applyFont="1"/>
    <xf numFmtId="0" fontId="77" fillId="0" borderId="0" xfId="260" applyFont="1" applyFill="1" applyAlignment="1">
      <alignment horizontal="center"/>
    </xf>
    <xf numFmtId="0" fontId="77" fillId="0" borderId="0" xfId="260" applyFont="1" applyFill="1" applyAlignment="1">
      <alignment horizontal="left" indent="2"/>
    </xf>
    <xf numFmtId="39" fontId="77" fillId="0" borderId="0" xfId="260" applyNumberFormat="1" applyFont="1" applyFill="1"/>
    <xf numFmtId="0" fontId="73" fillId="0" borderId="0" xfId="264" applyFont="1" applyFill="1"/>
    <xf numFmtId="0" fontId="14" fillId="0" borderId="0" xfId="264" applyNumberFormat="1" applyFont="1" applyAlignment="1">
      <alignment horizontal="center"/>
    </xf>
    <xf numFmtId="0" fontId="14" fillId="0" borderId="0" xfId="264" applyNumberFormat="1" applyFont="1"/>
    <xf numFmtId="185" fontId="7" fillId="0" borderId="0" xfId="264" applyNumberFormat="1" applyFont="1"/>
    <xf numFmtId="43" fontId="7" fillId="0" borderId="0" xfId="86" applyFont="1"/>
    <xf numFmtId="173" fontId="7" fillId="0" borderId="0" xfId="86" applyNumberFormat="1" applyFont="1"/>
    <xf numFmtId="173" fontId="73" fillId="0" borderId="14" xfId="86" applyNumberFormat="1" applyFont="1" applyBorder="1"/>
    <xf numFmtId="0" fontId="73" fillId="0" borderId="0" xfId="0" applyFont="1"/>
    <xf numFmtId="173" fontId="73" fillId="0" borderId="0" xfId="264" applyNumberFormat="1" applyFont="1" applyBorder="1"/>
    <xf numFmtId="10" fontId="7" fillId="0" borderId="14" xfId="0" applyNumberFormat="1" applyFont="1" applyFill="1" applyBorder="1" applyAlignment="1"/>
    <xf numFmtId="173" fontId="0" fillId="0" borderId="0" xfId="86" applyNumberFormat="1" applyFont="1" applyFill="1"/>
    <xf numFmtId="173" fontId="0" fillId="0" borderId="0" xfId="0" applyNumberFormat="1"/>
    <xf numFmtId="41" fontId="14" fillId="0" borderId="0" xfId="253" applyNumberFormat="1" applyFont="1"/>
    <xf numFmtId="173" fontId="14" fillId="0" borderId="0" xfId="86" applyNumberFormat="1" applyFont="1" applyFill="1"/>
    <xf numFmtId="0" fontId="11" fillId="0" borderId="0" xfId="253" applyFont="1" applyAlignment="1">
      <alignment horizontal="center" wrapText="1"/>
    </xf>
    <xf numFmtId="38" fontId="14" fillId="0" borderId="0" xfId="0" applyNumberFormat="1" applyFont="1" applyFill="1" applyBorder="1" applyAlignment="1">
      <alignment horizontal="center"/>
    </xf>
    <xf numFmtId="0" fontId="4" fillId="0" borderId="0" xfId="253" applyFill="1" applyAlignment="1">
      <alignment horizontal="left"/>
    </xf>
    <xf numFmtId="0" fontId="80" fillId="0" borderId="0" xfId="253" applyFont="1" applyFill="1" applyBorder="1" applyAlignment="1">
      <alignment horizontal="left"/>
    </xf>
    <xf numFmtId="0" fontId="4" fillId="0" borderId="0" xfId="253" applyFill="1"/>
    <xf numFmtId="0" fontId="80" fillId="0" borderId="0" xfId="253" applyFont="1" applyFill="1" applyBorder="1"/>
    <xf numFmtId="0" fontId="71" fillId="0" borderId="0" xfId="253" applyFont="1" applyFill="1" applyAlignment="1">
      <alignment horizontal="center"/>
    </xf>
    <xf numFmtId="38" fontId="14" fillId="0" borderId="15" xfId="0" applyNumberFormat="1" applyFont="1" applyFill="1" applyBorder="1"/>
    <xf numFmtId="38" fontId="14" fillId="0" borderId="0" xfId="0" applyNumberFormat="1" applyFont="1" applyFill="1" applyBorder="1"/>
    <xf numFmtId="0" fontId="81" fillId="0" borderId="0" xfId="214" applyNumberFormat="1" applyFont="1" applyFill="1" applyBorder="1" applyAlignment="1">
      <alignment horizontal="left"/>
    </xf>
    <xf numFmtId="38" fontId="14" fillId="0" borderId="0" xfId="214" applyNumberFormat="1" applyFont="1" applyFill="1" applyBorder="1" applyAlignment="1">
      <alignment horizontal="right"/>
    </xf>
    <xf numFmtId="0" fontId="14" fillId="0" borderId="0" xfId="214" applyNumberFormat="1" applyFont="1" applyFill="1" applyBorder="1" applyAlignment="1">
      <alignment horizontal="right"/>
    </xf>
    <xf numFmtId="38" fontId="14" fillId="0" borderId="0" xfId="0" applyNumberFormat="1" applyFont="1" applyBorder="1" applyAlignment="1">
      <alignment horizontal="right"/>
    </xf>
    <xf numFmtId="0" fontId="6" fillId="0" borderId="0" xfId="0" applyFont="1" applyAlignment="1">
      <alignment horizontal="center"/>
    </xf>
    <xf numFmtId="0" fontId="6" fillId="0" borderId="0" xfId="214" applyFont="1" applyBorder="1" applyAlignment="1">
      <alignment horizontal="center"/>
    </xf>
    <xf numFmtId="38" fontId="10" fillId="0" borderId="0" xfId="214" applyNumberFormat="1" applyFont="1" applyFill="1" applyBorder="1" applyAlignment="1"/>
    <xf numFmtId="173" fontId="10" fillId="0" borderId="14" xfId="86" applyNumberFormat="1" applyFont="1" applyFill="1" applyBorder="1" applyAlignment="1"/>
    <xf numFmtId="0" fontId="14" fillId="0" borderId="14" xfId="214" applyNumberFormat="1" applyFont="1" applyFill="1" applyBorder="1" applyAlignment="1">
      <alignment horizontal="left"/>
    </xf>
    <xf numFmtId="0" fontId="20" fillId="0" borderId="0" xfId="264" applyNumberFormat="1" applyFont="1" applyFill="1" applyAlignment="1">
      <alignment horizontal="center"/>
    </xf>
    <xf numFmtId="0" fontId="14" fillId="0" borderId="0" xfId="264" applyNumberFormat="1" applyFont="1" applyFill="1"/>
    <xf numFmtId="173" fontId="73" fillId="0" borderId="0" xfId="264" applyNumberFormat="1" applyFont="1" applyFill="1"/>
    <xf numFmtId="173" fontId="73" fillId="0" borderId="0" xfId="86" applyNumberFormat="1" applyFont="1" applyFill="1"/>
    <xf numFmtId="3" fontId="6" fillId="0" borderId="0" xfId="0" applyNumberFormat="1" applyFont="1" applyAlignment="1">
      <alignment horizontal="center"/>
    </xf>
    <xf numFmtId="10" fontId="14" fillId="0" borderId="0" xfId="272" applyNumberFormat="1" applyFont="1" applyAlignment="1">
      <alignment horizontal="right"/>
    </xf>
    <xf numFmtId="0" fontId="11" fillId="0" borderId="0" xfId="0" applyFont="1" applyAlignment="1">
      <alignment horizontal="center" wrapText="1"/>
    </xf>
    <xf numFmtId="0" fontId="11" fillId="0" borderId="0" xfId="0" applyFont="1" applyAlignment="1">
      <alignment wrapText="1"/>
    </xf>
    <xf numFmtId="10" fontId="10" fillId="0" borderId="0" xfId="272" applyNumberFormat="1" applyFont="1"/>
    <xf numFmtId="174" fontId="4" fillId="0" borderId="0" xfId="118" applyNumberFormat="1"/>
    <xf numFmtId="0" fontId="6" fillId="0" borderId="0" xfId="0" applyFont="1" applyAlignment="1">
      <alignment horizontal="right"/>
    </xf>
    <xf numFmtId="0" fontId="14" fillId="0" borderId="0" xfId="0" applyFont="1" applyAlignment="1">
      <alignment horizontal="centerContinuous"/>
    </xf>
    <xf numFmtId="0" fontId="19" fillId="0" borderId="0" xfId="0" applyFont="1" applyAlignment="1">
      <alignment horizontal="center"/>
    </xf>
    <xf numFmtId="0" fontId="11"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6" fontId="0" fillId="0" borderId="0" xfId="0" applyNumberFormat="1"/>
    <xf numFmtId="0" fontId="19" fillId="0" borderId="0" xfId="0" applyFont="1" applyAlignment="1">
      <alignment horizontal="left"/>
    </xf>
    <xf numFmtId="0" fontId="6" fillId="0" borderId="0" xfId="0" applyFont="1" applyAlignment="1">
      <alignment horizontal="left"/>
    </xf>
    <xf numFmtId="0" fontId="19"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7" fillId="0" borderId="0" xfId="253" applyFont="1"/>
    <xf numFmtId="0" fontId="4" fillId="0" borderId="0" xfId="253" applyAlignment="1">
      <alignment horizontal="left"/>
    </xf>
    <xf numFmtId="0" fontId="4" fillId="0" borderId="0" xfId="253"/>
    <xf numFmtId="0" fontId="17" fillId="0" borderId="0" xfId="253" applyFont="1" applyAlignment="1">
      <alignment horizontal="left"/>
    </xf>
    <xf numFmtId="173" fontId="14" fillId="0" borderId="0" xfId="214" applyNumberFormat="1" applyFont="1" applyFill="1" applyBorder="1"/>
    <xf numFmtId="0" fontId="14" fillId="25" borderId="0" xfId="214" applyNumberFormat="1" applyFont="1" applyFill="1" applyBorder="1" applyAlignment="1">
      <alignment horizontal="center"/>
    </xf>
    <xf numFmtId="0" fontId="11" fillId="25" borderId="0" xfId="214" applyNumberFormat="1" applyFont="1" applyFill="1" applyBorder="1" applyAlignment="1">
      <alignment horizontal="left"/>
    </xf>
    <xf numFmtId="0" fontId="10" fillId="25" borderId="0" xfId="214" applyFont="1" applyFill="1" applyBorder="1" applyAlignment="1"/>
    <xf numFmtId="0" fontId="14" fillId="25" borderId="0" xfId="214" applyNumberFormat="1" applyFont="1" applyFill="1" applyBorder="1" applyAlignment="1">
      <alignment horizontal="left"/>
    </xf>
    <xf numFmtId="0" fontId="14" fillId="25" borderId="0" xfId="214" applyFont="1" applyFill="1" applyBorder="1"/>
    <xf numFmtId="173" fontId="14" fillId="25" borderId="0" xfId="89" applyNumberFormat="1" applyFont="1" applyFill="1" applyBorder="1" applyAlignment="1">
      <alignment horizontal="right"/>
    </xf>
    <xf numFmtId="0" fontId="0" fillId="25" borderId="0" xfId="0" applyFill="1" applyBorder="1"/>
    <xf numFmtId="164" fontId="14" fillId="25" borderId="0" xfId="274" applyNumberFormat="1" applyFont="1" applyFill="1" applyBorder="1" applyAlignment="1"/>
    <xf numFmtId="173" fontId="14" fillId="25" borderId="0" xfId="89" applyNumberFormat="1" applyFont="1" applyFill="1" applyBorder="1" applyAlignment="1">
      <alignment horizontal="left"/>
    </xf>
    <xf numFmtId="0" fontId="17" fillId="0" borderId="0" xfId="253" applyFont="1" applyAlignment="1"/>
    <xf numFmtId="0" fontId="15" fillId="0" borderId="0" xfId="0" applyFont="1" applyBorder="1"/>
    <xf numFmtId="0" fontId="19" fillId="0" borderId="0" xfId="214" applyFont="1" applyFill="1" applyBorder="1" applyAlignment="1">
      <alignment horizontal="center"/>
    </xf>
    <xf numFmtId="0" fontId="15" fillId="0" borderId="0" xfId="214" applyNumberFormat="1" applyFont="1" applyFill="1" applyBorder="1" applyAlignment="1">
      <alignment horizontal="left"/>
    </xf>
    <xf numFmtId="173" fontId="15" fillId="0" borderId="0" xfId="89" applyNumberFormat="1" applyFont="1" applyFill="1" applyBorder="1" applyAlignment="1">
      <alignment horizontal="right"/>
    </xf>
    <xf numFmtId="0" fontId="16" fillId="0" borderId="0" xfId="253" applyFont="1" applyFill="1"/>
    <xf numFmtId="0" fontId="83" fillId="0" borderId="0" xfId="253" applyFont="1" applyFill="1"/>
    <xf numFmtId="9" fontId="12" fillId="0" borderId="0" xfId="253" quotePrefix="1" applyNumberFormat="1" applyFont="1" applyFill="1" applyAlignment="1">
      <alignment horizontal="center"/>
    </xf>
    <xf numFmtId="0" fontId="6" fillId="0" borderId="0" xfId="264" applyNumberFormat="1" applyFont="1" applyAlignment="1">
      <alignment horizontal="center"/>
    </xf>
    <xf numFmtId="0" fontId="6" fillId="0" borderId="0" xfId="264" applyNumberFormat="1" applyFont="1"/>
    <xf numFmtId="185" fontId="6" fillId="0" borderId="0" xfId="264" applyNumberFormat="1" applyFont="1" applyAlignment="1">
      <alignment horizontal="center"/>
    </xf>
    <xf numFmtId="0" fontId="11" fillId="0" borderId="0" xfId="264" applyFont="1"/>
    <xf numFmtId="0" fontId="6" fillId="0" borderId="11" xfId="264" applyNumberFormat="1" applyFont="1" applyBorder="1" applyAlignment="1">
      <alignment horizontal="center"/>
    </xf>
    <xf numFmtId="185" fontId="6" fillId="0" borderId="11" xfId="264" applyNumberFormat="1" applyFont="1" applyBorder="1" applyAlignment="1">
      <alignment horizontal="center"/>
    </xf>
    <xf numFmtId="0" fontId="76" fillId="0" borderId="11" xfId="264" applyFont="1" applyBorder="1" applyAlignment="1">
      <alignment horizontal="center"/>
    </xf>
    <xf numFmtId="0" fontId="11" fillId="0" borderId="0" xfId="264" applyFont="1" applyAlignment="1">
      <alignment horizontal="center"/>
    </xf>
    <xf numFmtId="6" fontId="14" fillId="0" borderId="0" xfId="0" applyNumberFormat="1" applyFont="1" applyAlignment="1">
      <alignment horizontal="right"/>
    </xf>
    <xf numFmtId="174" fontId="0" fillId="0" borderId="0" xfId="118" applyNumberFormat="1" applyFont="1" applyAlignment="1">
      <alignment horizontal="center"/>
    </xf>
    <xf numFmtId="0" fontId="11" fillId="0" borderId="0" xfId="0" applyFont="1" applyAlignment="1">
      <alignment horizontal="left"/>
    </xf>
    <xf numFmtId="6" fontId="11" fillId="0" borderId="0" xfId="0" applyNumberFormat="1" applyFont="1" applyAlignment="1">
      <alignment horizontal="right"/>
    </xf>
    <xf numFmtId="173" fontId="85" fillId="0" borderId="0" xfId="86" applyNumberFormat="1" applyFont="1" applyFill="1"/>
    <xf numFmtId="0" fontId="89" fillId="0" borderId="0" xfId="0" applyFont="1" applyBorder="1" applyAlignment="1">
      <alignment horizontal="center"/>
    </xf>
    <xf numFmtId="0" fontId="88" fillId="0" borderId="0" xfId="253" applyFont="1" applyFill="1" applyAlignment="1">
      <alignment horizontal="center"/>
    </xf>
    <xf numFmtId="173" fontId="14" fillId="0" borderId="0" xfId="264" applyNumberFormat="1" applyFont="1"/>
    <xf numFmtId="0" fontId="7" fillId="0" borderId="0" xfId="264" applyFont="1"/>
    <xf numFmtId="173" fontId="7" fillId="0" borderId="0" xfId="264" applyNumberFormat="1" applyFont="1"/>
    <xf numFmtId="164" fontId="0" fillId="0" borderId="0" xfId="272" applyNumberFormat="1" applyFont="1"/>
    <xf numFmtId="173" fontId="92" fillId="0" borderId="0" xfId="264" applyNumberFormat="1" applyFont="1" applyFill="1" applyBorder="1"/>
    <xf numFmtId="0" fontId="25" fillId="0" borderId="0" xfId="253" applyFont="1" applyFill="1" applyAlignment="1">
      <alignment horizontal="center"/>
    </xf>
    <xf numFmtId="37" fontId="14" fillId="0" borderId="15" xfId="0" applyNumberFormat="1" applyFont="1" applyFill="1" applyBorder="1"/>
    <xf numFmtId="37" fontId="14" fillId="0" borderId="0" xfId="214" applyNumberFormat="1" applyFont="1" applyFill="1" applyBorder="1" applyAlignment="1">
      <alignment horizontal="right"/>
    </xf>
    <xf numFmtId="37" fontId="10" fillId="0" borderId="0" xfId="214" applyNumberFormat="1" applyFont="1" applyFill="1" applyBorder="1" applyAlignment="1"/>
    <xf numFmtId="0" fontId="95" fillId="0" borderId="0" xfId="253" applyFont="1" applyFill="1" applyBorder="1"/>
    <xf numFmtId="0" fontId="14" fillId="0" borderId="0" xfId="0" applyFont="1" applyAlignment="1"/>
    <xf numFmtId="0" fontId="14" fillId="0" borderId="0" xfId="0" applyFont="1" applyAlignment="1">
      <alignment horizontal="center" wrapText="1"/>
    </xf>
    <xf numFmtId="0" fontId="34" fillId="0" borderId="0" xfId="0" applyFont="1" applyAlignment="1">
      <alignment wrapText="1"/>
    </xf>
    <xf numFmtId="0" fontId="34" fillId="0" borderId="0" xfId="0" applyFont="1"/>
    <xf numFmtId="0" fontId="34" fillId="0" borderId="0" xfId="0" applyFont="1" applyAlignment="1">
      <alignment horizontal="center" wrapText="1"/>
    </xf>
    <xf numFmtId="173" fontId="0" fillId="0" borderId="14" xfId="0" applyNumberFormat="1" applyBorder="1"/>
    <xf numFmtId="9" fontId="0" fillId="0" borderId="0" xfId="272" applyFont="1"/>
    <xf numFmtId="0" fontId="97" fillId="0" borderId="0" xfId="0" applyFont="1" applyAlignment="1">
      <alignment horizontal="center" wrapText="1"/>
    </xf>
    <xf numFmtId="0" fontId="20" fillId="0" borderId="0" xfId="260" applyFont="1" applyFill="1" applyAlignment="1">
      <alignment horizontal="center"/>
    </xf>
    <xf numFmtId="0" fontId="34" fillId="0" borderId="0" xfId="253" applyFont="1" applyFill="1" applyAlignment="1">
      <alignment horizontal="left"/>
    </xf>
    <xf numFmtId="0" fontId="34" fillId="0" borderId="0" xfId="253" applyFont="1" applyFill="1"/>
    <xf numFmtId="0" fontId="99" fillId="0" borderId="0" xfId="253" applyFont="1" applyFill="1" applyAlignment="1">
      <alignment horizontal="center"/>
    </xf>
    <xf numFmtId="0" fontId="100" fillId="0" borderId="0" xfId="253" applyFont="1" applyFill="1" applyBorder="1"/>
    <xf numFmtId="189" fontId="101" fillId="0" borderId="0" xfId="214" applyNumberFormat="1" applyFont="1" applyFill="1" applyBorder="1" applyAlignment="1">
      <alignment horizontal="center"/>
    </xf>
    <xf numFmtId="38" fontId="0" fillId="0" borderId="0" xfId="0" applyNumberFormat="1" applyBorder="1"/>
    <xf numFmtId="0" fontId="4" fillId="0" borderId="0" xfId="0" applyFont="1"/>
    <xf numFmtId="3" fontId="15" fillId="0" borderId="0" xfId="214" applyNumberFormat="1" applyFont="1" applyBorder="1" applyAlignment="1">
      <alignment horizontal="center"/>
    </xf>
    <xf numFmtId="0" fontId="0" fillId="0" borderId="0" xfId="0" applyFill="1" applyAlignment="1"/>
    <xf numFmtId="0" fontId="14" fillId="0" borderId="0" xfId="0" applyFont="1" applyFill="1" applyAlignment="1">
      <alignment horizontal="centerContinuous"/>
    </xf>
    <xf numFmtId="43" fontId="7" fillId="0" borderId="0" xfId="86" applyFont="1" applyAlignment="1">
      <alignment horizontal="center"/>
    </xf>
    <xf numFmtId="43" fontId="7" fillId="0" borderId="0" xfId="86" applyFont="1" applyBorder="1" applyAlignment="1">
      <alignment horizontal="center"/>
    </xf>
    <xf numFmtId="43" fontId="6" fillId="0" borderId="0" xfId="86" applyFont="1" applyBorder="1" applyAlignment="1">
      <alignment horizontal="center"/>
    </xf>
    <xf numFmtId="43" fontId="6" fillId="0" borderId="0" xfId="86" applyFont="1" applyAlignment="1">
      <alignment horizontal="center"/>
    </xf>
    <xf numFmtId="43" fontId="17" fillId="0" borderId="0" xfId="86" applyFont="1"/>
    <xf numFmtId="0" fontId="8" fillId="0" borderId="0" xfId="253" applyFont="1" applyFill="1" applyBorder="1" applyAlignment="1">
      <alignment horizontal="center"/>
    </xf>
    <xf numFmtId="0" fontId="7" fillId="0" borderId="0" xfId="0" applyFont="1" applyBorder="1" applyAlignment="1">
      <alignment horizontal="center"/>
    </xf>
    <xf numFmtId="0" fontId="6" fillId="0" borderId="0" xfId="264" applyNumberFormat="1" applyFont="1" applyBorder="1" applyAlignment="1">
      <alignment horizontal="center"/>
    </xf>
    <xf numFmtId="0" fontId="14" fillId="0" borderId="0" xfId="264" applyFont="1" applyBorder="1"/>
    <xf numFmtId="0" fontId="6" fillId="0" borderId="11" xfId="264" applyNumberFormat="1" applyFont="1" applyBorder="1"/>
    <xf numFmtId="185" fontId="6" fillId="0" borderId="0" xfId="264" applyNumberFormat="1" applyFont="1" applyBorder="1" applyAlignment="1">
      <alignment horizontal="center"/>
    </xf>
    <xf numFmtId="0" fontId="14" fillId="0" borderId="0" xfId="264" applyFont="1" applyFill="1"/>
    <xf numFmtId="0" fontId="73" fillId="0" borderId="0" xfId="264" applyFont="1" applyAlignment="1">
      <alignment horizontal="center"/>
    </xf>
    <xf numFmtId="173" fontId="79" fillId="0" borderId="0" xfId="264" applyNumberFormat="1" applyFont="1" applyFill="1" applyBorder="1"/>
    <xf numFmtId="0" fontId="20" fillId="0" borderId="0" xfId="264" applyFont="1" applyFill="1"/>
    <xf numFmtId="3" fontId="79" fillId="0" borderId="0" xfId="264" applyNumberFormat="1" applyFont="1" applyFill="1" applyBorder="1"/>
    <xf numFmtId="173" fontId="79" fillId="0" borderId="0" xfId="264" applyNumberFormat="1" applyFont="1" applyFill="1"/>
    <xf numFmtId="0" fontId="0" fillId="0" borderId="0" xfId="0" applyBorder="1" applyAlignment="1">
      <alignment horizontal="center"/>
    </xf>
    <xf numFmtId="0" fontId="73" fillId="0" borderId="0" xfId="264" applyFont="1" applyFill="1" applyBorder="1"/>
    <xf numFmtId="173" fontId="73" fillId="0" borderId="0" xfId="264" applyNumberFormat="1" applyFont="1" applyFill="1" applyBorder="1"/>
    <xf numFmtId="0" fontId="24" fillId="0" borderId="0" xfId="253" applyFont="1" applyFill="1" applyBorder="1"/>
    <xf numFmtId="38" fontId="28" fillId="0" borderId="13" xfId="253" applyNumberFormat="1" applyFont="1" applyFill="1" applyBorder="1" applyAlignment="1">
      <alignment horizontal="right"/>
    </xf>
    <xf numFmtId="0" fontId="34" fillId="0" borderId="0" xfId="253" applyFont="1" applyAlignment="1">
      <alignment horizontal="center"/>
    </xf>
    <xf numFmtId="0" fontId="77" fillId="0" borderId="0" xfId="264" applyNumberFormat="1" applyFont="1" applyFill="1"/>
    <xf numFmtId="10" fontId="5" fillId="0" borderId="0" xfId="265" applyNumberFormat="1" applyProtection="1"/>
    <xf numFmtId="10" fontId="5" fillId="0" borderId="16" xfId="265" applyNumberFormat="1" applyBorder="1" applyProtection="1"/>
    <xf numFmtId="193" fontId="5" fillId="0" borderId="16" xfId="265" applyNumberFormat="1" applyBorder="1" applyProtection="1"/>
    <xf numFmtId="176" fontId="5" fillId="0" borderId="16" xfId="265" applyNumberFormat="1" applyBorder="1" applyProtection="1"/>
    <xf numFmtId="192" fontId="5" fillId="0" borderId="16" xfId="265" applyNumberFormat="1" applyBorder="1" applyProtection="1"/>
    <xf numFmtId="195" fontId="5" fillId="0" borderId="0" xfId="265" applyNumberFormat="1" applyProtection="1"/>
    <xf numFmtId="176" fontId="5" fillId="0" borderId="0" xfId="265" applyNumberFormat="1" applyProtection="1"/>
    <xf numFmtId="192" fontId="5" fillId="0" borderId="0" xfId="265" applyNumberFormat="1" applyProtection="1"/>
    <xf numFmtId="10" fontId="114" fillId="0" borderId="0" xfId="265" applyNumberFormat="1" applyFont="1" applyProtection="1"/>
    <xf numFmtId="173" fontId="117" fillId="0" borderId="0" xfId="0" applyNumberFormat="1" applyFont="1"/>
    <xf numFmtId="0" fontId="104" fillId="0" borderId="0" xfId="214" applyFont="1" applyFill="1" applyBorder="1" applyAlignment="1">
      <alignment horizontal="center"/>
    </xf>
    <xf numFmtId="0" fontId="97" fillId="0" borderId="0" xfId="214" applyFont="1" applyFill="1" applyBorder="1" applyAlignment="1">
      <alignment horizontal="left"/>
    </xf>
    <xf numFmtId="0" fontId="34" fillId="0" borderId="0" xfId="214" applyNumberFormat="1" applyFont="1" applyFill="1" applyBorder="1" applyAlignment="1">
      <alignment horizontal="center"/>
    </xf>
    <xf numFmtId="0" fontId="34" fillId="0" borderId="0" xfId="214" applyNumberFormat="1" applyFont="1" applyFill="1" applyBorder="1" applyAlignment="1">
      <alignment horizontal="left"/>
    </xf>
    <xf numFmtId="0" fontId="34" fillId="0" borderId="0" xfId="214" applyFont="1" applyFill="1" applyBorder="1" applyAlignment="1"/>
    <xf numFmtId="0" fontId="34" fillId="0" borderId="0" xfId="214" applyFont="1" applyFill="1" applyBorder="1" applyAlignment="1">
      <alignment horizontal="center"/>
    </xf>
    <xf numFmtId="0" fontId="34" fillId="0" borderId="0" xfId="214" applyFont="1" applyBorder="1"/>
    <xf numFmtId="0" fontId="34" fillId="0" borderId="0" xfId="214" applyFont="1" applyFill="1" applyBorder="1"/>
    <xf numFmtId="3" fontId="34" fillId="0" borderId="0" xfId="214" applyNumberFormat="1" applyFont="1" applyFill="1" applyBorder="1" applyAlignment="1"/>
    <xf numFmtId="0" fontId="104" fillId="0" borderId="0" xfId="214" applyFont="1" applyFill="1" applyBorder="1"/>
    <xf numFmtId="38" fontId="14" fillId="0" borderId="0" xfId="0" applyNumberFormat="1" applyFont="1" applyBorder="1"/>
    <xf numFmtId="0" fontId="34" fillId="0" borderId="0" xfId="253" applyFont="1" applyFill="1" applyBorder="1"/>
    <xf numFmtId="0" fontId="116" fillId="0" borderId="0" xfId="253" applyFont="1" applyFill="1" applyAlignment="1">
      <alignment horizontal="center"/>
    </xf>
    <xf numFmtId="0" fontId="14" fillId="0" borderId="0" xfId="253" applyFont="1" applyFill="1" applyBorder="1"/>
    <xf numFmtId="0" fontId="97" fillId="0" borderId="0" xfId="0" applyFont="1" applyAlignment="1">
      <alignment horizontal="center"/>
    </xf>
    <xf numFmtId="41" fontId="0" fillId="0" borderId="0" xfId="0" applyNumberFormat="1" applyFill="1"/>
    <xf numFmtId="37" fontId="118" fillId="0" borderId="13" xfId="0" applyNumberFormat="1" applyFont="1" applyBorder="1"/>
    <xf numFmtId="0" fontId="28" fillId="0" borderId="0" xfId="0" applyFont="1" applyFill="1" applyAlignment="1">
      <alignment horizontal="left"/>
    </xf>
    <xf numFmtId="0" fontId="28" fillId="0" borderId="0" xfId="0" applyFont="1" applyFill="1" applyBorder="1"/>
    <xf numFmtId="41" fontId="28" fillId="0" borderId="11" xfId="253" applyNumberFormat="1" applyFont="1" applyFill="1" applyBorder="1"/>
    <xf numFmtId="3" fontId="21" fillId="31" borderId="0" xfId="0" applyNumberFormat="1" applyFont="1" applyFill="1" applyAlignment="1"/>
    <xf numFmtId="3" fontId="21" fillId="31" borderId="0" xfId="0" applyNumberFormat="1" applyFont="1" applyFill="1" applyBorder="1" applyAlignment="1"/>
    <xf numFmtId="173" fontId="79" fillId="31" borderId="0" xfId="264" applyNumberFormat="1" applyFont="1" applyFill="1" applyBorder="1"/>
    <xf numFmtId="0" fontId="73" fillId="31" borderId="0" xfId="264" applyFont="1" applyFill="1" applyAlignment="1">
      <alignment horizontal="center"/>
    </xf>
    <xf numFmtId="174" fontId="0" fillId="0" borderId="0" xfId="118" applyNumberFormat="1" applyFont="1"/>
    <xf numFmtId="0" fontId="14" fillId="0" borderId="0" xfId="253" applyFont="1" applyFill="1" applyAlignment="1">
      <alignment horizontal="center"/>
    </xf>
    <xf numFmtId="3" fontId="34" fillId="31" borderId="0" xfId="214" applyNumberFormat="1" applyFont="1" applyFill="1" applyBorder="1" applyAlignment="1"/>
    <xf numFmtId="0" fontId="7" fillId="31" borderId="0" xfId="0" applyFont="1" applyFill="1"/>
    <xf numFmtId="174" fontId="0" fillId="0" borderId="0" xfId="0" applyNumberFormat="1" applyBorder="1"/>
    <xf numFmtId="6" fontId="14" fillId="0" borderId="0" xfId="0" applyNumberFormat="1" applyFont="1" applyBorder="1" applyAlignment="1">
      <alignment horizontal="right"/>
    </xf>
    <xf numFmtId="0" fontId="76" fillId="0" borderId="0" xfId="264" applyFont="1" applyFill="1"/>
    <xf numFmtId="0" fontId="73" fillId="31" borderId="0" xfId="264" applyFont="1" applyFill="1"/>
    <xf numFmtId="10" fontId="5" fillId="0" borderId="0" xfId="265" applyNumberFormat="1" applyBorder="1" applyProtection="1"/>
    <xf numFmtId="193" fontId="5" fillId="0" borderId="0" xfId="265" applyNumberFormat="1" applyBorder="1" applyProtection="1"/>
    <xf numFmtId="192" fontId="5" fillId="0" borderId="0" xfId="265" applyNumberFormat="1" applyBorder="1" applyProtection="1"/>
    <xf numFmtId="176" fontId="5" fillId="0" borderId="0" xfId="265" applyNumberFormat="1" applyBorder="1" applyProtection="1"/>
    <xf numFmtId="172" fontId="5" fillId="0" borderId="0" xfId="263" applyFont="1" applyAlignment="1" applyProtection="1"/>
    <xf numFmtId="172" fontId="7" fillId="0" borderId="0" xfId="263" applyFont="1" applyAlignment="1" applyProtection="1"/>
    <xf numFmtId="0" fontId="0" fillId="0" borderId="0" xfId="0" applyBorder="1" applyProtection="1"/>
    <xf numFmtId="0" fontId="8" fillId="0" borderId="0" xfId="263" applyNumberFormat="1" applyFont="1" applyBorder="1" applyAlignment="1" applyProtection="1">
      <alignment horizontal="left"/>
    </xf>
    <xf numFmtId="14" fontId="8" fillId="0" borderId="0" xfId="263" applyNumberFormat="1" applyFont="1" applyBorder="1" applyAlignment="1" applyProtection="1"/>
    <xf numFmtId="172" fontId="8" fillId="0" borderId="0" xfId="263" applyFont="1" applyFill="1" applyAlignment="1" applyProtection="1"/>
    <xf numFmtId="172" fontId="7" fillId="0" borderId="0" xfId="263" applyFont="1" applyFill="1" applyAlignment="1" applyProtection="1"/>
    <xf numFmtId="0" fontId="7" fillId="0" borderId="0" xfId="263" applyNumberFormat="1" applyFont="1" applyAlignment="1" applyProtection="1"/>
    <xf numFmtId="0" fontId="7" fillId="0" borderId="0" xfId="0" applyNumberFormat="1" applyFont="1" applyAlignment="1" applyProtection="1">
      <alignment horizontal="center"/>
    </xf>
    <xf numFmtId="0" fontId="7" fillId="0" borderId="0" xfId="0" applyFont="1" applyAlignment="1" applyProtection="1"/>
    <xf numFmtId="0" fontId="7" fillId="0" borderId="0" xfId="263" applyNumberFormat="1" applyFont="1" applyProtection="1"/>
    <xf numFmtId="0" fontId="7" fillId="0" borderId="0" xfId="263" applyNumberFormat="1" applyFont="1" applyAlignment="1" applyProtection="1">
      <alignment horizontal="right"/>
    </xf>
    <xf numFmtId="0" fontId="21" fillId="0" borderId="0" xfId="86" applyNumberFormat="1" applyFont="1" applyFill="1" applyAlignment="1" applyProtection="1"/>
    <xf numFmtId="3" fontId="7" fillId="0" borderId="0" xfId="263" applyNumberFormat="1" applyFont="1" applyAlignment="1" applyProtection="1"/>
    <xf numFmtId="3" fontId="7" fillId="0" borderId="0" xfId="0" applyNumberFormat="1" applyFont="1" applyAlignment="1" applyProtection="1">
      <alignment horizontal="center"/>
    </xf>
    <xf numFmtId="0" fontId="5" fillId="0" borderId="0" xfId="263" applyNumberFormat="1" applyFont="1" applyAlignment="1" applyProtection="1">
      <alignment horizontal="center"/>
    </xf>
    <xf numFmtId="0" fontId="7" fillId="0" borderId="0" xfId="263" applyNumberFormat="1" applyFont="1" applyAlignment="1" applyProtection="1">
      <alignment horizontal="center"/>
    </xf>
    <xf numFmtId="49" fontId="7" fillId="0" borderId="0" xfId="263" applyNumberFormat="1" applyFont="1" applyAlignment="1" applyProtection="1">
      <alignment horizontal="center"/>
    </xf>
    <xf numFmtId="0" fontId="0" fillId="0" borderId="0" xfId="0" applyProtection="1"/>
    <xf numFmtId="3" fontId="23" fillId="0" borderId="0" xfId="0" applyNumberFormat="1" applyFont="1" applyAlignment="1" applyProtection="1">
      <alignment horizontal="center"/>
    </xf>
    <xf numFmtId="49" fontId="7" fillId="0" borderId="0" xfId="263" applyNumberFormat="1" applyFont="1" applyProtection="1"/>
    <xf numFmtId="39" fontId="7" fillId="0" borderId="0" xfId="86" applyNumberFormat="1" applyFont="1" applyAlignment="1" applyProtection="1">
      <alignment horizontal="center"/>
    </xf>
    <xf numFmtId="0" fontId="5" fillId="0" borderId="6" xfId="263" applyNumberFormat="1" applyFont="1" applyBorder="1" applyAlignment="1" applyProtection="1">
      <alignment horizontal="center"/>
    </xf>
    <xf numFmtId="0" fontId="7" fillId="0" borderId="0" xfId="263" applyNumberFormat="1" applyFont="1" applyBorder="1" applyAlignment="1" applyProtection="1">
      <alignment horizontal="center"/>
    </xf>
    <xf numFmtId="0" fontId="7" fillId="0" borderId="6" xfId="263" applyNumberFormat="1" applyFont="1" applyBorder="1" applyAlignment="1" applyProtection="1">
      <alignment horizontal="center"/>
    </xf>
    <xf numFmtId="0" fontId="7" fillId="0" borderId="0" xfId="0" applyNumberFormat="1" applyFont="1" applyProtection="1"/>
    <xf numFmtId="0" fontId="7" fillId="0" borderId="0" xfId="263" applyNumberFormat="1" applyFont="1" applyFill="1" applyProtection="1"/>
    <xf numFmtId="3" fontId="7" fillId="0" borderId="0" xfId="263" applyNumberFormat="1" applyFont="1" applyProtection="1"/>
    <xf numFmtId="0" fontId="7" fillId="0" borderId="0" xfId="263" applyNumberFormat="1" applyFont="1" applyAlignment="1" applyProtection="1">
      <alignment horizontal="left"/>
    </xf>
    <xf numFmtId="170" fontId="7" fillId="0" borderId="0" xfId="263" applyNumberFormat="1" applyFont="1" applyProtection="1"/>
    <xf numFmtId="3" fontId="7" fillId="0" borderId="0" xfId="263" applyNumberFormat="1" applyFont="1" applyFill="1" applyAlignment="1" applyProtection="1">
      <alignment horizontal="left"/>
    </xf>
    <xf numFmtId="3" fontId="7" fillId="0" borderId="0" xfId="263" applyNumberFormat="1" applyFont="1" applyFill="1" applyAlignment="1" applyProtection="1"/>
    <xf numFmtId="0" fontId="7" fillId="0" borderId="6" xfId="263" applyNumberFormat="1" applyFont="1" applyBorder="1" applyAlignment="1" applyProtection="1">
      <alignment horizontal="centerContinuous"/>
    </xf>
    <xf numFmtId="0" fontId="7" fillId="0" borderId="0" xfId="0" applyNumberFormat="1" applyFont="1" applyAlignment="1" applyProtection="1"/>
    <xf numFmtId="41" fontId="7" fillId="0" borderId="0" xfId="263" applyNumberFormat="1" applyFont="1" applyFill="1" applyBorder="1" applyAlignment="1" applyProtection="1"/>
    <xf numFmtId="3" fontId="7" fillId="0" borderId="0" xfId="263" applyNumberFormat="1" applyFont="1" applyFill="1" applyAlignment="1" applyProtection="1">
      <alignment horizontal="center"/>
    </xf>
    <xf numFmtId="165" fontId="7" fillId="0" borderId="0" xfId="263" applyNumberFormat="1" applyFont="1" applyFill="1" applyAlignment="1" applyProtection="1">
      <alignment horizontal="right"/>
    </xf>
    <xf numFmtId="42" fontId="7" fillId="0" borderId="0" xfId="263" applyNumberFormat="1" applyFont="1" applyBorder="1" applyAlignment="1" applyProtection="1"/>
    <xf numFmtId="172" fontId="7" fillId="0" borderId="11" xfId="263" applyFont="1" applyBorder="1" applyAlignment="1" applyProtection="1"/>
    <xf numFmtId="172" fontId="7" fillId="0" borderId="0" xfId="263" applyFont="1" applyBorder="1" applyAlignment="1" applyProtection="1"/>
    <xf numFmtId="0" fontId="5" fillId="0" borderId="0" xfId="263" applyNumberFormat="1" applyFont="1" applyFill="1" applyAlignment="1" applyProtection="1">
      <alignment horizontal="center"/>
    </xf>
    <xf numFmtId="0" fontId="7" fillId="0" borderId="0" xfId="263" applyNumberFormat="1" applyFont="1" applyFill="1" applyAlignment="1" applyProtection="1">
      <alignment horizontal="center"/>
    </xf>
    <xf numFmtId="0" fontId="7" fillId="0" borderId="0" xfId="0" applyNumberFormat="1" applyFont="1" applyAlignment="1" applyProtection="1">
      <alignment wrapText="1"/>
    </xf>
    <xf numFmtId="3" fontId="7" fillId="0" borderId="0" xfId="263" applyNumberFormat="1" applyFont="1" applyAlignment="1" applyProtection="1">
      <alignment horizontal="left"/>
    </xf>
    <xf numFmtId="3" fontId="7" fillId="0" borderId="0" xfId="263" applyNumberFormat="1" applyFont="1" applyAlignment="1" applyProtection="1">
      <alignment horizontal="center"/>
    </xf>
    <xf numFmtId="174" fontId="7" fillId="0" borderId="14" xfId="263" applyNumberFormat="1" applyFont="1" applyBorder="1" applyAlignment="1" applyProtection="1"/>
    <xf numFmtId="42" fontId="7" fillId="0" borderId="0" xfId="263" applyNumberFormat="1" applyFont="1" applyAlignment="1" applyProtection="1"/>
    <xf numFmtId="172" fontId="78" fillId="0" borderId="0" xfId="263" applyFont="1" applyAlignment="1" applyProtection="1">
      <alignment horizontal="center" wrapText="1"/>
    </xf>
    <xf numFmtId="0" fontId="7" fillId="0" borderId="0" xfId="0" applyNumberFormat="1" applyFont="1" applyFill="1" applyAlignment="1" applyProtection="1"/>
    <xf numFmtId="41" fontId="7" fillId="0" borderId="0" xfId="263" applyNumberFormat="1" applyFont="1" applyFill="1" applyAlignment="1" applyProtection="1"/>
    <xf numFmtId="42" fontId="7" fillId="0" borderId="0" xfId="263" applyNumberFormat="1" applyFont="1" applyFill="1" applyAlignment="1" applyProtection="1"/>
    <xf numFmtId="43" fontId="7" fillId="0" borderId="0" xfId="86" applyFont="1" applyProtection="1"/>
    <xf numFmtId="0" fontId="7" fillId="0" borderId="0" xfId="263" applyNumberFormat="1" applyFont="1" applyFill="1" applyAlignment="1" applyProtection="1"/>
    <xf numFmtId="171" fontId="7" fillId="0" borderId="0" xfId="263" applyNumberFormat="1" applyFont="1" applyProtection="1"/>
    <xf numFmtId="10" fontId="7" fillId="0" borderId="0" xfId="263" applyNumberFormat="1" applyFont="1" applyAlignment="1" applyProtection="1"/>
    <xf numFmtId="10" fontId="7" fillId="0" borderId="0" xfId="263" applyNumberFormat="1" applyFont="1" applyProtection="1"/>
    <xf numFmtId="0" fontId="34" fillId="0" borderId="0" xfId="0" applyFont="1" applyProtection="1"/>
    <xf numFmtId="10" fontId="7" fillId="0" borderId="0" xfId="272" applyNumberFormat="1" applyFont="1" applyAlignment="1" applyProtection="1"/>
    <xf numFmtId="186" fontId="7" fillId="0" borderId="0" xfId="263" applyNumberFormat="1" applyFont="1" applyProtection="1"/>
    <xf numFmtId="0" fontId="7" fillId="0" borderId="0" xfId="0" applyNumberFormat="1" applyFont="1" applyFill="1" applyProtection="1"/>
    <xf numFmtId="43" fontId="7" fillId="0" borderId="0" xfId="86" applyFont="1" applyAlignment="1" applyProtection="1"/>
    <xf numFmtId="41" fontId="7" fillId="0" borderId="0" xfId="263" applyNumberFormat="1" applyFont="1" applyAlignment="1" applyProtection="1">
      <alignment horizontal="center"/>
    </xf>
    <xf numFmtId="41" fontId="7" fillId="0" borderId="14" xfId="263" applyNumberFormat="1" applyFont="1" applyBorder="1" applyAlignment="1" applyProtection="1">
      <alignment horizontal="center"/>
    </xf>
    <xf numFmtId="41" fontId="7" fillId="0" borderId="0" xfId="263" applyNumberFormat="1" applyFont="1" applyFill="1" applyAlignment="1" applyProtection="1">
      <alignment horizontal="right"/>
    </xf>
    <xf numFmtId="42" fontId="7" fillId="0" borderId="0" xfId="272" applyNumberFormat="1" applyFont="1" applyAlignment="1" applyProtection="1"/>
    <xf numFmtId="43" fontId="7" fillId="0" borderId="0" xfId="263" applyNumberFormat="1" applyFont="1" applyFill="1" applyAlignment="1" applyProtection="1">
      <alignment horizontal="right"/>
    </xf>
    <xf numFmtId="172" fontId="7" fillId="0" borderId="0" xfId="263" applyFont="1" applyFill="1" applyAlignment="1" applyProtection="1">
      <alignment horizontal="right"/>
    </xf>
    <xf numFmtId="0" fontId="34" fillId="0" borderId="0" xfId="0" applyFont="1" applyAlignment="1" applyProtection="1">
      <alignment horizontal="center"/>
    </xf>
    <xf numFmtId="49" fontId="7" fillId="0" borderId="0" xfId="263" applyNumberFormat="1" applyFont="1" applyAlignment="1" applyProtection="1">
      <alignment horizontal="left"/>
    </xf>
    <xf numFmtId="0" fontId="5" fillId="0" borderId="0" xfId="263" applyNumberFormat="1" applyFont="1" applyAlignment="1" applyProtection="1">
      <alignment horizontal="center" vertical="center"/>
    </xf>
    <xf numFmtId="3" fontId="8" fillId="0" borderId="0" xfId="263" applyNumberFormat="1" applyFont="1" applyAlignment="1" applyProtection="1">
      <alignment horizontal="center"/>
    </xf>
    <xf numFmtId="172" fontId="8" fillId="0" borderId="0" xfId="263" applyFont="1" applyAlignment="1" applyProtection="1">
      <alignment horizontal="center"/>
    </xf>
    <xf numFmtId="49" fontId="8" fillId="0" borderId="0" xfId="263" applyNumberFormat="1" applyFont="1" applyAlignment="1" applyProtection="1">
      <alignment horizontal="center"/>
    </xf>
    <xf numFmtId="0" fontId="12" fillId="0" borderId="0" xfId="263" applyNumberFormat="1" applyFont="1" applyAlignment="1" applyProtection="1">
      <alignment horizontal="center"/>
    </xf>
    <xf numFmtId="172" fontId="12" fillId="0" borderId="0" xfId="263" applyFont="1" applyBorder="1" applyAlignment="1" applyProtection="1">
      <alignment horizontal="center"/>
    </xf>
    <xf numFmtId="3" fontId="8" fillId="0" borderId="0" xfId="263" applyNumberFormat="1" applyFont="1" applyAlignment="1" applyProtection="1"/>
    <xf numFmtId="3" fontId="7" fillId="0" borderId="0" xfId="263" applyNumberFormat="1" applyFont="1" applyFill="1" applyBorder="1" applyAlignment="1" applyProtection="1">
      <alignment horizontal="center"/>
    </xf>
    <xf numFmtId="0" fontId="7" fillId="0" borderId="0" xfId="263" applyNumberFormat="1" applyFont="1" applyBorder="1" applyAlignment="1" applyProtection="1"/>
    <xf numFmtId="173" fontId="7" fillId="0" borderId="0" xfId="86" applyNumberFormat="1" applyFont="1" applyFill="1" applyAlignment="1" applyProtection="1"/>
    <xf numFmtId="0" fontId="7" fillId="0" borderId="0" xfId="263" applyNumberFormat="1" applyFont="1" applyBorder="1" applyAlignment="1" applyProtection="1">
      <alignment vertical="center"/>
    </xf>
    <xf numFmtId="3" fontId="7" fillId="0" borderId="0" xfId="263" applyNumberFormat="1" applyFont="1" applyFill="1" applyAlignment="1" applyProtection="1">
      <alignment vertical="center" wrapText="1"/>
    </xf>
    <xf numFmtId="3" fontId="7" fillId="0" borderId="0" xfId="263" applyNumberFormat="1" applyFont="1" applyFill="1" applyAlignment="1" applyProtection="1">
      <alignment horizontal="center" vertical="center"/>
    </xf>
    <xf numFmtId="3" fontId="7" fillId="0" borderId="0" xfId="263" applyNumberFormat="1" applyFont="1" applyFill="1" applyAlignment="1" applyProtection="1">
      <alignment vertical="center"/>
    </xf>
    <xf numFmtId="41" fontId="7" fillId="0" borderId="0" xfId="263" applyNumberFormat="1" applyFont="1" applyFill="1" applyAlignment="1" applyProtection="1">
      <alignment vertical="center"/>
    </xf>
    <xf numFmtId="0" fontId="7" fillId="0" borderId="0" xfId="263" applyNumberFormat="1" applyFont="1" applyFill="1" applyBorder="1" applyAlignment="1" applyProtection="1"/>
    <xf numFmtId="41" fontId="7" fillId="0" borderId="6" xfId="263" applyNumberFormat="1" applyFont="1" applyFill="1" applyBorder="1" applyAlignment="1" applyProtection="1"/>
    <xf numFmtId="0" fontId="34" fillId="0" borderId="0" xfId="0" applyFont="1" applyAlignment="1" applyProtection="1"/>
    <xf numFmtId="178" fontId="8" fillId="0" borderId="0" xfId="263" applyNumberFormat="1" applyFont="1" applyFill="1" applyAlignment="1" applyProtection="1">
      <alignment horizontal="right"/>
    </xf>
    <xf numFmtId="182" fontId="8" fillId="0" borderId="0" xfId="86" applyNumberFormat="1" applyFont="1" applyFill="1" applyAlignment="1" applyProtection="1"/>
    <xf numFmtId="178" fontId="7" fillId="0" borderId="0" xfId="263" applyNumberFormat="1" applyFont="1" applyFill="1" applyAlignment="1" applyProtection="1"/>
    <xf numFmtId="184" fontId="7" fillId="0" borderId="0" xfId="263" applyNumberFormat="1" applyFont="1" applyFill="1" applyAlignment="1" applyProtection="1"/>
    <xf numFmtId="183" fontId="7" fillId="0" borderId="0" xfId="263" applyNumberFormat="1" applyFont="1" applyFill="1" applyAlignment="1" applyProtection="1"/>
    <xf numFmtId="165" fontId="7" fillId="0" borderId="0" xfId="263" applyNumberFormat="1" applyFont="1" applyFill="1" applyAlignment="1" applyProtection="1"/>
    <xf numFmtId="0" fontId="7" fillId="0" borderId="0" xfId="263" applyNumberFormat="1" applyFont="1" applyFill="1" applyAlignment="1" applyProtection="1">
      <alignment horizontal="center" vertical="center"/>
    </xf>
    <xf numFmtId="164" fontId="7" fillId="0" borderId="0" xfId="263" applyNumberFormat="1" applyFont="1" applyFill="1" applyAlignment="1" applyProtection="1">
      <alignment horizontal="center"/>
    </xf>
    <xf numFmtId="177" fontId="7" fillId="0" borderId="0" xfId="86" applyNumberFormat="1" applyFont="1" applyFill="1" applyAlignment="1" applyProtection="1">
      <alignment horizontal="center"/>
    </xf>
    <xf numFmtId="41" fontId="7" fillId="0" borderId="0" xfId="263" applyNumberFormat="1" applyFont="1" applyAlignment="1" applyProtection="1"/>
    <xf numFmtId="165" fontId="7" fillId="0" borderId="0" xfId="263" applyNumberFormat="1" applyFont="1" applyAlignment="1" applyProtection="1"/>
    <xf numFmtId="3" fontId="8" fillId="0" borderId="0" xfId="263" applyNumberFormat="1" applyFont="1" applyFill="1" applyAlignment="1" applyProtection="1">
      <alignment horizontal="right"/>
    </xf>
    <xf numFmtId="182" fontId="7" fillId="0" borderId="0" xfId="86" applyNumberFormat="1" applyFont="1" applyFill="1" applyAlignment="1" applyProtection="1"/>
    <xf numFmtId="0" fontId="0" fillId="0" borderId="0" xfId="0" applyFill="1" applyProtection="1"/>
    <xf numFmtId="164" fontId="7" fillId="0" borderId="0" xfId="263" applyNumberFormat="1" applyFont="1" applyFill="1" applyAlignment="1" applyProtection="1">
      <alignment horizontal="left"/>
    </xf>
    <xf numFmtId="0" fontId="34" fillId="0" borderId="0" xfId="0" applyFont="1" applyFill="1" applyProtection="1"/>
    <xf numFmtId="10" fontId="7" fillId="0" borderId="0" xfId="272" applyNumberFormat="1" applyFont="1" applyFill="1" applyAlignment="1" applyProtection="1"/>
    <xf numFmtId="175" fontId="7" fillId="0" borderId="0" xfId="263" applyNumberFormat="1" applyFont="1" applyFill="1" applyAlignment="1" applyProtection="1"/>
    <xf numFmtId="41" fontId="7" fillId="0" borderId="0" xfId="263" applyNumberFormat="1" applyFont="1" applyAlignment="1" applyProtection="1">
      <alignment horizontal="center" vertical="center"/>
    </xf>
    <xf numFmtId="41" fontId="7" fillId="0" borderId="6" xfId="263" applyNumberFormat="1" applyFont="1" applyBorder="1" applyAlignment="1" applyProtection="1"/>
    <xf numFmtId="164" fontId="7" fillId="0" borderId="0" xfId="263" applyNumberFormat="1" applyFont="1" applyAlignment="1" applyProtection="1">
      <alignment horizontal="center"/>
    </xf>
    <xf numFmtId="0" fontId="87" fillId="0" borderId="0" xfId="263" applyNumberFormat="1" applyFont="1" applyAlignment="1" applyProtection="1">
      <alignment horizontal="center"/>
    </xf>
    <xf numFmtId="3" fontId="7" fillId="0" borderId="0" xfId="263" applyNumberFormat="1" applyFont="1" applyFill="1" applyAlignment="1" applyProtection="1">
      <alignment horizontal="right"/>
    </xf>
    <xf numFmtId="172" fontId="7" fillId="0" borderId="0" xfId="263" applyFont="1" applyAlignment="1" applyProtection="1">
      <alignment horizontal="center"/>
    </xf>
    <xf numFmtId="172" fontId="7" fillId="0" borderId="0" xfId="263" applyFont="1" applyFill="1" applyAlignment="1" applyProtection="1">
      <alignment horizontal="center"/>
    </xf>
    <xf numFmtId="0" fontId="0" fillId="0" borderId="0" xfId="0" applyAlignment="1" applyProtection="1">
      <alignment horizontal="center"/>
    </xf>
    <xf numFmtId="49" fontId="7" fillId="0" borderId="0" xfId="263" applyNumberFormat="1" applyFont="1" applyFill="1" applyAlignment="1" applyProtection="1">
      <alignment horizontal="center"/>
    </xf>
    <xf numFmtId="0" fontId="8" fillId="0" borderId="0" xfId="263" applyNumberFormat="1" applyFont="1" applyFill="1" applyAlignment="1" applyProtection="1">
      <alignment horizontal="center"/>
    </xf>
    <xf numFmtId="172" fontId="8" fillId="0" borderId="0" xfId="263" applyFont="1" applyAlignment="1" applyProtection="1"/>
    <xf numFmtId="0" fontId="8" fillId="0" borderId="0" xfId="263" applyNumberFormat="1" applyFont="1" applyAlignment="1" applyProtection="1">
      <alignment horizontal="center"/>
    </xf>
    <xf numFmtId="3" fontId="12" fillId="0" borderId="0" xfId="263" applyNumberFormat="1" applyFont="1" applyAlignment="1" applyProtection="1">
      <alignment horizontal="center"/>
    </xf>
    <xf numFmtId="3" fontId="8" fillId="0" borderId="0" xfId="263" applyNumberFormat="1" applyFont="1" applyFill="1" applyAlignment="1" applyProtection="1"/>
    <xf numFmtId="3" fontId="12" fillId="0" borderId="0" xfId="263" applyNumberFormat="1" applyFont="1" applyFill="1" applyAlignment="1" applyProtection="1"/>
    <xf numFmtId="3" fontId="12" fillId="0" borderId="0" xfId="263" applyNumberFormat="1" applyFont="1" applyAlignment="1" applyProtection="1"/>
    <xf numFmtId="0" fontId="34" fillId="0" borderId="0" xfId="0" applyFont="1" applyBorder="1" applyProtection="1"/>
    <xf numFmtId="43" fontId="14" fillId="0" borderId="0" xfId="86" applyNumberFormat="1" applyFont="1" applyAlignment="1" applyProtection="1"/>
    <xf numFmtId="3" fontId="96" fillId="0" borderId="0" xfId="263" applyNumberFormat="1" applyFont="1" applyFill="1" applyAlignment="1" applyProtection="1">
      <alignment horizontal="right"/>
    </xf>
    <xf numFmtId="41" fontId="7" fillId="0" borderId="0" xfId="263" applyNumberFormat="1" applyFont="1" applyBorder="1" applyAlignment="1" applyProtection="1"/>
    <xf numFmtId="3" fontId="7" fillId="0" borderId="0" xfId="263" applyNumberFormat="1" applyFont="1" applyAlignment="1" applyProtection="1">
      <alignment vertical="center" wrapText="1"/>
    </xf>
    <xf numFmtId="41" fontId="96" fillId="0" borderId="0" xfId="263" applyNumberFormat="1" applyFont="1" applyFill="1" applyAlignment="1" applyProtection="1">
      <alignment horizontal="right"/>
    </xf>
    <xf numFmtId="3" fontId="7" fillId="0" borderId="0" xfId="263" applyNumberFormat="1" applyFont="1" applyAlignment="1" applyProtection="1">
      <alignment horizontal="center" vertical="center"/>
    </xf>
    <xf numFmtId="3" fontId="7" fillId="0" borderId="0" xfId="263" applyNumberFormat="1" applyFont="1" applyAlignment="1" applyProtection="1">
      <alignment vertical="center"/>
    </xf>
    <xf numFmtId="41" fontId="7" fillId="0" borderId="0" xfId="263" applyNumberFormat="1" applyFont="1" applyAlignment="1" applyProtection="1">
      <alignment vertical="center"/>
    </xf>
    <xf numFmtId="43" fontId="7" fillId="0" borderId="0" xfId="272" applyNumberFormat="1" applyFont="1" applyFill="1" applyAlignment="1" applyProtection="1"/>
    <xf numFmtId="166" fontId="7" fillId="0" borderId="0" xfId="263" applyNumberFormat="1" applyFont="1" applyAlignment="1" applyProtection="1"/>
    <xf numFmtId="167" fontId="7" fillId="0" borderId="0" xfId="263" applyNumberFormat="1" applyFont="1" applyAlignment="1" applyProtection="1"/>
    <xf numFmtId="172" fontId="25" fillId="0" borderId="0" xfId="263" applyFont="1" applyAlignment="1" applyProtection="1"/>
    <xf numFmtId="164" fontId="7" fillId="0" borderId="0" xfId="263" applyNumberFormat="1" applyFont="1" applyBorder="1" applyAlignment="1" applyProtection="1">
      <alignment horizontal="left"/>
    </xf>
    <xf numFmtId="168" fontId="7" fillId="0" borderId="0" xfId="263" applyNumberFormat="1" applyFont="1" applyAlignment="1" applyProtection="1"/>
    <xf numFmtId="10" fontId="7" fillId="0" borderId="0" xfId="263" applyNumberFormat="1" applyFont="1" applyFill="1" applyAlignment="1" applyProtection="1">
      <alignment horizontal="right"/>
    </xf>
    <xf numFmtId="10" fontId="34" fillId="0" borderId="0" xfId="272" applyNumberFormat="1" applyFont="1" applyProtection="1"/>
    <xf numFmtId="3" fontId="25" fillId="0" borderId="0" xfId="263" applyNumberFormat="1" applyFont="1" applyAlignment="1" applyProtection="1"/>
    <xf numFmtId="167" fontId="7" fillId="0" borderId="0" xfId="263" applyNumberFormat="1" applyFont="1" applyFill="1" applyAlignment="1" applyProtection="1"/>
    <xf numFmtId="166" fontId="7" fillId="0" borderId="0" xfId="263" applyNumberFormat="1" applyFont="1" applyAlignment="1" applyProtection="1">
      <alignment horizontal="center"/>
    </xf>
    <xf numFmtId="187" fontId="25" fillId="0" borderId="0" xfId="263" applyNumberFormat="1" applyFont="1" applyAlignment="1" applyProtection="1">
      <alignment horizontal="center"/>
    </xf>
    <xf numFmtId="188" fontId="7" fillId="0" borderId="0" xfId="263" applyNumberFormat="1" applyFont="1" applyAlignment="1" applyProtection="1"/>
    <xf numFmtId="164" fontId="7" fillId="0" borderId="0" xfId="263" applyNumberFormat="1" applyFont="1" applyFill="1" applyBorder="1" applyAlignment="1" applyProtection="1">
      <alignment horizontal="left"/>
    </xf>
    <xf numFmtId="179" fontId="7" fillId="0" borderId="0" xfId="263" applyNumberFormat="1" applyFont="1" applyFill="1" applyAlignment="1" applyProtection="1">
      <alignment horizontal="right"/>
    </xf>
    <xf numFmtId="186" fontId="7" fillId="0" borderId="0" xfId="86" applyNumberFormat="1" applyFont="1" applyAlignment="1" applyProtection="1">
      <alignment horizontal="center"/>
    </xf>
    <xf numFmtId="41" fontId="25" fillId="0" borderId="0" xfId="263" applyNumberFormat="1" applyFont="1" applyAlignment="1" applyProtection="1"/>
    <xf numFmtId="43" fontId="25" fillId="0" borderId="0" xfId="86" applyFont="1" applyAlignment="1" applyProtection="1"/>
    <xf numFmtId="179" fontId="7" fillId="0" borderId="0" xfId="263" applyNumberFormat="1" applyFont="1" applyAlignment="1" applyProtection="1">
      <alignment horizontal="center"/>
    </xf>
    <xf numFmtId="10" fontId="7" fillId="0" borderId="0" xfId="263" applyNumberFormat="1" applyFont="1" applyFill="1" applyAlignment="1" applyProtection="1">
      <alignment horizontal="left"/>
    </xf>
    <xf numFmtId="187" fontId="7" fillId="0" borderId="0" xfId="263" applyNumberFormat="1" applyFont="1" applyAlignment="1" applyProtection="1">
      <alignment horizontal="center"/>
    </xf>
    <xf numFmtId="168" fontId="7" fillId="0" borderId="0" xfId="263" applyNumberFormat="1" applyFont="1" applyFill="1" applyAlignment="1" applyProtection="1">
      <alignment horizontal="left"/>
    </xf>
    <xf numFmtId="41" fontId="7" fillId="0" borderId="0" xfId="263" applyNumberFormat="1" applyFont="1" applyAlignment="1" applyProtection="1">
      <alignment horizontal="right"/>
    </xf>
    <xf numFmtId="41" fontId="7" fillId="0" borderId="11" xfId="263" applyNumberFormat="1" applyFont="1" applyBorder="1" applyAlignment="1" applyProtection="1"/>
    <xf numFmtId="179" fontId="7" fillId="0" borderId="0" xfId="263" applyNumberFormat="1" applyFont="1" applyAlignment="1" applyProtection="1"/>
    <xf numFmtId="172" fontId="25" fillId="0" borderId="0" xfId="263" applyFont="1" applyFill="1" applyAlignment="1" applyProtection="1"/>
    <xf numFmtId="164" fontId="7" fillId="0" borderId="0" xfId="263" applyNumberFormat="1" applyFont="1" applyFill="1" applyBorder="1" applyAlignment="1" applyProtection="1">
      <alignment horizontal="left" vertical="center"/>
    </xf>
    <xf numFmtId="41" fontId="7" fillId="0" borderId="0" xfId="263" applyNumberFormat="1" applyFont="1" applyFill="1" applyAlignment="1" applyProtection="1">
      <alignment horizontal="center" vertical="center"/>
    </xf>
    <xf numFmtId="180" fontId="7" fillId="0" borderId="0" xfId="263" applyNumberFormat="1" applyFont="1" applyAlignment="1" applyProtection="1"/>
    <xf numFmtId="173" fontId="7" fillId="0" borderId="14" xfId="86" applyNumberFormat="1" applyFont="1" applyBorder="1" applyAlignment="1" applyProtection="1"/>
    <xf numFmtId="0" fontId="7" fillId="0" borderId="0" xfId="263" applyNumberFormat="1" applyFont="1" applyFill="1" applyBorder="1" applyAlignment="1" applyProtection="1">
      <alignment horizontal="left"/>
    </xf>
    <xf numFmtId="0" fontId="8" fillId="0" borderId="0" xfId="263" applyNumberFormat="1" applyFont="1" applyAlignment="1" applyProtection="1"/>
    <xf numFmtId="0" fontId="7" fillId="0" borderId="0" xfId="0" applyFont="1" applyFill="1" applyAlignment="1" applyProtection="1">
      <alignment horizontal="left"/>
    </xf>
    <xf numFmtId="0" fontId="7" fillId="0" borderId="0" xfId="263" applyNumberFormat="1" applyFont="1" applyFill="1" applyBorder="1" applyProtection="1"/>
    <xf numFmtId="3" fontId="7" fillId="0" borderId="0" xfId="263" applyNumberFormat="1" applyFont="1" applyFill="1" applyBorder="1" applyAlignment="1" applyProtection="1"/>
    <xf numFmtId="172" fontId="7" fillId="0" borderId="0" xfId="263" applyFont="1" applyFill="1" applyBorder="1" applyAlignment="1" applyProtection="1"/>
    <xf numFmtId="172" fontId="7" fillId="0" borderId="0" xfId="263" applyFont="1" applyFill="1" applyBorder="1" applyAlignment="1" applyProtection="1">
      <alignment horizontal="center"/>
    </xf>
    <xf numFmtId="173" fontId="7" fillId="0" borderId="6" xfId="86" applyNumberFormat="1" applyFont="1" applyBorder="1" applyAlignment="1" applyProtection="1"/>
    <xf numFmtId="3" fontId="7" fillId="0" borderId="0" xfId="263" applyNumberFormat="1" applyFont="1" applyFill="1" applyBorder="1" applyAlignment="1" applyProtection="1">
      <alignment horizontal="left"/>
    </xf>
    <xf numFmtId="0" fontId="7" fillId="0" borderId="0" xfId="263" applyNumberFormat="1" applyFont="1" applyFill="1" applyBorder="1" applyAlignment="1" applyProtection="1">
      <alignment horizontal="center"/>
    </xf>
    <xf numFmtId="49" fontId="7" fillId="0" borderId="0" xfId="263" applyNumberFormat="1" applyFont="1" applyFill="1" applyBorder="1" applyProtection="1"/>
    <xf numFmtId="49" fontId="7" fillId="0" borderId="0" xfId="263" applyNumberFormat="1" applyFont="1" applyFill="1" applyBorder="1" applyAlignment="1" applyProtection="1"/>
    <xf numFmtId="49" fontId="7" fillId="0" borderId="0" xfId="263" applyNumberFormat="1" applyFont="1" applyFill="1" applyBorder="1" applyAlignment="1" applyProtection="1">
      <alignment horizontal="center"/>
    </xf>
    <xf numFmtId="3" fontId="8" fillId="0" borderId="0" xfId="263" applyNumberFormat="1" applyFont="1" applyFill="1" applyBorder="1" applyAlignment="1" applyProtection="1"/>
    <xf numFmtId="165" fontId="8" fillId="0" borderId="0" xfId="263" applyNumberFormat="1" applyFont="1" applyFill="1" applyBorder="1" applyAlignment="1" applyProtection="1">
      <alignment horizontal="right"/>
    </xf>
    <xf numFmtId="0" fontId="8" fillId="0" borderId="0" xfId="263" applyNumberFormat="1" applyFont="1" applyFill="1" applyAlignment="1" applyProtection="1"/>
    <xf numFmtId="3" fontId="7" fillId="0" borderId="0" xfId="263" applyNumberFormat="1" applyFont="1" applyFill="1" applyProtection="1"/>
    <xf numFmtId="3" fontId="7" fillId="0" borderId="0" xfId="263" applyNumberFormat="1" applyFont="1" applyFill="1" applyAlignment="1" applyProtection="1">
      <alignment horizontal="center" wrapText="1"/>
    </xf>
    <xf numFmtId="4" fontId="7" fillId="0" borderId="0" xfId="263" applyNumberFormat="1" applyFont="1" applyAlignment="1" applyProtection="1"/>
    <xf numFmtId="173" fontId="7" fillId="0" borderId="6" xfId="86" applyNumberFormat="1" applyFont="1" applyFill="1" applyBorder="1" applyAlignment="1" applyProtection="1"/>
    <xf numFmtId="3" fontId="8" fillId="0" borderId="0" xfId="263" applyNumberFormat="1" applyFont="1" applyFill="1" applyAlignment="1" applyProtection="1">
      <alignment horizontal="center"/>
    </xf>
    <xf numFmtId="172" fontId="8" fillId="0" borderId="0" xfId="263" applyFont="1" applyAlignment="1" applyProtection="1">
      <alignment horizontal="right"/>
    </xf>
    <xf numFmtId="165" fontId="8" fillId="0" borderId="0" xfId="263" applyNumberFormat="1" applyFont="1" applyAlignment="1" applyProtection="1"/>
    <xf numFmtId="166" fontId="8" fillId="0" borderId="0" xfId="263" applyNumberFormat="1" applyFont="1" applyFill="1" applyProtection="1"/>
    <xf numFmtId="3" fontId="7" fillId="0" borderId="6" xfId="263" applyNumberFormat="1" applyFont="1" applyFill="1" applyBorder="1" applyAlignment="1" applyProtection="1">
      <alignment horizontal="center"/>
    </xf>
    <xf numFmtId="0" fontId="16" fillId="0" borderId="0" xfId="263" applyNumberFormat="1" applyFont="1" applyFill="1" applyBorder="1" applyAlignment="1" applyProtection="1">
      <alignment horizontal="left"/>
    </xf>
    <xf numFmtId="0" fontId="7" fillId="0" borderId="0" xfId="263" applyNumberFormat="1" applyFont="1" applyFill="1" applyAlignment="1" applyProtection="1">
      <alignment horizontal="left"/>
    </xf>
    <xf numFmtId="3" fontId="25" fillId="0" borderId="0" xfId="263" applyNumberFormat="1" applyFont="1" applyFill="1" applyAlignment="1" applyProtection="1"/>
    <xf numFmtId="182" fontId="7" fillId="0" borderId="0" xfId="86" applyNumberFormat="1" applyFont="1" applyFill="1" applyAlignment="1" applyProtection="1">
      <alignment horizontal="center"/>
    </xf>
    <xf numFmtId="0" fontId="7" fillId="0" borderId="6" xfId="263" applyNumberFormat="1" applyFont="1" applyFill="1" applyBorder="1" applyAlignment="1" applyProtection="1">
      <alignment horizontal="center"/>
    </xf>
    <xf numFmtId="182" fontId="7" fillId="0" borderId="6" xfId="86" applyNumberFormat="1" applyFont="1" applyFill="1" applyBorder="1" applyAlignment="1" applyProtection="1">
      <alignment horizontal="center"/>
    </xf>
    <xf numFmtId="10" fontId="7" fillId="0" borderId="0" xfId="263" applyNumberFormat="1" applyFont="1" applyFill="1" applyAlignment="1" applyProtection="1"/>
    <xf numFmtId="186" fontId="7" fillId="0" borderId="0" xfId="86" applyNumberFormat="1" applyFont="1" applyFill="1" applyAlignment="1" applyProtection="1"/>
    <xf numFmtId="169" fontId="7" fillId="0" borderId="15" xfId="263" applyNumberFormat="1" applyFont="1" applyFill="1" applyBorder="1" applyAlignment="1" applyProtection="1"/>
    <xf numFmtId="3" fontId="7" fillId="0" borderId="0" xfId="263" quotePrefix="1" applyNumberFormat="1" applyFont="1" applyAlignment="1" applyProtection="1"/>
    <xf numFmtId="169" fontId="7" fillId="0" borderId="0" xfId="263" applyNumberFormat="1" applyFont="1" applyFill="1" applyBorder="1" applyAlignment="1" applyProtection="1"/>
    <xf numFmtId="169" fontId="7" fillId="0" borderId="6" xfId="263" applyNumberFormat="1" applyFont="1" applyFill="1" applyBorder="1" applyAlignment="1" applyProtection="1"/>
    <xf numFmtId="182" fontId="24" fillId="0" borderId="0" xfId="86" applyNumberFormat="1" applyFont="1" applyFill="1" applyProtection="1"/>
    <xf numFmtId="169" fontId="8" fillId="0" borderId="0" xfId="263" applyNumberFormat="1" applyFont="1" applyFill="1" applyAlignment="1" applyProtection="1"/>
    <xf numFmtId="3" fontId="8" fillId="0" borderId="0" xfId="263" quotePrefix="1" applyNumberFormat="1" applyFont="1" applyAlignment="1" applyProtection="1"/>
    <xf numFmtId="172" fontId="7" fillId="0" borderId="0" xfId="263" applyFont="1" applyAlignment="1" applyProtection="1">
      <alignment horizontal="right"/>
    </xf>
    <xf numFmtId="172" fontId="7" fillId="0" borderId="0" xfId="263" applyNumberFormat="1" applyFont="1" applyAlignment="1" applyProtection="1"/>
    <xf numFmtId="172" fontId="12" fillId="0" borderId="0" xfId="263" applyFont="1" applyAlignment="1" applyProtection="1">
      <alignment horizontal="center"/>
    </xf>
    <xf numFmtId="172" fontId="5" fillId="0" borderId="0" xfId="263" applyFont="1" applyFill="1" applyAlignment="1" applyProtection="1">
      <alignment horizontal="center"/>
    </xf>
    <xf numFmtId="172" fontId="5" fillId="0" borderId="0" xfId="263" applyFont="1" applyFill="1" applyAlignment="1" applyProtection="1"/>
    <xf numFmtId="10" fontId="7" fillId="0" borderId="0" xfId="263" applyNumberFormat="1" applyFont="1" applyFill="1" applyProtection="1"/>
    <xf numFmtId="0" fontId="7" fillId="0" borderId="0" xfId="0" applyFont="1" applyFill="1" applyProtection="1"/>
    <xf numFmtId="0" fontId="7" fillId="0" borderId="0" xfId="0" applyFont="1" applyProtection="1"/>
    <xf numFmtId="0" fontId="14" fillId="0" borderId="0" xfId="0" applyFont="1" applyAlignment="1" applyProtection="1"/>
    <xf numFmtId="0" fontId="28" fillId="0" borderId="0" xfId="263" applyNumberFormat="1" applyFont="1" applyFill="1" applyAlignment="1" applyProtection="1"/>
    <xf numFmtId="0" fontId="116" fillId="0" borderId="0" xfId="263" applyNumberFormat="1" applyFont="1" applyFill="1" applyAlignment="1" applyProtection="1"/>
    <xf numFmtId="0" fontId="28" fillId="0" borderId="0" xfId="263" applyNumberFormat="1" applyFont="1" applyFill="1" applyProtection="1"/>
    <xf numFmtId="172" fontId="28" fillId="0" borderId="0" xfId="263" applyFont="1" applyFill="1" applyAlignment="1" applyProtection="1"/>
    <xf numFmtId="0" fontId="28" fillId="0" borderId="0" xfId="0" applyFont="1" applyAlignment="1" applyProtection="1">
      <alignment vertical="top" wrapText="1"/>
    </xf>
    <xf numFmtId="172" fontId="28" fillId="0" borderId="0" xfId="263" applyFont="1" applyFill="1" applyAlignment="1" applyProtection="1">
      <alignment wrapText="1"/>
    </xf>
    <xf numFmtId="172" fontId="116" fillId="0" borderId="0" xfId="263" applyFont="1" applyFill="1" applyAlignment="1" applyProtection="1"/>
    <xf numFmtId="0" fontId="5" fillId="0" borderId="0" xfId="263" applyNumberFormat="1" applyFont="1" applyFill="1" applyProtection="1"/>
    <xf numFmtId="0" fontId="86" fillId="0" borderId="0" xfId="263" applyNumberFormat="1" applyFont="1" applyFill="1" applyAlignment="1" applyProtection="1">
      <alignment horizontal="center"/>
    </xf>
    <xf numFmtId="0" fontId="0" fillId="0" borderId="0" xfId="0" applyAlignment="1" applyProtection="1">
      <alignment wrapText="1"/>
    </xf>
    <xf numFmtId="0" fontId="7" fillId="0" borderId="0" xfId="0" applyFont="1" applyAlignment="1" applyProtection="1">
      <alignment horizontal="center"/>
    </xf>
    <xf numFmtId="0" fontId="7" fillId="0" borderId="0" xfId="214" applyFont="1" applyBorder="1" applyAlignment="1" applyProtection="1">
      <alignment horizontal="center"/>
    </xf>
    <xf numFmtId="49" fontId="7" fillId="0" borderId="0" xfId="253" applyNumberFormat="1" applyFont="1" applyAlignment="1" applyProtection="1">
      <alignment horizontal="center"/>
    </xf>
    <xf numFmtId="0" fontId="19" fillId="0" borderId="0" xfId="0" applyFont="1" applyFill="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4" fillId="0" borderId="0" xfId="0" applyFont="1" applyFill="1" applyProtection="1"/>
    <xf numFmtId="0" fontId="4"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4" fillId="0" borderId="0" xfId="0" applyFont="1" applyProtection="1"/>
    <xf numFmtId="174" fontId="14" fillId="0" borderId="0" xfId="86" applyNumberFormat="1" applyFont="1" applyFill="1" applyProtection="1"/>
    <xf numFmtId="174" fontId="0" fillId="0" borderId="0" xfId="0" applyNumberFormat="1" applyProtection="1"/>
    <xf numFmtId="0" fontId="5" fillId="0" borderId="0" xfId="0" applyFont="1" applyProtection="1"/>
    <xf numFmtId="0" fontId="5" fillId="0" borderId="0" xfId="0" applyFont="1" applyAlignment="1" applyProtection="1"/>
    <xf numFmtId="3" fontId="6" fillId="0" borderId="0" xfId="0" applyNumberFormat="1" applyFont="1" applyAlignment="1" applyProtection="1">
      <alignment horizontal="center"/>
    </xf>
    <xf numFmtId="0" fontId="5" fillId="0" borderId="0" xfId="267" applyFont="1" applyProtection="1"/>
    <xf numFmtId="0" fontId="5" fillId="0" borderId="0" xfId="267" applyFont="1" applyAlignment="1" applyProtection="1">
      <alignment horizontal="right"/>
    </xf>
    <xf numFmtId="0" fontId="12" fillId="0" borderId="0" xfId="267" applyFont="1" applyAlignment="1" applyProtection="1">
      <alignment horizontal="center"/>
    </xf>
    <xf numFmtId="0" fontId="28" fillId="0" borderId="0" xfId="0" applyFont="1" applyProtection="1"/>
    <xf numFmtId="0" fontId="7" fillId="0" borderId="0" xfId="267" applyFont="1" applyProtection="1"/>
    <xf numFmtId="0" fontId="82" fillId="0" borderId="0" xfId="267" applyFont="1" applyProtection="1"/>
    <xf numFmtId="0" fontId="28" fillId="0" borderId="0" xfId="0" applyFont="1" applyAlignment="1" applyProtection="1">
      <alignment horizontal="center"/>
    </xf>
    <xf numFmtId="0" fontId="12" fillId="0" borderId="0" xfId="267" applyFont="1" applyBorder="1" applyAlignment="1" applyProtection="1">
      <alignment horizontal="center"/>
    </xf>
    <xf numFmtId="0" fontId="5" fillId="0" borderId="0" xfId="0" applyFont="1" applyFill="1" applyProtection="1"/>
    <xf numFmtId="0" fontId="5" fillId="0" borderId="0" xfId="0" applyFont="1" applyAlignment="1" applyProtection="1">
      <alignment horizontal="right"/>
    </xf>
    <xf numFmtId="0" fontId="8" fillId="0" borderId="0" xfId="267" applyFont="1" applyFill="1" applyProtection="1"/>
    <xf numFmtId="0" fontId="28" fillId="0" borderId="0" xfId="267" applyFont="1" applyAlignment="1" applyProtection="1">
      <alignment horizontal="center"/>
    </xf>
    <xf numFmtId="0" fontId="11" fillId="0" borderId="0" xfId="267" applyFont="1" applyFill="1" applyAlignment="1" applyProtection="1">
      <alignment horizontal="center"/>
    </xf>
    <xf numFmtId="0" fontId="11" fillId="0" borderId="0" xfId="267" applyFont="1" applyFill="1" applyProtection="1"/>
    <xf numFmtId="0" fontId="14" fillId="0" borderId="0" xfId="267" applyFont="1" applyProtection="1"/>
    <xf numFmtId="173" fontId="14" fillId="0" borderId="0" xfId="267" applyNumberFormat="1" applyFont="1" applyFill="1" applyProtection="1"/>
    <xf numFmtId="0" fontId="105" fillId="0" borderId="0" xfId="0" applyFont="1" applyFill="1" applyProtection="1"/>
    <xf numFmtId="0" fontId="14" fillId="0" borderId="0" xfId="0" applyFont="1" applyAlignment="1" applyProtection="1">
      <alignment horizontal="center"/>
    </xf>
    <xf numFmtId="0" fontId="105" fillId="0" borderId="0" xfId="0" applyFont="1" applyProtection="1"/>
    <xf numFmtId="0" fontId="97" fillId="0" borderId="0" xfId="267" applyFont="1" applyFill="1" applyAlignment="1" applyProtection="1">
      <alignment horizontal="center"/>
    </xf>
    <xf numFmtId="0" fontId="97" fillId="0" borderId="0" xfId="267" applyFont="1" applyFill="1" applyProtection="1"/>
    <xf numFmtId="0" fontId="104" fillId="0" borderId="0" xfId="0" applyFont="1" applyProtection="1"/>
    <xf numFmtId="0" fontId="104" fillId="0" borderId="0" xfId="267" applyFont="1" applyProtection="1"/>
    <xf numFmtId="172" fontId="14" fillId="0" borderId="0" xfId="267" applyNumberFormat="1" applyFont="1" applyFill="1" applyAlignment="1" applyProtection="1">
      <alignment horizontal="center"/>
    </xf>
    <xf numFmtId="0" fontId="14" fillId="0" borderId="0" xfId="267" applyFont="1" applyFill="1" applyProtection="1"/>
    <xf numFmtId="0" fontId="11" fillId="0" borderId="0" xfId="267" applyFont="1" applyProtection="1"/>
    <xf numFmtId="0" fontId="97" fillId="0" borderId="0" xfId="267" applyFont="1" applyProtection="1"/>
    <xf numFmtId="43" fontId="14" fillId="0" borderId="0" xfId="116" applyFont="1" applyFill="1" applyProtection="1"/>
    <xf numFmtId="43" fontId="104" fillId="0" borderId="0" xfId="116" applyFont="1" applyFill="1" applyProtection="1"/>
    <xf numFmtId="185" fontId="14" fillId="0" borderId="0" xfId="0" applyNumberFormat="1" applyFont="1" applyProtection="1"/>
    <xf numFmtId="0" fontId="14" fillId="0" borderId="0" xfId="0" applyFont="1" applyFill="1" applyProtection="1"/>
    <xf numFmtId="173" fontId="14" fillId="0" borderId="13" xfId="0" applyNumberFormat="1" applyFont="1" applyBorder="1" applyProtection="1"/>
    <xf numFmtId="173" fontId="14" fillId="0" borderId="0" xfId="267" applyNumberFormat="1" applyFont="1" applyProtection="1"/>
    <xf numFmtId="173" fontId="14" fillId="0" borderId="0" xfId="267" applyNumberFormat="1" applyFont="1" applyBorder="1" applyProtection="1"/>
    <xf numFmtId="173" fontId="14" fillId="0" borderId="13" xfId="267" applyNumberFormat="1" applyFont="1" applyBorder="1" applyProtection="1"/>
    <xf numFmtId="0" fontId="7" fillId="0" borderId="0" xfId="267" applyFont="1" applyFill="1" applyProtection="1"/>
    <xf numFmtId="173" fontId="7" fillId="0" borderId="0" xfId="267" applyNumberFormat="1" applyFont="1" applyFill="1" applyBorder="1" applyProtection="1"/>
    <xf numFmtId="0" fontId="14" fillId="0" borderId="0" xfId="0" applyFont="1" applyAlignment="1" applyProtection="1">
      <alignment vertical="top" wrapText="1"/>
    </xf>
    <xf numFmtId="0" fontId="28" fillId="0" borderId="0" xfId="0" applyFont="1" applyFill="1" applyProtection="1"/>
    <xf numFmtId="0" fontId="8" fillId="0" borderId="0" xfId="0" applyFont="1" applyFill="1" applyBorder="1" applyAlignment="1" applyProtection="1">
      <alignment horizontal="center"/>
    </xf>
    <xf numFmtId="0" fontId="11" fillId="0" borderId="0" xfId="0" applyFont="1" applyFill="1" applyBorder="1" applyAlignment="1" applyProtection="1">
      <alignment horizontal="center"/>
    </xf>
    <xf numFmtId="173" fontId="8" fillId="0" borderId="0" xfId="0" applyNumberFormat="1" applyFont="1" applyFill="1" applyBorder="1" applyAlignment="1" applyProtection="1">
      <alignment horizontal="center"/>
    </xf>
    <xf numFmtId="0" fontId="14" fillId="0" borderId="0" xfId="0" applyFont="1" applyBorder="1" applyProtection="1"/>
    <xf numFmtId="173" fontId="4" fillId="0" borderId="0" xfId="86" applyNumberFormat="1" applyProtection="1"/>
    <xf numFmtId="0" fontId="13" fillId="0" borderId="0" xfId="0" applyFont="1" applyFill="1" applyProtection="1"/>
    <xf numFmtId="0" fontId="20" fillId="0" borderId="0" xfId="0" applyFont="1" applyFill="1" applyAlignment="1" applyProtection="1">
      <alignment horizontal="right"/>
    </xf>
    <xf numFmtId="0" fontId="20" fillId="0" borderId="0" xfId="0" applyFont="1" applyFill="1" applyAlignment="1" applyProtection="1">
      <alignment horizontal="left"/>
    </xf>
    <xf numFmtId="0" fontId="20" fillId="0" borderId="0" xfId="0" applyFont="1" applyFill="1" applyBorder="1" applyAlignment="1" applyProtection="1">
      <alignment horizontal="right"/>
    </xf>
    <xf numFmtId="0" fontId="6" fillId="0" borderId="0" xfId="0" applyFont="1" applyFill="1" applyProtection="1"/>
    <xf numFmtId="0" fontId="68" fillId="0" borderId="0" xfId="0" applyFont="1" applyFill="1" applyProtection="1"/>
    <xf numFmtId="0" fontId="8" fillId="0" borderId="0" xfId="0" applyFont="1" applyAlignment="1" applyProtection="1">
      <alignment horizontal="left"/>
    </xf>
    <xf numFmtId="0" fontId="14" fillId="0" borderId="0" xfId="263" applyNumberFormat="1" applyFont="1" applyFill="1" applyBorder="1" applyAlignment="1" applyProtection="1"/>
    <xf numFmtId="3" fontId="14" fillId="0" borderId="0" xfId="263" applyNumberFormat="1" applyFont="1" applyAlignment="1" applyProtection="1"/>
    <xf numFmtId="10" fontId="4" fillId="0" borderId="0" xfId="272" applyNumberFormat="1" applyAlignment="1" applyProtection="1">
      <alignment horizontal="right"/>
    </xf>
    <xf numFmtId="172" fontId="14" fillId="0" borderId="0" xfId="263" applyFont="1" applyAlignment="1" applyProtection="1"/>
    <xf numFmtId="172" fontId="14" fillId="0" borderId="0" xfId="263" applyFont="1" applyBorder="1" applyAlignment="1" applyProtection="1"/>
    <xf numFmtId="3" fontId="14" fillId="0" borderId="0" xfId="263" applyNumberFormat="1" applyFont="1" applyFill="1" applyAlignment="1" applyProtection="1"/>
    <xf numFmtId="10" fontId="14" fillId="0" borderId="0" xfId="272" applyNumberFormat="1" applyFont="1" applyFill="1" applyAlignment="1" applyProtection="1">
      <alignment horizontal="right"/>
    </xf>
    <xf numFmtId="3" fontId="11" fillId="0" borderId="0" xfId="263" applyNumberFormat="1" applyFont="1" applyAlignment="1" applyProtection="1"/>
    <xf numFmtId="10" fontId="14" fillId="0" borderId="0" xfId="263" applyNumberFormat="1" applyFont="1" applyFill="1" applyAlignment="1" applyProtection="1">
      <alignment horizontal="right"/>
    </xf>
    <xf numFmtId="3" fontId="15" fillId="0" borderId="0" xfId="263" applyNumberFormat="1" applyFont="1" applyAlignment="1" applyProtection="1">
      <alignment horizontal="center"/>
    </xf>
    <xf numFmtId="10" fontId="15" fillId="0" borderId="0" xfId="263" applyNumberFormat="1" applyFont="1" applyFill="1" applyAlignment="1" applyProtection="1">
      <alignment horizontal="center"/>
    </xf>
    <xf numFmtId="0" fontId="14" fillId="0" borderId="0" xfId="263"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4" fillId="0" borderId="0" xfId="272" applyNumberFormat="1" applyFont="1" applyAlignment="1" applyProtection="1"/>
    <xf numFmtId="166" fontId="14" fillId="0" borderId="0" xfId="263" applyNumberFormat="1" applyFont="1" applyAlignment="1" applyProtection="1">
      <alignment horizontal="center"/>
    </xf>
    <xf numFmtId="166" fontId="14" fillId="0" borderId="0" xfId="263" applyNumberFormat="1" applyFont="1" applyBorder="1" applyAlignment="1" applyProtection="1">
      <alignment horizontal="center"/>
    </xf>
    <xf numFmtId="41" fontId="14" fillId="0" borderId="0" xfId="263" applyNumberFormat="1" applyFont="1" applyAlignment="1" applyProtection="1"/>
    <xf numFmtId="41" fontId="14" fillId="0" borderId="0" xfId="263" applyNumberFormat="1" applyFont="1" applyAlignment="1" applyProtection="1">
      <alignment horizontal="center"/>
    </xf>
    <xf numFmtId="41" fontId="14" fillId="0" borderId="0" xfId="263" applyNumberFormat="1" applyFont="1" applyBorder="1" applyAlignment="1" applyProtection="1">
      <alignment horizontal="center"/>
    </xf>
    <xf numFmtId="0" fontId="14" fillId="0" borderId="0" xfId="263" applyNumberFormat="1" applyFont="1" applyBorder="1" applyAlignment="1" applyProtection="1">
      <alignment horizontal="right"/>
    </xf>
    <xf numFmtId="164" fontId="15" fillId="0" borderId="0" xfId="272" applyNumberFormat="1" applyFont="1" applyAlignment="1" applyProtection="1"/>
    <xf numFmtId="0" fontId="14" fillId="0" borderId="0" xfId="263" applyNumberFormat="1" applyFont="1" applyBorder="1" applyAlignment="1" applyProtection="1"/>
    <xf numFmtId="3" fontId="14" fillId="0" borderId="0" xfId="263" applyNumberFormat="1" applyFont="1" applyAlignment="1" applyProtection="1">
      <alignment horizontal="right"/>
    </xf>
    <xf numFmtId="172" fontId="4" fillId="0" borderId="17" xfId="263" applyFont="1" applyBorder="1" applyAlignment="1" applyProtection="1"/>
    <xf numFmtId="0" fontId="4" fillId="0" borderId="0" xfId="263" applyNumberFormat="1" applyFont="1" applyBorder="1" applyAlignment="1" applyProtection="1">
      <alignment horizontal="center"/>
    </xf>
    <xf numFmtId="172" fontId="4" fillId="0" borderId="0" xfId="263" applyFont="1" applyBorder="1" applyAlignment="1" applyProtection="1"/>
    <xf numFmtId="3" fontId="4" fillId="0" borderId="18" xfId="263" applyNumberFormat="1" applyFont="1" applyBorder="1" applyAlignment="1" applyProtection="1"/>
    <xf numFmtId="10" fontId="14" fillId="0" borderId="0" xfId="263" applyNumberFormat="1" applyFont="1" applyFill="1" applyAlignment="1" applyProtection="1">
      <alignment horizontal="left"/>
    </xf>
    <xf numFmtId="41" fontId="14" fillId="0" borderId="0" xfId="263" applyNumberFormat="1" applyFont="1" applyBorder="1" applyAlignment="1" applyProtection="1"/>
    <xf numFmtId="0" fontId="4" fillId="0" borderId="17" xfId="0" applyFont="1" applyBorder="1" applyProtection="1"/>
    <xf numFmtId="0" fontId="4" fillId="0" borderId="0" xfId="0" applyFont="1" applyBorder="1" applyProtection="1"/>
    <xf numFmtId="0" fontId="4" fillId="0" borderId="18" xfId="0" applyFont="1" applyBorder="1" applyProtection="1"/>
    <xf numFmtId="41" fontId="14" fillId="0" borderId="0" xfId="263" applyNumberFormat="1" applyFont="1" applyFill="1" applyAlignment="1" applyProtection="1"/>
    <xf numFmtId="166" fontId="4" fillId="0" borderId="19" xfId="263" applyNumberFormat="1" applyFont="1" applyBorder="1" applyAlignment="1" applyProtection="1">
      <alignment horizontal="center"/>
    </xf>
    <xf numFmtId="0" fontId="4" fillId="0" borderId="6" xfId="263" applyNumberFormat="1" applyFont="1" applyBorder="1" applyAlignment="1" applyProtection="1">
      <alignment horizontal="center"/>
    </xf>
    <xf numFmtId="174" fontId="4" fillId="0" borderId="20" xfId="0" applyNumberFormat="1" applyFont="1" applyBorder="1" applyProtection="1"/>
    <xf numFmtId="41" fontId="4" fillId="0" borderId="0" xfId="263" applyNumberFormat="1" applyFont="1" applyBorder="1" applyAlignment="1" applyProtection="1"/>
    <xf numFmtId="0" fontId="14" fillId="31" borderId="0" xfId="263" applyNumberFormat="1" applyFont="1" applyFill="1" applyBorder="1" applyAlignment="1" applyProtection="1"/>
    <xf numFmtId="41" fontId="14" fillId="0" borderId="0" xfId="263" applyNumberFormat="1" applyFont="1" applyFill="1" applyAlignment="1" applyProtection="1">
      <alignment horizontal="left"/>
    </xf>
    <xf numFmtId="41" fontId="4" fillId="0" borderId="0" xfId="263" applyNumberFormat="1" applyFont="1" applyFill="1" applyBorder="1" applyAlignment="1" applyProtection="1">
      <alignment horizontal="right"/>
    </xf>
    <xf numFmtId="167" fontId="14" fillId="0" borderId="0" xfId="263" applyNumberFormat="1" applyFont="1" applyAlignment="1" applyProtection="1"/>
    <xf numFmtId="164" fontId="14" fillId="0" borderId="0" xfId="263" applyNumberFormat="1" applyFont="1" applyFill="1" applyBorder="1" applyAlignment="1" applyProtection="1">
      <alignment horizontal="left"/>
    </xf>
    <xf numFmtId="164" fontId="14" fillId="0" borderId="0" xfId="263" applyNumberFormat="1" applyFont="1" applyBorder="1" applyAlignment="1" applyProtection="1">
      <alignment horizontal="left"/>
    </xf>
    <xf numFmtId="3" fontId="14" fillId="0" borderId="0" xfId="263" applyNumberFormat="1" applyFont="1" applyAlignment="1" applyProtection="1">
      <alignment vertical="center" wrapText="1"/>
    </xf>
    <xf numFmtId="41" fontId="14" fillId="0" borderId="0" xfId="263" applyNumberFormat="1" applyFont="1" applyBorder="1" applyAlignment="1" applyProtection="1">
      <alignment vertical="center"/>
    </xf>
    <xf numFmtId="41" fontId="14" fillId="0" borderId="0" xfId="263" applyNumberFormat="1" applyFont="1" applyBorder="1" applyAlignment="1" applyProtection="1">
      <alignment horizontal="center" vertical="center"/>
    </xf>
    <xf numFmtId="41" fontId="14" fillId="0" borderId="0" xfId="263" applyNumberFormat="1" applyFont="1" applyAlignment="1" applyProtection="1">
      <alignment horizontal="right"/>
    </xf>
    <xf numFmtId="10" fontId="14" fillId="0" borderId="0" xfId="0" applyNumberFormat="1" applyFont="1" applyProtection="1"/>
    <xf numFmtId="173" fontId="14" fillId="0" borderId="0" xfId="86" applyNumberFormat="1" applyFont="1" applyProtection="1"/>
    <xf numFmtId="41" fontId="14" fillId="0" borderId="0" xfId="0" applyNumberFormat="1" applyFont="1" applyProtection="1"/>
    <xf numFmtId="41" fontId="14" fillId="0" borderId="0" xfId="263" applyNumberFormat="1" applyFont="1" applyFill="1" applyBorder="1" applyAlignment="1" applyProtection="1"/>
    <xf numFmtId="41" fontId="14" fillId="0" borderId="11" xfId="263" applyNumberFormat="1" applyFont="1" applyFill="1" applyBorder="1" applyAlignment="1" applyProtection="1"/>
    <xf numFmtId="3" fontId="14" fillId="0" borderId="0" xfId="263" applyNumberFormat="1" applyFont="1" applyFill="1" applyBorder="1" applyAlignment="1" applyProtection="1"/>
    <xf numFmtId="41" fontId="14" fillId="0" borderId="0" xfId="263" applyNumberFormat="1" applyFont="1" applyFill="1" applyBorder="1" applyAlignment="1" applyProtection="1">
      <alignment horizontal="center"/>
    </xf>
    <xf numFmtId="0" fontId="14" fillId="0" borderId="0" xfId="263" applyNumberFormat="1" applyFont="1" applyFill="1" applyBorder="1" applyProtection="1"/>
    <xf numFmtId="41" fontId="15" fillId="0" borderId="0" xfId="263" applyNumberFormat="1" applyFont="1" applyFill="1" applyBorder="1" applyAlignment="1" applyProtection="1"/>
    <xf numFmtId="3" fontId="14" fillId="0" borderId="0" xfId="263" applyNumberFormat="1" applyFont="1" applyFill="1" applyBorder="1" applyAlignment="1" applyProtection="1">
      <alignment horizontal="center"/>
    </xf>
    <xf numFmtId="0" fontId="14" fillId="0" borderId="0" xfId="0" applyFont="1" applyFill="1" applyBorder="1" applyProtection="1"/>
    <xf numFmtId="0" fontId="14" fillId="0" borderId="0" xfId="263" applyNumberFormat="1" applyFont="1" applyFill="1" applyBorder="1" applyAlignment="1" applyProtection="1">
      <alignment horizontal="center"/>
    </xf>
    <xf numFmtId="10" fontId="14" fillId="0" borderId="0" xfId="263" applyNumberFormat="1" applyFont="1" applyFill="1" applyBorder="1" applyAlignment="1" applyProtection="1"/>
    <xf numFmtId="169" fontId="14" fillId="0" borderId="0" xfId="263" applyNumberFormat="1" applyFont="1" applyFill="1" applyBorder="1" applyAlignment="1" applyProtection="1"/>
    <xf numFmtId="172" fontId="14" fillId="0" borderId="0" xfId="263" applyFont="1" applyFill="1" applyBorder="1" applyAlignment="1" applyProtection="1"/>
    <xf numFmtId="169" fontId="11" fillId="0" borderId="0" xfId="263" applyNumberFormat="1" applyFont="1" applyFill="1" applyBorder="1" applyAlignment="1" applyProtection="1"/>
    <xf numFmtId="0" fontId="14" fillId="0" borderId="0" xfId="0" applyFont="1" applyFill="1" applyBorder="1" applyAlignment="1" applyProtection="1">
      <alignment horizontal="center"/>
    </xf>
    <xf numFmtId="41" fontId="14" fillId="0" borderId="0" xfId="0" applyNumberFormat="1" applyFont="1" applyFill="1" applyBorder="1" applyProtection="1"/>
    <xf numFmtId="173" fontId="14" fillId="0" borderId="0" xfId="86" applyNumberFormat="1" applyFont="1" applyFill="1" applyBorder="1" applyProtection="1"/>
    <xf numFmtId="41" fontId="15" fillId="0" borderId="0" xfId="0" applyNumberFormat="1" applyFont="1" applyProtection="1"/>
    <xf numFmtId="182" fontId="14" fillId="0" borderId="0" xfId="86" applyNumberFormat="1" applyFont="1" applyProtection="1"/>
    <xf numFmtId="10" fontId="15" fillId="0" borderId="0" xfId="0" applyNumberFormat="1" applyFont="1" applyProtection="1"/>
    <xf numFmtId="0" fontId="14" fillId="31" borderId="0" xfId="0" applyFont="1" applyFill="1" applyBorder="1" applyProtection="1"/>
    <xf numFmtId="173" fontId="14" fillId="0" borderId="0" xfId="86" applyNumberFormat="1" applyFont="1" applyFill="1" applyProtection="1"/>
    <xf numFmtId="173" fontId="14" fillId="0" borderId="0" xfId="86" applyNumberFormat="1" applyFont="1" applyBorder="1" applyProtection="1"/>
    <xf numFmtId="43" fontId="14" fillId="0" borderId="0" xfId="86" applyFont="1" applyProtection="1"/>
    <xf numFmtId="173" fontId="14" fillId="0" borderId="0" xfId="0" applyNumberFormat="1" applyFont="1" applyProtection="1"/>
    <xf numFmtId="0" fontId="70" fillId="0" borderId="0" xfId="0" applyFont="1" applyFill="1" applyProtection="1"/>
    <xf numFmtId="173" fontId="14" fillId="0" borderId="0" xfId="0" applyNumberFormat="1" applyFont="1" applyBorder="1" applyProtection="1"/>
    <xf numFmtId="174" fontId="14" fillId="0" borderId="0" xfId="0" applyNumberFormat="1" applyFont="1" applyBorder="1" applyProtection="1"/>
    <xf numFmtId="0" fontId="13" fillId="0" borderId="0" xfId="0" applyFont="1" applyProtection="1"/>
    <xf numFmtId="0" fontId="20" fillId="0" borderId="0" xfId="0" applyFont="1" applyAlignment="1" applyProtection="1">
      <alignment horizontal="right"/>
    </xf>
    <xf numFmtId="0" fontId="8" fillId="0" borderId="0" xfId="0" applyFont="1" applyFill="1" applyProtection="1"/>
    <xf numFmtId="0" fontId="11" fillId="0" borderId="21" xfId="0" applyFont="1" applyBorder="1" applyProtection="1"/>
    <xf numFmtId="0" fontId="11" fillId="0" borderId="15" xfId="0" applyFont="1" applyBorder="1" applyProtection="1"/>
    <xf numFmtId="0" fontId="14" fillId="0" borderId="15" xfId="0" applyFont="1" applyBorder="1" applyProtection="1"/>
    <xf numFmtId="0" fontId="7" fillId="0" borderId="0" xfId="86" applyNumberFormat="1" applyFont="1" applyFill="1" applyAlignment="1" applyProtection="1">
      <alignment horizontal="left"/>
    </xf>
    <xf numFmtId="0" fontId="7" fillId="0" borderId="0" xfId="86" applyNumberFormat="1" applyFont="1" applyFill="1" applyBorder="1" applyAlignment="1" applyProtection="1">
      <alignment horizontal="left"/>
    </xf>
    <xf numFmtId="0" fontId="11" fillId="0" borderId="17" xfId="0" applyFont="1" applyBorder="1" applyProtection="1"/>
    <xf numFmtId="0" fontId="11" fillId="0" borderId="0" xfId="0" applyFont="1" applyFill="1" applyProtection="1"/>
    <xf numFmtId="173" fontId="14" fillId="0" borderId="20" xfId="86" applyNumberFormat="1" applyFont="1" applyBorder="1" applyProtection="1"/>
    <xf numFmtId="0" fontId="9" fillId="0" borderId="0" xfId="0" applyFont="1" applyFill="1" applyProtection="1"/>
    <xf numFmtId="0" fontId="14" fillId="0" borderId="0" xfId="0" applyFont="1" applyFill="1" applyAlignment="1" applyProtection="1">
      <alignment wrapText="1"/>
    </xf>
    <xf numFmtId="0" fontId="9" fillId="0" borderId="0" xfId="0" applyFont="1" applyFill="1" applyAlignment="1" applyProtection="1"/>
    <xf numFmtId="0" fontId="14" fillId="0" borderId="0" xfId="0" applyFont="1" applyFill="1" applyAlignment="1" applyProtection="1"/>
    <xf numFmtId="0" fontId="14" fillId="0" borderId="0" xfId="0" applyFont="1" applyFill="1" applyBorder="1" applyAlignment="1" applyProtection="1">
      <alignment wrapText="1"/>
    </xf>
    <xf numFmtId="0" fontId="14"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4" fillId="0" borderId="0" xfId="0" applyFont="1" applyBorder="1" applyAlignment="1" applyProtection="1"/>
    <xf numFmtId="0" fontId="14" fillId="0" borderId="0" xfId="0" applyFont="1" applyFill="1" applyBorder="1" applyAlignment="1" applyProtection="1"/>
    <xf numFmtId="0" fontId="14" fillId="0" borderId="17" xfId="0" applyFont="1" applyFill="1" applyBorder="1" applyProtection="1"/>
    <xf numFmtId="0" fontId="14" fillId="0" borderId="0" xfId="0" applyFont="1" applyBorder="1" applyAlignment="1" applyProtection="1">
      <alignment horizontal="center"/>
    </xf>
    <xf numFmtId="0" fontId="11" fillId="0" borderId="25" xfId="0" applyFont="1" applyFill="1" applyBorder="1" applyAlignment="1" applyProtection="1">
      <alignment horizontal="center"/>
    </xf>
    <xf numFmtId="173" fontId="14" fillId="0" borderId="0" xfId="0" applyNumberFormat="1" applyFont="1" applyFill="1" applyBorder="1" applyAlignment="1" applyProtection="1">
      <alignment horizontal="right"/>
    </xf>
    <xf numFmtId="10" fontId="14" fillId="0" borderId="18" xfId="0" applyNumberFormat="1" applyFont="1" applyBorder="1" applyProtection="1"/>
    <xf numFmtId="10" fontId="14" fillId="0" borderId="0" xfId="0" applyNumberFormat="1" applyFont="1" applyFill="1" applyBorder="1" applyProtection="1"/>
    <xf numFmtId="173" fontId="14" fillId="0" borderId="18" xfId="0" applyNumberFormat="1" applyFont="1" applyFill="1" applyBorder="1" applyAlignment="1" applyProtection="1">
      <alignment horizontal="right"/>
    </xf>
    <xf numFmtId="10" fontId="14" fillId="0" borderId="0" xfId="0" applyNumberFormat="1" applyFont="1" applyBorder="1" applyProtection="1"/>
    <xf numFmtId="0" fontId="14" fillId="0" borderId="19" xfId="0" applyFont="1" applyBorder="1" applyProtection="1"/>
    <xf numFmtId="0" fontId="14" fillId="0" borderId="6" xfId="0" applyFont="1" applyBorder="1" applyAlignment="1" applyProtection="1">
      <alignment horizontal="center"/>
    </xf>
    <xf numFmtId="0" fontId="0" fillId="0" borderId="6" xfId="0" applyBorder="1" applyProtection="1"/>
    <xf numFmtId="0" fontId="11" fillId="0" borderId="26" xfId="0" applyFont="1" applyBorder="1" applyAlignment="1" applyProtection="1">
      <alignment horizontal="center" wrapText="1"/>
    </xf>
    <xf numFmtId="173" fontId="11" fillId="0" borderId="0" xfId="86" applyNumberFormat="1" applyFont="1" applyBorder="1" applyAlignment="1" applyProtection="1">
      <alignment horizontal="center" wrapText="1"/>
    </xf>
    <xf numFmtId="173" fontId="11" fillId="0" borderId="26" xfId="86" applyNumberFormat="1" applyFont="1" applyBorder="1" applyAlignment="1" applyProtection="1">
      <alignment horizontal="center" wrapText="1"/>
    </xf>
    <xf numFmtId="173" fontId="11" fillId="0" borderId="25" xfId="86" applyNumberFormat="1" applyFont="1" applyBorder="1" applyAlignment="1" applyProtection="1">
      <alignment horizontal="center" wrapText="1"/>
    </xf>
    <xf numFmtId="0" fontId="11" fillId="0" borderId="27" xfId="0" applyFont="1" applyBorder="1" applyAlignment="1" applyProtection="1">
      <alignment horizontal="center" wrapText="1"/>
    </xf>
    <xf numFmtId="0" fontId="11" fillId="0" borderId="0" xfId="0" applyFont="1" applyBorder="1" applyAlignment="1" applyProtection="1">
      <alignment horizontal="center" wrapText="1"/>
    </xf>
    <xf numFmtId="0" fontId="11" fillId="0" borderId="28" xfId="0" applyFont="1" applyBorder="1" applyAlignment="1" applyProtection="1">
      <alignment horizontal="center"/>
    </xf>
    <xf numFmtId="0" fontId="11" fillId="0" borderId="6" xfId="0" applyFont="1" applyBorder="1" applyAlignment="1" applyProtection="1">
      <alignment horizontal="center"/>
    </xf>
    <xf numFmtId="173" fontId="11" fillId="0" borderId="28" xfId="86" applyNumberFormat="1" applyFont="1" applyBorder="1" applyAlignment="1" applyProtection="1">
      <alignment horizontal="center"/>
    </xf>
    <xf numFmtId="173" fontId="11" fillId="0" borderId="20" xfId="86" applyNumberFormat="1" applyFont="1" applyBorder="1" applyAlignment="1" applyProtection="1">
      <alignment horizontal="center"/>
    </xf>
    <xf numFmtId="0" fontId="11" fillId="0" borderId="28" xfId="0" applyFont="1" applyFill="1" applyBorder="1" applyAlignment="1" applyProtection="1">
      <alignment horizontal="center"/>
    </xf>
    <xf numFmtId="0" fontId="11" fillId="0" borderId="27" xfId="0" applyFont="1" applyFill="1" applyBorder="1" applyAlignment="1" applyProtection="1">
      <alignment horizontal="center"/>
    </xf>
    <xf numFmtId="0" fontId="14" fillId="0" borderId="27" xfId="0" applyNumberFormat="1" applyFont="1" applyBorder="1" applyAlignment="1" applyProtection="1">
      <alignment horizontal="center"/>
    </xf>
    <xf numFmtId="173" fontId="14" fillId="0" borderId="27" xfId="86" applyNumberFormat="1" applyFont="1" applyBorder="1" applyProtection="1"/>
    <xf numFmtId="173" fontId="14" fillId="0" borderId="27" xfId="86" applyNumberFormat="1" applyFont="1" applyFill="1" applyBorder="1" applyProtection="1"/>
    <xf numFmtId="173" fontId="14" fillId="0" borderId="18" xfId="86" applyNumberFormat="1" applyFont="1" applyFill="1" applyBorder="1" applyProtection="1"/>
    <xf numFmtId="174" fontId="14" fillId="0" borderId="27" xfId="0" applyNumberFormat="1" applyFont="1" applyBorder="1" applyProtection="1"/>
    <xf numFmtId="174" fontId="10" fillId="28" borderId="26" xfId="0" applyNumberFormat="1" applyFont="1" applyFill="1" applyBorder="1" applyProtection="1"/>
    <xf numFmtId="174" fontId="14" fillId="29" borderId="26" xfId="0" applyNumberFormat="1" applyFont="1" applyFill="1" applyBorder="1" applyProtection="1"/>
    <xf numFmtId="173" fontId="14" fillId="0" borderId="27" xfId="0" applyNumberFormat="1" applyFont="1" applyBorder="1" applyProtection="1"/>
    <xf numFmtId="173" fontId="14" fillId="0" borderId="18" xfId="86" applyNumberFormat="1" applyFont="1" applyBorder="1" applyProtection="1"/>
    <xf numFmtId="174" fontId="10" fillId="28" borderId="27" xfId="0" applyNumberFormat="1" applyFont="1" applyFill="1" applyBorder="1" applyProtection="1"/>
    <xf numFmtId="174" fontId="14" fillId="29" borderId="27" xfId="0" applyNumberFormat="1" applyFont="1" applyFill="1" applyBorder="1" applyProtection="1"/>
    <xf numFmtId="0" fontId="14" fillId="0" borderId="28" xfId="0" applyNumberFormat="1" applyFont="1" applyBorder="1" applyAlignment="1" applyProtection="1">
      <alignment horizontal="center"/>
    </xf>
    <xf numFmtId="173" fontId="14" fillId="0" borderId="6" xfId="0" applyNumberFormat="1" applyFont="1" applyBorder="1" applyProtection="1"/>
    <xf numFmtId="173" fontId="14" fillId="0" borderId="28" xfId="0" applyNumberFormat="1" applyFont="1" applyBorder="1" applyProtection="1"/>
    <xf numFmtId="173" fontId="14" fillId="0" borderId="28" xfId="86" applyNumberFormat="1" applyFont="1" applyBorder="1" applyProtection="1"/>
    <xf numFmtId="174" fontId="14" fillId="0" borderId="28" xfId="0" applyNumberFormat="1" applyFont="1" applyBorder="1" applyProtection="1"/>
    <xf numFmtId="174" fontId="10" fillId="28" borderId="28" xfId="0" applyNumberFormat="1" applyFont="1" applyFill="1" applyBorder="1" applyProtection="1"/>
    <xf numFmtId="174" fontId="14" fillId="29" borderId="28" xfId="0" applyNumberFormat="1" applyFont="1" applyFill="1" applyBorder="1" applyProtection="1"/>
    <xf numFmtId="10" fontId="0" fillId="0" borderId="0" xfId="272" applyNumberFormat="1" applyFont="1" applyAlignment="1" applyProtection="1">
      <alignment horizontal="right"/>
    </xf>
    <xf numFmtId="172" fontId="14" fillId="0" borderId="21" xfId="263" applyFont="1" applyBorder="1" applyAlignment="1" applyProtection="1"/>
    <xf numFmtId="172" fontId="14" fillId="0" borderId="15" xfId="263" applyFont="1" applyBorder="1" applyAlignment="1" applyProtection="1"/>
    <xf numFmtId="3" fontId="14" fillId="0" borderId="25" xfId="263" applyNumberFormat="1" applyFont="1" applyBorder="1" applyAlignment="1" applyProtection="1"/>
    <xf numFmtId="172" fontId="14" fillId="0" borderId="17" xfId="263" applyFont="1" applyBorder="1" applyAlignment="1" applyProtection="1"/>
    <xf numFmtId="3" fontId="14" fillId="0" borderId="18" xfId="263" applyNumberFormat="1" applyFont="1" applyBorder="1" applyAlignment="1" applyProtection="1"/>
    <xf numFmtId="0" fontId="14" fillId="0" borderId="0" xfId="263" quotePrefix="1" applyNumberFormat="1" applyFont="1" applyBorder="1" applyAlignment="1" applyProtection="1">
      <alignment horizontal="center"/>
    </xf>
    <xf numFmtId="0" fontId="14" fillId="0" borderId="18" xfId="0" applyFont="1" applyBorder="1" applyProtection="1"/>
    <xf numFmtId="10" fontId="34" fillId="0" borderId="0" xfId="0" applyNumberFormat="1" applyFont="1" applyFill="1" applyAlignment="1" applyProtection="1">
      <alignment horizontal="center"/>
    </xf>
    <xf numFmtId="0" fontId="14" fillId="0" borderId="17" xfId="0" applyFont="1" applyBorder="1" applyProtection="1"/>
    <xf numFmtId="0" fontId="14" fillId="0" borderId="0" xfId="0" applyFont="1" applyBorder="1" applyAlignment="1" applyProtection="1">
      <alignment horizontal="right"/>
    </xf>
    <xf numFmtId="174" fontId="14" fillId="0" borderId="18" xfId="0" applyNumberFormat="1" applyFont="1" applyBorder="1" applyProtection="1"/>
    <xf numFmtId="174" fontId="14" fillId="0" borderId="20" xfId="0" applyNumberFormat="1" applyFont="1" applyBorder="1" applyProtection="1"/>
    <xf numFmtId="173" fontId="14" fillId="0" borderId="25" xfId="0" applyNumberFormat="1" applyFont="1" applyBorder="1" applyProtection="1"/>
    <xf numFmtId="166" fontId="14" fillId="0" borderId="19" xfId="263" applyNumberFormat="1" applyFont="1" applyBorder="1" applyAlignment="1" applyProtection="1">
      <alignment horizontal="center"/>
    </xf>
    <xf numFmtId="0" fontId="14" fillId="0" borderId="6" xfId="263" applyNumberFormat="1" applyFont="1" applyBorder="1" applyAlignment="1" applyProtection="1">
      <alignment horizontal="center"/>
    </xf>
    <xf numFmtId="173" fontId="14" fillId="0" borderId="6" xfId="263" quotePrefix="1" applyNumberFormat="1" applyFont="1" applyBorder="1" applyAlignment="1" applyProtection="1">
      <alignment horizontal="center"/>
    </xf>
    <xf numFmtId="41" fontId="14" fillId="0" borderId="0" xfId="263" applyNumberFormat="1" applyFont="1" applyFill="1" applyBorder="1" applyAlignment="1" applyProtection="1">
      <alignment horizontal="right"/>
    </xf>
    <xf numFmtId="10" fontId="14" fillId="0" borderId="0" xfId="272" applyNumberFormat="1" applyFont="1" applyFill="1" applyBorder="1" applyAlignment="1" applyProtection="1"/>
    <xf numFmtId="0" fontId="123" fillId="27" borderId="0" xfId="0" applyFont="1" applyFill="1" applyBorder="1" applyProtection="1"/>
    <xf numFmtId="0" fontId="11" fillId="0" borderId="21" xfId="0" applyFont="1" applyFill="1" applyBorder="1" applyAlignment="1" applyProtection="1">
      <alignment horizontal="center"/>
    </xf>
    <xf numFmtId="173" fontId="14" fillId="0" borderId="17" xfId="86" applyNumberFormat="1" applyFont="1" applyBorder="1" applyProtection="1"/>
    <xf numFmtId="173" fontId="11" fillId="0" borderId="0" xfId="86" applyNumberFormat="1" applyFont="1" applyBorder="1" applyProtection="1"/>
    <xf numFmtId="173" fontId="14" fillId="0" borderId="18" xfId="0" applyNumberFormat="1" applyFont="1" applyBorder="1" applyProtection="1"/>
    <xf numFmtId="173" fontId="11" fillId="0" borderId="11" xfId="86" applyNumberFormat="1" applyFont="1" applyBorder="1" applyProtection="1"/>
    <xf numFmtId="173" fontId="14" fillId="0" borderId="29" xfId="0" applyNumberFormat="1" applyFont="1" applyBorder="1" applyProtection="1"/>
    <xf numFmtId="173" fontId="11" fillId="0" borderId="6" xfId="86" applyNumberFormat="1" applyFont="1" applyFill="1" applyBorder="1" applyAlignment="1" applyProtection="1">
      <alignment horizontal="left"/>
    </xf>
    <xf numFmtId="173" fontId="11" fillId="0" borderId="20" xfId="86" applyNumberFormat="1" applyFont="1" applyFill="1" applyBorder="1" applyAlignment="1" applyProtection="1">
      <alignment horizontal="left"/>
    </xf>
    <xf numFmtId="173" fontId="14" fillId="0" borderId="26" xfId="0" applyNumberFormat="1" applyFont="1" applyBorder="1" applyProtection="1"/>
    <xf numFmtId="174" fontId="14" fillId="0" borderId="26" xfId="0" applyNumberFormat="1" applyFont="1" applyBorder="1" applyProtection="1"/>
    <xf numFmtId="0" fontId="11" fillId="0" borderId="0" xfId="263" applyNumberFormat="1" applyFont="1" applyFill="1" applyBorder="1" applyAlignment="1" applyProtection="1">
      <alignment vertical="center"/>
    </xf>
    <xf numFmtId="0" fontId="103" fillId="0" borderId="0" xfId="0" applyFont="1" applyProtection="1"/>
    <xf numFmtId="0" fontId="11" fillId="0" borderId="0" xfId="263" applyNumberFormat="1" applyFont="1" applyFill="1" applyBorder="1" applyAlignment="1" applyProtection="1">
      <alignment vertical="top"/>
    </xf>
    <xf numFmtId="0" fontId="24" fillId="0" borderId="0" xfId="0" applyFont="1" applyAlignment="1" applyProtection="1"/>
    <xf numFmtId="0" fontId="107" fillId="0" borderId="0" xfId="265" applyFont="1" applyAlignment="1" applyProtection="1"/>
    <xf numFmtId="0" fontId="5" fillId="0" borderId="0" xfId="265" applyProtection="1"/>
    <xf numFmtId="44" fontId="107" fillId="0" borderId="0" xfId="118" applyFont="1" applyAlignment="1" applyProtection="1"/>
    <xf numFmtId="0" fontId="108" fillId="0" borderId="0" xfId="265" applyFont="1" applyProtection="1"/>
    <xf numFmtId="0" fontId="109" fillId="0" borderId="0" xfId="265" applyFont="1" applyAlignment="1" applyProtection="1">
      <alignment horizontal="center"/>
    </xf>
    <xf numFmtId="0" fontId="110" fillId="0" borderId="0" xfId="265" applyFont="1" applyProtection="1"/>
    <xf numFmtId="176" fontId="109" fillId="0" borderId="0" xfId="265" applyNumberFormat="1" applyFont="1" applyAlignment="1" applyProtection="1">
      <alignment horizontal="center"/>
    </xf>
    <xf numFmtId="0" fontId="109" fillId="0" borderId="0" xfId="265" applyFont="1" applyProtection="1"/>
    <xf numFmtId="176" fontId="109" fillId="0" borderId="0" xfId="265" quotePrefix="1" applyNumberFormat="1" applyFont="1" applyAlignment="1" applyProtection="1">
      <alignment horizontal="center"/>
    </xf>
    <xf numFmtId="194" fontId="109" fillId="0" borderId="0" xfId="265" quotePrefix="1" applyNumberFormat="1" applyFont="1" applyAlignment="1" applyProtection="1">
      <alignment horizontal="center"/>
    </xf>
    <xf numFmtId="0" fontId="111" fillId="0" borderId="0" xfId="265" applyFont="1" applyProtection="1"/>
    <xf numFmtId="0" fontId="112" fillId="0" borderId="16" xfId="265" applyFont="1" applyBorder="1" applyProtection="1"/>
    <xf numFmtId="0" fontId="108" fillId="0" borderId="16" xfId="265" applyFont="1" applyBorder="1" applyProtection="1"/>
    <xf numFmtId="0" fontId="5" fillId="0" borderId="0" xfId="265" applyFont="1" applyBorder="1" applyAlignment="1" applyProtection="1">
      <alignment horizontal="left"/>
    </xf>
    <xf numFmtId="0" fontId="108" fillId="0" borderId="0" xfId="265" applyFont="1" applyBorder="1" applyProtection="1"/>
    <xf numFmtId="0" fontId="5" fillId="0" borderId="0" xfId="265" applyFont="1" applyBorder="1" applyProtection="1"/>
    <xf numFmtId="0" fontId="113" fillId="0" borderId="0" xfId="265" applyFont="1" applyProtection="1"/>
    <xf numFmtId="176" fontId="5" fillId="0" borderId="0" xfId="265" quotePrefix="1" applyNumberFormat="1" applyAlignment="1" applyProtection="1">
      <alignment horizontal="right"/>
    </xf>
    <xf numFmtId="0" fontId="113" fillId="0" borderId="0" xfId="265" applyFont="1" applyAlignment="1" applyProtection="1">
      <alignment horizontal="right"/>
    </xf>
    <xf numFmtId="0" fontId="114" fillId="0" borderId="0" xfId="265" applyFont="1" applyProtection="1"/>
    <xf numFmtId="0" fontId="115" fillId="0" borderId="0" xfId="265" applyFont="1" applyProtection="1"/>
    <xf numFmtId="0" fontId="44" fillId="0" borderId="0" xfId="265" applyFont="1" applyProtection="1"/>
    <xf numFmtId="0" fontId="7" fillId="0" borderId="0" xfId="261" applyFont="1" applyProtection="1"/>
    <xf numFmtId="0" fontId="4" fillId="0" borderId="0" xfId="261" applyProtection="1"/>
    <xf numFmtId="0" fontId="4" fillId="0" borderId="0" xfId="261" applyAlignment="1" applyProtection="1">
      <alignment horizontal="center"/>
    </xf>
    <xf numFmtId="0" fontId="120" fillId="0" borderId="0" xfId="0" applyFont="1" applyFill="1" applyAlignment="1" applyProtection="1">
      <alignment horizontal="left"/>
    </xf>
    <xf numFmtId="0" fontId="120" fillId="0" borderId="0" xfId="0" applyFont="1" applyFill="1" applyProtection="1"/>
    <xf numFmtId="0" fontId="120" fillId="0" borderId="26" xfId="0" applyFont="1" applyFill="1" applyBorder="1" applyAlignment="1" applyProtection="1">
      <alignment horizontal="center" wrapText="1"/>
    </xf>
    <xf numFmtId="0" fontId="120" fillId="0" borderId="27" xfId="0" applyFont="1" applyFill="1" applyBorder="1" applyAlignment="1" applyProtection="1">
      <alignment horizontal="center" wrapText="1"/>
    </xf>
    <xf numFmtId="0" fontId="120" fillId="0" borderId="27" xfId="0" applyFont="1" applyFill="1" applyBorder="1" applyProtection="1"/>
    <xf numFmtId="170" fontId="121" fillId="0" borderId="0" xfId="0" applyNumberFormat="1" applyFont="1" applyFill="1" applyAlignment="1" applyProtection="1">
      <alignment horizontal="right"/>
    </xf>
    <xf numFmtId="170" fontId="120" fillId="0" borderId="0" xfId="0" applyNumberFormat="1" applyFont="1" applyFill="1" applyAlignment="1" applyProtection="1">
      <alignment horizontal="center"/>
    </xf>
    <xf numFmtId="170" fontId="120" fillId="0" borderId="0" xfId="0" applyNumberFormat="1" applyFont="1" applyFill="1" applyProtection="1"/>
    <xf numFmtId="170" fontId="121" fillId="0" borderId="0" xfId="0" applyNumberFormat="1" applyFont="1" applyFill="1" applyAlignment="1" applyProtection="1">
      <alignment horizontal="center"/>
    </xf>
    <xf numFmtId="170" fontId="7" fillId="0" borderId="0" xfId="0" applyNumberFormat="1" applyFont="1" applyFill="1" applyProtection="1"/>
    <xf numFmtId="5" fontId="120" fillId="0" borderId="28" xfId="0" applyNumberFormat="1" applyFont="1" applyFill="1" applyBorder="1" applyAlignment="1" applyProtection="1">
      <alignment horizontal="center"/>
    </xf>
    <xf numFmtId="173" fontId="120" fillId="0" borderId="0" xfId="0" applyNumberFormat="1" applyFont="1" applyFill="1" applyProtection="1"/>
    <xf numFmtId="0" fontId="120" fillId="0" borderId="0" xfId="0" applyFont="1" applyFill="1" applyAlignment="1" applyProtection="1">
      <alignment horizontal="center"/>
    </xf>
    <xf numFmtId="173" fontId="120" fillId="0" borderId="6" xfId="0" applyNumberFormat="1" applyFont="1" applyFill="1" applyBorder="1" applyProtection="1"/>
    <xf numFmtId="0" fontId="120" fillId="0" borderId="6" xfId="0" applyFont="1" applyFill="1" applyBorder="1" applyAlignment="1" applyProtection="1">
      <alignment horizontal="center"/>
    </xf>
    <xf numFmtId="0" fontId="7" fillId="0" borderId="6" xfId="0" applyFont="1" applyFill="1" applyBorder="1" applyProtection="1"/>
    <xf numFmtId="173" fontId="120" fillId="0" borderId="0" xfId="0" applyNumberFormat="1" applyFont="1" applyFill="1" applyAlignment="1" applyProtection="1">
      <alignment horizontal="left"/>
    </xf>
    <xf numFmtId="0" fontId="121" fillId="0" borderId="0" xfId="0" applyNumberFormat="1" applyFont="1" applyFill="1" applyAlignment="1" applyProtection="1">
      <alignment horizontal="left"/>
    </xf>
    <xf numFmtId="0" fontId="121" fillId="0" borderId="0" xfId="0" applyFont="1" applyFill="1" applyAlignment="1" applyProtection="1">
      <alignment horizontal="center" wrapText="1"/>
    </xf>
    <xf numFmtId="0" fontId="121" fillId="0" borderId="0" xfId="0" applyFont="1" applyFill="1" applyAlignment="1" applyProtection="1">
      <alignment horizontal="center"/>
    </xf>
    <xf numFmtId="173" fontId="121" fillId="0" borderId="0" xfId="0" applyNumberFormat="1" applyFont="1" applyFill="1" applyAlignment="1" applyProtection="1">
      <alignment horizontal="center" wrapText="1"/>
    </xf>
    <xf numFmtId="173" fontId="121" fillId="0" borderId="0" xfId="0" applyNumberFormat="1" applyFont="1" applyFill="1" applyAlignment="1" applyProtection="1">
      <alignment horizontal="center"/>
    </xf>
    <xf numFmtId="176" fontId="120" fillId="0" borderId="0" xfId="273" applyNumberFormat="1" applyFont="1" applyFill="1" applyProtection="1"/>
    <xf numFmtId="173" fontId="120" fillId="0" borderId="0" xfId="0" applyNumberFormat="1" applyFont="1" applyFill="1" applyAlignment="1" applyProtection="1">
      <alignment horizontal="center"/>
    </xf>
    <xf numFmtId="0" fontId="122" fillId="0" borderId="0" xfId="0" applyFont="1" applyFill="1" applyAlignment="1" applyProtection="1">
      <alignment horizontal="center"/>
    </xf>
    <xf numFmtId="173" fontId="120" fillId="0" borderId="0" xfId="88" applyNumberFormat="1" applyFont="1" applyFill="1" applyProtection="1"/>
    <xf numFmtId="176" fontId="120" fillId="0" borderId="0" xfId="0" applyNumberFormat="1" applyFont="1" applyFill="1" applyProtection="1"/>
    <xf numFmtId="0" fontId="120" fillId="0" borderId="0" xfId="0" applyNumberFormat="1" applyFont="1" applyFill="1" applyProtection="1"/>
    <xf numFmtId="173" fontId="120" fillId="0" borderId="11" xfId="88" applyNumberFormat="1" applyFont="1" applyFill="1" applyBorder="1" applyProtection="1"/>
    <xf numFmtId="173" fontId="121" fillId="0" borderId="0" xfId="88" applyNumberFormat="1" applyFont="1" applyFill="1" applyProtection="1"/>
    <xf numFmtId="173" fontId="121" fillId="0" borderId="0" xfId="88" applyNumberFormat="1" applyFont="1" applyFill="1" applyAlignment="1" applyProtection="1">
      <alignment horizontal="center"/>
    </xf>
    <xf numFmtId="0" fontId="122" fillId="0" borderId="0" xfId="0" applyFont="1" applyFill="1" applyProtection="1"/>
    <xf numFmtId="173" fontId="121" fillId="0" borderId="0" xfId="0" applyNumberFormat="1" applyFont="1" applyFill="1" applyProtection="1"/>
    <xf numFmtId="196" fontId="7" fillId="0" borderId="0" xfId="0" applyNumberFormat="1" applyFont="1" applyFill="1" applyProtection="1"/>
    <xf numFmtId="173" fontId="7" fillId="0" borderId="0" xfId="88" applyNumberFormat="1" applyFont="1" applyFill="1" applyProtection="1"/>
    <xf numFmtId="173" fontId="7" fillId="0" borderId="0" xfId="119" applyNumberFormat="1" applyFont="1" applyFill="1" applyProtection="1"/>
    <xf numFmtId="0" fontId="0" fillId="0" borderId="0" xfId="0" applyFill="1" applyAlignment="1" applyProtection="1">
      <alignment horizontal="left"/>
    </xf>
    <xf numFmtId="0" fontId="21" fillId="32" borderId="0" xfId="86" applyNumberFormat="1" applyFont="1" applyFill="1" applyAlignment="1" applyProtection="1">
      <protection locked="0"/>
    </xf>
    <xf numFmtId="173" fontId="21" fillId="32" borderId="0" xfId="86" applyNumberFormat="1" applyFont="1" applyFill="1" applyAlignment="1" applyProtection="1">
      <alignment horizontal="right"/>
      <protection locked="0"/>
    </xf>
    <xf numFmtId="41" fontId="21" fillId="32" borderId="0" xfId="263" applyNumberFormat="1" applyFont="1" applyFill="1" applyAlignment="1" applyProtection="1">
      <protection locked="0"/>
    </xf>
    <xf numFmtId="41" fontId="21" fillId="32" borderId="6" xfId="263" applyNumberFormat="1" applyFont="1" applyFill="1" applyBorder="1" applyAlignment="1" applyProtection="1">
      <protection locked="0"/>
    </xf>
    <xf numFmtId="3" fontId="21" fillId="32" borderId="0" xfId="263" applyNumberFormat="1" applyFont="1" applyFill="1" applyAlignment="1" applyProtection="1">
      <protection locked="0"/>
    </xf>
    <xf numFmtId="3" fontId="21" fillId="32" borderId="6" xfId="263" applyNumberFormat="1" applyFont="1" applyFill="1" applyBorder="1" applyAlignment="1" applyProtection="1">
      <protection locked="0"/>
    </xf>
    <xf numFmtId="10" fontId="21" fillId="32" borderId="0" xfId="272" applyNumberFormat="1" applyFont="1" applyFill="1" applyAlignment="1" applyProtection="1">
      <protection locked="0"/>
    </xf>
    <xf numFmtId="173" fontId="10" fillId="32" borderId="0" xfId="89" applyNumberFormat="1" applyFont="1" applyFill="1" applyBorder="1" applyAlignment="1" applyProtection="1">
      <alignment horizontal="right"/>
      <protection locked="0"/>
    </xf>
    <xf numFmtId="0" fontId="34" fillId="32" borderId="0" xfId="214" applyFont="1" applyFill="1" applyBorder="1" applyProtection="1">
      <protection locked="0"/>
    </xf>
    <xf numFmtId="173" fontId="10" fillId="32" borderId="11" xfId="89" applyNumberFormat="1" applyFont="1" applyFill="1" applyBorder="1" applyAlignment="1" applyProtection="1">
      <alignment horizontal="right"/>
      <protection locked="0"/>
    </xf>
    <xf numFmtId="41" fontId="10" fillId="32" borderId="0" xfId="253" applyNumberFormat="1" applyFont="1" applyFill="1" applyProtection="1">
      <protection locked="0"/>
    </xf>
    <xf numFmtId="41" fontId="10" fillId="32" borderId="11" xfId="253" applyNumberFormat="1" applyFont="1" applyFill="1" applyBorder="1" applyProtection="1">
      <protection locked="0"/>
    </xf>
    <xf numFmtId="37" fontId="10" fillId="32" borderId="0" xfId="0" applyNumberFormat="1" applyFont="1" applyFill="1" applyProtection="1">
      <protection locked="0"/>
    </xf>
    <xf numFmtId="3" fontId="65" fillId="32" borderId="0" xfId="0" applyNumberFormat="1" applyFont="1" applyFill="1" applyProtection="1">
      <protection locked="0"/>
    </xf>
    <xf numFmtId="3" fontId="124" fillId="32" borderId="0" xfId="0" applyNumberFormat="1" applyFont="1" applyFill="1" applyProtection="1">
      <protection locked="0"/>
    </xf>
    <xf numFmtId="37" fontId="124" fillId="32" borderId="0" xfId="0" applyNumberFormat="1" applyFont="1" applyFill="1" applyProtection="1">
      <protection locked="0"/>
    </xf>
    <xf numFmtId="1" fontId="65" fillId="32" borderId="0" xfId="0" applyNumberFormat="1" applyFont="1" applyFill="1" applyAlignment="1" applyProtection="1">
      <alignment horizontal="left"/>
      <protection locked="0"/>
    </xf>
    <xf numFmtId="38" fontId="65" fillId="0" borderId="15" xfId="0" applyNumberFormat="1" applyFont="1" applyFill="1" applyBorder="1"/>
    <xf numFmtId="173" fontId="0" fillId="0" borderId="0" xfId="0" applyNumberFormat="1" applyFill="1" applyProtection="1"/>
    <xf numFmtId="173" fontId="10" fillId="0" borderId="0" xfId="86" applyNumberFormat="1" applyFont="1" applyFill="1" applyProtection="1"/>
    <xf numFmtId="173" fontId="0" fillId="0" borderId="11" xfId="0" applyNumberFormat="1" applyFill="1" applyBorder="1" applyProtection="1"/>
    <xf numFmtId="173" fontId="10" fillId="32" borderId="0" xfId="116" applyNumberFormat="1" applyFont="1" applyFill="1" applyProtection="1">
      <protection locked="0"/>
    </xf>
    <xf numFmtId="0" fontId="21" fillId="32" borderId="0" xfId="253" applyFont="1" applyFill="1" applyAlignment="1" applyProtection="1">
      <alignment horizontal="center"/>
      <protection locked="0"/>
    </xf>
    <xf numFmtId="3" fontId="21" fillId="32" borderId="0" xfId="0" applyNumberFormat="1" applyFont="1" applyFill="1" applyAlignment="1" applyProtection="1">
      <protection locked="0"/>
    </xf>
    <xf numFmtId="41" fontId="21" fillId="32" borderId="0" xfId="253" applyNumberFormat="1" applyFont="1" applyFill="1" applyBorder="1" applyProtection="1">
      <protection locked="0"/>
    </xf>
    <xf numFmtId="38" fontId="10" fillId="32" borderId="0" xfId="0" applyNumberFormat="1" applyFont="1" applyFill="1" applyBorder="1" applyProtection="1">
      <protection locked="0"/>
    </xf>
    <xf numFmtId="37" fontId="10" fillId="32" borderId="0" xfId="0" applyNumberFormat="1" applyFont="1" applyFill="1" applyBorder="1" applyProtection="1">
      <protection locked="0"/>
    </xf>
    <xf numFmtId="10" fontId="21" fillId="32" borderId="0" xfId="0" applyNumberFormat="1" applyFont="1" applyFill="1" applyBorder="1" applyAlignment="1" applyProtection="1">
      <protection locked="0"/>
    </xf>
    <xf numFmtId="10" fontId="21" fillId="32" borderId="11" xfId="0" applyNumberFormat="1" applyFont="1" applyFill="1" applyBorder="1" applyAlignment="1" applyProtection="1">
      <protection locked="0"/>
    </xf>
    <xf numFmtId="173" fontId="79" fillId="32" borderId="0" xfId="264" applyNumberFormat="1" applyFont="1" applyFill="1" applyBorder="1" applyProtection="1">
      <protection locked="0"/>
    </xf>
    <xf numFmtId="0" fontId="73" fillId="32" borderId="0" xfId="264" applyFont="1" applyFill="1" applyAlignment="1" applyProtection="1">
      <alignment horizontal="center"/>
      <protection locked="0"/>
    </xf>
    <xf numFmtId="0" fontId="10" fillId="32" borderId="0" xfId="86" applyNumberFormat="1" applyFont="1" applyFill="1" applyAlignment="1" applyProtection="1">
      <protection locked="0"/>
    </xf>
    <xf numFmtId="173" fontId="4" fillId="32" borderId="6" xfId="263" applyNumberFormat="1" applyFont="1" applyFill="1" applyBorder="1" applyAlignment="1" applyProtection="1">
      <alignment horizontal="center"/>
      <protection locked="0"/>
    </xf>
    <xf numFmtId="0" fontId="21" fillId="32" borderId="0" xfId="86" applyNumberFormat="1" applyFont="1" applyFill="1" applyAlignment="1" applyProtection="1">
      <alignment horizontal="left"/>
      <protection locked="0"/>
    </xf>
    <xf numFmtId="173" fontId="154" fillId="32" borderId="18" xfId="86" applyNumberFormat="1" applyFont="1" applyFill="1" applyBorder="1" applyAlignment="1" applyProtection="1">
      <alignment horizontal="right"/>
      <protection locked="0"/>
    </xf>
    <xf numFmtId="0" fontId="154" fillId="32" borderId="18" xfId="0" applyFont="1" applyFill="1" applyBorder="1" applyAlignment="1" applyProtection="1">
      <alignment horizontal="right"/>
      <protection locked="0"/>
    </xf>
    <xf numFmtId="173" fontId="10" fillId="32" borderId="18" xfId="86" applyNumberFormat="1" applyFont="1" applyFill="1" applyBorder="1" applyAlignment="1" applyProtection="1">
      <alignment horizontal="right"/>
      <protection locked="0"/>
    </xf>
    <xf numFmtId="0" fontId="10" fillId="32" borderId="20" xfId="0" applyFont="1" applyFill="1" applyBorder="1" applyAlignment="1" applyProtection="1">
      <alignment horizontal="right"/>
      <protection locked="0"/>
    </xf>
    <xf numFmtId="173" fontId="10" fillId="32" borderId="18" xfId="0" applyNumberFormat="1" applyFont="1" applyFill="1" applyBorder="1" applyAlignment="1" applyProtection="1">
      <alignment horizontal="right"/>
      <protection locked="0"/>
    </xf>
    <xf numFmtId="174" fontId="10" fillId="32" borderId="26" xfId="0" applyNumberFormat="1" applyFont="1" applyFill="1" applyBorder="1" applyProtection="1">
      <protection locked="0"/>
    </xf>
    <xf numFmtId="174" fontId="10" fillId="32" borderId="27" xfId="0" applyNumberFormat="1" applyFont="1" applyFill="1" applyBorder="1" applyProtection="1">
      <protection locked="0"/>
    </xf>
    <xf numFmtId="174" fontId="10" fillId="32" borderId="28" xfId="0" applyNumberFormat="1" applyFont="1" applyFill="1" applyBorder="1" applyProtection="1">
      <protection locked="0"/>
    </xf>
    <xf numFmtId="174" fontId="14" fillId="32" borderId="0" xfId="0" applyNumberFormat="1" applyFont="1" applyFill="1" applyBorder="1" applyProtection="1">
      <protection locked="0"/>
    </xf>
    <xf numFmtId="174" fontId="14" fillId="32" borderId="6" xfId="0" applyNumberFormat="1" applyFont="1" applyFill="1" applyBorder="1" applyProtection="1">
      <protection locked="0"/>
    </xf>
    <xf numFmtId="0" fontId="10" fillId="32" borderId="18" xfId="0" applyFont="1" applyFill="1" applyBorder="1" applyAlignment="1" applyProtection="1">
      <alignment horizontal="right"/>
      <protection locked="0"/>
    </xf>
    <xf numFmtId="0" fontId="19" fillId="0" borderId="0" xfId="253" applyFont="1" applyAlignment="1">
      <alignment wrapText="1"/>
    </xf>
    <xf numFmtId="173" fontId="10" fillId="32" borderId="0" xfId="88" applyNumberFormat="1" applyFont="1" applyFill="1" applyBorder="1" applyProtection="1">
      <protection locked="0"/>
    </xf>
    <xf numFmtId="173" fontId="22" fillId="32" borderId="0" xfId="86" applyNumberFormat="1" applyFont="1" applyFill="1" applyProtection="1">
      <protection locked="0"/>
    </xf>
    <xf numFmtId="190" fontId="22" fillId="32" borderId="0" xfId="0" applyNumberFormat="1" applyFont="1" applyFill="1" applyProtection="1">
      <protection locked="0"/>
    </xf>
    <xf numFmtId="0" fontId="0" fillId="32" borderId="0" xfId="0" applyFill="1" applyAlignment="1" applyProtection="1">
      <alignment horizontal="center"/>
      <protection locked="0"/>
    </xf>
    <xf numFmtId="0" fontId="22" fillId="32" borderId="0" xfId="0" applyFont="1" applyFill="1" applyProtection="1">
      <protection locked="0"/>
    </xf>
    <xf numFmtId="170" fontId="120" fillId="32" borderId="28" xfId="0" applyNumberFormat="1" applyFont="1" applyFill="1" applyBorder="1" applyAlignment="1" applyProtection="1">
      <alignment horizontal="center"/>
      <protection locked="0"/>
    </xf>
    <xf numFmtId="176" fontId="120" fillId="32" borderId="0" xfId="273" applyNumberFormat="1" applyFont="1" applyFill="1" applyProtection="1">
      <protection locked="0"/>
    </xf>
    <xf numFmtId="198" fontId="155" fillId="31" borderId="0" xfId="0" applyNumberFormat="1" applyFont="1" applyFill="1" applyAlignment="1">
      <alignment horizontal="right"/>
    </xf>
    <xf numFmtId="41" fontId="10" fillId="32" borderId="0" xfId="254" applyNumberFormat="1" applyFont="1" applyFill="1"/>
    <xf numFmtId="41" fontId="10" fillId="32" borderId="11" xfId="254" applyNumberFormat="1" applyFont="1" applyFill="1" applyBorder="1"/>
    <xf numFmtId="41" fontId="10" fillId="32" borderId="0" xfId="254" applyNumberFormat="1" applyFont="1" applyFill="1"/>
    <xf numFmtId="41" fontId="10" fillId="32" borderId="11" xfId="254" applyNumberFormat="1" applyFont="1" applyFill="1" applyBorder="1"/>
    <xf numFmtId="41" fontId="10" fillId="32" borderId="11" xfId="254" applyNumberFormat="1" applyFont="1" applyFill="1" applyBorder="1"/>
    <xf numFmtId="41" fontId="10" fillId="32" borderId="0" xfId="254" applyNumberFormat="1" applyFont="1" applyFill="1"/>
    <xf numFmtId="41" fontId="10" fillId="32" borderId="11" xfId="254" applyNumberFormat="1" applyFont="1" applyFill="1" applyBorder="1"/>
    <xf numFmtId="41" fontId="10" fillId="32" borderId="0" xfId="254" applyNumberFormat="1" applyFont="1" applyFill="1"/>
    <xf numFmtId="41" fontId="10" fillId="32" borderId="11" xfId="254" applyNumberFormat="1" applyFont="1" applyFill="1" applyBorder="1"/>
    <xf numFmtId="41" fontId="10" fillId="32" borderId="11" xfId="254" applyNumberFormat="1" applyFont="1" applyFill="1" applyBorder="1"/>
    <xf numFmtId="41" fontId="10" fillId="32" borderId="0" xfId="254" applyNumberFormat="1" applyFont="1" applyFill="1"/>
    <xf numFmtId="41" fontId="10" fillId="32" borderId="11" xfId="254" applyNumberFormat="1" applyFont="1" applyFill="1" applyBorder="1"/>
    <xf numFmtId="173" fontId="10" fillId="0" borderId="0" xfId="116" applyNumberFormat="1" applyFont="1" applyFill="1" applyProtection="1">
      <protection locked="0"/>
    </xf>
    <xf numFmtId="0" fontId="128" fillId="0" borderId="0" xfId="0" applyFont="1" applyAlignment="1">
      <alignment vertical="center"/>
    </xf>
    <xf numFmtId="0" fontId="81" fillId="0" borderId="0" xfId="214" applyNumberFormat="1" applyFont="1" applyFill="1" applyBorder="1" applyAlignment="1">
      <alignment horizontal="center"/>
    </xf>
    <xf numFmtId="173" fontId="79" fillId="0" borderId="0" xfId="264" applyNumberFormat="1" applyFont="1" applyFill="1" applyBorder="1" applyProtection="1">
      <protection locked="0"/>
    </xf>
    <xf numFmtId="0" fontId="73" fillId="0" borderId="0" xfId="264" applyFont="1" applyFill="1" applyAlignment="1" applyProtection="1">
      <alignment horizontal="center"/>
      <protection locked="0"/>
    </xf>
    <xf numFmtId="0" fontId="129" fillId="0" borderId="0" xfId="0" applyNumberFormat="1" applyFont="1" applyAlignment="1">
      <alignment horizontal="center"/>
    </xf>
    <xf numFmtId="172" fontId="14" fillId="0" borderId="0" xfId="259" applyFont="1" applyAlignment="1"/>
    <xf numFmtId="173" fontId="14" fillId="0" borderId="0" xfId="0" applyNumberFormat="1" applyFont="1" applyAlignment="1"/>
    <xf numFmtId="0" fontId="14" fillId="0" borderId="0" xfId="266" applyFont="1"/>
    <xf numFmtId="0" fontId="14" fillId="0" borderId="0" xfId="0" applyNumberFormat="1" applyFont="1" applyAlignment="1">
      <alignment horizontal="center"/>
    </xf>
    <xf numFmtId="173" fontId="14" fillId="0" borderId="31" xfId="88" applyNumberFormat="1" applyFont="1" applyBorder="1"/>
    <xf numFmtId="173" fontId="14" fillId="0" borderId="14" xfId="88" applyNumberFormat="1" applyFont="1" applyBorder="1"/>
    <xf numFmtId="173" fontId="14" fillId="0" borderId="32" xfId="88" applyNumberFormat="1" applyFont="1" applyBorder="1"/>
    <xf numFmtId="0" fontId="14" fillId="0" borderId="14" xfId="0" applyNumberFormat="1" applyFont="1" applyBorder="1" applyAlignment="1">
      <alignment horizontal="center"/>
    </xf>
    <xf numFmtId="173" fontId="10" fillId="32" borderId="33" xfId="89" applyNumberFormat="1" applyFont="1" applyFill="1" applyBorder="1" applyAlignment="1">
      <alignment horizontal="right"/>
    </xf>
    <xf numFmtId="173" fontId="10" fillId="32" borderId="0" xfId="89" applyNumberFormat="1" applyFont="1" applyFill="1" applyBorder="1" applyAlignment="1">
      <alignment horizontal="right"/>
    </xf>
    <xf numFmtId="173" fontId="10" fillId="32" borderId="34" xfId="89" applyNumberFormat="1" applyFont="1" applyFill="1" applyBorder="1" applyAlignment="1">
      <alignment horizontal="right"/>
    </xf>
    <xf numFmtId="0" fontId="14" fillId="0" borderId="11" xfId="266" applyFont="1" applyBorder="1"/>
    <xf numFmtId="0" fontId="14" fillId="0" borderId="35" xfId="0" applyNumberFormat="1" applyFont="1" applyBorder="1" applyAlignment="1">
      <alignment horizontal="center"/>
    </xf>
    <xf numFmtId="0" fontId="14" fillId="0" borderId="0" xfId="266" applyFont="1" applyBorder="1"/>
    <xf numFmtId="0" fontId="14" fillId="0" borderId="34" xfId="0" applyNumberFormat="1" applyFont="1" applyBorder="1" applyAlignment="1">
      <alignment horizontal="center"/>
    </xf>
    <xf numFmtId="0" fontId="14" fillId="0" borderId="0" xfId="266" quotePrefix="1" applyFont="1" applyBorder="1" applyAlignment="1">
      <alignment horizontal="left"/>
    </xf>
    <xf numFmtId="173" fontId="10" fillId="32" borderId="36" xfId="89" applyNumberFormat="1" applyFont="1" applyFill="1" applyBorder="1" applyAlignment="1">
      <alignment horizontal="right"/>
    </xf>
    <xf numFmtId="0" fontId="129" fillId="0" borderId="0" xfId="0" applyFont="1" applyAlignment="1"/>
    <xf numFmtId="3" fontId="14" fillId="0" borderId="37" xfId="214" applyNumberFormat="1" applyFont="1" applyFill="1" applyBorder="1" applyAlignment="1">
      <alignment horizontal="center" wrapText="1"/>
    </xf>
    <xf numFmtId="3" fontId="14" fillId="0" borderId="11" xfId="214" applyNumberFormat="1" applyFont="1" applyFill="1" applyBorder="1" applyAlignment="1">
      <alignment horizontal="center" wrapText="1"/>
    </xf>
    <xf numFmtId="3" fontId="14" fillId="0" borderId="35" xfId="214" applyNumberFormat="1" applyFont="1" applyFill="1" applyBorder="1" applyAlignment="1">
      <alignment horizontal="center" wrapText="1"/>
    </xf>
    <xf numFmtId="0" fontId="11" fillId="0" borderId="0" xfId="266" applyFont="1" applyBorder="1" applyAlignment="1">
      <alignment horizontal="center"/>
    </xf>
    <xf numFmtId="0" fontId="11" fillId="0" borderId="33" xfId="266" applyFont="1" applyBorder="1" applyAlignment="1">
      <alignment horizontal="center"/>
    </xf>
    <xf numFmtId="0" fontId="11" fillId="0" borderId="34" xfId="266" applyFont="1" applyBorder="1" applyAlignment="1">
      <alignment horizontal="center"/>
    </xf>
    <xf numFmtId="0" fontId="11" fillId="0" borderId="33" xfId="266" applyFont="1" applyBorder="1" applyAlignment="1">
      <alignment horizontal="center" wrapText="1"/>
    </xf>
    <xf numFmtId="0" fontId="11" fillId="0" borderId="0" xfId="266" applyFont="1" applyBorder="1" applyAlignment="1">
      <alignment horizontal="center" wrapText="1"/>
    </xf>
    <xf numFmtId="0" fontId="11" fillId="0" borderId="34" xfId="266" applyFont="1" applyBorder="1" applyAlignment="1">
      <alignment horizontal="center" wrapText="1"/>
    </xf>
    <xf numFmtId="0" fontId="14" fillId="0" borderId="34" xfId="0" applyNumberFormat="1" applyFont="1" applyBorder="1" applyAlignment="1">
      <alignment horizontal="center" wrapText="1"/>
    </xf>
    <xf numFmtId="0" fontId="14" fillId="0" borderId="38" xfId="0" applyFont="1" applyBorder="1" applyAlignment="1"/>
    <xf numFmtId="0" fontId="14" fillId="0" borderId="2" xfId="0" applyFont="1" applyBorder="1" applyAlignment="1"/>
    <xf numFmtId="0" fontId="14" fillId="0" borderId="36" xfId="0" applyFont="1" applyBorder="1" applyAlignment="1"/>
    <xf numFmtId="0" fontId="11" fillId="0" borderId="2" xfId="266" applyFont="1" applyBorder="1" applyAlignment="1">
      <alignment horizontal="centerContinuous" wrapText="1"/>
    </xf>
    <xf numFmtId="0" fontId="14" fillId="0" borderId="36" xfId="0" applyNumberFormat="1" applyFont="1" applyBorder="1" applyAlignment="1">
      <alignment horizontal="center"/>
    </xf>
    <xf numFmtId="37" fontId="14" fillId="0" borderId="0" xfId="266" applyNumberFormat="1" applyFont="1"/>
    <xf numFmtId="173" fontId="14" fillId="0" borderId="31" xfId="89" applyNumberFormat="1" applyFont="1" applyBorder="1"/>
    <xf numFmtId="173" fontId="14" fillId="0" borderId="14" xfId="89" applyNumberFormat="1" applyFont="1" applyBorder="1"/>
    <xf numFmtId="0" fontId="14" fillId="0" borderId="39" xfId="266" applyFont="1" applyBorder="1" applyAlignment="1">
      <alignment horizontal="right"/>
    </xf>
    <xf numFmtId="0" fontId="14" fillId="0" borderId="40" xfId="0" applyNumberFormat="1" applyFont="1" applyBorder="1" applyAlignment="1">
      <alignment horizontal="center"/>
    </xf>
    <xf numFmtId="173" fontId="10" fillId="32" borderId="37" xfId="89" applyNumberFormat="1" applyFont="1" applyFill="1" applyBorder="1" applyAlignment="1">
      <alignment horizontal="right"/>
    </xf>
    <xf numFmtId="0" fontId="14" fillId="0" borderId="37" xfId="266" applyFont="1" applyBorder="1"/>
    <xf numFmtId="0" fontId="14" fillId="0" borderId="33" xfId="266" applyFont="1" applyBorder="1"/>
    <xf numFmtId="0" fontId="14" fillId="0" borderId="33" xfId="266" quotePrefix="1" applyFont="1" applyBorder="1" applyAlignment="1">
      <alignment horizontal="left"/>
    </xf>
    <xf numFmtId="173" fontId="10" fillId="32" borderId="38" xfId="89" applyNumberFormat="1" applyFont="1" applyFill="1" applyBorder="1" applyAlignment="1">
      <alignment horizontal="right"/>
    </xf>
    <xf numFmtId="3" fontId="26" fillId="0" borderId="37" xfId="214" applyNumberFormat="1" applyFont="1" applyFill="1" applyBorder="1" applyAlignment="1">
      <alignment horizontal="center" wrapText="1"/>
    </xf>
    <xf numFmtId="3" fontId="26" fillId="0" borderId="11" xfId="214" applyNumberFormat="1" applyFont="1" applyFill="1" applyBorder="1" applyAlignment="1">
      <alignment horizontal="center" wrapText="1"/>
    </xf>
    <xf numFmtId="0" fontId="11" fillId="0" borderId="33" xfId="252" applyFont="1" applyFill="1" applyBorder="1" applyAlignment="1">
      <alignment horizontal="center" wrapText="1"/>
    </xf>
    <xf numFmtId="0" fontId="14" fillId="0" borderId="0" xfId="0" applyFont="1" applyAlignment="1">
      <alignment wrapText="1"/>
    </xf>
    <xf numFmtId="0" fontId="11" fillId="0" borderId="38" xfId="266" applyFont="1" applyBorder="1" applyAlignment="1">
      <alignment horizontal="center" wrapText="1"/>
    </xf>
    <xf numFmtId="0" fontId="14" fillId="0" borderId="36" xfId="0" applyNumberFormat="1" applyFont="1" applyBorder="1" applyAlignment="1">
      <alignment horizontal="center" wrapText="1"/>
    </xf>
    <xf numFmtId="0" fontId="11" fillId="0" borderId="0" xfId="266" applyFont="1" applyAlignment="1">
      <alignment horizontal="centerContinuous"/>
    </xf>
    <xf numFmtId="0" fontId="14" fillId="0" borderId="0" xfId="192" applyFont="1"/>
    <xf numFmtId="0" fontId="11" fillId="0" borderId="0" xfId="266" applyFont="1" applyAlignment="1">
      <alignment horizontal="center"/>
    </xf>
    <xf numFmtId="0" fontId="14" fillId="0" borderId="0" xfId="266" applyFont="1" applyFill="1" applyAlignment="1">
      <alignment horizontal="left"/>
    </xf>
    <xf numFmtId="0" fontId="14" fillId="0" borderId="0" xfId="0" applyFont="1" applyAlignment="1">
      <alignment horizontal="right"/>
    </xf>
    <xf numFmtId="0" fontId="14" fillId="0" borderId="0" xfId="214" applyFont="1" applyFill="1" applyBorder="1" applyAlignment="1">
      <alignment horizontal="left"/>
    </xf>
    <xf numFmtId="0" fontId="19" fillId="0" borderId="0" xfId="214" applyFont="1" applyBorder="1" applyAlignment="1">
      <alignment horizontal="center" vertical="center"/>
    </xf>
    <xf numFmtId="0" fontId="19" fillId="0" borderId="0" xfId="253" applyFont="1" applyAlignment="1">
      <alignment horizontal="center" vertical="center" wrapText="1"/>
    </xf>
    <xf numFmtId="0" fontId="19" fillId="0" borderId="0" xfId="214" quotePrefix="1" applyFont="1" applyBorder="1" applyAlignment="1">
      <alignment horizontal="center" vertical="center" wrapText="1"/>
    </xf>
    <xf numFmtId="0" fontId="19" fillId="0" borderId="0" xfId="214"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5" fillId="0" borderId="0" xfId="86" applyNumberFormat="1" applyFont="1" applyFill="1" applyAlignment="1" applyProtection="1">
      <alignment horizontal="left"/>
      <protection locked="0"/>
    </xf>
    <xf numFmtId="173" fontId="65" fillId="0" borderId="11" xfId="86" applyNumberFormat="1" applyFont="1" applyFill="1" applyBorder="1" applyAlignment="1" applyProtection="1">
      <alignment horizontal="left"/>
      <protection locked="0"/>
    </xf>
    <xf numFmtId="0" fontId="17" fillId="0" borderId="0" xfId="0" applyFont="1" applyAlignment="1"/>
    <xf numFmtId="0" fontId="17" fillId="0" borderId="0" xfId="0" applyNumberFormat="1" applyFont="1" applyAlignment="1">
      <alignment horizontal="center"/>
    </xf>
    <xf numFmtId="0" fontId="17" fillId="0" borderId="0" xfId="0" applyFont="1" applyAlignment="1">
      <alignment horizontal="right"/>
    </xf>
    <xf numFmtId="0" fontId="94" fillId="0" borderId="0" xfId="266" applyFont="1" applyAlignment="1">
      <alignment horizontal="centerContinuous"/>
    </xf>
    <xf numFmtId="0" fontId="17" fillId="0" borderId="0" xfId="266" applyFont="1" applyFill="1" applyAlignment="1">
      <alignment horizontal="left"/>
    </xf>
    <xf numFmtId="0" fontId="94" fillId="0" borderId="0" xfId="266" applyFont="1" applyAlignment="1">
      <alignment horizontal="center"/>
    </xf>
    <xf numFmtId="0" fontId="11" fillId="0" borderId="41" xfId="266" applyFont="1" applyBorder="1" applyAlignment="1">
      <alignment horizontal="center" wrapText="1"/>
    </xf>
    <xf numFmtId="0" fontId="17" fillId="0" borderId="0" xfId="0" applyFont="1" applyAlignment="1">
      <alignment wrapText="1"/>
    </xf>
    <xf numFmtId="0" fontId="11" fillId="0" borderId="10" xfId="266" applyFont="1" applyBorder="1" applyAlignment="1">
      <alignment horizontal="center"/>
    </xf>
    <xf numFmtId="0" fontId="130" fillId="0" borderId="0" xfId="0" applyFont="1" applyAlignment="1"/>
    <xf numFmtId="3" fontId="26" fillId="0" borderId="35" xfId="214" applyNumberFormat="1" applyFont="1" applyFill="1" applyBorder="1" applyAlignment="1">
      <alignment horizontal="center" wrapText="1"/>
    </xf>
    <xf numFmtId="3" fontId="26" fillId="0" borderId="42" xfId="214" applyNumberFormat="1" applyFont="1" applyFill="1" applyBorder="1" applyAlignment="1">
      <alignment wrapText="1"/>
    </xf>
    <xf numFmtId="173" fontId="10" fillId="30" borderId="0" xfId="110" applyNumberFormat="1" applyFont="1" applyFill="1" applyAlignment="1" applyProtection="1">
      <protection locked="0"/>
    </xf>
    <xf numFmtId="41" fontId="14" fillId="0" borderId="10" xfId="266" applyNumberFormat="1" applyFont="1" applyFill="1" applyBorder="1"/>
    <xf numFmtId="173" fontId="14" fillId="0" borderId="43" xfId="88" applyNumberFormat="1" applyFont="1" applyBorder="1"/>
    <xf numFmtId="3" fontId="26" fillId="0" borderId="42" xfId="214" applyNumberFormat="1" applyFont="1" applyFill="1" applyBorder="1" applyAlignment="1">
      <alignment horizontal="center" wrapText="1"/>
    </xf>
    <xf numFmtId="0" fontId="17" fillId="0" borderId="0" xfId="266" applyFont="1"/>
    <xf numFmtId="37" fontId="17" fillId="0" borderId="0" xfId="266" applyNumberFormat="1" applyFont="1"/>
    <xf numFmtId="172" fontId="17" fillId="0" borderId="0" xfId="259" applyFont="1" applyAlignment="1"/>
    <xf numFmtId="0" fontId="14" fillId="0" borderId="0" xfId="255" applyFont="1" applyFill="1" applyAlignment="1" applyProtection="1">
      <alignment vertical="top"/>
    </xf>
    <xf numFmtId="0" fontId="130" fillId="0" borderId="0" xfId="0" applyNumberFormat="1" applyFont="1" applyAlignment="1">
      <alignment horizontal="center"/>
    </xf>
    <xf numFmtId="0" fontId="93" fillId="0" borderId="0" xfId="256" applyFont="1" applyFill="1" applyProtection="1"/>
    <xf numFmtId="0" fontId="94" fillId="0" borderId="0" xfId="0" applyFont="1" applyAlignment="1">
      <alignment horizontal="center"/>
    </xf>
    <xf numFmtId="0" fontId="94" fillId="0" borderId="0" xfId="0" quotePrefix="1" applyFont="1" applyAlignment="1">
      <alignment horizontal="center"/>
    </xf>
    <xf numFmtId="0" fontId="11" fillId="0" borderId="0" xfId="256" applyFont="1" applyFill="1" applyAlignment="1" applyProtection="1">
      <alignment horizontal="left"/>
    </xf>
    <xf numFmtId="173" fontId="14" fillId="0" borderId="0" xfId="88" applyNumberFormat="1" applyFont="1" applyFill="1" applyProtection="1"/>
    <xf numFmtId="0" fontId="14" fillId="0" borderId="0" xfId="256" applyFont="1" applyFill="1" applyProtection="1"/>
    <xf numFmtId="0" fontId="14" fillId="0" borderId="0" xfId="186"/>
    <xf numFmtId="0" fontId="14" fillId="0" borderId="0" xfId="256" applyFont="1" applyFill="1" applyAlignment="1" applyProtection="1">
      <alignment horizontal="left"/>
    </xf>
    <xf numFmtId="173" fontId="10" fillId="32" borderId="0" xfId="88" applyNumberFormat="1" applyFont="1" applyFill="1" applyProtection="1">
      <protection locked="0"/>
    </xf>
    <xf numFmtId="0" fontId="14" fillId="0" borderId="0" xfId="255" applyFont="1" applyFill="1" applyAlignment="1" applyProtection="1">
      <alignment horizontal="left"/>
    </xf>
    <xf numFmtId="173" fontId="10" fillId="0" borderId="0" xfId="88" applyNumberFormat="1" applyFont="1" applyFill="1" applyProtection="1">
      <protection locked="0"/>
    </xf>
    <xf numFmtId="0" fontId="14" fillId="0" borderId="0" xfId="186" applyProtection="1"/>
    <xf numFmtId="10" fontId="14" fillId="0" borderId="0" xfId="273" applyNumberFormat="1" applyFont="1" applyFill="1" applyBorder="1" applyProtection="1"/>
    <xf numFmtId="173" fontId="10" fillId="30" borderId="6" xfId="88" applyNumberFormat="1" applyFont="1" applyFill="1" applyBorder="1" applyAlignment="1" applyProtection="1">
      <protection locked="0"/>
    </xf>
    <xf numFmtId="10" fontId="11" fillId="0" borderId="0" xfId="273" applyNumberFormat="1" applyFont="1" applyFill="1" applyBorder="1" applyProtection="1"/>
    <xf numFmtId="0" fontId="11" fillId="0" borderId="0" xfId="256" applyFont="1" applyFill="1" applyProtection="1"/>
    <xf numFmtId="173" fontId="14" fillId="0" borderId="0" xfId="273" applyNumberFormat="1" applyFont="1" applyFill="1" applyBorder="1" applyProtection="1"/>
    <xf numFmtId="10" fontId="11" fillId="0" borderId="44" xfId="273" applyNumberFormat="1" applyFont="1" applyFill="1" applyBorder="1" applyProtection="1"/>
    <xf numFmtId="0" fontId="102" fillId="0" borderId="0" xfId="186" applyFont="1" applyAlignment="1" applyProtection="1">
      <alignment horizontal="center"/>
    </xf>
    <xf numFmtId="0" fontId="17" fillId="0" borderId="0" xfId="256" applyFont="1" applyFill="1" applyProtection="1"/>
    <xf numFmtId="0" fontId="17" fillId="0" borderId="0" xfId="256" applyFont="1" applyProtection="1"/>
    <xf numFmtId="41" fontId="11" fillId="0" borderId="0" xfId="256" applyNumberFormat="1" applyFont="1" applyFill="1" applyBorder="1" applyAlignment="1" applyProtection="1">
      <alignment horizontal="center" wrapText="1"/>
    </xf>
    <xf numFmtId="0" fontId="11" fillId="0" borderId="0" xfId="256" applyFont="1" applyFill="1" applyAlignment="1" applyProtection="1">
      <alignment horizontal="center" wrapText="1"/>
    </xf>
    <xf numFmtId="0" fontId="10" fillId="32" borderId="0" xfId="256" applyFont="1" applyFill="1" applyProtection="1">
      <protection locked="0"/>
    </xf>
    <xf numFmtId="173" fontId="17" fillId="0" borderId="0" xfId="256" applyNumberFormat="1" applyFont="1" applyFill="1" applyProtection="1"/>
    <xf numFmtId="197" fontId="10" fillId="32" borderId="0" xfId="256" applyNumberFormat="1" applyFont="1" applyFill="1" applyProtection="1">
      <protection locked="0"/>
    </xf>
    <xf numFmtId="37" fontId="10" fillId="32" borderId="0" xfId="256" applyNumberFormat="1" applyFont="1" applyFill="1" applyProtection="1">
      <protection locked="0"/>
    </xf>
    <xf numFmtId="173" fontId="10" fillId="32" borderId="0" xfId="256" applyNumberFormat="1" applyFont="1" applyFill="1" applyProtection="1">
      <protection locked="0"/>
    </xf>
    <xf numFmtId="0" fontId="84" fillId="32" borderId="0" xfId="256" applyFont="1" applyFill="1" applyProtection="1">
      <protection locked="0"/>
    </xf>
    <xf numFmtId="0" fontId="14" fillId="0" borderId="11" xfId="0" applyFont="1" applyBorder="1" applyProtection="1"/>
    <xf numFmtId="0" fontId="17" fillId="0" borderId="11" xfId="256" applyFont="1" applyFill="1" applyBorder="1" applyProtection="1"/>
    <xf numFmtId="0" fontId="14" fillId="31" borderId="0" xfId="256" applyFont="1" applyFill="1" applyAlignment="1" applyProtection="1">
      <alignment horizontal="left"/>
    </xf>
    <xf numFmtId="41" fontId="14" fillId="0" borderId="0" xfId="273" applyNumberFormat="1" applyFont="1" applyFill="1" applyBorder="1" applyProtection="1"/>
    <xf numFmtId="173" fontId="17" fillId="0" borderId="0" xfId="256" applyNumberFormat="1" applyFont="1" applyProtection="1"/>
    <xf numFmtId="186" fontId="14" fillId="0" borderId="0" xfId="88" applyNumberFormat="1" applyFont="1" applyFill="1" applyBorder="1" applyProtection="1"/>
    <xf numFmtId="10" fontId="17" fillId="0" borderId="0" xfId="273" applyNumberFormat="1" applyFont="1" applyFill="1" applyProtection="1"/>
    <xf numFmtId="173" fontId="14" fillId="0" borderId="0" xfId="88" applyNumberFormat="1" applyFont="1" applyFill="1" applyBorder="1" applyProtection="1"/>
    <xf numFmtId="173" fontId="11" fillId="0" borderId="44" xfId="88" applyNumberFormat="1" applyFont="1" applyFill="1" applyBorder="1" applyProtection="1"/>
    <xf numFmtId="0" fontId="93" fillId="0" borderId="0" xfId="256" applyFont="1" applyFill="1" applyAlignment="1" applyProtection="1">
      <alignment horizontal="left"/>
    </xf>
    <xf numFmtId="0" fontId="17" fillId="0" borderId="0" xfId="256" applyFont="1" applyFill="1" applyAlignment="1" applyProtection="1">
      <alignment horizontal="left"/>
    </xf>
    <xf numFmtId="0" fontId="19" fillId="0" borderId="0" xfId="256" applyFont="1" applyFill="1" applyAlignment="1" applyProtection="1">
      <alignment horizontal="left"/>
    </xf>
    <xf numFmtId="0" fontId="19" fillId="0" borderId="0" xfId="256" applyFont="1" applyFill="1" applyAlignment="1" applyProtection="1">
      <alignment horizontal="center" wrapText="1"/>
    </xf>
    <xf numFmtId="0" fontId="14" fillId="0" borderId="0" xfId="256" applyFill="1" applyProtection="1"/>
    <xf numFmtId="164" fontId="10" fillId="32" borderId="0" xfId="273" applyNumberFormat="1" applyFont="1" applyFill="1" applyAlignment="1" applyProtection="1">
      <alignment horizontal="right" wrapText="1"/>
      <protection locked="0"/>
    </xf>
    <xf numFmtId="44" fontId="10" fillId="32" borderId="0" xfId="119" applyFont="1" applyFill="1" applyAlignment="1" applyProtection="1">
      <alignment horizontal="right" wrapText="1"/>
      <protection locked="0"/>
    </xf>
    <xf numFmtId="41" fontId="10" fillId="0" borderId="0" xfId="256" applyNumberFormat="1" applyFont="1" applyFill="1" applyBorder="1" applyProtection="1"/>
    <xf numFmtId="173" fontId="14" fillId="0" borderId="0" xfId="88" applyNumberFormat="1" applyFill="1" applyProtection="1"/>
    <xf numFmtId="41" fontId="14" fillId="0" borderId="0" xfId="0" applyNumberFormat="1" applyFont="1" applyFill="1" applyProtection="1"/>
    <xf numFmtId="41" fontId="14" fillId="0" borderId="0" xfId="256" applyNumberFormat="1" applyFill="1" applyBorder="1" applyProtection="1"/>
    <xf numFmtId="41" fontId="94" fillId="0" borderId="0" xfId="256" applyNumberFormat="1" applyFont="1" applyFill="1" applyProtection="1"/>
    <xf numFmtId="41" fontId="14" fillId="0" borderId="12" xfId="256" applyNumberFormat="1" applyFont="1" applyFill="1" applyBorder="1" applyProtection="1"/>
    <xf numFmtId="41" fontId="11" fillId="0" borderId="41" xfId="256" applyNumberFormat="1" applyFont="1" applyFill="1" applyBorder="1" applyProtection="1"/>
    <xf numFmtId="0" fontId="11" fillId="0" borderId="0" xfId="256" applyFont="1" applyFill="1" applyBorder="1" applyProtection="1"/>
    <xf numFmtId="0" fontId="11"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5" fillId="0" borderId="0" xfId="0" applyFont="1" applyFill="1" applyAlignment="1">
      <alignment horizontal="center"/>
    </xf>
    <xf numFmtId="3" fontId="0" fillId="0" borderId="0" xfId="0" applyNumberFormat="1" applyFont="1" applyFill="1" applyAlignment="1">
      <alignment horizontal="centerContinuous"/>
    </xf>
    <xf numFmtId="3" fontId="15" fillId="0" borderId="0" xfId="0" applyNumberFormat="1" applyFont="1" applyFill="1" applyAlignment="1">
      <alignment horizontal="centerContinuous"/>
    </xf>
    <xf numFmtId="3" fontId="0" fillId="0" borderId="0" xfId="0" applyNumberForma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3"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4" borderId="0" xfId="0" applyNumberFormat="1" applyFont="1" applyFill="1" applyAlignment="1"/>
    <xf numFmtId="37" fontId="0" fillId="0" borderId="0" xfId="0" applyNumberFormat="1" applyFill="1" applyAlignment="1"/>
    <xf numFmtId="37" fontId="14" fillId="0" borderId="0" xfId="0" applyNumberFormat="1" applyFont="1" applyFill="1" applyAlignment="1"/>
    <xf numFmtId="37" fontId="0" fillId="0" borderId="47" xfId="0" applyNumberFormat="1" applyFont="1" applyFill="1" applyBorder="1" applyAlignment="1"/>
    <xf numFmtId="37" fontId="14"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5" fillId="0" borderId="0" xfId="0" applyFont="1" applyAlignment="1">
      <alignment horizontal="center"/>
    </xf>
    <xf numFmtId="3" fontId="0" fillId="0" borderId="0" xfId="0" applyNumberFormat="1" applyFont="1" applyAlignment="1">
      <alignment horizontal="centerContinuous"/>
    </xf>
    <xf numFmtId="3" fontId="15" fillId="0" borderId="0" xfId="0" applyNumberFormat="1" applyFont="1" applyAlignment="1">
      <alignment horizontal="centerContinuous"/>
    </xf>
    <xf numFmtId="0" fontId="0" fillId="0" borderId="0" xfId="0" applyFont="1" applyAlignment="1">
      <alignment horizontal="center"/>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56" fillId="0" borderId="46" xfId="0" applyNumberFormat="1" applyFont="1" applyFill="1" applyBorder="1" applyAlignment="1"/>
    <xf numFmtId="37" fontId="156" fillId="0" borderId="0" xfId="0" applyNumberFormat="1" applyFont="1" applyFill="1" applyAlignment="1"/>
    <xf numFmtId="187" fontId="14" fillId="0" borderId="0" xfId="253" applyNumberFormat="1" applyFont="1" applyFill="1"/>
    <xf numFmtId="3" fontId="14" fillId="0" borderId="0" xfId="0" applyNumberFormat="1" applyFont="1" applyFill="1" applyAlignment="1">
      <alignment horizontal="center"/>
    </xf>
    <xf numFmtId="4" fontId="14" fillId="0" borderId="0" xfId="0" applyNumberFormat="1" applyFont="1" applyFill="1" applyAlignment="1">
      <alignment horizontal="center"/>
    </xf>
    <xf numFmtId="0" fontId="157" fillId="0" borderId="0" xfId="263" applyNumberFormat="1" applyFont="1" applyFill="1" applyAlignment="1" applyProtection="1">
      <alignment horizontal="center"/>
    </xf>
    <xf numFmtId="172" fontId="158" fillId="0" borderId="0" xfId="263" applyFont="1" applyFill="1" applyAlignment="1" applyProtection="1"/>
    <xf numFmtId="199" fontId="10" fillId="32" borderId="0" xfId="253" applyNumberFormat="1" applyFont="1" applyFill="1" applyProtection="1">
      <protection locked="0"/>
    </xf>
    <xf numFmtId="0" fontId="159" fillId="0" borderId="0" xfId="0" applyFont="1" applyFill="1" applyAlignment="1">
      <alignment horizontal="left"/>
    </xf>
    <xf numFmtId="10" fontId="73" fillId="32" borderId="0" xfId="272" applyNumberFormat="1" applyFont="1" applyFill="1" applyAlignment="1" applyProtection="1">
      <alignment horizontal="center"/>
      <protection locked="0"/>
    </xf>
    <xf numFmtId="10" fontId="73" fillId="32" borderId="0" xfId="264" applyNumberFormat="1" applyFont="1" applyFill="1" applyAlignment="1" applyProtection="1">
      <alignment horizontal="center"/>
      <protection locked="0"/>
    </xf>
    <xf numFmtId="173" fontId="20" fillId="0" borderId="0" xfId="264" applyNumberFormat="1" applyFont="1"/>
    <xf numFmtId="0" fontId="20" fillId="0" borderId="0" xfId="264" applyNumberFormat="1" applyFont="1" applyAlignment="1">
      <alignment horizontal="center" vertical="center"/>
    </xf>
    <xf numFmtId="0" fontId="20" fillId="0" borderId="0" xfId="264" applyNumberFormat="1" applyFont="1" applyAlignment="1">
      <alignment vertical="center"/>
    </xf>
    <xf numFmtId="0" fontId="73" fillId="0" borderId="0" xfId="264" applyFont="1" applyFill="1" applyAlignment="1">
      <alignment horizontal="center"/>
    </xf>
    <xf numFmtId="0" fontId="160" fillId="0" borderId="0" xfId="264" applyFont="1" applyFill="1" applyAlignment="1">
      <alignment horizontal="right"/>
    </xf>
    <xf numFmtId="173" fontId="160" fillId="0" borderId="0" xfId="264" applyNumberFormat="1" applyFont="1" applyFill="1"/>
    <xf numFmtId="0" fontId="20" fillId="0" borderId="0" xfId="264" applyFont="1" applyAlignment="1">
      <alignment horizontal="left" indent="2"/>
    </xf>
    <xf numFmtId="0" fontId="135" fillId="0" borderId="0" xfId="264" applyNumberFormat="1" applyFont="1" applyAlignment="1">
      <alignment horizontal="center"/>
    </xf>
    <xf numFmtId="0" fontId="135" fillId="0" borderId="0" xfId="264" applyNumberFormat="1" applyFont="1"/>
    <xf numFmtId="0" fontId="7" fillId="0" borderId="0" xfId="263" applyNumberFormat="1" applyFont="1" applyFill="1" applyAlignment="1" applyProtection="1">
      <alignment horizontal="left" wrapText="1"/>
    </xf>
    <xf numFmtId="0" fontId="161" fillId="0" borderId="11" xfId="264" applyNumberFormat="1" applyFont="1" applyFill="1" applyBorder="1" applyAlignment="1">
      <alignment horizontal="center"/>
    </xf>
    <xf numFmtId="0" fontId="161" fillId="0" borderId="2" xfId="264" applyNumberFormat="1" applyFont="1" applyFill="1" applyBorder="1" applyAlignment="1">
      <alignment horizontal="center"/>
    </xf>
    <xf numFmtId="0" fontId="76" fillId="0" borderId="0" xfId="264" applyFont="1" applyFill="1" applyAlignment="1">
      <alignment horizontal="center" vertical="center"/>
    </xf>
    <xf numFmtId="0" fontId="20" fillId="0" borderId="11" xfId="264" applyNumberFormat="1" applyFont="1" applyBorder="1" applyAlignment="1">
      <alignment horizontal="center"/>
    </xf>
    <xf numFmtId="0" fontId="20" fillId="0" borderId="11" xfId="264" applyNumberFormat="1" applyFont="1" applyBorder="1"/>
    <xf numFmtId="0" fontId="20" fillId="0" borderId="11" xfId="264" applyFont="1" applyBorder="1"/>
    <xf numFmtId="173" fontId="79" fillId="0" borderId="11" xfId="264" applyNumberFormat="1" applyFont="1" applyFill="1" applyBorder="1" applyProtection="1">
      <protection locked="0"/>
    </xf>
    <xf numFmtId="173" fontId="73" fillId="0" borderId="11" xfId="264" applyNumberFormat="1" applyFont="1" applyFill="1" applyBorder="1"/>
    <xf numFmtId="0" fontId="73" fillId="0" borderId="11" xfId="264" applyFont="1" applyFill="1" applyBorder="1" applyAlignment="1" applyProtection="1">
      <alignment horizontal="center"/>
      <protection locked="0"/>
    </xf>
    <xf numFmtId="173" fontId="73" fillId="0" borderId="11" xfId="86" applyNumberFormat="1" applyFont="1" applyFill="1" applyBorder="1" applyAlignment="1" applyProtection="1">
      <alignment horizontal="center"/>
      <protection locked="0"/>
    </xf>
    <xf numFmtId="0" fontId="136" fillId="0" borderId="0" xfId="263" applyNumberFormat="1" applyFont="1" applyFill="1" applyAlignment="1" applyProtection="1">
      <alignment horizontal="center"/>
    </xf>
    <xf numFmtId="172" fontId="157" fillId="0" borderId="0" xfId="263" applyFont="1" applyFill="1" applyAlignment="1" applyProtection="1"/>
    <xf numFmtId="0" fontId="10" fillId="32" borderId="0" xfId="89" applyNumberFormat="1" applyFont="1" applyFill="1" applyBorder="1" applyAlignment="1" applyProtection="1">
      <alignment horizontal="center"/>
      <protection locked="0"/>
    </xf>
    <xf numFmtId="41" fontId="10" fillId="32" borderId="0" xfId="255" applyNumberFormat="1" applyFont="1" applyFill="1"/>
    <xf numFmtId="172" fontId="8" fillId="0" borderId="0" xfId="263" applyFont="1" applyFill="1" applyAlignment="1" applyProtection="1">
      <alignment horizontal="center"/>
    </xf>
    <xf numFmtId="3" fontId="8" fillId="0" borderId="0" xfId="263" applyNumberFormat="1" applyFont="1" applyFill="1" applyAlignment="1" applyProtection="1">
      <alignment horizontal="center" vertical="center"/>
    </xf>
    <xf numFmtId="0" fontId="5" fillId="0" borderId="0" xfId="263" applyNumberFormat="1" applyFont="1" applyFill="1" applyBorder="1" applyAlignment="1" applyProtection="1">
      <alignment horizontal="center"/>
    </xf>
    <xf numFmtId="3" fontId="16" fillId="0" borderId="0" xfId="263" applyNumberFormat="1" applyFont="1" applyFill="1" applyAlignment="1" applyProtection="1">
      <alignment horizontal="center"/>
    </xf>
    <xf numFmtId="0" fontId="5" fillId="0" borderId="6" xfId="263" applyNumberFormat="1" applyFont="1" applyFill="1" applyBorder="1" applyAlignment="1" applyProtection="1">
      <alignment horizontal="center"/>
    </xf>
    <xf numFmtId="0" fontId="7" fillId="0" borderId="0" xfId="263" applyNumberFormat="1" applyFont="1" applyFill="1" applyBorder="1" applyAlignment="1" applyProtection="1">
      <alignment vertical="center"/>
    </xf>
    <xf numFmtId="41" fontId="7" fillId="0" borderId="40" xfId="263"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center" wrapText="1"/>
    </xf>
    <xf numFmtId="0" fontId="7" fillId="0" borderId="0" xfId="0" applyFont="1" applyFill="1" applyAlignment="1" applyProtection="1">
      <alignment horizontal="center"/>
    </xf>
    <xf numFmtId="0" fontId="65" fillId="0" borderId="0" xfId="0" applyFont="1" applyFill="1" applyProtection="1"/>
    <xf numFmtId="3" fontId="11" fillId="0" borderId="0" xfId="0" applyNumberFormat="1" applyFont="1" applyFill="1" applyAlignment="1">
      <alignment horizontal="left"/>
    </xf>
    <xf numFmtId="3" fontId="14" fillId="0" borderId="0" xfId="0" applyNumberFormat="1" applyFont="1" applyFill="1" applyAlignment="1"/>
    <xf numFmtId="37" fontId="14" fillId="0" borderId="0" xfId="0" applyNumberFormat="1" applyFont="1"/>
    <xf numFmtId="0" fontId="14" fillId="0" borderId="0" xfId="0" applyFont="1" applyFill="1" applyAlignment="1" applyProtection="1">
      <alignment horizontal="left"/>
    </xf>
    <xf numFmtId="0" fontId="15" fillId="0" borderId="0" xfId="0" applyFont="1" applyFill="1" applyAlignment="1" applyProtection="1">
      <alignment horizontal="left"/>
    </xf>
    <xf numFmtId="0" fontId="14" fillId="0" borderId="0" xfId="0" applyFont="1" applyFill="1" applyAlignment="1" applyProtection="1">
      <alignment vertical="top"/>
    </xf>
    <xf numFmtId="0" fontId="14" fillId="0" borderId="0" xfId="0" applyFont="1" applyFill="1" applyAlignment="1" applyProtection="1">
      <alignment vertical="top" wrapText="1"/>
    </xf>
    <xf numFmtId="0" fontId="105" fillId="0" borderId="0" xfId="0" applyFont="1" applyFill="1" applyAlignment="1" applyProtection="1">
      <alignment horizontal="center"/>
    </xf>
    <xf numFmtId="0" fontId="14" fillId="0" borderId="0" xfId="267" applyFont="1" applyFill="1" applyAlignment="1" applyProtection="1">
      <alignment horizontal="center"/>
    </xf>
    <xf numFmtId="38" fontId="10" fillId="0" borderId="0" xfId="0" applyNumberFormat="1" applyFont="1" applyFill="1" applyBorder="1" applyProtection="1">
      <protection locked="0"/>
    </xf>
    <xf numFmtId="0" fontId="8" fillId="0" borderId="0" xfId="254" applyFont="1" applyFill="1" applyBorder="1"/>
    <xf numFmtId="0" fontId="75" fillId="0" borderId="0" xfId="264" applyFont="1" applyFill="1" applyAlignment="1">
      <alignment vertical="center" wrapText="1"/>
    </xf>
    <xf numFmtId="0" fontId="8" fillId="0" borderId="0" xfId="253" quotePrefix="1" applyFont="1" applyFill="1" applyBorder="1" applyAlignment="1">
      <alignment horizontal="center"/>
    </xf>
    <xf numFmtId="0" fontId="6" fillId="0" borderId="11" xfId="264" applyNumberFormat="1" applyFont="1" applyFill="1" applyBorder="1" applyAlignment="1">
      <alignment horizontal="center" wrapText="1"/>
    </xf>
    <xf numFmtId="0" fontId="6" fillId="0" borderId="11" xfId="264" applyNumberFormat="1" applyFont="1" applyFill="1" applyBorder="1" applyAlignment="1">
      <alignment horizontal="center" vertical="center"/>
    </xf>
    <xf numFmtId="185" fontId="6" fillId="0" borderId="11" xfId="264" applyNumberFormat="1" applyFont="1" applyFill="1" applyBorder="1" applyAlignment="1">
      <alignment horizontal="center" vertical="center" wrapText="1"/>
    </xf>
    <xf numFmtId="0" fontId="6" fillId="0" borderId="11" xfId="264" applyNumberFormat="1" applyFont="1" applyFill="1" applyBorder="1" applyAlignment="1">
      <alignment horizontal="center" vertical="center" wrapText="1"/>
    </xf>
    <xf numFmtId="185" fontId="6" fillId="0" borderId="11" xfId="264" applyNumberFormat="1" applyFont="1" applyFill="1" applyBorder="1" applyAlignment="1">
      <alignment horizontal="center" vertical="center"/>
    </xf>
    <xf numFmtId="0" fontId="14" fillId="0" borderId="0" xfId="0" applyFont="1" applyFill="1" applyAlignment="1">
      <alignment vertical="center"/>
    </xf>
    <xf numFmtId="173" fontId="6" fillId="0" borderId="11" xfId="264" applyNumberFormat="1" applyFont="1" applyFill="1" applyBorder="1" applyAlignment="1">
      <alignment vertical="center"/>
    </xf>
    <xf numFmtId="173" fontId="76" fillId="0" borderId="0" xfId="264" applyNumberFormat="1" applyFont="1" applyFill="1" applyBorder="1" applyAlignment="1">
      <alignment vertical="center"/>
    </xf>
    <xf numFmtId="0" fontId="6" fillId="0" borderId="0" xfId="264" applyFont="1" applyFill="1" applyAlignment="1">
      <alignment horizontal="right" vertical="center"/>
    </xf>
    <xf numFmtId="0" fontId="73" fillId="0" borderId="0" xfId="264" applyFont="1" applyFill="1" applyAlignment="1">
      <alignment wrapText="1"/>
    </xf>
    <xf numFmtId="0" fontId="14" fillId="0" borderId="0" xfId="257" applyFont="1" applyFill="1" applyAlignment="1" applyProtection="1">
      <alignment horizontal="left"/>
    </xf>
    <xf numFmtId="0" fontId="14" fillId="0" borderId="0" xfId="186" applyFont="1" applyFill="1" applyAlignment="1" applyProtection="1">
      <alignment wrapText="1"/>
    </xf>
    <xf numFmtId="0" fontId="14" fillId="0" borderId="0" xfId="186" applyFont="1" applyFill="1" applyProtection="1"/>
    <xf numFmtId="173" fontId="73" fillId="0" borderId="0" xfId="86" applyNumberFormat="1" applyFont="1" applyFill="1" applyAlignment="1" applyProtection="1">
      <alignment horizontal="center"/>
      <protection locked="0"/>
    </xf>
    <xf numFmtId="173" fontId="14" fillId="0" borderId="0" xfId="264" applyNumberFormat="1" applyFont="1" applyFill="1"/>
    <xf numFmtId="0" fontId="14" fillId="0" borderId="0" xfId="168"/>
    <xf numFmtId="0" fontId="108" fillId="0" borderId="0" xfId="265" applyFont="1" applyProtection="1">
      <protection locked="0"/>
    </xf>
    <xf numFmtId="0" fontId="78" fillId="0" borderId="30" xfId="265" applyFont="1" applyBorder="1" applyAlignment="1">
      <alignment horizontal="center"/>
    </xf>
    <xf numFmtId="0" fontId="78" fillId="0" borderId="0" xfId="265" applyFont="1"/>
    <xf numFmtId="0" fontId="109" fillId="0" borderId="0" xfId="265" applyFont="1" applyAlignment="1">
      <alignment horizontal="center"/>
    </xf>
    <xf numFmtId="0" fontId="110" fillId="0" borderId="0" xfId="265" applyFont="1" applyProtection="1">
      <protection locked="0"/>
    </xf>
    <xf numFmtId="176" fontId="109" fillId="0" borderId="0" xfId="265" applyNumberFormat="1" applyFont="1" applyAlignment="1">
      <alignment horizontal="center"/>
    </xf>
    <xf numFmtId="0" fontId="109" fillId="0" borderId="0" xfId="265" applyFont="1"/>
    <xf numFmtId="194" fontId="109" fillId="0" borderId="0" xfId="265" applyNumberFormat="1" applyFont="1" applyAlignment="1">
      <alignment horizontal="center"/>
    </xf>
    <xf numFmtId="0" fontId="5" fillId="0" borderId="0" xfId="265"/>
    <xf numFmtId="176" fontId="5" fillId="0" borderId="0" xfId="265" applyNumberFormat="1"/>
    <xf numFmtId="0" fontId="111" fillId="0" borderId="0" xfId="265" applyFont="1" applyProtection="1">
      <protection locked="0"/>
    </xf>
    <xf numFmtId="176" fontId="108" fillId="0" borderId="0" xfId="265" applyNumberFormat="1" applyFont="1" applyProtection="1">
      <protection locked="0"/>
    </xf>
    <xf numFmtId="0" fontId="112" fillId="0" borderId="16" xfId="265" applyFont="1" applyBorder="1"/>
    <xf numFmtId="0" fontId="108" fillId="0" borderId="16" xfId="265" applyFont="1" applyBorder="1" applyProtection="1">
      <protection locked="0"/>
    </xf>
    <xf numFmtId="0" fontId="108" fillId="0" borderId="0" xfId="265" applyFont="1" applyBorder="1" applyProtection="1">
      <protection locked="0"/>
    </xf>
    <xf numFmtId="0" fontId="5" fillId="0" borderId="0" xfId="265" applyFont="1" applyBorder="1"/>
    <xf numFmtId="0" fontId="113" fillId="0" borderId="0" xfId="265" applyFont="1" applyProtection="1">
      <protection locked="0"/>
    </xf>
    <xf numFmtId="0" fontId="114" fillId="0" borderId="0" xfId="265" applyFont="1"/>
    <xf numFmtId="0" fontId="115" fillId="0" borderId="0" xfId="265" applyFont="1"/>
    <xf numFmtId="0" fontId="7" fillId="0" borderId="0" xfId="262" applyFont="1"/>
    <xf numFmtId="0" fontId="14" fillId="0" borderId="0" xfId="262"/>
    <xf numFmtId="0" fontId="14" fillId="0" borderId="0" xfId="262" applyAlignment="1">
      <alignment horizontal="center"/>
    </xf>
    <xf numFmtId="0" fontId="138" fillId="0" borderId="0" xfId="265" applyFont="1" applyAlignment="1">
      <alignment horizontal="center"/>
    </xf>
    <xf numFmtId="0" fontId="14" fillId="0" borderId="0" xfId="168" applyAlignment="1">
      <alignment wrapText="1"/>
    </xf>
    <xf numFmtId="10" fontId="5" fillId="0" borderId="0" xfId="265" applyNumberFormat="1" applyAlignment="1" applyProtection="1">
      <alignment horizontal="center"/>
    </xf>
    <xf numFmtId="0" fontId="112" fillId="0" borderId="0" xfId="265" applyFont="1" applyBorder="1"/>
    <xf numFmtId="0" fontId="5" fillId="0" borderId="0" xfId="265" applyAlignment="1">
      <alignment horizontal="center"/>
    </xf>
    <xf numFmtId="10" fontId="5" fillId="0" borderId="0" xfId="265" applyNumberFormat="1" applyAlignment="1" applyProtection="1">
      <alignment horizontal="right"/>
    </xf>
    <xf numFmtId="195" fontId="78" fillId="0" borderId="0" xfId="265" applyNumberFormat="1" applyFont="1" applyProtection="1"/>
    <xf numFmtId="10" fontId="78" fillId="0" borderId="0" xfId="265" applyNumberFormat="1" applyFont="1" applyProtection="1"/>
    <xf numFmtId="0" fontId="5" fillId="0" borderId="0" xfId="265" applyAlignment="1"/>
    <xf numFmtId="0" fontId="5" fillId="0" borderId="0" xfId="265" applyFont="1" applyFill="1" applyBorder="1"/>
    <xf numFmtId="195" fontId="5" fillId="0" borderId="0" xfId="265" applyNumberFormat="1" applyBorder="1" applyProtection="1"/>
    <xf numFmtId="0" fontId="112" fillId="0" borderId="30" xfId="265" applyFont="1" applyBorder="1"/>
    <xf numFmtId="0" fontId="108" fillId="0" borderId="30" xfId="265" applyFont="1" applyBorder="1" applyProtection="1">
      <protection locked="0"/>
    </xf>
    <xf numFmtId="10" fontId="5" fillId="0" borderId="30" xfId="265" applyNumberFormat="1" applyBorder="1" applyProtection="1"/>
    <xf numFmtId="0" fontId="8" fillId="0" borderId="0" xfId="0" applyFont="1" applyAlignment="1"/>
    <xf numFmtId="0" fontId="7" fillId="0" borderId="0" xfId="0" applyFont="1" applyAlignment="1">
      <alignment horizontal="left" indent="1"/>
    </xf>
    <xf numFmtId="10" fontId="7" fillId="0" borderId="0" xfId="217" applyNumberFormat="1" applyFont="1" applyFill="1" applyAlignment="1">
      <alignment horizontal="center"/>
    </xf>
    <xf numFmtId="0" fontId="8" fillId="0" borderId="0" xfId="186" applyFont="1" applyAlignment="1">
      <alignment horizontal="right"/>
    </xf>
    <xf numFmtId="10" fontId="7" fillId="0" borderId="0" xfId="217" applyNumberFormat="1" applyFont="1" applyFill="1" applyAlignment="1">
      <alignment horizontal="right"/>
    </xf>
    <xf numFmtId="177" fontId="7" fillId="0" borderId="0" xfId="86" applyNumberFormat="1" applyFont="1" applyAlignment="1">
      <alignment horizontal="center"/>
    </xf>
    <xf numFmtId="0" fontId="14" fillId="0" borderId="32" xfId="0" applyNumberFormat="1" applyFont="1" applyBorder="1" applyAlignment="1">
      <alignment horizontal="center"/>
    </xf>
    <xf numFmtId="0" fontId="14" fillId="0" borderId="31" xfId="266" applyFont="1" applyBorder="1" applyAlignment="1">
      <alignment horizontal="right"/>
    </xf>
    <xf numFmtId="0" fontId="140" fillId="0" borderId="0" xfId="0" applyFont="1" applyAlignment="1">
      <alignment vertical="center"/>
    </xf>
    <xf numFmtId="0" fontId="141" fillId="0" borderId="0" xfId="0" applyFont="1"/>
    <xf numFmtId="0" fontId="136" fillId="0" borderId="0" xfId="0" applyFont="1" applyAlignment="1"/>
    <xf numFmtId="0" fontId="136" fillId="0" borderId="0" xfId="0" applyFont="1" applyAlignment="1">
      <alignment horizontal="left"/>
    </xf>
    <xf numFmtId="0" fontId="136" fillId="0" borderId="0" xfId="214" applyFont="1" applyBorder="1" applyAlignment="1">
      <alignment horizontal="center"/>
    </xf>
    <xf numFmtId="0" fontId="141" fillId="0" borderId="0" xfId="0" applyFont="1" applyAlignment="1">
      <alignment horizontal="center"/>
    </xf>
    <xf numFmtId="0" fontId="142" fillId="0" borderId="0" xfId="214" applyFont="1" applyBorder="1" applyAlignment="1"/>
    <xf numFmtId="0" fontId="136" fillId="0" borderId="0" xfId="214" applyFont="1" applyBorder="1" applyAlignment="1">
      <alignment horizontal="left"/>
    </xf>
    <xf numFmtId="0" fontId="136" fillId="0" borderId="0" xfId="214" applyFont="1" applyBorder="1" applyAlignment="1"/>
    <xf numFmtId="3" fontId="136" fillId="0" borderId="0" xfId="0" applyNumberFormat="1" applyFont="1" applyAlignment="1"/>
    <xf numFmtId="3" fontId="136" fillId="0" borderId="0" xfId="0" applyNumberFormat="1" applyFont="1" applyAlignment="1">
      <alignment horizontal="left"/>
    </xf>
    <xf numFmtId="0" fontId="143" fillId="0" borderId="0" xfId="0" applyFont="1" applyAlignment="1">
      <alignment horizontal="center"/>
    </xf>
    <xf numFmtId="0" fontId="144" fillId="0" borderId="0" xfId="0" applyFont="1" applyAlignment="1"/>
    <xf numFmtId="0" fontId="143" fillId="0" borderId="0" xfId="0" applyFont="1" applyAlignment="1">
      <alignment wrapText="1"/>
    </xf>
    <xf numFmtId="0" fontId="143" fillId="0" borderId="0" xfId="0" applyFont="1"/>
    <xf numFmtId="41" fontId="141" fillId="0" borderId="0" xfId="0" applyNumberFormat="1" applyFont="1"/>
    <xf numFmtId="41" fontId="144" fillId="0" borderId="0" xfId="0" applyNumberFormat="1" applyFont="1" applyAlignment="1"/>
    <xf numFmtId="0" fontId="145" fillId="0" borderId="0" xfId="0" applyFont="1" applyAlignment="1">
      <alignment horizontal="center"/>
    </xf>
    <xf numFmtId="0" fontId="146" fillId="0" borderId="0" xfId="0" applyFont="1" applyFill="1" applyAlignment="1">
      <alignment horizontal="center"/>
    </xf>
    <xf numFmtId="0" fontId="147" fillId="0" borderId="0" xfId="0" applyFont="1" applyAlignment="1">
      <alignment horizontal="center"/>
    </xf>
    <xf numFmtId="0" fontId="144" fillId="0" borderId="0" xfId="0" applyFont="1" applyFill="1"/>
    <xf numFmtId="41" fontId="141" fillId="0" borderId="0" xfId="0" applyNumberFormat="1" applyFont="1" applyAlignment="1"/>
    <xf numFmtId="173" fontId="141" fillId="0" borderId="0" xfId="0" applyNumberFormat="1" applyFont="1"/>
    <xf numFmtId="0" fontId="141" fillId="0" borderId="0" xfId="0" applyFont="1" applyAlignment="1">
      <alignment wrapText="1"/>
    </xf>
    <xf numFmtId="0" fontId="141" fillId="0" borderId="0" xfId="0" applyFont="1" applyAlignment="1"/>
    <xf numFmtId="0" fontId="141" fillId="0" borderId="11" xfId="0" applyFont="1" applyBorder="1"/>
    <xf numFmtId="0" fontId="144" fillId="0" borderId="11" xfId="0" applyFont="1" applyFill="1" applyBorder="1"/>
    <xf numFmtId="0" fontId="144" fillId="0" borderId="11" xfId="0" applyFont="1" applyBorder="1" applyAlignment="1"/>
    <xf numFmtId="0" fontId="141" fillId="0" borderId="11" xfId="0" applyFont="1" applyBorder="1" applyAlignment="1"/>
    <xf numFmtId="41" fontId="144" fillId="0" borderId="0" xfId="0" applyNumberFormat="1" applyFont="1" applyFill="1"/>
    <xf numFmtId="0" fontId="144" fillId="0" borderId="0" xfId="0" applyFont="1" applyAlignment="1">
      <alignment horizontal="center"/>
    </xf>
    <xf numFmtId="191" fontId="144" fillId="0" borderId="0" xfId="112" applyNumberFormat="1" applyFont="1" applyAlignment="1">
      <alignment horizontal="center"/>
    </xf>
    <xf numFmtId="0" fontId="141" fillId="0" borderId="0" xfId="0" applyFont="1" applyBorder="1"/>
    <xf numFmtId="173" fontId="141" fillId="0" borderId="14" xfId="0" applyNumberFormat="1" applyFont="1" applyBorder="1"/>
    <xf numFmtId="173" fontId="144" fillId="0" borderId="14" xfId="0" applyNumberFormat="1" applyFont="1" applyFill="1" applyBorder="1"/>
    <xf numFmtId="41" fontId="141" fillId="0" borderId="14" xfId="0" applyNumberFormat="1" applyFont="1" applyBorder="1" applyAlignment="1"/>
    <xf numFmtId="43" fontId="144" fillId="0" borderId="0" xfId="0" applyNumberFormat="1" applyFont="1" applyAlignment="1"/>
    <xf numFmtId="0" fontId="144" fillId="0" borderId="0" xfId="0" applyFont="1" applyAlignment="1">
      <alignment wrapText="1"/>
    </xf>
    <xf numFmtId="0" fontId="149" fillId="0" borderId="0" xfId="0" applyFont="1" applyAlignment="1">
      <alignment horizontal="center" wrapText="1"/>
    </xf>
    <xf numFmtId="173" fontId="141" fillId="0" borderId="0" xfId="0" applyNumberFormat="1" applyFont="1" applyAlignment="1">
      <alignment wrapText="1"/>
    </xf>
    <xf numFmtId="0" fontId="143" fillId="0" borderId="0" xfId="0" applyFont="1" applyAlignment="1">
      <alignment horizontal="center" wrapText="1"/>
    </xf>
    <xf numFmtId="43" fontId="143" fillId="0" borderId="0" xfId="112" applyFont="1" applyAlignment="1">
      <alignment horizontal="center" wrapText="1"/>
    </xf>
    <xf numFmtId="173" fontId="141" fillId="0" borderId="0" xfId="0" applyNumberFormat="1" applyFont="1" applyBorder="1"/>
    <xf numFmtId="173" fontId="141" fillId="0" borderId="0" xfId="112" applyNumberFormat="1" applyFont="1"/>
    <xf numFmtId="173" fontId="141" fillId="32" borderId="0" xfId="112" applyNumberFormat="1" applyFont="1" applyFill="1" applyProtection="1">
      <protection locked="0"/>
    </xf>
    <xf numFmtId="173" fontId="143" fillId="0" borderId="0" xfId="112" applyNumberFormat="1" applyFont="1" applyAlignment="1">
      <alignment horizontal="center" wrapText="1"/>
    </xf>
    <xf numFmtId="173" fontId="143" fillId="0" borderId="0" xfId="112" applyNumberFormat="1" applyFont="1"/>
    <xf numFmtId="173" fontId="143" fillId="0" borderId="0" xfId="112" applyNumberFormat="1" applyFont="1" applyAlignment="1">
      <alignment horizontal="center"/>
    </xf>
    <xf numFmtId="10" fontId="141" fillId="0" borderId="0" xfId="294" applyNumberFormat="1" applyFont="1"/>
    <xf numFmtId="173" fontId="141" fillId="0" borderId="11" xfId="0" applyNumberFormat="1" applyFont="1" applyBorder="1"/>
    <xf numFmtId="173" fontId="141" fillId="0" borderId="11" xfId="112" applyNumberFormat="1" applyFont="1" applyBorder="1"/>
    <xf numFmtId="0" fontId="7" fillId="0" borderId="0" xfId="263" applyNumberFormat="1" applyFont="1" applyFill="1" applyAlignment="1" applyProtection="1">
      <alignment horizontal="left" indent="4"/>
    </xf>
    <xf numFmtId="41" fontId="21" fillId="0" borderId="0" xfId="263" applyNumberFormat="1" applyFont="1" applyFill="1" applyAlignment="1" applyProtection="1">
      <protection locked="0"/>
    </xf>
    <xf numFmtId="173" fontId="10" fillId="32" borderId="0" xfId="110" applyNumberFormat="1" applyFont="1" applyFill="1" applyAlignment="1" applyProtection="1">
      <protection locked="0"/>
    </xf>
    <xf numFmtId="0" fontId="14" fillId="32" borderId="0" xfId="214" applyFont="1" applyFill="1" applyBorder="1" applyProtection="1">
      <protection locked="0"/>
    </xf>
    <xf numFmtId="173" fontId="124" fillId="32" borderId="0" xfId="88" applyNumberFormat="1" applyFont="1" applyFill="1" applyProtection="1">
      <protection locked="0"/>
    </xf>
    <xf numFmtId="1" fontId="65" fillId="32" borderId="0" xfId="0" quotePrefix="1" applyNumberFormat="1" applyFont="1" applyFill="1" applyAlignment="1" applyProtection="1">
      <alignment horizontal="left"/>
      <protection locked="0"/>
    </xf>
    <xf numFmtId="0" fontId="0" fillId="0" borderId="0" xfId="0" applyFont="1" applyFill="1"/>
    <xf numFmtId="0" fontId="21" fillId="32" borderId="0" xfId="255" applyFont="1" applyFill="1" applyAlignment="1" applyProtection="1">
      <alignment horizontal="center"/>
      <protection locked="0"/>
    </xf>
    <xf numFmtId="41" fontId="21" fillId="32" borderId="0" xfId="255" applyNumberFormat="1" applyFont="1" applyFill="1" applyBorder="1" applyProtection="1">
      <protection locked="0"/>
    </xf>
    <xf numFmtId="41" fontId="21" fillId="32" borderId="6" xfId="253" applyNumberFormat="1" applyFont="1" applyFill="1" applyBorder="1" applyProtection="1">
      <protection locked="0"/>
    </xf>
    <xf numFmtId="41" fontId="29" fillId="0" borderId="6" xfId="253" applyNumberFormat="1" applyFont="1" applyFill="1" applyBorder="1"/>
    <xf numFmtId="41" fontId="28" fillId="0" borderId="6" xfId="253" applyNumberFormat="1" applyFont="1" applyFill="1" applyBorder="1"/>
    <xf numFmtId="173" fontId="14" fillId="0" borderId="0" xfId="88" applyNumberFormat="1" applyFont="1" applyProtection="1"/>
    <xf numFmtId="173" fontId="14" fillId="0" borderId="0" xfId="88" applyNumberFormat="1" applyFont="1" applyBorder="1" applyProtection="1"/>
    <xf numFmtId="0" fontId="21" fillId="32" borderId="0" xfId="88" applyNumberFormat="1" applyFont="1" applyFill="1" applyAlignment="1" applyProtection="1">
      <alignment horizontal="left"/>
      <protection locked="0"/>
    </xf>
    <xf numFmtId="173" fontId="11" fillId="0" borderId="25" xfId="88" applyNumberFormat="1" applyFont="1" applyBorder="1" applyProtection="1"/>
    <xf numFmtId="0" fontId="7" fillId="0" borderId="0" xfId="88" applyNumberFormat="1" applyFont="1" applyFill="1" applyAlignment="1" applyProtection="1">
      <alignment horizontal="left"/>
    </xf>
    <xf numFmtId="0" fontId="7" fillId="0" borderId="0" xfId="88" applyNumberFormat="1" applyFont="1" applyFill="1" applyBorder="1" applyAlignment="1" applyProtection="1">
      <alignment horizontal="left"/>
    </xf>
    <xf numFmtId="0" fontId="8" fillId="0" borderId="0" xfId="88" applyNumberFormat="1" applyFont="1" applyFill="1" applyBorder="1" applyAlignment="1" applyProtection="1">
      <alignment horizontal="left"/>
    </xf>
    <xf numFmtId="173" fontId="11" fillId="0" borderId="29" xfId="88" applyNumberFormat="1" applyFont="1" applyBorder="1" applyProtection="1"/>
    <xf numFmtId="173" fontId="11" fillId="0" borderId="19" xfId="88" applyNumberFormat="1" applyFont="1" applyBorder="1" applyProtection="1"/>
    <xf numFmtId="173" fontId="14" fillId="0" borderId="6" xfId="88" applyNumberFormat="1" applyFont="1" applyBorder="1" applyProtection="1"/>
    <xf numFmtId="173" fontId="14" fillId="0" borderId="20" xfId="88" applyNumberFormat="1" applyFont="1" applyBorder="1" applyProtection="1"/>
    <xf numFmtId="173" fontId="154" fillId="32" borderId="18" xfId="88" applyNumberFormat="1" applyFont="1" applyFill="1" applyBorder="1" applyAlignment="1" applyProtection="1">
      <alignment horizontal="right"/>
      <protection locked="0"/>
    </xf>
    <xf numFmtId="0" fontId="0" fillId="0" borderId="0" xfId="0" applyFill="1" applyAlignment="1" applyProtection="1">
      <alignment wrapText="1"/>
    </xf>
    <xf numFmtId="173" fontId="11" fillId="0" borderId="0" xfId="88" applyNumberFormat="1" applyFont="1" applyBorder="1" applyAlignment="1" applyProtection="1">
      <alignment horizontal="center" wrapText="1"/>
    </xf>
    <xf numFmtId="173" fontId="11" fillId="0" borderId="26" xfId="88" applyNumberFormat="1" applyFont="1" applyBorder="1" applyAlignment="1" applyProtection="1">
      <alignment horizontal="center" wrapText="1"/>
    </xf>
    <xf numFmtId="173" fontId="11" fillId="0" borderId="25" xfId="88" applyNumberFormat="1" applyFont="1" applyBorder="1" applyAlignment="1" applyProtection="1">
      <alignment horizontal="center" wrapText="1"/>
    </xf>
    <xf numFmtId="173" fontId="11" fillId="29" borderId="26" xfId="88" applyNumberFormat="1" applyFont="1" applyFill="1" applyBorder="1" applyAlignment="1" applyProtection="1">
      <alignment horizontal="center" wrapText="1"/>
    </xf>
    <xf numFmtId="173" fontId="11" fillId="0" borderId="28" xfId="88" applyNumberFormat="1" applyFont="1" applyBorder="1" applyAlignment="1" applyProtection="1">
      <alignment horizontal="center"/>
    </xf>
    <xf numFmtId="173" fontId="11" fillId="0" borderId="20" xfId="88" applyNumberFormat="1" applyFont="1" applyBorder="1" applyAlignment="1" applyProtection="1">
      <alignment horizontal="center"/>
    </xf>
    <xf numFmtId="173" fontId="11" fillId="29" borderId="28" xfId="88" applyNumberFormat="1" applyFont="1" applyFill="1" applyBorder="1" applyAlignment="1" applyProtection="1">
      <alignment horizontal="center"/>
    </xf>
    <xf numFmtId="173" fontId="14" fillId="0" borderId="27" xfId="88" applyNumberFormat="1" applyFont="1" applyBorder="1" applyProtection="1"/>
    <xf numFmtId="173" fontId="14" fillId="0" borderId="27" xfId="96" applyNumberFormat="1" applyFont="1" applyFill="1" applyBorder="1" applyProtection="1"/>
    <xf numFmtId="173" fontId="14" fillId="0" borderId="18" xfId="96" applyNumberFormat="1" applyFont="1" applyFill="1" applyBorder="1" applyProtection="1"/>
    <xf numFmtId="173" fontId="14" fillId="0" borderId="18" xfId="88" applyNumberFormat="1" applyFont="1" applyBorder="1" applyProtection="1"/>
    <xf numFmtId="174" fontId="154" fillId="32" borderId="27" xfId="0" applyNumberFormat="1" applyFont="1" applyFill="1" applyBorder="1" applyProtection="1">
      <protection locked="0"/>
    </xf>
    <xf numFmtId="0" fontId="14" fillId="34" borderId="27" xfId="0" applyNumberFormat="1" applyFont="1" applyFill="1" applyBorder="1" applyAlignment="1" applyProtection="1">
      <alignment horizontal="center"/>
    </xf>
    <xf numFmtId="173" fontId="14" fillId="31" borderId="0" xfId="0" applyNumberFormat="1" applyFont="1" applyFill="1" applyBorder="1" applyProtection="1"/>
    <xf numFmtId="173" fontId="14" fillId="31" borderId="27" xfId="0" applyNumberFormat="1" applyFont="1" applyFill="1" applyBorder="1" applyProtection="1"/>
    <xf numFmtId="173" fontId="14" fillId="31" borderId="27" xfId="88" applyNumberFormat="1" applyFont="1" applyFill="1" applyBorder="1" applyProtection="1"/>
    <xf numFmtId="173" fontId="14" fillId="31" borderId="18" xfId="88" applyNumberFormat="1" applyFont="1" applyFill="1" applyBorder="1" applyProtection="1"/>
    <xf numFmtId="174" fontId="14" fillId="31" borderId="27" xfId="0" applyNumberFormat="1" applyFont="1" applyFill="1" applyBorder="1" applyProtection="1"/>
    <xf numFmtId="173" fontId="14" fillId="0" borderId="27" xfId="88" applyNumberFormat="1" applyFont="1" applyFill="1" applyBorder="1" applyProtection="1"/>
    <xf numFmtId="173" fontId="14" fillId="0" borderId="28" xfId="88" applyNumberFormat="1" applyFont="1" applyBorder="1" applyProtection="1"/>
    <xf numFmtId="0" fontId="24" fillId="0" borderId="0" xfId="0" applyFont="1" applyProtection="1"/>
    <xf numFmtId="173" fontId="14" fillId="34" borderId="0" xfId="0" applyNumberFormat="1" applyFont="1" applyFill="1" applyBorder="1" applyProtection="1"/>
    <xf numFmtId="173" fontId="14" fillId="0" borderId="26" xfId="88" applyNumberFormat="1" applyFont="1" applyBorder="1" applyProtection="1"/>
    <xf numFmtId="43" fontId="4" fillId="32" borderId="6" xfId="263" applyNumberFormat="1" applyFont="1" applyFill="1" applyBorder="1" applyAlignment="1" applyProtection="1">
      <alignment horizontal="center"/>
      <protection locked="0"/>
    </xf>
    <xf numFmtId="173" fontId="148" fillId="32" borderId="0" xfId="113" applyNumberFormat="1" applyFont="1" applyFill="1" applyProtection="1">
      <protection locked="0"/>
    </xf>
    <xf numFmtId="41" fontId="144" fillId="0" borderId="0" xfId="258" applyNumberFormat="1" applyFont="1" applyFill="1" applyBorder="1"/>
    <xf numFmtId="173" fontId="148" fillId="32" borderId="0" xfId="113" applyNumberFormat="1" applyFont="1" applyFill="1" applyProtection="1">
      <protection locked="0"/>
    </xf>
    <xf numFmtId="10" fontId="7" fillId="34" borderId="0" xfId="263" applyNumberFormat="1" applyFont="1" applyFill="1" applyAlignment="1" applyProtection="1"/>
    <xf numFmtId="173" fontId="14" fillId="0" borderId="48" xfId="0" applyNumberFormat="1" applyFont="1" applyBorder="1" applyProtection="1"/>
    <xf numFmtId="173" fontId="14" fillId="0" borderId="10" xfId="0" applyNumberFormat="1" applyFont="1" applyBorder="1" applyProtection="1"/>
    <xf numFmtId="173" fontId="14" fillId="0" borderId="49" xfId="0" applyNumberFormat="1" applyFont="1" applyBorder="1" applyProtection="1"/>
    <xf numFmtId="9" fontId="7" fillId="0" borderId="0" xfId="0" applyNumberFormat="1" applyFont="1" applyFill="1" applyProtection="1"/>
    <xf numFmtId="164" fontId="141" fillId="31" borderId="0" xfId="273" applyNumberFormat="1" applyFont="1" applyFill="1" applyProtection="1">
      <protection locked="0"/>
    </xf>
    <xf numFmtId="0" fontId="4" fillId="0" borderId="0" xfId="214" applyFont="1" applyBorder="1"/>
    <xf numFmtId="173" fontId="4" fillId="0" borderId="0" xfId="86" applyNumberFormat="1" applyFont="1" applyFill="1"/>
    <xf numFmtId="0" fontId="4" fillId="0" borderId="0" xfId="0" applyFont="1" applyFill="1"/>
    <xf numFmtId="0" fontId="0" fillId="31" borderId="0" xfId="0" applyFill="1"/>
    <xf numFmtId="0" fontId="0" fillId="0" borderId="0" xfId="0" applyAlignment="1" applyProtection="1">
      <alignment wrapText="1"/>
    </xf>
    <xf numFmtId="0" fontId="14" fillId="0" borderId="0" xfId="0" applyFont="1" applyFill="1" applyBorder="1" applyAlignment="1" applyProtection="1">
      <alignment wrapText="1"/>
    </xf>
    <xf numFmtId="173" fontId="154" fillId="31" borderId="18" xfId="88" applyNumberFormat="1" applyFont="1" applyFill="1" applyBorder="1" applyAlignment="1" applyProtection="1">
      <alignment horizontal="right"/>
      <protection locked="0"/>
    </xf>
    <xf numFmtId="0" fontId="0" fillId="31" borderId="0" xfId="0" applyFill="1" applyProtection="1"/>
    <xf numFmtId="0" fontId="0" fillId="31" borderId="0" xfId="0" applyFill="1" applyAlignment="1" applyProtection="1">
      <alignment wrapText="1"/>
    </xf>
    <xf numFmtId="43" fontId="0" fillId="0" borderId="0" xfId="0" applyNumberFormat="1"/>
    <xf numFmtId="173" fontId="163" fillId="32" borderId="0" xfId="86" applyNumberFormat="1" applyFont="1" applyFill="1"/>
    <xf numFmtId="200" fontId="164" fillId="32" borderId="0" xfId="343" quotePrefix="1" applyNumberFormat="1" applyFont="1" applyFill="1" applyAlignment="1">
      <alignment horizontal="center"/>
    </xf>
    <xf numFmtId="200" fontId="164" fillId="32" borderId="0" xfId="343" applyNumberFormat="1" applyFont="1" applyFill="1" applyAlignment="1">
      <alignment horizontal="center"/>
    </xf>
    <xf numFmtId="14" fontId="164" fillId="32" borderId="0" xfId="343" applyNumberFormat="1" applyFont="1" applyFill="1" applyAlignment="1">
      <alignment horizontal="center"/>
    </xf>
    <xf numFmtId="173" fontId="10" fillId="32" borderId="0" xfId="86" applyNumberFormat="1" applyFont="1" applyFill="1" applyProtection="1">
      <protection locked="0"/>
    </xf>
    <xf numFmtId="0" fontId="79" fillId="32" borderId="0" xfId="264" applyNumberFormat="1" applyFont="1" applyFill="1" applyBorder="1" applyAlignment="1" applyProtection="1">
      <alignment horizontal="center"/>
      <protection locked="0"/>
    </xf>
    <xf numFmtId="3" fontId="0" fillId="0" borderId="0" xfId="0" applyNumberFormat="1" applyFont="1" applyFill="1" applyBorder="1" applyAlignment="1"/>
    <xf numFmtId="0" fontId="0" fillId="0" borderId="0" xfId="0" applyAlignment="1">
      <alignment horizontal="center"/>
    </xf>
    <xf numFmtId="3" fontId="0" fillId="0" borderId="0" xfId="0" applyNumberFormat="1" applyFont="1" applyBorder="1" applyAlignment="1"/>
    <xf numFmtId="37" fontId="0" fillId="0" borderId="0" xfId="0" applyNumberFormat="1" applyFont="1" applyFill="1" applyBorder="1" applyAlignment="1"/>
    <xf numFmtId="173" fontId="20" fillId="0" borderId="0" xfId="264" applyNumberFormat="1" applyFont="1" applyFill="1" applyBorder="1"/>
    <xf numFmtId="173" fontId="20" fillId="0" borderId="0" xfId="264" applyNumberFormat="1" applyFont="1" applyBorder="1"/>
    <xf numFmtId="0" fontId="6" fillId="0" borderId="0" xfId="264" applyFont="1"/>
    <xf numFmtId="0" fontId="20" fillId="0" borderId="0" xfId="264" applyFont="1" applyFill="1" applyBorder="1"/>
    <xf numFmtId="0" fontId="81" fillId="0" borderId="0" xfId="264" applyFont="1"/>
    <xf numFmtId="173" fontId="165" fillId="0" borderId="0" xfId="264" applyNumberFormat="1" applyFont="1" applyBorder="1"/>
    <xf numFmtId="173" fontId="165" fillId="0" borderId="0" xfId="264" applyNumberFormat="1" applyFont="1"/>
    <xf numFmtId="173" fontId="166" fillId="0" borderId="0" xfId="264" applyNumberFormat="1" applyFont="1" applyFill="1" applyBorder="1"/>
    <xf numFmtId="39" fontId="20" fillId="0" borderId="0" xfId="260" applyNumberFormat="1" applyFont="1" applyFill="1"/>
    <xf numFmtId="173" fontId="20" fillId="0" borderId="0" xfId="264" applyNumberFormat="1" applyFont="1" applyFill="1"/>
    <xf numFmtId="173" fontId="20" fillId="0" borderId="14" xfId="86" applyNumberFormat="1" applyFont="1" applyBorder="1"/>
    <xf numFmtId="43" fontId="20" fillId="0" borderId="0" xfId="86" applyFont="1"/>
    <xf numFmtId="0" fontId="167" fillId="0" borderId="0" xfId="264" applyFont="1" applyAlignment="1">
      <alignment horizontal="center"/>
    </xf>
    <xf numFmtId="0" fontId="4" fillId="0" borderId="0" xfId="264" applyFont="1"/>
    <xf numFmtId="0" fontId="168" fillId="0" borderId="0" xfId="264" applyFont="1" applyFill="1"/>
    <xf numFmtId="41" fontId="168" fillId="0" borderId="0" xfId="264" applyNumberFormat="1" applyFont="1" applyFill="1"/>
    <xf numFmtId="41" fontId="168" fillId="0" borderId="0" xfId="264" applyNumberFormat="1" applyFont="1" applyFill="1" applyBorder="1"/>
    <xf numFmtId="41" fontId="20" fillId="0" borderId="0" xfId="264" applyNumberFormat="1" applyFont="1" applyFill="1"/>
    <xf numFmtId="10" fontId="20" fillId="0" borderId="0" xfId="272" applyNumberFormat="1" applyFont="1" applyFill="1"/>
    <xf numFmtId="41" fontId="20" fillId="0" borderId="0" xfId="264" applyNumberFormat="1" applyFont="1" applyFill="1" applyBorder="1"/>
    <xf numFmtId="164" fontId="20" fillId="0" borderId="0" xfId="272" applyNumberFormat="1" applyFont="1" applyFill="1"/>
    <xf numFmtId="10" fontId="74" fillId="32" borderId="11" xfId="272" applyNumberFormat="1" applyFont="1" applyFill="1" applyBorder="1" applyProtection="1">
      <protection locked="0"/>
    </xf>
    <xf numFmtId="10" fontId="4" fillId="0" borderId="0" xfId="272" applyNumberFormat="1" applyFont="1" applyFill="1"/>
    <xf numFmtId="41" fontId="74" fillId="32" borderId="11" xfId="264" applyNumberFormat="1" applyFont="1" applyFill="1" applyBorder="1" applyProtection="1">
      <protection locked="0"/>
    </xf>
    <xf numFmtId="41" fontId="169" fillId="26" borderId="0" xfId="264" applyNumberFormat="1" applyFont="1" applyFill="1"/>
    <xf numFmtId="41" fontId="169" fillId="26" borderId="0" xfId="264" applyNumberFormat="1" applyFont="1" applyFill="1" applyBorder="1"/>
    <xf numFmtId="0" fontId="170" fillId="0" borderId="0" xfId="264" applyFont="1" applyFill="1"/>
    <xf numFmtId="10" fontId="20" fillId="0" borderId="11" xfId="272" applyNumberFormat="1" applyFont="1" applyFill="1" applyBorder="1"/>
    <xf numFmtId="173" fontId="20" fillId="0" borderId="0" xfId="86" applyNumberFormat="1" applyFont="1" applyFill="1"/>
    <xf numFmtId="10" fontId="20" fillId="0" borderId="0" xfId="272" applyNumberFormat="1" applyFont="1" applyFill="1" applyBorder="1"/>
    <xf numFmtId="9" fontId="20" fillId="0" borderId="0" xfId="272" applyFont="1" applyFill="1"/>
    <xf numFmtId="0" fontId="6" fillId="0" borderId="0" xfId="264" applyFont="1" applyFill="1"/>
    <xf numFmtId="41" fontId="20" fillId="31" borderId="0" xfId="264" applyNumberFormat="1" applyFont="1" applyFill="1"/>
    <xf numFmtId="0" fontId="20" fillId="31" borderId="0" xfId="264" applyFont="1" applyFill="1"/>
    <xf numFmtId="10" fontId="20" fillId="31" borderId="0" xfId="272" applyNumberFormat="1" applyFont="1" applyFill="1" applyBorder="1"/>
    <xf numFmtId="10" fontId="20" fillId="31" borderId="0" xfId="272" applyNumberFormat="1" applyFont="1" applyFill="1"/>
    <xf numFmtId="173" fontId="20" fillId="0" borderId="0" xfId="86" applyNumberFormat="1" applyFont="1" applyFill="1" applyBorder="1"/>
    <xf numFmtId="0" fontId="78" fillId="0" borderId="30" xfId="265" applyFont="1" applyBorder="1" applyAlignment="1" applyProtection="1">
      <alignment horizontal="center"/>
    </xf>
    <xf numFmtId="0" fontId="5" fillId="0" borderId="0" xfId="265" applyFont="1" applyAlignment="1" applyProtection="1">
      <alignment horizontal="left" wrapText="1"/>
    </xf>
    <xf numFmtId="0" fontId="112" fillId="0" borderId="16" xfId="0" applyFont="1" applyBorder="1"/>
    <xf numFmtId="0" fontId="108" fillId="0" borderId="16" xfId="0" applyFont="1" applyBorder="1" applyProtection="1">
      <protection locked="0"/>
    </xf>
    <xf numFmtId="10" fontId="0" fillId="0" borderId="16" xfId="0" applyNumberFormat="1" applyBorder="1" applyProtection="1"/>
    <xf numFmtId="193"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2" fillId="0" borderId="30" xfId="0" applyFont="1" applyBorder="1"/>
    <xf numFmtId="0" fontId="108"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26" fillId="0" borderId="0" xfId="345" applyFont="1"/>
    <xf numFmtId="9" fontId="26" fillId="0" borderId="0" xfId="346" applyFont="1"/>
    <xf numFmtId="10" fontId="26" fillId="0" borderId="0" xfId="347" applyNumberFormat="1" applyFont="1"/>
    <xf numFmtId="0" fontId="26" fillId="0" borderId="0" xfId="345" applyFont="1" applyFill="1"/>
    <xf numFmtId="41" fontId="26" fillId="32" borderId="53" xfId="253" applyNumberFormat="1" applyFont="1" applyFill="1" applyBorder="1" applyProtection="1">
      <protection locked="0"/>
    </xf>
    <xf numFmtId="41" fontId="26" fillId="32" borderId="0" xfId="253" applyNumberFormat="1" applyFont="1" applyFill="1" applyBorder="1" applyProtection="1">
      <protection locked="0"/>
    </xf>
    <xf numFmtId="41" fontId="26" fillId="32" borderId="55" xfId="253" applyNumberFormat="1" applyFont="1" applyFill="1" applyBorder="1" applyProtection="1">
      <protection locked="0"/>
    </xf>
    <xf numFmtId="0" fontId="26" fillId="0" borderId="0" xfId="345" applyFont="1" applyBorder="1"/>
    <xf numFmtId="41" fontId="26" fillId="32" borderId="42" xfId="253" applyNumberFormat="1" applyFont="1" applyFill="1" applyBorder="1" applyProtection="1">
      <protection locked="0"/>
    </xf>
    <xf numFmtId="41" fontId="26" fillId="0" borderId="42" xfId="345" applyNumberFormat="1" applyFont="1" applyFill="1" applyBorder="1"/>
    <xf numFmtId="173" fontId="26" fillId="0" borderId="0" xfId="350" applyNumberFormat="1" applyFont="1" applyBorder="1" applyAlignment="1">
      <alignment horizontal="center"/>
    </xf>
    <xf numFmtId="41" fontId="26" fillId="0" borderId="55" xfId="345" applyNumberFormat="1" applyFont="1" applyFill="1" applyBorder="1"/>
    <xf numFmtId="41" fontId="26" fillId="32" borderId="34" xfId="253" applyNumberFormat="1" applyFont="1" applyFill="1" applyBorder="1" applyAlignment="1" applyProtection="1">
      <alignment vertical="top"/>
      <protection locked="0"/>
    </xf>
    <xf numFmtId="172" fontId="26" fillId="0" borderId="0" xfId="345" applyNumberFormat="1" applyFont="1" applyFill="1" applyBorder="1"/>
    <xf numFmtId="41" fontId="26" fillId="32" borderId="57" xfId="253" applyNumberFormat="1" applyFont="1" applyFill="1" applyBorder="1" applyProtection="1">
      <protection locked="0"/>
    </xf>
    <xf numFmtId="1" fontId="26" fillId="0" borderId="58" xfId="350" applyNumberFormat="1" applyFont="1" applyBorder="1" applyAlignment="1"/>
    <xf numFmtId="173" fontId="26" fillId="0" borderId="58" xfId="350" applyNumberFormat="1" applyFont="1" applyBorder="1" applyAlignment="1"/>
    <xf numFmtId="177" fontId="26" fillId="0" borderId="58" xfId="350" applyNumberFormat="1" applyFont="1" applyBorder="1" applyAlignment="1"/>
    <xf numFmtId="173" fontId="26" fillId="0" borderId="58" xfId="350" applyNumberFormat="1" applyFont="1" applyFill="1" applyBorder="1" applyAlignment="1"/>
    <xf numFmtId="1" fontId="26" fillId="0" borderId="0" xfId="350" applyNumberFormat="1" applyFont="1" applyBorder="1" applyAlignment="1"/>
    <xf numFmtId="177" fontId="26" fillId="0" borderId="0" xfId="350" applyNumberFormat="1" applyFont="1" applyBorder="1" applyAlignment="1"/>
    <xf numFmtId="173" fontId="26" fillId="0" borderId="59" xfId="350" applyNumberFormat="1" applyFont="1" applyBorder="1" applyAlignment="1">
      <alignment horizontal="center"/>
    </xf>
    <xf numFmtId="173" fontId="26" fillId="0" borderId="0" xfId="350" applyNumberFormat="1" applyFont="1" applyBorder="1" applyAlignment="1"/>
    <xf numFmtId="0" fontId="26" fillId="0" borderId="0" xfId="345" applyFont="1" applyFill="1" applyBorder="1"/>
    <xf numFmtId="0" fontId="4" fillId="0" borderId="0" xfId="253" applyFont="1"/>
    <xf numFmtId="0" fontId="26" fillId="0" borderId="0" xfId="351" applyFont="1"/>
    <xf numFmtId="0" fontId="26" fillId="0" borderId="0" xfId="351" applyFont="1" applyAlignment="1">
      <alignment horizontal="center"/>
    </xf>
    <xf numFmtId="0" fontId="4" fillId="0" borderId="0" xfId="351" applyFont="1" applyAlignment="1">
      <alignment horizontal="right"/>
    </xf>
    <xf numFmtId="14" fontId="26" fillId="0" borderId="0" xfId="351" applyNumberFormat="1" applyFont="1"/>
    <xf numFmtId="41" fontId="26" fillId="0" borderId="0" xfId="351" applyNumberFormat="1" applyFont="1"/>
    <xf numFmtId="0" fontId="26" fillId="0" borderId="0" xfId="0" applyFont="1" applyAlignment="1"/>
    <xf numFmtId="0" fontId="26" fillId="0" borderId="11" xfId="351" applyFont="1" applyBorder="1"/>
    <xf numFmtId="0" fontId="27" fillId="0" borderId="11" xfId="351" applyFont="1" applyBorder="1" applyAlignment="1">
      <alignment horizontal="center"/>
    </xf>
    <xf numFmtId="0" fontId="27" fillId="0" borderId="11" xfId="351" applyFont="1" applyBorder="1" applyAlignment="1">
      <alignment horizontal="center" wrapText="1"/>
    </xf>
    <xf numFmtId="0" fontId="27" fillId="0" borderId="52" xfId="351" applyFont="1" applyBorder="1" applyAlignment="1">
      <alignment horizontal="center" wrapText="1"/>
    </xf>
    <xf numFmtId="0" fontId="27" fillId="0" borderId="11" xfId="351" applyFont="1" applyFill="1" applyBorder="1" applyAlignment="1">
      <alignment horizontal="center" wrapText="1"/>
    </xf>
    <xf numFmtId="0" fontId="27" fillId="0" borderId="0" xfId="351" applyFont="1" applyAlignment="1">
      <alignment horizontal="center"/>
    </xf>
    <xf numFmtId="0" fontId="27" fillId="0" borderId="0" xfId="351" applyFont="1" applyBorder="1" applyAlignment="1">
      <alignment horizontal="center" wrapText="1"/>
    </xf>
    <xf numFmtId="0" fontId="27" fillId="0" borderId="0" xfId="351" applyFont="1" applyFill="1" applyBorder="1" applyAlignment="1">
      <alignment horizontal="center" wrapText="1"/>
    </xf>
    <xf numFmtId="0" fontId="27" fillId="0" borderId="0" xfId="351" applyFont="1" applyAlignment="1">
      <alignment horizontal="left"/>
    </xf>
    <xf numFmtId="0" fontId="26" fillId="35" borderId="0" xfId="351" applyFont="1" applyFill="1"/>
    <xf numFmtId="49" fontId="26" fillId="0" borderId="0" xfId="351" applyNumberFormat="1" applyFont="1" applyFill="1" applyAlignment="1">
      <alignment horizontal="center"/>
    </xf>
    <xf numFmtId="0" fontId="26" fillId="0" borderId="0" xfId="351" applyFont="1" applyBorder="1"/>
    <xf numFmtId="0" fontId="26" fillId="0" borderId="0" xfId="351" applyFont="1" applyFill="1" applyBorder="1" applyAlignment="1">
      <alignment horizontal="center"/>
    </xf>
    <xf numFmtId="173" fontId="26" fillId="36" borderId="53" xfId="115" applyNumberFormat="1" applyFont="1" applyFill="1" applyBorder="1"/>
    <xf numFmtId="173" fontId="26" fillId="0" borderId="54" xfId="115" applyNumberFormat="1" applyFont="1" applyFill="1" applyBorder="1"/>
    <xf numFmtId="173" fontId="26" fillId="36" borderId="0" xfId="115" applyNumberFormat="1" applyFont="1" applyFill="1" applyBorder="1"/>
    <xf numFmtId="0" fontId="26" fillId="0" borderId="0" xfId="0" applyFont="1" applyBorder="1"/>
    <xf numFmtId="41" fontId="26" fillId="0" borderId="0" xfId="351" applyNumberFormat="1" applyFont="1" applyFill="1" applyBorder="1" applyAlignment="1">
      <alignment horizontal="center"/>
    </xf>
    <xf numFmtId="0" fontId="27" fillId="0" borderId="0" xfId="351" applyFont="1" applyBorder="1"/>
    <xf numFmtId="41" fontId="26" fillId="0" borderId="0" xfId="351" applyNumberFormat="1" applyFont="1" applyBorder="1" applyAlignment="1">
      <alignment horizontal="center"/>
    </xf>
    <xf numFmtId="173" fontId="26" fillId="36" borderId="56" xfId="115" applyNumberFormat="1" applyFont="1" applyFill="1" applyBorder="1"/>
    <xf numFmtId="173" fontId="26" fillId="0" borderId="56" xfId="115" applyNumberFormat="1" applyFont="1" applyFill="1" applyBorder="1"/>
    <xf numFmtId="173" fontId="26" fillId="36" borderId="55" xfId="115" applyNumberFormat="1" applyFont="1" applyFill="1" applyBorder="1"/>
    <xf numFmtId="49" fontId="26" fillId="0" borderId="0" xfId="351" applyNumberFormat="1" applyFont="1" applyAlignment="1">
      <alignment horizontal="center"/>
    </xf>
    <xf numFmtId="0" fontId="27" fillId="0" borderId="0" xfId="351" applyFont="1"/>
    <xf numFmtId="173" fontId="26" fillId="0" borderId="55" xfId="115" applyNumberFormat="1" applyFont="1" applyFill="1" applyBorder="1"/>
    <xf numFmtId="0" fontId="0" fillId="0" borderId="0" xfId="0" applyFont="1"/>
    <xf numFmtId="0" fontId="26" fillId="0" borderId="0" xfId="351" applyFont="1" applyFill="1" applyAlignment="1">
      <alignment horizontal="center"/>
    </xf>
    <xf numFmtId="0" fontId="26" fillId="0" borderId="0" xfId="351" applyFont="1" applyAlignment="1">
      <alignment wrapText="1"/>
    </xf>
    <xf numFmtId="173" fontId="26" fillId="0" borderId="0" xfId="115" applyNumberFormat="1" applyFont="1" applyFill="1" applyBorder="1"/>
    <xf numFmtId="173" fontId="26" fillId="0" borderId="0" xfId="115" applyNumberFormat="1" applyFont="1" applyBorder="1" applyAlignment="1">
      <alignment wrapText="1"/>
    </xf>
    <xf numFmtId="0" fontId="26" fillId="0" borderId="0" xfId="351" applyFont="1" applyAlignment="1">
      <alignment horizontal="left"/>
    </xf>
    <xf numFmtId="173" fontId="26" fillId="0" borderId="0" xfId="115" applyNumberFormat="1" applyFont="1" applyAlignment="1">
      <alignment wrapText="1"/>
    </xf>
    <xf numFmtId="0" fontId="26" fillId="0" borderId="0" xfId="351" applyFont="1" applyAlignment="1">
      <alignment horizontal="left" vertical="center"/>
    </xf>
    <xf numFmtId="0" fontId="26" fillId="0" borderId="0" xfId="351" applyFont="1" applyAlignment="1">
      <alignment vertical="top" wrapText="1"/>
    </xf>
    <xf numFmtId="0" fontId="26" fillId="0" borderId="0" xfId="351" applyFont="1" applyAlignment="1"/>
    <xf numFmtId="173" fontId="26" fillId="0" borderId="0" xfId="351" applyNumberFormat="1" applyFont="1"/>
    <xf numFmtId="0" fontId="26" fillId="0" borderId="0" xfId="351" applyFont="1" applyAlignment="1">
      <alignment vertical="top"/>
    </xf>
    <xf numFmtId="0" fontId="26" fillId="0" borderId="0" xfId="351" applyFont="1" applyFill="1" applyAlignment="1">
      <alignment vertical="top" wrapText="1"/>
    </xf>
    <xf numFmtId="0" fontId="26" fillId="0" borderId="0" xfId="351" applyFont="1" applyFill="1"/>
    <xf numFmtId="0" fontId="26" fillId="0" borderId="0" xfId="351" applyFont="1" applyFill="1" applyAlignment="1">
      <alignment horizontal="left"/>
    </xf>
    <xf numFmtId="0" fontId="27" fillId="0" borderId="0" xfId="351" applyFont="1" applyAlignment="1">
      <alignment horizontal="left" vertical="center"/>
    </xf>
    <xf numFmtId="173" fontId="26" fillId="0" borderId="0" xfId="351" applyNumberFormat="1" applyFont="1" applyAlignment="1">
      <alignment horizontal="left" vertical="center"/>
    </xf>
    <xf numFmtId="173" fontId="27" fillId="0" borderId="0" xfId="351" applyNumberFormat="1" applyFont="1" applyAlignment="1">
      <alignment horizontal="center"/>
    </xf>
    <xf numFmtId="0" fontId="173" fillId="0" borderId="0" xfId="0" applyFont="1"/>
    <xf numFmtId="0" fontId="26" fillId="0" borderId="0" xfId="0" applyFont="1" applyFill="1" applyAlignment="1"/>
    <xf numFmtId="173" fontId="14" fillId="0" borderId="0" xfId="0" applyNumberFormat="1" applyFont="1" applyFill="1" applyBorder="1" applyProtection="1"/>
    <xf numFmtId="0" fontId="0" fillId="0" borderId="23" xfId="0" applyFill="1" applyBorder="1" applyAlignment="1" applyProtection="1"/>
    <xf numFmtId="164" fontId="14" fillId="0" borderId="0" xfId="272" applyNumberFormat="1" applyFont="1"/>
    <xf numFmtId="164" fontId="141" fillId="31" borderId="11" xfId="273" applyNumberFormat="1" applyFont="1" applyFill="1" applyBorder="1" applyProtection="1">
      <protection locked="0"/>
    </xf>
    <xf numFmtId="173" fontId="148" fillId="32" borderId="0" xfId="388" applyNumberFormat="1" applyFont="1" applyFill="1" applyProtection="1">
      <protection locked="0"/>
    </xf>
    <xf numFmtId="41" fontId="144" fillId="0" borderId="0" xfId="549" applyNumberFormat="1" applyFont="1" applyFill="1" applyBorder="1"/>
    <xf numFmtId="0" fontId="7" fillId="0" borderId="0" xfId="0" applyFont="1" applyFill="1" applyAlignment="1" applyProtection="1">
      <alignment horizontal="left" vertical="top" wrapText="1"/>
    </xf>
    <xf numFmtId="3" fontId="151" fillId="0" borderId="0" xfId="263" applyNumberFormat="1" applyFont="1" applyFill="1" applyAlignment="1" applyProtection="1">
      <alignment horizontal="center"/>
    </xf>
    <xf numFmtId="172" fontId="7" fillId="0" borderId="0" xfId="263" applyFont="1" applyAlignment="1" applyProtection="1">
      <alignment horizontal="left" wrapText="1"/>
    </xf>
    <xf numFmtId="0" fontId="7" fillId="0" borderId="0" xfId="263" applyNumberFormat="1" applyFont="1" applyFill="1" applyAlignment="1" applyProtection="1">
      <alignment horizontal="left" wrapText="1"/>
    </xf>
    <xf numFmtId="0" fontId="7" fillId="0" borderId="0" xfId="263" applyNumberFormat="1" applyFont="1" applyFill="1" applyAlignment="1" applyProtection="1">
      <alignment horizontal="left" vertical="top" wrapText="1"/>
    </xf>
    <xf numFmtId="172" fontId="7" fillId="0" borderId="0" xfId="263" applyFont="1" applyFill="1" applyAlignment="1" applyProtection="1">
      <alignment horizontal="left" wrapText="1"/>
    </xf>
    <xf numFmtId="172" fontId="28" fillId="0" borderId="0" xfId="263" applyFont="1" applyFill="1" applyAlignment="1" applyProtection="1">
      <alignment vertical="top" wrapText="1"/>
    </xf>
    <xf numFmtId="0" fontId="28" fillId="0" borderId="0" xfId="0" applyFont="1" applyAlignment="1" applyProtection="1">
      <alignment vertical="top" wrapText="1"/>
    </xf>
    <xf numFmtId="172" fontId="7" fillId="0" borderId="0" xfId="263" applyFont="1" applyAlignment="1" applyProtection="1">
      <alignment horizontal="left"/>
    </xf>
    <xf numFmtId="0" fontId="7" fillId="0" borderId="0" xfId="0" applyFont="1" applyAlignment="1" applyProtection="1">
      <alignment wrapText="1"/>
    </xf>
    <xf numFmtId="0" fontId="14" fillId="0" borderId="0" xfId="0" applyFont="1" applyAlignment="1" applyProtection="1">
      <alignment wrapText="1"/>
    </xf>
    <xf numFmtId="172" fontId="136" fillId="0" borderId="0" xfId="263" applyFont="1" applyFill="1" applyAlignment="1" applyProtection="1">
      <alignment vertical="top" wrapText="1"/>
    </xf>
    <xf numFmtId="0" fontId="132" fillId="0" borderId="0" xfId="0" applyFont="1" applyFill="1" applyAlignment="1" applyProtection="1">
      <alignment vertical="top" wrapText="1"/>
    </xf>
    <xf numFmtId="172" fontId="28" fillId="0" borderId="0" xfId="263" applyFont="1" applyFill="1" applyAlignment="1" applyProtection="1">
      <alignment wrapText="1"/>
    </xf>
    <xf numFmtId="172" fontId="7" fillId="0" borderId="0" xfId="263" applyFont="1" applyFill="1" applyAlignment="1" applyProtection="1">
      <alignment vertical="top" wrapText="1"/>
    </xf>
    <xf numFmtId="0" fontId="7" fillId="0" borderId="0" xfId="0" applyFont="1" applyFill="1" applyAlignment="1" applyProtection="1">
      <alignment vertical="top" wrapText="1"/>
    </xf>
    <xf numFmtId="0" fontId="7" fillId="0" borderId="0" xfId="0" applyFont="1" applyFill="1" applyAlignment="1" applyProtection="1">
      <alignment wrapText="1"/>
    </xf>
    <xf numFmtId="172" fontId="116" fillId="0" borderId="0" xfId="263" applyFont="1" applyFill="1" applyAlignment="1" applyProtection="1">
      <alignment wrapText="1"/>
    </xf>
    <xf numFmtId="0" fontId="34" fillId="0" borderId="0" xfId="0" applyFont="1" applyAlignment="1" applyProtection="1">
      <alignment wrapText="1"/>
    </xf>
    <xf numFmtId="0" fontId="28" fillId="0" borderId="0" xfId="263" applyNumberFormat="1" applyFont="1" applyFill="1" applyAlignment="1" applyProtection="1">
      <alignment horizontal="left" wrapText="1"/>
    </xf>
    <xf numFmtId="3" fontId="7" fillId="0" borderId="0" xfId="263" applyNumberFormat="1" applyFont="1" applyAlignment="1" applyProtection="1">
      <alignment horizontal="left" wrapText="1"/>
    </xf>
    <xf numFmtId="0" fontId="14" fillId="0" borderId="0" xfId="0" applyFont="1" applyAlignment="1" applyProtection="1">
      <alignment horizontal="left" wrapText="1"/>
    </xf>
    <xf numFmtId="172" fontId="78" fillId="0" borderId="0" xfId="263" applyFont="1" applyAlignment="1" applyProtection="1">
      <alignment horizontal="left" wrapText="1"/>
    </xf>
    <xf numFmtId="49" fontId="7" fillId="0" borderId="0" xfId="263" applyNumberFormat="1" applyFont="1" applyAlignment="1" applyProtection="1">
      <alignment horizontal="center"/>
    </xf>
    <xf numFmtId="0" fontId="34" fillId="0" borderId="0" xfId="0" applyFont="1" applyAlignment="1" applyProtection="1">
      <alignment horizontal="center"/>
    </xf>
    <xf numFmtId="0" fontId="12" fillId="0" borderId="0" xfId="263" applyNumberFormat="1" applyFont="1" applyAlignment="1" applyProtection="1">
      <alignment horizontal="center"/>
    </xf>
    <xf numFmtId="0" fontId="15" fillId="0" borderId="0" xfId="0" applyFont="1" applyAlignment="1" applyProtection="1"/>
    <xf numFmtId="0" fontId="0" fillId="0" borderId="0" xfId="0" applyAlignment="1" applyProtection="1">
      <alignment horizontal="center"/>
    </xf>
    <xf numFmtId="172" fontId="8" fillId="0" borderId="11" xfId="263" applyFont="1" applyBorder="1" applyAlignment="1" applyProtection="1">
      <alignment horizontal="center"/>
    </xf>
    <xf numFmtId="0" fontId="7" fillId="0" borderId="0" xfId="0" applyFont="1" applyAlignment="1">
      <alignment horizontal="center"/>
    </xf>
    <xf numFmtId="0" fontId="7" fillId="0" borderId="0" xfId="214" applyFont="1" applyBorder="1" applyAlignment="1">
      <alignment horizontal="center"/>
    </xf>
    <xf numFmtId="0" fontId="11" fillId="0" borderId="50" xfId="266" applyFont="1" applyBorder="1" applyAlignment="1">
      <alignment horizontal="center" wrapText="1"/>
    </xf>
    <xf numFmtId="0" fontId="11" fillId="0" borderId="13" xfId="266" applyFont="1" applyBorder="1" applyAlignment="1">
      <alignment horizontal="center" wrapText="1"/>
    </xf>
    <xf numFmtId="0" fontId="11" fillId="0" borderId="51" xfId="266" applyFont="1" applyBorder="1" applyAlignment="1">
      <alignment horizontal="center" wrapText="1"/>
    </xf>
    <xf numFmtId="0" fontId="11" fillId="0" borderId="50" xfId="192" applyFont="1" applyBorder="1" applyAlignment="1">
      <alignment horizontal="center"/>
    </xf>
    <xf numFmtId="0" fontId="11" fillId="0" borderId="13" xfId="192" applyFont="1" applyBorder="1" applyAlignment="1">
      <alignment horizontal="center"/>
    </xf>
    <xf numFmtId="0" fontId="11" fillId="0" borderId="51" xfId="192" applyFont="1" applyBorder="1" applyAlignment="1">
      <alignment horizontal="center"/>
    </xf>
    <xf numFmtId="3" fontId="7" fillId="0" borderId="0" xfId="214" applyNumberFormat="1" applyFont="1" applyBorder="1" applyAlignment="1">
      <alignment horizontal="center"/>
    </xf>
    <xf numFmtId="0" fontId="14" fillId="0" borderId="0" xfId="214" applyFont="1" applyFill="1" applyBorder="1" applyAlignment="1">
      <alignment horizontal="left" wrapText="1"/>
    </xf>
    <xf numFmtId="0" fontId="19" fillId="0" borderId="0" xfId="253" applyFont="1" applyAlignment="1">
      <alignment horizontal="center" wrapText="1"/>
    </xf>
    <xf numFmtId="0" fontId="15" fillId="0" borderId="0" xfId="0" applyFont="1" applyAlignment="1">
      <alignment horizontal="center" wrapText="1"/>
    </xf>
    <xf numFmtId="3" fontId="7" fillId="0" borderId="0" xfId="0" applyNumberFormat="1" applyFont="1" applyAlignment="1">
      <alignment horizontal="center"/>
    </xf>
    <xf numFmtId="0" fontId="19" fillId="0" borderId="0" xfId="214" quotePrefix="1" applyFont="1" applyBorder="1" applyAlignment="1">
      <alignment horizontal="center" wrapText="1"/>
    </xf>
    <xf numFmtId="3" fontId="0" fillId="0" borderId="11" xfId="0" applyNumberFormat="1" applyBorder="1" applyAlignment="1">
      <alignment horizontal="center"/>
    </xf>
    <xf numFmtId="3" fontId="14" fillId="0" borderId="11" xfId="0" applyNumberFormat="1" applyFont="1" applyFill="1" applyBorder="1" applyAlignment="1">
      <alignment horizontal="center"/>
    </xf>
    <xf numFmtId="0" fontId="26" fillId="0" borderId="0" xfId="351" applyFont="1" applyFill="1" applyAlignment="1">
      <alignment horizontal="left" vertical="top" wrapText="1"/>
    </xf>
    <xf numFmtId="0" fontId="26" fillId="0" borderId="0" xfId="351" applyFont="1" applyFill="1" applyAlignment="1">
      <alignment horizontal="left" wrapText="1"/>
    </xf>
    <xf numFmtId="0" fontId="26" fillId="0" borderId="0" xfId="351" applyFont="1" applyAlignment="1">
      <alignment horizontal="left" vertical="top" wrapText="1"/>
    </xf>
    <xf numFmtId="41" fontId="26" fillId="32" borderId="34" xfId="253" applyNumberFormat="1" applyFont="1" applyFill="1" applyBorder="1" applyAlignment="1" applyProtection="1">
      <alignment vertical="center"/>
      <protection locked="0"/>
    </xf>
    <xf numFmtId="0" fontId="26" fillId="0" borderId="0" xfId="351" applyFont="1" applyAlignment="1">
      <alignment horizontal="center" wrapText="1"/>
    </xf>
    <xf numFmtId="41" fontId="26" fillId="32" borderId="34" xfId="253" applyNumberFormat="1" applyFont="1" applyFill="1" applyBorder="1" applyAlignment="1" applyProtection="1">
      <alignment horizontal="left" vertical="center" wrapText="1"/>
      <protection locked="0"/>
    </xf>
    <xf numFmtId="0" fontId="27" fillId="0" borderId="0" xfId="351" applyFont="1" applyBorder="1" applyAlignment="1">
      <alignment horizontal="center" wrapText="1"/>
    </xf>
    <xf numFmtId="0" fontId="26" fillId="0" borderId="0" xfId="351" applyFont="1" applyAlignment="1">
      <alignment horizontal="left" wrapText="1"/>
    </xf>
    <xf numFmtId="0" fontId="26" fillId="0" borderId="11" xfId="351" applyFont="1" applyBorder="1" applyAlignment="1">
      <alignment horizontal="center"/>
    </xf>
    <xf numFmtId="0" fontId="26" fillId="0" borderId="11" xfId="0" applyFont="1" applyBorder="1" applyAlignment="1">
      <alignment horizontal="center"/>
    </xf>
    <xf numFmtId="0" fontId="26" fillId="0" borderId="11" xfId="351" applyFont="1" applyBorder="1" applyAlignment="1">
      <alignment horizontal="center" wrapText="1"/>
    </xf>
    <xf numFmtId="0" fontId="19" fillId="0" borderId="0" xfId="253" applyFont="1" applyBorder="1" applyAlignment="1">
      <alignment horizontal="center" wrapText="1"/>
    </xf>
    <xf numFmtId="0" fontId="15" fillId="0" borderId="0" xfId="0" applyFont="1" applyBorder="1" applyAlignment="1">
      <alignment horizontal="center" wrapText="1"/>
    </xf>
    <xf numFmtId="0" fontId="14" fillId="0" borderId="0" xfId="214" applyNumberFormat="1" applyFont="1" applyFill="1" applyBorder="1" applyAlignment="1">
      <alignment horizontal="left" wrapText="1"/>
    </xf>
    <xf numFmtId="0" fontId="81" fillId="0" borderId="0" xfId="214" applyNumberFormat="1" applyFont="1" applyFill="1" applyBorder="1" applyAlignment="1">
      <alignment horizontal="center"/>
    </xf>
    <xf numFmtId="0" fontId="81" fillId="0" borderId="0" xfId="253" applyFont="1" applyFill="1" applyAlignment="1">
      <alignment horizontal="center"/>
    </xf>
    <xf numFmtId="0" fontId="81" fillId="0" borderId="0" xfId="0" applyFont="1" applyFill="1" applyAlignment="1">
      <alignment horizontal="center"/>
    </xf>
    <xf numFmtId="0" fontId="7" fillId="0" borderId="0" xfId="0" applyFont="1" applyAlignment="1" applyProtection="1">
      <alignment horizontal="center"/>
    </xf>
    <xf numFmtId="0" fontId="7" fillId="0" borderId="0" xfId="214" applyFont="1" applyBorder="1" applyAlignment="1" applyProtection="1">
      <alignment horizontal="center"/>
    </xf>
    <xf numFmtId="3" fontId="7" fillId="0" borderId="0" xfId="0" applyNumberFormat="1" applyFont="1" applyAlignment="1" applyProtection="1">
      <alignment horizontal="center"/>
    </xf>
    <xf numFmtId="172" fontId="14" fillId="0" borderId="0" xfId="263" applyFont="1" applyFill="1" applyAlignment="1" applyProtection="1">
      <alignment horizontal="left" vertical="top" wrapText="1"/>
    </xf>
    <xf numFmtId="0" fontId="11" fillId="0" borderId="0" xfId="267" applyFont="1" applyFill="1" applyAlignment="1" applyProtection="1">
      <alignment wrapText="1"/>
    </xf>
    <xf numFmtId="3" fontId="6" fillId="0" borderId="0" xfId="0" applyNumberFormat="1" applyFont="1" applyAlignment="1" applyProtection="1">
      <alignment horizontal="center"/>
    </xf>
    <xf numFmtId="0" fontId="12" fillId="0" borderId="0" xfId="267" applyFont="1" applyFill="1" applyAlignment="1" applyProtection="1">
      <alignment horizontal="center"/>
    </xf>
    <xf numFmtId="3" fontId="6" fillId="0" borderId="0" xfId="0" applyNumberFormat="1" applyFont="1" applyAlignment="1">
      <alignment horizontal="center"/>
    </xf>
    <xf numFmtId="0" fontId="14" fillId="0" borderId="0" xfId="0" applyFont="1" applyAlignment="1">
      <alignment vertical="top" wrapText="1"/>
    </xf>
    <xf numFmtId="0" fontId="6" fillId="0" borderId="11" xfId="264" applyFont="1" applyBorder="1" applyAlignment="1">
      <alignment horizontal="center"/>
    </xf>
    <xf numFmtId="0" fontId="73" fillId="0" borderId="0" xfId="264" applyFont="1" applyFill="1" applyAlignment="1">
      <alignment horizontal="left" wrapText="1"/>
    </xf>
    <xf numFmtId="0" fontId="73" fillId="0" borderId="0" xfId="264" applyFont="1" applyFill="1" applyAlignment="1">
      <alignment wrapText="1"/>
    </xf>
    <xf numFmtId="0" fontId="6" fillId="0" borderId="0" xfId="214" applyFont="1" applyBorder="1" applyAlignment="1">
      <alignment horizontal="center"/>
    </xf>
    <xf numFmtId="0" fontId="6" fillId="0" borderId="0" xfId="0" applyFont="1" applyAlignment="1">
      <alignment horizontal="center"/>
    </xf>
    <xf numFmtId="0" fontId="0" fillId="0" borderId="0" xfId="0" applyNumberFormat="1" applyAlignment="1" applyProtection="1">
      <alignment horizontal="left" wrapText="1"/>
    </xf>
    <xf numFmtId="0" fontId="71" fillId="32" borderId="0" xfId="0" applyFont="1" applyFill="1" applyAlignment="1" applyProtection="1">
      <alignment horizontal="left" wrapText="1"/>
      <protection locked="0"/>
    </xf>
    <xf numFmtId="0" fontId="0" fillId="32" borderId="0" xfId="0" applyFill="1" applyAlignment="1" applyProtection="1">
      <alignment wrapText="1"/>
      <protection locked="0"/>
    </xf>
    <xf numFmtId="172" fontId="4" fillId="0" borderId="21" xfId="263" applyFont="1" applyBorder="1" applyAlignment="1" applyProtection="1">
      <alignment wrapText="1"/>
    </xf>
    <xf numFmtId="0" fontId="4" fillId="0" borderId="15" xfId="0" applyFont="1" applyBorder="1" applyAlignment="1" applyProtection="1">
      <alignment wrapText="1"/>
    </xf>
    <xf numFmtId="0" fontId="4" fillId="0" borderId="25" xfId="0" applyFont="1" applyBorder="1" applyAlignment="1" applyProtection="1">
      <alignment wrapText="1"/>
    </xf>
    <xf numFmtId="0" fontId="4" fillId="0" borderId="17" xfId="0" applyFont="1" applyBorder="1" applyAlignment="1" applyProtection="1">
      <alignment wrapText="1"/>
    </xf>
    <xf numFmtId="0" fontId="4" fillId="0" borderId="0" xfId="0" applyFont="1" applyBorder="1" applyAlignment="1" applyProtection="1">
      <alignment wrapText="1"/>
    </xf>
    <xf numFmtId="0" fontId="4" fillId="0" borderId="18" xfId="0" applyFont="1" applyBorder="1" applyAlignment="1" applyProtection="1">
      <alignment wrapText="1"/>
    </xf>
    <xf numFmtId="0" fontId="6" fillId="0" borderId="0" xfId="0" applyFont="1" applyFill="1" applyAlignment="1" applyProtection="1">
      <alignment wrapText="1"/>
    </xf>
    <xf numFmtId="0" fontId="0" fillId="0" borderId="0" xfId="0" applyAlignment="1" applyProtection="1">
      <alignment wrapText="1"/>
    </xf>
    <xf numFmtId="173" fontId="98" fillId="0" borderId="0" xfId="88" applyNumberFormat="1" applyFont="1" applyBorder="1" applyAlignment="1" applyProtection="1">
      <alignment horizontal="center"/>
    </xf>
    <xf numFmtId="0" fontId="71" fillId="32" borderId="0" xfId="0" applyFont="1" applyFill="1" applyAlignment="1" applyProtection="1">
      <alignment horizontal="left" vertical="top" wrapText="1"/>
      <protection locked="0"/>
    </xf>
    <xf numFmtId="0" fontId="0" fillId="32" borderId="0" xfId="0" applyFill="1" applyAlignment="1" applyProtection="1">
      <alignment vertical="top" wrapText="1"/>
      <protection locked="0"/>
    </xf>
    <xf numFmtId="173" fontId="98" fillId="0" borderId="0" xfId="86" applyNumberFormat="1" applyFont="1" applyBorder="1" applyAlignment="1" applyProtection="1">
      <alignment horizontal="center"/>
    </xf>
    <xf numFmtId="0" fontId="14" fillId="0" borderId="0" xfId="0" applyFont="1" applyFill="1" applyBorder="1" applyAlignment="1" applyProtection="1">
      <alignment wrapText="1"/>
    </xf>
    <xf numFmtId="0" fontId="14" fillId="0" borderId="0" xfId="256" applyFont="1" applyFill="1" applyAlignment="1" applyProtection="1">
      <alignment horizontal="left" wrapText="1"/>
    </xf>
    <xf numFmtId="0" fontId="14" fillId="0" borderId="0" xfId="186" applyFont="1" applyFill="1" applyAlignment="1" applyProtection="1">
      <alignment wrapText="1"/>
    </xf>
    <xf numFmtId="0" fontId="91" fillId="0" borderId="0" xfId="256" applyFont="1" applyFill="1" applyAlignment="1" applyProtection="1">
      <alignment horizontal="left" wrapText="1"/>
    </xf>
    <xf numFmtId="0" fontId="65" fillId="0" borderId="0" xfId="0" applyFont="1" applyAlignment="1" applyProtection="1">
      <alignment vertical="top" wrapText="1"/>
    </xf>
    <xf numFmtId="0" fontId="14" fillId="0" borderId="0" xfId="0" applyFont="1" applyAlignment="1" applyProtection="1">
      <alignment vertical="top" wrapText="1"/>
    </xf>
    <xf numFmtId="41" fontId="11" fillId="0" borderId="0" xfId="256" applyNumberFormat="1" applyFont="1" applyFill="1" applyBorder="1" applyAlignment="1" applyProtection="1">
      <alignment horizontal="center" wrapText="1"/>
    </xf>
    <xf numFmtId="0" fontId="11" fillId="0" borderId="50" xfId="0" applyFont="1" applyBorder="1" applyAlignment="1">
      <alignment horizontal="center"/>
    </xf>
    <xf numFmtId="0" fontId="11" fillId="0" borderId="13" xfId="0" applyFont="1" applyBorder="1" applyAlignment="1">
      <alignment horizontal="center"/>
    </xf>
    <xf numFmtId="0" fontId="11" fillId="0" borderId="51" xfId="0" applyFont="1" applyBorder="1" applyAlignment="1">
      <alignment horizontal="center"/>
    </xf>
    <xf numFmtId="0" fontId="11"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1" fillId="0" borderId="0" xfId="0" applyFont="1" applyAlignment="1">
      <alignment horizontal="left" wrapText="1"/>
    </xf>
    <xf numFmtId="0" fontId="97" fillId="0" borderId="0" xfId="0" applyFont="1" applyAlignment="1">
      <alignment horizontal="center" wrapText="1"/>
    </xf>
    <xf numFmtId="0" fontId="22" fillId="32" borderId="0" xfId="0" applyFont="1" applyFill="1" applyAlignment="1" applyProtection="1">
      <alignment wrapText="1"/>
      <protection locked="0"/>
    </xf>
    <xf numFmtId="0" fontId="149" fillId="0" borderId="0" xfId="0" applyFont="1" applyAlignment="1">
      <alignment horizontal="left" wrapText="1"/>
    </xf>
    <xf numFmtId="0" fontId="136" fillId="0" borderId="0" xfId="0" applyFont="1" applyAlignment="1">
      <alignment horizontal="center"/>
    </xf>
    <xf numFmtId="0" fontId="136" fillId="0" borderId="0" xfId="214" applyFont="1" applyBorder="1" applyAlignment="1">
      <alignment horizontal="center"/>
    </xf>
    <xf numFmtId="0" fontId="141" fillId="0" borderId="0" xfId="0" applyFont="1" applyAlignment="1">
      <alignment horizontal="center"/>
    </xf>
    <xf numFmtId="0" fontId="136" fillId="0" borderId="0" xfId="214" applyFont="1" applyFill="1" applyBorder="1" applyAlignment="1">
      <alignment horizontal="center"/>
    </xf>
    <xf numFmtId="3" fontId="136" fillId="0" borderId="0" xfId="0" applyNumberFormat="1" applyFont="1" applyAlignment="1">
      <alignment horizontal="center"/>
    </xf>
    <xf numFmtId="0" fontId="143" fillId="0" borderId="0" xfId="0" applyFont="1" applyAlignment="1">
      <alignment horizontal="center"/>
    </xf>
    <xf numFmtId="0" fontId="141" fillId="0" borderId="0" xfId="0" applyFont="1" applyAlignment="1">
      <alignment wrapText="1"/>
    </xf>
    <xf numFmtId="0" fontId="141" fillId="0" borderId="0" xfId="0" applyFont="1" applyFill="1" applyAlignment="1">
      <alignment horizontal="left" wrapText="1"/>
    </xf>
    <xf numFmtId="0" fontId="143" fillId="0" borderId="0" xfId="0" applyFont="1" applyAlignment="1">
      <alignment horizontal="center" wrapText="1"/>
    </xf>
    <xf numFmtId="173" fontId="143" fillId="0" borderId="0" xfId="112" applyNumberFormat="1" applyFont="1" applyAlignment="1">
      <alignment horizontal="center" wrapText="1"/>
    </xf>
    <xf numFmtId="0" fontId="5" fillId="0" borderId="0" xfId="265" applyFont="1" applyAlignment="1" applyProtection="1">
      <alignment horizontal="left" wrapText="1"/>
    </xf>
    <xf numFmtId="0" fontId="7" fillId="0" borderId="0" xfId="261" applyFont="1" applyAlignment="1" applyProtection="1">
      <alignment vertical="top" wrapText="1"/>
    </xf>
    <xf numFmtId="0" fontId="5" fillId="0" borderId="0" xfId="0" applyFont="1" applyAlignment="1" applyProtection="1">
      <alignment vertical="top" wrapText="1"/>
    </xf>
    <xf numFmtId="0" fontId="107" fillId="0" borderId="0" xfId="265" applyFont="1" applyAlignment="1" applyProtection="1">
      <alignment horizontal="center"/>
    </xf>
    <xf numFmtId="3" fontId="107" fillId="0" borderId="0" xfId="265" applyNumberFormat="1" applyFont="1" applyAlignment="1" applyProtection="1">
      <alignment horizontal="center"/>
    </xf>
    <xf numFmtId="44" fontId="107" fillId="0" borderId="0" xfId="118" applyFont="1" applyAlignment="1" applyProtection="1">
      <alignment horizontal="center"/>
    </xf>
    <xf numFmtId="0" fontId="78" fillId="0" borderId="30" xfId="265" applyFont="1" applyBorder="1" applyAlignment="1" applyProtection="1">
      <alignment horizontal="center"/>
    </xf>
    <xf numFmtId="0" fontId="107" fillId="0" borderId="0" xfId="265" applyFont="1" applyAlignment="1">
      <alignment horizontal="center"/>
    </xf>
    <xf numFmtId="0" fontId="7" fillId="0" borderId="0" xfId="262" applyFont="1" applyAlignment="1">
      <alignment vertical="top" wrapText="1"/>
    </xf>
    <xf numFmtId="0" fontId="7" fillId="0" borderId="0" xfId="168" applyFont="1" applyAlignment="1">
      <alignment wrapText="1"/>
    </xf>
    <xf numFmtId="44" fontId="107" fillId="0" borderId="0" xfId="119" applyFont="1" applyAlignment="1">
      <alignment horizontal="center"/>
    </xf>
    <xf numFmtId="0" fontId="78" fillId="0" borderId="30" xfId="265" applyFont="1" applyBorder="1" applyAlignment="1">
      <alignment horizontal="center"/>
    </xf>
    <xf numFmtId="0" fontId="78" fillId="0" borderId="0" xfId="168" applyFont="1" applyAlignment="1">
      <alignment vertical="top" wrapText="1"/>
    </xf>
    <xf numFmtId="0" fontId="14" fillId="0" borderId="0" xfId="168" applyAlignment="1">
      <alignment vertical="top" wrapText="1"/>
    </xf>
    <xf numFmtId="0" fontId="7" fillId="0" borderId="0" xfId="168" applyFont="1" applyAlignment="1">
      <alignment vertical="top" wrapText="1"/>
    </xf>
    <xf numFmtId="0" fontId="137" fillId="0" borderId="0" xfId="265" applyFont="1" applyAlignment="1">
      <alignment horizontal="center"/>
    </xf>
    <xf numFmtId="0" fontId="5" fillId="0" borderId="0" xfId="265" applyAlignment="1">
      <alignment wrapText="1"/>
    </xf>
    <xf numFmtId="0" fontId="78" fillId="0" borderId="0" xfId="0" applyFont="1" applyAlignment="1" applyProtection="1">
      <alignment horizontal="center"/>
    </xf>
    <xf numFmtId="0" fontId="8" fillId="0" borderId="0" xfId="0" applyFont="1" applyFill="1" applyAlignment="1" applyProtection="1">
      <alignment horizontal="center"/>
    </xf>
    <xf numFmtId="0" fontId="120" fillId="0" borderId="0" xfId="0" applyFont="1" applyFill="1" applyAlignment="1" applyProtection="1">
      <alignment horizontal="center" wrapText="1"/>
    </xf>
  </cellXfs>
  <cellStyles count="56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A 2" xfId="352"/>
    <cellStyle name="C01B" xfId="55"/>
    <cellStyle name="C01B 2" xfId="353"/>
    <cellStyle name="C01H" xfId="56"/>
    <cellStyle name="C01L" xfId="57"/>
    <cellStyle name="C02A" xfId="58"/>
    <cellStyle name="C02A 2" xfId="354"/>
    <cellStyle name="C02B" xfId="59"/>
    <cellStyle name="C02B 2" xfId="355"/>
    <cellStyle name="C02H" xfId="60"/>
    <cellStyle name="C02L" xfId="61"/>
    <cellStyle name="C03A" xfId="62"/>
    <cellStyle name="C03B" xfId="63"/>
    <cellStyle name="C03H" xfId="64"/>
    <cellStyle name="C03L" xfId="65"/>
    <cellStyle name="C04A" xfId="66"/>
    <cellStyle name="C04A 2" xfId="356"/>
    <cellStyle name="C04B" xfId="67"/>
    <cellStyle name="C04H" xfId="68"/>
    <cellStyle name="C04L" xfId="69"/>
    <cellStyle name="C05A" xfId="70"/>
    <cellStyle name="C05B" xfId="71"/>
    <cellStyle name="C05H" xfId="72"/>
    <cellStyle name="C05L" xfId="73"/>
    <cellStyle name="C05L 2" xfId="357"/>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alculation 2 2" xfId="359"/>
    <cellStyle name="Calculation 3" xfId="358"/>
    <cellStyle name="Check Cell" xfId="84" builtinId="23" customBuiltin="1"/>
    <cellStyle name="Check Cell 2" xfId="85"/>
    <cellStyle name="Comma" xfId="86" builtinId="3"/>
    <cellStyle name="Comma [0] 2" xfId="558"/>
    <cellStyle name="Comma 10" xfId="350"/>
    <cellStyle name="Comma 10 2" xfId="360"/>
    <cellStyle name="Comma 11" xfId="554"/>
    <cellStyle name="Comma 12 2" xfId="87"/>
    <cellStyle name="Comma 12 2 2" xfId="361"/>
    <cellStyle name="Comma 2" xfId="88"/>
    <cellStyle name="Comma 2 2" xfId="89"/>
    <cellStyle name="Comma 2 2 2" xfId="363"/>
    <cellStyle name="Comma 2 3" xfId="362"/>
    <cellStyle name="Comma 3" xfId="90"/>
    <cellStyle name="Comma 3 10" xfId="364"/>
    <cellStyle name="Comma 3 2" xfId="91"/>
    <cellStyle name="Comma 3 2 2" xfId="365"/>
    <cellStyle name="Comma 3 3" xfId="92"/>
    <cellStyle name="Comma 3 3 2" xfId="93"/>
    <cellStyle name="Comma 3 3 2 2" xfId="367"/>
    <cellStyle name="Comma 3 3 3" xfId="94"/>
    <cellStyle name="Comma 3 3 3 2" xfId="368"/>
    <cellStyle name="Comma 3 3 4" xfId="366"/>
    <cellStyle name="Comma 3 4" xfId="95"/>
    <cellStyle name="Comma 3 4 2" xfId="96"/>
    <cellStyle name="Comma 3 4 2 2" xfId="370"/>
    <cellStyle name="Comma 3 4 3" xfId="97"/>
    <cellStyle name="Comma 3 4 3 2" xfId="371"/>
    <cellStyle name="Comma 3 4 4" xfId="369"/>
    <cellStyle name="Comma 3 5" xfId="98"/>
    <cellStyle name="Comma 3 5 2" xfId="372"/>
    <cellStyle name="Comma 3 6" xfId="99"/>
    <cellStyle name="Comma 3 6 2" xfId="100"/>
    <cellStyle name="Comma 3 6 2 2" xfId="374"/>
    <cellStyle name="Comma 3 6 3" xfId="373"/>
    <cellStyle name="Comma 3 7" xfId="101"/>
    <cellStyle name="Comma 3 7 2" xfId="102"/>
    <cellStyle name="Comma 3 7 2 2" xfId="376"/>
    <cellStyle name="Comma 3 7 3" xfId="375"/>
    <cellStyle name="Comma 3 8" xfId="103"/>
    <cellStyle name="Comma 3 8 2" xfId="377"/>
    <cellStyle name="Comma 3 9" xfId="104"/>
    <cellStyle name="Comma 3 9 2" xfId="379"/>
    <cellStyle name="Comma 3 9 3" xfId="378"/>
    <cellStyle name="Comma 4" xfId="105"/>
    <cellStyle name="Comma 4 2" xfId="106"/>
    <cellStyle name="Comma 4 2 2" xfId="381"/>
    <cellStyle name="Comma 4 3" xfId="380"/>
    <cellStyle name="Comma 5" xfId="107"/>
    <cellStyle name="Comma 5 2" xfId="108"/>
    <cellStyle name="Comma 5 2 2" xfId="383"/>
    <cellStyle name="Comma 5 3" xfId="382"/>
    <cellStyle name="Comma 6" xfId="109"/>
    <cellStyle name="Comma 6 2" xfId="110"/>
    <cellStyle name="Comma 6 2 2" xfId="385"/>
    <cellStyle name="Comma 6 3" xfId="111"/>
    <cellStyle name="Comma 6 3 2" xfId="386"/>
    <cellStyle name="Comma 6 4" xfId="384"/>
    <cellStyle name="Comma 7" xfId="112"/>
    <cellStyle name="Comma 7 2" xfId="113"/>
    <cellStyle name="Comma 7 2 2" xfId="388"/>
    <cellStyle name="Comma 7 3" xfId="389"/>
    <cellStyle name="Comma 7 4" xfId="390"/>
    <cellStyle name="Comma 7 5" xfId="387"/>
    <cellStyle name="Comma 8" xfId="114"/>
    <cellStyle name="Comma 8 2" xfId="391"/>
    <cellStyle name="Comma 9" xfId="115"/>
    <cellStyle name="Comma 9 2" xfId="349"/>
    <cellStyle name="Comma 9 2 2" xfId="553"/>
    <cellStyle name="Comma 9 3" xfId="560"/>
    <cellStyle name="Comma 9 4" xfId="392"/>
    <cellStyle name="Comma_spp calc - revsd rev crd" xfId="116"/>
    <cellStyle name="Comma0" xfId="117"/>
    <cellStyle name="Comma0 2" xfId="393"/>
    <cellStyle name="Currency" xfId="118" builtinId="4"/>
    <cellStyle name="Currency [0] 2" xfId="557"/>
    <cellStyle name="Currency 10" xfId="556"/>
    <cellStyle name="Currency 2" xfId="119"/>
    <cellStyle name="Currency 2 2" xfId="120"/>
    <cellStyle name="Currency 2 2 2" xfId="395"/>
    <cellStyle name="Currency 2 3" xfId="394"/>
    <cellStyle name="Currency 3" xfId="121"/>
    <cellStyle name="Currency 3 2" xfId="122"/>
    <cellStyle name="Currency 3 2 2" xfId="396"/>
    <cellStyle name="Currency 3 3" xfId="123"/>
    <cellStyle name="Currency 3 3 2" xfId="124"/>
    <cellStyle name="Currency 3 3 2 2" xfId="398"/>
    <cellStyle name="Currency 3 3 3" xfId="125"/>
    <cellStyle name="Currency 3 3 3 2" xfId="399"/>
    <cellStyle name="Currency 3 3 4" xfId="397"/>
    <cellStyle name="Currency 3 4" xfId="126"/>
    <cellStyle name="Currency 3 4 2" xfId="127"/>
    <cellStyle name="Currency 3 4 2 2" xfId="401"/>
    <cellStyle name="Currency 3 4 3" xfId="128"/>
    <cellStyle name="Currency 3 4 3 2" xfId="402"/>
    <cellStyle name="Currency 3 4 4" xfId="400"/>
    <cellStyle name="Currency 3 5" xfId="129"/>
    <cellStyle name="Currency 3 5 2" xfId="403"/>
    <cellStyle name="Currency 3 6" xfId="130"/>
    <cellStyle name="Currency 3 6 2" xfId="131"/>
    <cellStyle name="Currency 3 6 2 2" xfId="405"/>
    <cellStyle name="Currency 3 6 3" xfId="404"/>
    <cellStyle name="Currency 3 7" xfId="132"/>
    <cellStyle name="Currency 3 7 2" xfId="406"/>
    <cellStyle name="Currency 3 8" xfId="133"/>
    <cellStyle name="Currency 3 8 2" xfId="407"/>
    <cellStyle name="Currency 3 9" xfId="408"/>
    <cellStyle name="Currency 4" xfId="134"/>
    <cellStyle name="Currency 4 2" xfId="135"/>
    <cellStyle name="Currency 4 2 2" xfId="410"/>
    <cellStyle name="Currency 4 3" xfId="409"/>
    <cellStyle name="Currency 5" xfId="136"/>
    <cellStyle name="Currency 5 2" xfId="137"/>
    <cellStyle name="Currency 5 2 2" xfId="412"/>
    <cellStyle name="Currency 5 3" xfId="411"/>
    <cellStyle name="Currency 6" xfId="138"/>
    <cellStyle name="Currency 6 2" xfId="413"/>
    <cellStyle name="Currency 7" xfId="139"/>
    <cellStyle name="Currency 7 2" xfId="414"/>
    <cellStyle name="Currency 8" xfId="140"/>
    <cellStyle name="Currency 8 2" xfId="415"/>
    <cellStyle name="Currency 9" xfId="416"/>
    <cellStyle name="Currency0" xfId="141"/>
    <cellStyle name="Currency0 2" xfId="417"/>
    <cellStyle name="Date" xfId="142"/>
    <cellStyle name="Date 2" xfId="418"/>
    <cellStyle name="Explanatory Text" xfId="143" builtinId="53" customBuiltin="1"/>
    <cellStyle name="Explanatory Text 2" xfId="144"/>
    <cellStyle name="Fixed" xfId="145"/>
    <cellStyle name="Fixed 2" xfId="419"/>
    <cellStyle name="Good" xfId="146" builtinId="26" customBuiltin="1"/>
    <cellStyle name="Good 2" xfId="147"/>
    <cellStyle name="Heading 1" xfId="148" builtinId="16" customBuiltin="1"/>
    <cellStyle name="Heading 1 2" xfId="149"/>
    <cellStyle name="Heading 2" xfId="150" builtinId="17" customBuiltin="1"/>
    <cellStyle name="Heading 2 2" xfId="151"/>
    <cellStyle name="Heading 3" xfId="152" builtinId="18" customBuiltin="1"/>
    <cellStyle name="Heading 3 2" xfId="153"/>
    <cellStyle name="Heading 4" xfId="154" builtinId="19" customBuiltin="1"/>
    <cellStyle name="Heading 4 2" xfId="155"/>
    <cellStyle name="Heading1" xfId="156"/>
    <cellStyle name="Heading2" xfId="157"/>
    <cellStyle name="Input" xfId="158" builtinId="20" customBuiltin="1"/>
    <cellStyle name="Input 2" xfId="159"/>
    <cellStyle name="Input 2 2" xfId="421"/>
    <cellStyle name="Input 3" xfId="420"/>
    <cellStyle name="Linked Cell" xfId="160" builtinId="24" customBuiltin="1"/>
    <cellStyle name="Linked Cell 2" xfId="161"/>
    <cellStyle name="Neutral" xfId="162" builtinId="28" customBuiltin="1"/>
    <cellStyle name="Neutral 2" xfId="163"/>
    <cellStyle name="Normal" xfId="0" builtinId="0"/>
    <cellStyle name="Normal 10" xfId="164"/>
    <cellStyle name="Normal 10 2" xfId="165"/>
    <cellStyle name="Normal 10 2 2" xfId="423"/>
    <cellStyle name="Normal 10 3" xfId="166"/>
    <cellStyle name="Normal 10 3 2" xfId="424"/>
    <cellStyle name="Normal 10 4" xfId="422"/>
    <cellStyle name="Normal 11" xfId="167"/>
    <cellStyle name="Normal 11 2" xfId="168"/>
    <cellStyle name="Normal 11 2 2" xfId="345"/>
    <cellStyle name="Normal 11 3" xfId="169"/>
    <cellStyle name="Normal 11 3 2" xfId="426"/>
    <cellStyle name="Normal 11 4" xfId="425"/>
    <cellStyle name="Normal 12" xfId="170"/>
    <cellStyle name="Normal 12 2" xfId="171"/>
    <cellStyle name="Normal 12 2 2" xfId="428"/>
    <cellStyle name="Normal 12 3" xfId="427"/>
    <cellStyle name="Normal 12 4" xfId="172"/>
    <cellStyle name="Normal 12 4 2" xfId="429"/>
    <cellStyle name="Normal 13" xfId="173"/>
    <cellStyle name="Normal 13 2" xfId="174"/>
    <cellStyle name="Normal 13 2 2" xfId="431"/>
    <cellStyle name="Normal 13 3" xfId="430"/>
    <cellStyle name="Normal 14" xfId="175"/>
    <cellStyle name="Normal 14 2" xfId="176"/>
    <cellStyle name="Normal 14 2 2" xfId="433"/>
    <cellStyle name="Normal 14 3" xfId="432"/>
    <cellStyle name="Normal 15" xfId="177"/>
    <cellStyle name="Normal 15 2" xfId="434"/>
    <cellStyle name="Normal 16" xfId="178"/>
    <cellStyle name="Normal 16 2" xfId="179"/>
    <cellStyle name="Normal 16 2 2" xfId="436"/>
    <cellStyle name="Normal 16 3" xfId="435"/>
    <cellStyle name="Normal 17" xfId="180"/>
    <cellStyle name="Normal 17 2" xfId="181"/>
    <cellStyle name="Normal 17 2 2" xfId="438"/>
    <cellStyle name="Normal 17 3" xfId="437"/>
    <cellStyle name="Normal 18" xfId="182"/>
    <cellStyle name="Normal 18 2" xfId="183"/>
    <cellStyle name="Normal 18 2 2" xfId="440"/>
    <cellStyle name="Normal 18 3" xfId="439"/>
    <cellStyle name="Normal 19" xfId="184"/>
    <cellStyle name="Normal 19 2" xfId="185"/>
    <cellStyle name="Normal 19 2 2" xfId="442"/>
    <cellStyle name="Normal 19 3" xfId="441"/>
    <cellStyle name="Normal 2" xfId="186"/>
    <cellStyle name="Normal 2 2" xfId="187"/>
    <cellStyle name="Normal 2 2 2" xfId="188"/>
    <cellStyle name="Normal 2 2 3" xfId="189"/>
    <cellStyle name="Normal 2 2 3 2" xfId="445"/>
    <cellStyle name="Normal 2 2 4" xfId="190"/>
    <cellStyle name="Normal 2 2 4 2" xfId="446"/>
    <cellStyle name="Normal 2 2 5" xfId="444"/>
    <cellStyle name="Normal 2 3" xfId="191"/>
    <cellStyle name="Normal 2 4" xfId="447"/>
    <cellStyle name="Normal 2 5" xfId="192"/>
    <cellStyle name="Normal 2 5 2" xfId="193"/>
    <cellStyle name="Normal 2 5 2 2" xfId="449"/>
    <cellStyle name="Normal 2 5 3" xfId="448"/>
    <cellStyle name="Normal 2 6" xfId="443"/>
    <cellStyle name="Normal 20" xfId="194"/>
    <cellStyle name="Normal 20 2" xfId="195"/>
    <cellStyle name="Normal 20 2 2" xfId="451"/>
    <cellStyle name="Normal 20 3" xfId="450"/>
    <cellStyle name="Normal 21" xfId="196"/>
    <cellStyle name="Normal 21 2" xfId="197"/>
    <cellStyle name="Normal 21 2 2" xfId="453"/>
    <cellStyle name="Normal 21 3" xfId="452"/>
    <cellStyle name="Normal 22" xfId="198"/>
    <cellStyle name="Normal 22 2" xfId="199"/>
    <cellStyle name="Normal 22 2 2" xfId="455"/>
    <cellStyle name="Normal 22 3" xfId="454"/>
    <cellStyle name="Normal 23" xfId="200"/>
    <cellStyle name="Normal 23 2" xfId="201"/>
    <cellStyle name="Normal 23 2 2" xfId="457"/>
    <cellStyle name="Normal 23 3" xfId="456"/>
    <cellStyle name="Normal 24" xfId="202"/>
    <cellStyle name="Normal 24 2" xfId="203"/>
    <cellStyle name="Normal 24 2 2" xfId="459"/>
    <cellStyle name="Normal 24 3" xfId="458"/>
    <cellStyle name="Normal 25" xfId="204"/>
    <cellStyle name="Normal 25 2" xfId="205"/>
    <cellStyle name="Normal 25 2 2" xfId="461"/>
    <cellStyle name="Normal 25 3" xfId="460"/>
    <cellStyle name="Normal 26" xfId="206"/>
    <cellStyle name="Normal 26 2" xfId="207"/>
    <cellStyle name="Normal 26 2 2" xfId="463"/>
    <cellStyle name="Normal 26 3" xfId="462"/>
    <cellStyle name="Normal 27" xfId="208"/>
    <cellStyle name="Normal 27 2" xfId="464"/>
    <cellStyle name="Normal 28" xfId="209"/>
    <cellStyle name="Normal 28 2" xfId="210"/>
    <cellStyle name="Normal 28 2 2" xfId="466"/>
    <cellStyle name="Normal 28 3" xfId="465"/>
    <cellStyle name="Normal 29" xfId="211"/>
    <cellStyle name="Normal 29 2" xfId="212"/>
    <cellStyle name="Normal 29 2 2" xfId="468"/>
    <cellStyle name="Normal 29 3" xfId="467"/>
    <cellStyle name="Normal 3" xfId="213"/>
    <cellStyle name="Normal 3 2" xfId="214"/>
    <cellStyle name="Normal 3 2 2" xfId="470"/>
    <cellStyle name="Normal 3 3" xfId="215"/>
    <cellStyle name="Normal 3 3 2" xfId="471"/>
    <cellStyle name="Normal 3 4" xfId="469"/>
    <cellStyle name="Normal 3_Attach O, GG, Support -New Method 2-14-11" xfId="216"/>
    <cellStyle name="Normal 30" xfId="348"/>
    <cellStyle name="Normal 30 2" xfId="472"/>
    <cellStyle name="Normal 31" xfId="351"/>
    <cellStyle name="Normal 31 2" xfId="344"/>
    <cellStyle name="Normal 31 2 2" xfId="559"/>
    <cellStyle name="Normal 31 3" xfId="550"/>
    <cellStyle name="Normal 32" xfId="552"/>
    <cellStyle name="Normal 33" xfId="555"/>
    <cellStyle name="Normal 4" xfId="217"/>
    <cellStyle name="Normal 4 10" xfId="473"/>
    <cellStyle name="Normal 4 2" xfId="218"/>
    <cellStyle name="Normal 4 2 2" xfId="474"/>
    <cellStyle name="Normal 4 3" xfId="219"/>
    <cellStyle name="Normal 4 3 2" xfId="220"/>
    <cellStyle name="Normal 4 3 2 2" xfId="476"/>
    <cellStyle name="Normal 4 3 3" xfId="221"/>
    <cellStyle name="Normal 4 3 3 2" xfId="477"/>
    <cellStyle name="Normal 4 3 4" xfId="475"/>
    <cellStyle name="Normal 4 4" xfId="222"/>
    <cellStyle name="Normal 4 4 2" xfId="223"/>
    <cellStyle name="Normal 4 4 2 2" xfId="479"/>
    <cellStyle name="Normal 4 4 3" xfId="224"/>
    <cellStyle name="Normal 4 4 3 2" xfId="480"/>
    <cellStyle name="Normal 4 4 4" xfId="478"/>
    <cellStyle name="Normal 4 5" xfId="225"/>
    <cellStyle name="Normal 4 5 2" xfId="481"/>
    <cellStyle name="Normal 4 6" xfId="226"/>
    <cellStyle name="Normal 4 6 2" xfId="227"/>
    <cellStyle name="Normal 4 6 2 2" xfId="483"/>
    <cellStyle name="Normal 4 6 3" xfId="482"/>
    <cellStyle name="Normal 4 7" xfId="228"/>
    <cellStyle name="Normal 4 7 2" xfId="229"/>
    <cellStyle name="Normal 4 7 2 2" xfId="485"/>
    <cellStyle name="Normal 4 7 3" xfId="484"/>
    <cellStyle name="Normal 4 8" xfId="230"/>
    <cellStyle name="Normal 4 8 2" xfId="486"/>
    <cellStyle name="Normal 4 9" xfId="231"/>
    <cellStyle name="Normal 4 9 2" xfId="487"/>
    <cellStyle name="Normal 4_PBOP Exhibit 1" xfId="232"/>
    <cellStyle name="Normal 5" xfId="233"/>
    <cellStyle name="Normal 5 2" xfId="234"/>
    <cellStyle name="Normal 5 2 2" xfId="235"/>
    <cellStyle name="Normal 5 2 2 2" xfId="490"/>
    <cellStyle name="Normal 5 2 3" xfId="489"/>
    <cellStyle name="Normal 5 3" xfId="236"/>
    <cellStyle name="Normal 5 3 2" xfId="491"/>
    <cellStyle name="Normal 5 4" xfId="237"/>
    <cellStyle name="Normal 5 4 2" xfId="492"/>
    <cellStyle name="Normal 5 5" xfId="488"/>
    <cellStyle name="Normal 6" xfId="238"/>
    <cellStyle name="Normal 6 2" xfId="239"/>
    <cellStyle name="Normal 6 2 2" xfId="240"/>
    <cellStyle name="Normal 6 2 2 2" xfId="495"/>
    <cellStyle name="Normal 6 2 3" xfId="241"/>
    <cellStyle name="Normal 6 2 3 2" xfId="496"/>
    <cellStyle name="Normal 6 2 4" xfId="494"/>
    <cellStyle name="Normal 6 3" xfId="242"/>
    <cellStyle name="Normal 6 3 2" xfId="243"/>
    <cellStyle name="Normal 6 3 2 2" xfId="498"/>
    <cellStyle name="Normal 6 3 3" xfId="497"/>
    <cellStyle name="Normal 6 4" xfId="244"/>
    <cellStyle name="Normal 6 4 2" xfId="245"/>
    <cellStyle name="Normal 6 4 2 2" xfId="500"/>
    <cellStyle name="Normal 6 4 3" xfId="499"/>
    <cellStyle name="Normal 6 5" xfId="493"/>
    <cellStyle name="Normal 7" xfId="246"/>
    <cellStyle name="Normal 7 2" xfId="247"/>
    <cellStyle name="Normal 7 2 2" xfId="502"/>
    <cellStyle name="Normal 7 3" xfId="501"/>
    <cellStyle name="Normal 8" xfId="248"/>
    <cellStyle name="Normal 8 2" xfId="249"/>
    <cellStyle name="Normal 8 2 2" xfId="504"/>
    <cellStyle name="Normal 8 3" xfId="503"/>
    <cellStyle name="Normal 9" xfId="250"/>
    <cellStyle name="Normal 9 2" xfId="251"/>
    <cellStyle name="Normal 9 2 2" xfId="506"/>
    <cellStyle name="Normal 9 3" xfId="505"/>
    <cellStyle name="Normal_21 Exh B" xfId="252"/>
    <cellStyle name="Normal_ADITAnalysisID090805" xfId="253"/>
    <cellStyle name="Normal_ADITAnalysisID090805 2" xfId="254"/>
    <cellStyle name="Normal_ADITAnalysisID090805 2 2" xfId="255"/>
    <cellStyle name="Normal_ADITAnalysisID090805 2 2 2" xfId="256"/>
    <cellStyle name="Normal_ADITAnalysisID090805 3" xfId="257"/>
    <cellStyle name="Normal_ADITAnalysisID090805 4 2" xfId="258"/>
    <cellStyle name="Normal_ADITAnalysisID090805 4 2 2" xfId="549"/>
    <cellStyle name="Normal_ATC Projected 2008 Monthly Plant Balances for Attachment O 2 (2)" xfId="259"/>
    <cellStyle name="Normal_AU Period 2 Rev 4-27-00" xfId="260"/>
    <cellStyle name="Normal_DeprRateAuth East Dave Davis" xfId="261"/>
    <cellStyle name="Normal_DeprRateAuth East Dave Davis 2" xfId="262"/>
    <cellStyle name="Normal_FN1 Ratebase Draft SPP template (6-11-04) v2" xfId="263"/>
    <cellStyle name="Normal_I&amp;M-AK-1" xfId="264"/>
    <cellStyle name="Normal_IM LTD Hedge Entries" xfId="343"/>
    <cellStyle name="Normal_Revised 1-21-10  Deprec Summary" xfId="265"/>
    <cellStyle name="Normal_Schedule O Info for Mike" xfId="266"/>
    <cellStyle name="Normal_spp calc - revsd rev crd" xfId="267"/>
    <cellStyle name="Note" xfId="268" builtinId="10" customBuiltin="1"/>
    <cellStyle name="Note 2" xfId="269"/>
    <cellStyle name="Note 2 2" xfId="508"/>
    <cellStyle name="Note 3" xfId="507"/>
    <cellStyle name="Output" xfId="270" builtinId="21" customBuiltin="1"/>
    <cellStyle name="Output 2" xfId="271"/>
    <cellStyle name="Output 2 2" xfId="510"/>
    <cellStyle name="Output 3" xfId="509"/>
    <cellStyle name="Percent" xfId="272" builtinId="5"/>
    <cellStyle name="Percent 10" xfId="346"/>
    <cellStyle name="Percent 10 2" xfId="511"/>
    <cellStyle name="Percent 11" xfId="551"/>
    <cellStyle name="Percent 2" xfId="273"/>
    <cellStyle name="Percent 2 2" xfId="274"/>
    <cellStyle name="Percent 2 2 2" xfId="347"/>
    <cellStyle name="Percent 3" xfId="275"/>
    <cellStyle name="Percent 3 2" xfId="276"/>
    <cellStyle name="Percent 3 2 2" xfId="512"/>
    <cellStyle name="Percent 3 3" xfId="277"/>
    <cellStyle name="Percent 3 3 2" xfId="278"/>
    <cellStyle name="Percent 3 3 2 2" xfId="514"/>
    <cellStyle name="Percent 3 3 3" xfId="279"/>
    <cellStyle name="Percent 3 3 3 2" xfId="515"/>
    <cellStyle name="Percent 3 3 4" xfId="513"/>
    <cellStyle name="Percent 3 4" xfId="280"/>
    <cellStyle name="Percent 3 4 2" xfId="281"/>
    <cellStyle name="Percent 3 4 2 2" xfId="517"/>
    <cellStyle name="Percent 3 4 3" xfId="282"/>
    <cellStyle name="Percent 3 4 3 2" xfId="518"/>
    <cellStyle name="Percent 3 4 4" xfId="516"/>
    <cellStyle name="Percent 3 5" xfId="283"/>
    <cellStyle name="Percent 3 5 2" xfId="519"/>
    <cellStyle name="Percent 3 6" xfId="284"/>
    <cellStyle name="Percent 3 6 2" xfId="285"/>
    <cellStyle name="Percent 3 6 2 2" xfId="521"/>
    <cellStyle name="Percent 3 6 3" xfId="520"/>
    <cellStyle name="Percent 3 7" xfId="286"/>
    <cellStyle name="Percent 3 7 2" xfId="522"/>
    <cellStyle name="Percent 3 8" xfId="287"/>
    <cellStyle name="Percent 3 8 2" xfId="523"/>
    <cellStyle name="Percent 3 9" xfId="524"/>
    <cellStyle name="Percent 4" xfId="288"/>
    <cellStyle name="Percent 4 2" xfId="289"/>
    <cellStyle name="Percent 4 2 2" xfId="526"/>
    <cellStyle name="Percent 4 3" xfId="290"/>
    <cellStyle name="Percent 4 3 2" xfId="527"/>
    <cellStyle name="Percent 4 4" xfId="525"/>
    <cellStyle name="Percent 5" xfId="291"/>
    <cellStyle name="Percent 5 2" xfId="292"/>
    <cellStyle name="Percent 5 2 2" xfId="529"/>
    <cellStyle name="Percent 5 3" xfId="528"/>
    <cellStyle name="Percent 6" xfId="293"/>
    <cellStyle name="Percent 6 2" xfId="530"/>
    <cellStyle name="Percent 7" xfId="294"/>
    <cellStyle name="Percent 7 2" xfId="295"/>
    <cellStyle name="Percent 7 2 2" xfId="532"/>
    <cellStyle name="Percent 7 3" xfId="533"/>
    <cellStyle name="Percent 7 4" xfId="534"/>
    <cellStyle name="Percent 7 5" xfId="531"/>
    <cellStyle name="Percent 8" xfId="296"/>
    <cellStyle name="Percent 8 2" xfId="535"/>
    <cellStyle name="Percent 9" xfId="297"/>
    <cellStyle name="Percent 9 2" xfId="536"/>
    <cellStyle name="PSChar" xfId="298"/>
    <cellStyle name="PSDate" xfId="299"/>
    <cellStyle name="PSDec" xfId="300"/>
    <cellStyle name="PSdesc" xfId="301"/>
    <cellStyle name="PSdesc 2" xfId="537"/>
    <cellStyle name="PSHeading" xfId="302"/>
    <cellStyle name="PSInt" xfId="303"/>
    <cellStyle name="PSSpacer" xfId="304"/>
    <cellStyle name="PStest" xfId="305"/>
    <cellStyle name="PStest 2" xfId="538"/>
    <cellStyle name="R00A" xfId="306"/>
    <cellStyle name="R00B" xfId="307"/>
    <cellStyle name="R00L" xfId="308"/>
    <cellStyle name="R01A" xfId="309"/>
    <cellStyle name="R01B" xfId="310"/>
    <cellStyle name="R01B 2" xfId="539"/>
    <cellStyle name="R01H" xfId="311"/>
    <cellStyle name="R01L" xfId="312"/>
    <cellStyle name="R02A" xfId="313"/>
    <cellStyle name="R02B" xfId="314"/>
    <cellStyle name="R02B 2" xfId="540"/>
    <cellStyle name="R02H" xfId="315"/>
    <cellStyle name="R02L" xfId="316"/>
    <cellStyle name="R03A" xfId="317"/>
    <cellStyle name="R03B" xfId="318"/>
    <cellStyle name="R03B 2" xfId="541"/>
    <cellStyle name="R03H" xfId="319"/>
    <cellStyle name="R03L" xfId="320"/>
    <cellStyle name="R04A" xfId="321"/>
    <cellStyle name="R04B" xfId="322"/>
    <cellStyle name="R04B 2" xfId="542"/>
    <cellStyle name="R04H" xfId="323"/>
    <cellStyle name="R04L" xfId="324"/>
    <cellStyle name="R05A" xfId="325"/>
    <cellStyle name="R05B" xfId="326"/>
    <cellStyle name="R05B 2" xfId="543"/>
    <cellStyle name="R05H" xfId="327"/>
    <cellStyle name="R05L" xfId="328"/>
    <cellStyle name="R05L 2" xfId="544"/>
    <cellStyle name="R06A" xfId="329"/>
    <cellStyle name="R06B" xfId="330"/>
    <cellStyle name="R06B 2" xfId="545"/>
    <cellStyle name="R06H" xfId="331"/>
    <cellStyle name="R06L" xfId="332"/>
    <cellStyle name="R07A" xfId="333"/>
    <cellStyle name="R07B" xfId="334"/>
    <cellStyle name="R07B 2" xfId="546"/>
    <cellStyle name="R07H" xfId="335"/>
    <cellStyle name="R07L" xfId="336"/>
    <cellStyle name="Title" xfId="337" builtinId="15" customBuiltin="1"/>
    <cellStyle name="Title 2" xfId="338"/>
    <cellStyle name="Total" xfId="339" builtinId="25" customBuiltin="1"/>
    <cellStyle name="Total 2" xfId="340"/>
    <cellStyle name="Total 2 2" xfId="548"/>
    <cellStyle name="Total 3" xfId="547"/>
    <cellStyle name="Warning Text" xfId="341" builtinId="11" customBuiltin="1"/>
    <cellStyle name="Warning Text 2" xfId="342"/>
  </cellStyles>
  <dxfs count="37">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21%20Forecasted%20(PTRR)/APCo%20-%202021%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sheetName val="WS B ADIT &amp; ITC"/>
      <sheetName val="WS B-1 - Actual Stmt. AF"/>
      <sheetName val="WS B-2 - Actual Stmt. AG"/>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Cost of Capital"/>
      <sheetName val="WS N - Sale of Plant Held"/>
      <sheetName val="WS O - PBOP"/>
      <sheetName val="APCo - WS P Dep. Rates"/>
      <sheetName val="IMC - WS P Dep. Rates"/>
      <sheetName val="KGP - WS P Dep. Rates"/>
      <sheetName val="KPC - WS P Dep. Rates"/>
      <sheetName val="OPC - WS P Dep. Rates"/>
      <sheetName val="WPC-WS P Dep. Rates"/>
      <sheetName val="WS Q NITS"/>
      <sheetName val="WS Q Schedule 12"/>
      <sheetName val="WSQ Schedule 1A"/>
    </sheetNames>
    <sheetDataSet>
      <sheetData sheetId="0">
        <row r="9">
          <cell r="F9" t="str">
            <v>Appalachian Power Company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3"/>
  <sheetViews>
    <sheetView tabSelected="1" view="pageBreakPreview" zoomScale="75" zoomScaleNormal="85" zoomScaleSheetLayoutView="75" zoomScalePageLayoutView="50" workbookViewId="0">
      <selection activeCell="D7" sqref="D7:D8"/>
    </sheetView>
  </sheetViews>
  <sheetFormatPr defaultColWidth="11.453125" defaultRowHeight="15.5"/>
  <cols>
    <col min="1" max="1" width="4.54296875" style="320" customWidth="1"/>
    <col min="2" max="2" width="7.81640625" style="319" customWidth="1"/>
    <col min="3" max="3" width="1.81640625" style="320" customWidth="1"/>
    <col min="4" max="4" width="70.1796875" style="320" customWidth="1"/>
    <col min="5" max="5" width="25.54296875" style="320" customWidth="1"/>
    <col min="6" max="6" width="22.453125" style="320" customWidth="1"/>
    <col min="7" max="7" width="20.54296875" style="320" customWidth="1"/>
    <col min="8" max="8" width="16.1796875" style="320" customWidth="1"/>
    <col min="9" max="9" width="13.81640625" style="320" customWidth="1"/>
    <col min="10" max="10" width="21.54296875" style="320" bestFit="1" customWidth="1"/>
    <col min="11" max="11" width="4.54296875" style="320" customWidth="1"/>
    <col min="12" max="12" width="23" style="320" customWidth="1"/>
    <col min="13" max="13" width="5" style="320" customWidth="1"/>
    <col min="14" max="14" width="31.1796875" style="320" customWidth="1"/>
    <col min="15" max="15" width="8.1796875" style="320" customWidth="1"/>
    <col min="16" max="16" width="21.81640625" style="320" customWidth="1"/>
    <col min="17" max="17" width="11.453125" style="320" customWidth="1"/>
    <col min="18" max="18" width="20.54296875" style="320" bestFit="1" customWidth="1"/>
    <col min="19" max="16384" width="11.453125" style="320"/>
  </cols>
  <sheetData>
    <row r="1" spans="1:15">
      <c r="A1" s="911" t="s">
        <v>115</v>
      </c>
    </row>
    <row r="2" spans="1:15">
      <c r="A2" s="911" t="s">
        <v>115</v>
      </c>
    </row>
    <row r="3" spans="1:15">
      <c r="D3" s="321"/>
      <c r="E3" s="322"/>
      <c r="F3" s="322"/>
      <c r="G3" s="323"/>
      <c r="I3" s="324"/>
      <c r="J3" s="324"/>
      <c r="K3" s="324"/>
      <c r="L3" s="325"/>
    </row>
    <row r="4" spans="1:15">
      <c r="J4" s="320" t="s">
        <v>833</v>
      </c>
      <c r="L4" s="844">
        <v>2019</v>
      </c>
    </row>
    <row r="5" spans="1:15">
      <c r="D5" s="326"/>
      <c r="E5" s="326"/>
      <c r="F5" s="327" t="s">
        <v>386</v>
      </c>
      <c r="G5" s="328"/>
      <c r="H5" s="328"/>
      <c r="J5" s="326"/>
      <c r="K5" s="329"/>
      <c r="L5" s="329"/>
      <c r="M5" s="330"/>
      <c r="O5" s="331"/>
    </row>
    <row r="6" spans="1:15">
      <c r="D6" s="326"/>
      <c r="E6" s="332"/>
      <c r="F6" s="327" t="s">
        <v>387</v>
      </c>
      <c r="G6" s="328"/>
      <c r="H6" s="328"/>
      <c r="J6" s="332"/>
      <c r="K6" s="329"/>
      <c r="L6" s="329"/>
      <c r="M6" s="330"/>
    </row>
    <row r="7" spans="1:15">
      <c r="D7" s="329"/>
      <c r="E7" s="329"/>
      <c r="F7" s="333" t="str">
        <f>"Utilizing  Actual/Projected FERC Form 1 Data"</f>
        <v>Utilizing  Actual/Projected FERC Form 1 Data</v>
      </c>
      <c r="G7" s="328"/>
      <c r="H7" s="328"/>
      <c r="J7" s="329"/>
      <c r="K7" s="329"/>
      <c r="L7" s="329"/>
      <c r="M7" s="330"/>
    </row>
    <row r="8" spans="1:15">
      <c r="B8" s="334"/>
      <c r="C8" s="335"/>
      <c r="D8" s="329"/>
      <c r="H8" s="336"/>
      <c r="I8" s="336"/>
      <c r="J8" s="336"/>
      <c r="K8" s="336"/>
      <c r="L8" s="329"/>
      <c r="M8" s="329"/>
    </row>
    <row r="9" spans="1:15">
      <c r="B9" s="334"/>
      <c r="C9" s="335"/>
      <c r="D9" s="337"/>
      <c r="E9" s="329"/>
      <c r="F9" s="338" t="s">
        <v>877</v>
      </c>
      <c r="G9" s="339"/>
      <c r="H9" s="329"/>
      <c r="I9" s="329"/>
      <c r="J9" s="329"/>
      <c r="K9" s="329"/>
      <c r="L9" s="337"/>
      <c r="M9" s="329"/>
    </row>
    <row r="10" spans="1:15">
      <c r="B10" s="334"/>
      <c r="C10" s="335"/>
      <c r="D10" s="329"/>
      <c r="E10" s="329"/>
      <c r="F10" s="340"/>
      <c r="G10" s="339"/>
      <c r="H10" s="329"/>
      <c r="I10" s="329"/>
      <c r="J10" s="329"/>
      <c r="K10" s="329"/>
      <c r="L10" s="337"/>
      <c r="M10" s="329"/>
    </row>
    <row r="11" spans="1:15">
      <c r="B11" s="334" t="s">
        <v>170</v>
      </c>
      <c r="C11" s="335"/>
      <c r="D11" s="329"/>
      <c r="E11" s="329"/>
      <c r="F11" s="329"/>
      <c r="G11" s="339"/>
      <c r="H11" s="329"/>
      <c r="I11" s="329"/>
      <c r="J11" s="329"/>
      <c r="K11" s="329"/>
      <c r="L11" s="335" t="s">
        <v>116</v>
      </c>
      <c r="M11" s="329"/>
    </row>
    <row r="12" spans="1:15" ht="16" thickBot="1">
      <c r="B12" s="341" t="s">
        <v>118</v>
      </c>
      <c r="C12" s="342"/>
      <c r="D12" s="329"/>
      <c r="E12" s="342"/>
      <c r="F12" s="329"/>
      <c r="G12" s="329"/>
      <c r="H12" s="329"/>
      <c r="I12" s="329"/>
      <c r="J12" s="329"/>
      <c r="K12" s="329"/>
      <c r="L12" s="343" t="s">
        <v>171</v>
      </c>
      <c r="M12" s="329"/>
    </row>
    <row r="13" spans="1:15">
      <c r="B13" s="334">
        <f>1</f>
        <v>1</v>
      </c>
      <c r="C13" s="335"/>
      <c r="D13" s="344" t="s">
        <v>112</v>
      </c>
      <c r="E13" s="345" t="str">
        <f>"(ln "&amp;B213&amp;")"</f>
        <v>(ln 130)</v>
      </c>
      <c r="F13" s="345"/>
      <c r="G13" s="346"/>
      <c r="H13" s="347"/>
      <c r="I13" s="329"/>
      <c r="J13" s="329"/>
      <c r="K13" s="329"/>
      <c r="L13" s="348">
        <f>+L213</f>
        <v>142571242.57434335</v>
      </c>
      <c r="M13" s="329"/>
    </row>
    <row r="14" spans="1:15" ht="16" thickBot="1">
      <c r="B14" s="334"/>
      <c r="C14" s="335"/>
      <c r="E14" s="349"/>
      <c r="F14" s="350"/>
      <c r="G14" s="343" t="s">
        <v>119</v>
      </c>
      <c r="H14" s="332"/>
      <c r="I14" s="351" t="s">
        <v>120</v>
      </c>
      <c r="J14" s="351"/>
      <c r="K14" s="329"/>
      <c r="L14" s="346"/>
      <c r="M14" s="329"/>
    </row>
    <row r="15" spans="1:15">
      <c r="B15" s="334">
        <f>+B13+1</f>
        <v>2</v>
      </c>
      <c r="C15" s="335"/>
      <c r="D15" s="352" t="s">
        <v>169</v>
      </c>
      <c r="E15" s="349" t="s">
        <v>623</v>
      </c>
      <c r="F15" s="350"/>
      <c r="G15" s="353">
        <f>+'WS E Rev Credits'!K31</f>
        <v>2670110.4500000002</v>
      </c>
      <c r="H15" s="350"/>
      <c r="I15" s="354" t="s">
        <v>130</v>
      </c>
      <c r="J15" s="355">
        <v>1</v>
      </c>
      <c r="K15" s="332"/>
      <c r="L15" s="356">
        <f>+J15*G15</f>
        <v>2670110.4500000002</v>
      </c>
      <c r="M15" s="329"/>
    </row>
    <row r="16" spans="1:15">
      <c r="B16" s="334"/>
      <c r="C16" s="335"/>
      <c r="D16" s="352"/>
      <c r="F16" s="332"/>
      <c r="L16" s="357"/>
      <c r="M16" s="329"/>
    </row>
    <row r="17" spans="2:13">
      <c r="B17" s="334"/>
      <c r="C17" s="335"/>
      <c r="D17" s="352"/>
      <c r="F17" s="332"/>
      <c r="L17" s="358"/>
      <c r="M17" s="329"/>
    </row>
    <row r="18" spans="2:13">
      <c r="B18" s="334">
        <f>+B15+1</f>
        <v>3</v>
      </c>
      <c r="C18" s="335"/>
      <c r="D18" s="352" t="s">
        <v>536</v>
      </c>
      <c r="E18" s="320" t="s">
        <v>624</v>
      </c>
      <c r="F18" s="332"/>
      <c r="L18" s="356">
        <f>'WS E Rev Credits'!K39</f>
        <v>0</v>
      </c>
      <c r="M18" s="329"/>
    </row>
    <row r="19" spans="2:13">
      <c r="B19" s="334"/>
      <c r="C19" s="335"/>
      <c r="D19" s="352"/>
      <c r="F19" s="332"/>
      <c r="L19" s="358"/>
      <c r="M19" s="329"/>
    </row>
    <row r="20" spans="2:13" ht="16" thickBot="1">
      <c r="B20" s="359">
        <f>+B18+1</f>
        <v>4</v>
      </c>
      <c r="C20" s="360"/>
      <c r="D20" s="361" t="s">
        <v>465</v>
      </c>
      <c r="E20" s="362" t="str">
        <f>"(ln "&amp;B13&amp;" less  ln " &amp;B15&amp;" plus ln "&amp;B18&amp;")"</f>
        <v>(ln 1 less  ln 2 plus ln 3)</v>
      </c>
      <c r="F20" s="329"/>
      <c r="H20" s="332"/>
      <c r="I20" s="363"/>
      <c r="J20" s="332"/>
      <c r="K20" s="332"/>
      <c r="L20" s="364">
        <f>+L13-L15+L18</f>
        <v>139901132.12434337</v>
      </c>
      <c r="M20" s="329"/>
    </row>
    <row r="21" spans="2:13" ht="16" thickTop="1">
      <c r="B21" s="359"/>
      <c r="C21" s="360"/>
      <c r="D21" s="361"/>
      <c r="E21" s="362"/>
      <c r="F21" s="329"/>
      <c r="H21" s="332"/>
      <c r="I21" s="363"/>
      <c r="J21" s="332"/>
      <c r="K21" s="332"/>
      <c r="L21" s="356"/>
      <c r="M21" s="329"/>
    </row>
    <row r="22" spans="2:13">
      <c r="B22" s="359"/>
      <c r="C22" s="360"/>
      <c r="D22" s="361"/>
      <c r="E22" s="362"/>
      <c r="F22" s="329"/>
      <c r="H22" s="332"/>
      <c r="I22" s="363"/>
      <c r="J22" s="332"/>
      <c r="K22" s="332"/>
      <c r="L22" s="356"/>
      <c r="M22" s="329"/>
    </row>
    <row r="23" spans="2:13">
      <c r="B23" s="359"/>
      <c r="C23" s="360"/>
      <c r="D23" s="352"/>
      <c r="E23" s="362"/>
      <c r="F23" s="329"/>
      <c r="H23" s="332"/>
      <c r="I23" s="363"/>
      <c r="J23" s="332"/>
      <c r="K23" s="332"/>
      <c r="L23" s="365"/>
      <c r="M23" s="329"/>
    </row>
    <row r="24" spans="2:13" ht="15" customHeight="1">
      <c r="B24" s="1492"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92"/>
      <c r="D24" s="1492"/>
      <c r="E24" s="1492"/>
      <c r="F24" s="1492"/>
      <c r="G24" s="1492"/>
      <c r="H24" s="1492"/>
      <c r="I24" s="1492"/>
    </row>
    <row r="25" spans="2:13" ht="35.25" customHeight="1">
      <c r="B25" s="1492"/>
      <c r="C25" s="1492"/>
      <c r="D25" s="1492"/>
      <c r="E25" s="1492"/>
      <c r="F25" s="1492"/>
      <c r="G25" s="1492"/>
      <c r="H25" s="1492"/>
      <c r="I25" s="1492"/>
    </row>
    <row r="26" spans="2:13" ht="15" customHeight="1">
      <c r="B26" s="366"/>
      <c r="C26" s="366"/>
      <c r="D26" s="366"/>
      <c r="E26" s="366"/>
      <c r="F26" s="366"/>
      <c r="G26" s="366"/>
      <c r="H26" s="366"/>
      <c r="I26" s="366"/>
    </row>
    <row r="27" spans="2:13">
      <c r="B27" s="334">
        <f>+B20+1</f>
        <v>5</v>
      </c>
      <c r="C27" s="360"/>
      <c r="D27" s="367" t="s">
        <v>537</v>
      </c>
      <c r="E27" s="349"/>
      <c r="F27" s="350"/>
      <c r="G27" s="368">
        <f>'WS K TRUE-UP RTEP RR'!N22</f>
        <v>5686028.9302719319</v>
      </c>
      <c r="H27" s="350"/>
      <c r="I27" s="354" t="s">
        <v>130</v>
      </c>
      <c r="J27" s="355">
        <v>1</v>
      </c>
      <c r="K27" s="345"/>
      <c r="L27" s="369">
        <f>+J27*G27</f>
        <v>5686028.9302719319</v>
      </c>
      <c r="M27" s="329"/>
    </row>
    <row r="28" spans="2:13">
      <c r="B28" s="334"/>
      <c r="C28" s="360"/>
      <c r="D28" s="367"/>
      <c r="E28" s="362"/>
      <c r="F28" s="350"/>
      <c r="G28" s="368"/>
      <c r="H28" s="350"/>
      <c r="I28" s="350"/>
      <c r="J28" s="355"/>
      <c r="K28" s="345"/>
      <c r="L28" s="369"/>
      <c r="M28" s="329"/>
    </row>
    <row r="29" spans="2:13">
      <c r="B29" s="359">
        <f>+B27+1</f>
        <v>6</v>
      </c>
      <c r="C29" s="360"/>
      <c r="D29" s="367" t="s">
        <v>374</v>
      </c>
      <c r="E29" s="349"/>
      <c r="F29" s="329"/>
      <c r="G29" s="370"/>
      <c r="H29" s="329"/>
      <c r="J29" s="329"/>
      <c r="K29" s="329"/>
      <c r="M29" s="329"/>
    </row>
    <row r="30" spans="2:13">
      <c r="B30" s="334">
        <f>B29+1</f>
        <v>7</v>
      </c>
      <c r="C30" s="360"/>
      <c r="D30" s="371" t="s">
        <v>251</v>
      </c>
      <c r="E30" s="345" t="str">
        <f>"( (ln "&amp;B13&amp;" - ln "&amp;B168&amp;")/((ln "&amp;$B$91&amp;") x 100) )"</f>
        <v>( (ln 1 - ln 95)/((ln 42) x 100) )</v>
      </c>
      <c r="F30" s="335"/>
      <c r="G30" s="335"/>
      <c r="H30" s="335"/>
      <c r="I30" s="372"/>
      <c r="J30" s="372"/>
      <c r="K30" s="372"/>
      <c r="L30" s="373">
        <f>(L13-L168)/L$91</f>
        <v>0.13391734124092397</v>
      </c>
      <c r="M30" s="329"/>
    </row>
    <row r="31" spans="2:13">
      <c r="B31" s="334">
        <f>B30+1</f>
        <v>8</v>
      </c>
      <c r="C31" s="360"/>
      <c r="D31" s="371" t="s">
        <v>252</v>
      </c>
      <c r="E31" s="345" t="str">
        <f>"(ln "&amp;B30&amp;" / 12)"</f>
        <v>(ln 7 / 12)</v>
      </c>
      <c r="F31" s="335"/>
      <c r="G31" s="335"/>
      <c r="H31" s="335"/>
      <c r="I31" s="372"/>
      <c r="J31" s="372"/>
      <c r="K31" s="372"/>
      <c r="L31" s="374">
        <f>L30/12</f>
        <v>1.1159778436743664E-2</v>
      </c>
      <c r="M31" s="329"/>
    </row>
    <row r="32" spans="2:13">
      <c r="B32" s="334"/>
      <c r="C32" s="360"/>
      <c r="D32" s="371"/>
      <c r="E32" s="345"/>
      <c r="F32" s="335"/>
      <c r="G32" s="335"/>
      <c r="H32" s="335"/>
      <c r="I32" s="372"/>
      <c r="J32" s="372"/>
      <c r="K32" s="372"/>
      <c r="L32" s="374"/>
      <c r="M32" s="329"/>
    </row>
    <row r="33" spans="2:14">
      <c r="B33" s="334">
        <f>B31+1</f>
        <v>9</v>
      </c>
      <c r="C33" s="360"/>
      <c r="D33" s="367" t="str">
        <f>"NET PLANT CARRYING CHARGE ON LINE "&amp;B30&amp;" , w/o depreciation or ROE incentives (Note B)"</f>
        <v>NET PLANT CARRYING CHARGE ON LINE 7 , w/o depreciation or ROE incentives (Note B)</v>
      </c>
      <c r="E33" s="345"/>
      <c r="F33" s="335"/>
      <c r="G33" s="335"/>
      <c r="H33" s="335"/>
      <c r="I33" s="372"/>
      <c r="J33" s="372"/>
      <c r="K33" s="372"/>
      <c r="L33" s="374"/>
      <c r="M33" s="329"/>
    </row>
    <row r="34" spans="2:14">
      <c r="B34" s="334">
        <f>B33+1</f>
        <v>10</v>
      </c>
      <c r="C34" s="360"/>
      <c r="D34" s="371" t="s">
        <v>251</v>
      </c>
      <c r="E34" s="345" t="str">
        <f>"( (ln "&amp;B13&amp;" - ln "&amp;B168&amp;" - ln "&amp;B174&amp;" ) /((ln "&amp;$B$91&amp;") x 100) )"</f>
        <v>( (ln 1 - ln 95 - ln 100 ) /((ln 42) x 100) )</v>
      </c>
      <c r="F34" s="335"/>
      <c r="G34" s="335"/>
      <c r="H34" s="335"/>
      <c r="I34" s="372"/>
      <c r="J34" s="372"/>
      <c r="K34" s="372"/>
      <c r="L34" s="373">
        <f>(L13-L168-L174)/L91</f>
        <v>0.10552282863199051</v>
      </c>
      <c r="M34" s="329"/>
    </row>
    <row r="35" spans="2:14">
      <c r="B35" s="334"/>
      <c r="C35" s="360"/>
      <c r="D35" s="371"/>
      <c r="E35" s="345"/>
      <c r="F35" s="335"/>
      <c r="G35" s="335"/>
      <c r="H35" s="335"/>
      <c r="I35" s="372"/>
      <c r="J35" s="372"/>
      <c r="K35" s="372"/>
      <c r="L35" s="374"/>
      <c r="M35" s="329"/>
    </row>
    <row r="36" spans="2:14">
      <c r="B36" s="334">
        <f>B34+1</f>
        <v>11</v>
      </c>
      <c r="C36" s="360"/>
      <c r="D36" s="367" t="str">
        <f>"NET PLANT CARRYING CHARGE ON LINE "&amp;B34&amp;", w/o Return, income taxes or ROE incentives (Note B)"</f>
        <v>NET PLANT CARRYING CHARGE ON LINE 10, w/o Return, income taxes or ROE incentives (Note B)</v>
      </c>
      <c r="E36" s="345"/>
      <c r="F36" s="375"/>
      <c r="G36" s="375"/>
      <c r="H36" s="375"/>
      <c r="I36" s="375"/>
      <c r="J36" s="375"/>
      <c r="K36" s="375"/>
      <c r="L36" s="375"/>
      <c r="M36" s="337"/>
    </row>
    <row r="37" spans="2:14">
      <c r="B37" s="334">
        <f>B36+1</f>
        <v>12</v>
      </c>
      <c r="C37" s="360"/>
      <c r="D37" s="326" t="s">
        <v>251</v>
      </c>
      <c r="E37" s="345" t="str">
        <f>"( (ln "&amp;B13&amp;" - ln "&amp;B168&amp;" - ln "&amp;B174&amp;" - ln "&amp;B203&amp;" - ln "&amp;B205&amp;") /((ln "&amp;$B$91&amp;") x 100) )"</f>
        <v>( (ln 1 - ln 95 - ln 100 - ln 125 - ln 126) /((ln 42) x 100) )</v>
      </c>
      <c r="F37" s="375"/>
      <c r="G37" s="375"/>
      <c r="H37" s="375"/>
      <c r="I37" s="375"/>
      <c r="J37" s="375"/>
      <c r="K37" s="375"/>
      <c r="L37" s="376">
        <f>(L13-L168-L174-L203-L205)/L91</f>
        <v>3.9203882486617395E-2</v>
      </c>
      <c r="M37" s="337"/>
    </row>
    <row r="38" spans="2:14">
      <c r="B38" s="334"/>
      <c r="C38" s="360"/>
      <c r="D38" s="326"/>
      <c r="E38" s="345"/>
      <c r="F38" s="335"/>
      <c r="G38" s="335"/>
      <c r="H38" s="335"/>
      <c r="I38" s="372"/>
      <c r="J38" s="372"/>
      <c r="K38" s="372"/>
      <c r="L38" s="373"/>
      <c r="M38" s="377"/>
    </row>
    <row r="39" spans="2:14">
      <c r="B39" s="334">
        <f>B37+1</f>
        <v>13</v>
      </c>
      <c r="C39" s="335"/>
      <c r="D39" s="378" t="s">
        <v>593</v>
      </c>
      <c r="E39" s="345"/>
      <c r="F39" s="335"/>
      <c r="G39" s="335"/>
      <c r="H39" s="335"/>
      <c r="I39" s="372"/>
      <c r="J39" s="372"/>
      <c r="K39" s="372"/>
      <c r="L39" s="379">
        <f>'WS K TRUE-UP RTEP RR'!O701</f>
        <v>0</v>
      </c>
      <c r="M39" s="329"/>
    </row>
    <row r="40" spans="2:14">
      <c r="B40" s="334"/>
      <c r="C40" s="335"/>
      <c r="E40" s="345"/>
      <c r="F40" s="335"/>
      <c r="G40" s="335"/>
      <c r="H40" s="335"/>
      <c r="I40" s="372"/>
      <c r="J40" s="372"/>
      <c r="K40" s="372"/>
      <c r="L40" s="373"/>
      <c r="M40" s="329"/>
    </row>
    <row r="41" spans="2:14">
      <c r="B41" s="320"/>
      <c r="C41" s="335"/>
      <c r="E41" s="345"/>
      <c r="F41" s="335"/>
      <c r="G41" s="335"/>
      <c r="H41" s="335"/>
      <c r="I41" s="372"/>
      <c r="J41" s="372"/>
      <c r="K41" s="372"/>
      <c r="L41" s="373"/>
      <c r="M41" s="329"/>
    </row>
    <row r="42" spans="2:14">
      <c r="B42" s="334">
        <f>+B39+1</f>
        <v>14</v>
      </c>
      <c r="C42" s="335"/>
      <c r="D42" s="1498" t="s">
        <v>433</v>
      </c>
      <c r="E42" s="1498"/>
      <c r="F42" s="1498"/>
      <c r="G42" s="1498"/>
      <c r="H42" s="1498"/>
      <c r="I42" s="1498"/>
      <c r="J42" s="1498"/>
      <c r="K42" s="1498"/>
      <c r="L42" s="1498"/>
      <c r="M42" s="329"/>
    </row>
    <row r="43" spans="2:14">
      <c r="B43" s="334"/>
      <c r="C43" s="335"/>
      <c r="E43" s="345"/>
      <c r="F43" s="335"/>
      <c r="G43" s="335"/>
      <c r="H43" s="335"/>
      <c r="I43" s="372"/>
      <c r="J43" s="372"/>
      <c r="K43" s="372"/>
      <c r="L43" s="373"/>
      <c r="M43" s="329"/>
    </row>
    <row r="44" spans="2:14">
      <c r="B44" s="334">
        <f>+B42+1</f>
        <v>15</v>
      </c>
      <c r="C44" s="335"/>
      <c r="D44" s="344" t="s">
        <v>435</v>
      </c>
      <c r="E44" s="345" t="str">
        <f>"Line "&amp;B146&amp;" Below"</f>
        <v>Line 75 Below</v>
      </c>
      <c r="F44" s="335"/>
      <c r="H44" s="335"/>
      <c r="I44" s="372"/>
      <c r="J44" s="372"/>
      <c r="K44" s="372"/>
      <c r="L44" s="380">
        <f>+G146</f>
        <v>6670986.7699999996</v>
      </c>
      <c r="M44" s="345"/>
      <c r="N44" s="325"/>
    </row>
    <row r="45" spans="2:14">
      <c r="B45" s="334">
        <f>+B44+1</f>
        <v>16</v>
      </c>
      <c r="C45" s="335"/>
      <c r="D45" s="344" t="s">
        <v>473</v>
      </c>
      <c r="E45" s="329"/>
      <c r="F45" s="335"/>
      <c r="H45" s="335"/>
      <c r="I45" s="372"/>
      <c r="J45" s="372"/>
      <c r="K45" s="372"/>
      <c r="L45" s="845">
        <v>4884653</v>
      </c>
      <c r="M45" s="345"/>
      <c r="N45" s="325"/>
    </row>
    <row r="46" spans="2:14">
      <c r="B46" s="334">
        <f>+B45+1</f>
        <v>17</v>
      </c>
      <c r="C46" s="335"/>
      <c r="D46" s="344" t="s">
        <v>474</v>
      </c>
      <c r="E46" s="329"/>
      <c r="F46" s="335"/>
      <c r="H46" s="335"/>
      <c r="I46" s="372"/>
      <c r="J46" s="372"/>
      <c r="K46" s="372"/>
      <c r="L46" s="845">
        <v>1241651</v>
      </c>
      <c r="M46" s="345"/>
      <c r="N46" s="325"/>
    </row>
    <row r="47" spans="2:14">
      <c r="B47" s="334"/>
      <c r="C47" s="335"/>
      <c r="E47" s="329"/>
      <c r="F47" s="335"/>
      <c r="H47" s="335"/>
      <c r="I47" s="372"/>
      <c r="J47" s="372"/>
      <c r="K47" s="372"/>
      <c r="L47" s="335"/>
      <c r="M47" s="345"/>
      <c r="N47" s="325"/>
    </row>
    <row r="48" spans="2:14" ht="16" thickBot="1">
      <c r="B48" s="334">
        <f>+B46+1</f>
        <v>18</v>
      </c>
      <c r="C48" s="335"/>
      <c r="D48" s="344" t="s">
        <v>434</v>
      </c>
      <c r="E48" s="347" t="str">
        <f>"(Line "&amp;B44&amp;" - Line "&amp;B45&amp;" - Line "&amp;B46&amp;")"</f>
        <v>(Line 15 - Line 16 - Line 17)</v>
      </c>
      <c r="F48" s="335"/>
      <c r="H48" s="335"/>
      <c r="I48" s="372"/>
      <c r="J48" s="372"/>
      <c r="K48" s="372"/>
      <c r="L48" s="381">
        <f>+L44-L45-L46</f>
        <v>544682.76999999955</v>
      </c>
      <c r="M48" s="345"/>
      <c r="N48" s="325"/>
    </row>
    <row r="49" spans="2:16" ht="16" thickTop="1">
      <c r="B49" s="334"/>
      <c r="C49" s="335"/>
      <c r="E49" s="345"/>
      <c r="F49" s="335"/>
      <c r="G49" s="335"/>
      <c r="H49" s="335"/>
      <c r="I49" s="372"/>
      <c r="J49" s="372"/>
      <c r="K49" s="372"/>
      <c r="L49" s="373"/>
      <c r="M49" s="345"/>
      <c r="N49" s="325"/>
    </row>
    <row r="50" spans="2:16">
      <c r="B50" s="334"/>
      <c r="C50" s="335"/>
      <c r="E50" s="345"/>
      <c r="F50" s="335"/>
      <c r="G50" s="335"/>
      <c r="H50" s="335"/>
      <c r="I50" s="372"/>
      <c r="J50" s="372"/>
      <c r="K50" s="372"/>
      <c r="L50" s="373"/>
      <c r="M50" s="345"/>
      <c r="N50" s="325"/>
    </row>
    <row r="51" spans="2:16">
      <c r="B51" s="334"/>
      <c r="C51" s="335"/>
      <c r="E51" s="345"/>
      <c r="F51" s="335"/>
      <c r="G51" s="335"/>
      <c r="H51" s="335"/>
      <c r="I51" s="372"/>
      <c r="J51" s="372"/>
      <c r="K51" s="372"/>
      <c r="L51" s="373"/>
      <c r="M51" s="345"/>
      <c r="N51" s="325"/>
    </row>
    <row r="52" spans="2:16">
      <c r="D52" s="326"/>
      <c r="E52" s="326"/>
      <c r="G52" s="347"/>
      <c r="H52" s="326"/>
      <c r="I52" s="326"/>
      <c r="J52" s="326"/>
      <c r="K52" s="326"/>
      <c r="L52" s="326"/>
      <c r="M52" s="382"/>
      <c r="N52" s="325"/>
    </row>
    <row r="53" spans="2:16">
      <c r="D53" s="326"/>
      <c r="E53" s="326"/>
      <c r="F53" s="335"/>
      <c r="G53" s="347"/>
      <c r="H53" s="326"/>
      <c r="I53" s="326"/>
      <c r="J53" s="326"/>
      <c r="K53" s="326"/>
      <c r="L53" s="326"/>
      <c r="M53" s="382"/>
      <c r="N53" s="325"/>
      <c r="P53" s="383"/>
    </row>
    <row r="54" spans="2:16">
      <c r="D54" s="326"/>
      <c r="E54" s="326"/>
      <c r="F54" s="335" t="str">
        <f>F5</f>
        <v xml:space="preserve">AEP East Companies </v>
      </c>
      <c r="G54" s="347"/>
      <c r="H54" s="326"/>
      <c r="I54" s="326"/>
      <c r="J54" s="326"/>
      <c r="K54" s="326"/>
      <c r="L54" s="326"/>
      <c r="M54" s="382"/>
      <c r="N54" s="325"/>
      <c r="P54" s="383"/>
    </row>
    <row r="55" spans="2:16">
      <c r="D55" s="326"/>
      <c r="E55" s="332"/>
      <c r="F55" s="335" t="str">
        <f>F6</f>
        <v>Transmission Cost of Service Formula Rate</v>
      </c>
      <c r="G55" s="332"/>
      <c r="H55" s="332"/>
      <c r="I55" s="332"/>
      <c r="J55" s="332"/>
      <c r="K55" s="332"/>
      <c r="L55" s="332"/>
      <c r="M55" s="384"/>
      <c r="N55" s="325"/>
      <c r="P55" s="379"/>
    </row>
    <row r="56" spans="2:16">
      <c r="D56" s="326"/>
      <c r="E56" s="332"/>
      <c r="F56" s="363" t="str">
        <f>F7</f>
        <v>Utilizing  Actual/Projected FERC Form 1 Data</v>
      </c>
      <c r="G56" s="332"/>
      <c r="H56" s="332"/>
      <c r="I56" s="332"/>
      <c r="J56" s="332"/>
      <c r="K56" s="332"/>
      <c r="L56" s="332"/>
      <c r="M56" s="385"/>
      <c r="N56" s="325"/>
      <c r="P56" s="379"/>
    </row>
    <row r="57" spans="2:16">
      <c r="D57" s="326"/>
      <c r="E57" s="332"/>
      <c r="F57" s="335"/>
      <c r="G57" s="332"/>
      <c r="H57" s="332"/>
      <c r="I57" s="332"/>
      <c r="J57" s="332"/>
      <c r="K57" s="332"/>
      <c r="L57" s="332"/>
      <c r="M57" s="350"/>
      <c r="N57" s="325"/>
      <c r="P57" s="379"/>
    </row>
    <row r="58" spans="2:16">
      <c r="D58" s="326"/>
      <c r="E58" s="332"/>
      <c r="F58" s="335" t="str">
        <f>F9</f>
        <v xml:space="preserve">Indiana Michigan Power Company </v>
      </c>
      <c r="G58" s="332"/>
      <c r="H58" s="332"/>
      <c r="I58" s="332"/>
      <c r="J58" s="332"/>
      <c r="K58" s="332"/>
      <c r="L58" s="332"/>
      <c r="M58" s="350"/>
      <c r="N58" s="325"/>
      <c r="P58" s="379"/>
    </row>
    <row r="59" spans="2:16">
      <c r="D59" s="326"/>
      <c r="E59" s="363"/>
      <c r="F59" s="363"/>
      <c r="G59" s="363"/>
      <c r="H59" s="363"/>
      <c r="I59" s="363"/>
      <c r="J59" s="363"/>
      <c r="K59" s="363"/>
      <c r="L59" s="332"/>
      <c r="M59" s="350"/>
      <c r="N59" s="325"/>
      <c r="P59" s="379"/>
    </row>
    <row r="60" spans="2:16">
      <c r="D60" s="335" t="s">
        <v>122</v>
      </c>
      <c r="E60" s="335" t="s">
        <v>123</v>
      </c>
      <c r="F60" s="335"/>
      <c r="G60" s="335" t="s">
        <v>124</v>
      </c>
      <c r="H60" s="332" t="s">
        <v>115</v>
      </c>
      <c r="I60" s="1493" t="s">
        <v>125</v>
      </c>
      <c r="J60" s="1494"/>
      <c r="K60" s="332"/>
      <c r="L60" s="336" t="s">
        <v>126</v>
      </c>
      <c r="M60" s="350"/>
      <c r="N60" s="325"/>
    </row>
    <row r="61" spans="2:16">
      <c r="B61" s="320"/>
      <c r="D61" s="375"/>
      <c r="E61" s="375"/>
      <c r="F61" s="375"/>
      <c r="G61" s="380"/>
      <c r="H61" s="332"/>
      <c r="I61" s="332"/>
      <c r="J61" s="387"/>
      <c r="K61" s="332"/>
      <c r="M61" s="350"/>
      <c r="N61" s="325"/>
    </row>
    <row r="62" spans="2:16">
      <c r="B62" s="388"/>
      <c r="C62" s="335"/>
      <c r="D62" s="375"/>
      <c r="E62" s="389" t="s">
        <v>96</v>
      </c>
      <c r="F62" s="390"/>
      <c r="G62" s="332"/>
      <c r="H62" s="332"/>
      <c r="I62" s="332"/>
      <c r="J62" s="335"/>
      <c r="K62" s="332"/>
      <c r="L62" s="391" t="s">
        <v>119</v>
      </c>
      <c r="M62" s="350"/>
      <c r="N62" s="325"/>
      <c r="P62" s="383"/>
    </row>
    <row r="63" spans="2:16">
      <c r="B63" s="320"/>
      <c r="C63" s="342"/>
      <c r="D63" s="392" t="s">
        <v>95</v>
      </c>
      <c r="E63" s="393" t="s">
        <v>113</v>
      </c>
      <c r="F63" s="332"/>
      <c r="G63" s="392" t="s">
        <v>82</v>
      </c>
      <c r="H63" s="394"/>
      <c r="I63" s="1495" t="s">
        <v>120</v>
      </c>
      <c r="J63" s="1496"/>
      <c r="K63" s="394"/>
      <c r="L63" s="392" t="s">
        <v>116</v>
      </c>
      <c r="M63" s="350"/>
      <c r="N63" s="325"/>
    </row>
    <row r="64" spans="2:16">
      <c r="B64" s="1126" t="str">
        <f>B11</f>
        <v>Line</v>
      </c>
      <c r="C64" s="360"/>
      <c r="D64" s="371"/>
      <c r="E64" s="350"/>
      <c r="F64" s="350"/>
      <c r="G64" s="1127" t="s">
        <v>355</v>
      </c>
      <c r="H64" s="350"/>
      <c r="I64" s="350"/>
      <c r="J64" s="350"/>
      <c r="K64" s="350"/>
      <c r="L64" s="350"/>
      <c r="M64" s="350"/>
      <c r="N64" s="325"/>
    </row>
    <row r="65" spans="2:15" ht="16" thickBot="1">
      <c r="B65" s="1128" t="str">
        <f>B12</f>
        <v>No.</v>
      </c>
      <c r="C65" s="360"/>
      <c r="D65" s="371" t="s">
        <v>83</v>
      </c>
      <c r="E65" s="395"/>
      <c r="F65" s="395"/>
      <c r="G65" s="350"/>
      <c r="H65" s="350"/>
      <c r="I65" s="354"/>
      <c r="J65" s="350"/>
      <c r="K65" s="350"/>
      <c r="L65" s="350"/>
      <c r="M65" s="350"/>
      <c r="N65" s="325"/>
    </row>
    <row r="66" spans="2:15">
      <c r="B66" s="359">
        <f>+B48+1</f>
        <v>19</v>
      </c>
      <c r="C66" s="360"/>
      <c r="D66" s="403" t="s">
        <v>127</v>
      </c>
      <c r="E66" s="350" t="str">
        <f>"(Worksheet A ln "&amp;'WS A - RB Support'!A23&amp;"."&amp;'WS A - RB Support'!C8&amp;")"</f>
        <v>(Worksheet A ln 14.(b))</v>
      </c>
      <c r="F66" s="350"/>
      <c r="G66" s="368">
        <f>'WS A - RB Support'!C23</f>
        <v>4942931722.1346149</v>
      </c>
      <c r="H66" s="368"/>
      <c r="I66" s="354" t="s">
        <v>128</v>
      </c>
      <c r="J66" s="355">
        <v>0</v>
      </c>
      <c r="K66" s="350"/>
      <c r="L66" s="397">
        <f>+J66*G66</f>
        <v>0</v>
      </c>
      <c r="M66" s="350"/>
      <c r="N66" s="325"/>
    </row>
    <row r="67" spans="2:15">
      <c r="B67" s="359">
        <f>+B66+1</f>
        <v>20</v>
      </c>
      <c r="C67" s="360"/>
      <c r="D67" s="403" t="s">
        <v>378</v>
      </c>
      <c r="E67" s="350" t="str">
        <f>"(Worksheet A ln "&amp;'WS A - RB Support'!A23&amp;"."&amp;'WS A - RB Support'!D8&amp;")"</f>
        <v>(Worksheet A ln 14.(c))</v>
      </c>
      <c r="F67" s="350"/>
      <c r="G67" s="397">
        <f>-'WS A - RB Support'!D23</f>
        <v>-454124097.90923077</v>
      </c>
      <c r="H67" s="368"/>
      <c r="I67" s="354" t="s">
        <v>128</v>
      </c>
      <c r="J67" s="355">
        <v>0</v>
      </c>
      <c r="K67" s="350"/>
      <c r="L67" s="397">
        <f>+J67*G67</f>
        <v>0</v>
      </c>
      <c r="M67" s="350"/>
      <c r="N67" s="325"/>
    </row>
    <row r="68" spans="2:15">
      <c r="B68" s="359">
        <f t="shared" ref="B68:B74" si="0">+B67+1</f>
        <v>21</v>
      </c>
      <c r="C68" s="412"/>
      <c r="D68" s="1129" t="s">
        <v>129</v>
      </c>
      <c r="E68" s="350" t="str">
        <f>"(Worksheet A ln "&amp;'WS A - RB Support'!A23&amp;"."&amp;'WS A - RB Support'!E8&amp;" &amp; TCOS Ln "&amp;B229&amp;")"</f>
        <v>(Worksheet A ln 14.(d) &amp; TCOS Ln 134)</v>
      </c>
      <c r="F68" s="399"/>
      <c r="G68" s="368">
        <f>'WS A - RB Support'!E23</f>
        <v>1603673168.29</v>
      </c>
      <c r="H68" s="368"/>
      <c r="I68" s="400" t="s">
        <v>130</v>
      </c>
      <c r="J68" s="355" t="s">
        <v>115</v>
      </c>
      <c r="K68" s="401"/>
      <c r="L68" s="397">
        <f>+L229</f>
        <v>1545033460.3099999</v>
      </c>
      <c r="M68" s="401"/>
      <c r="N68" s="325"/>
    </row>
    <row r="69" spans="2:15">
      <c r="B69" s="359">
        <f t="shared" si="0"/>
        <v>22</v>
      </c>
      <c r="C69" s="412"/>
      <c r="D69" s="403" t="s">
        <v>379</v>
      </c>
      <c r="E69" s="350" t="str">
        <f>"(Worksheet A ln "&amp;'WS A - RB Support'!A23&amp;"."&amp;'WS A - RB Support'!F8&amp;")"</f>
        <v>(Worksheet A ln 14.(e))</v>
      </c>
      <c r="F69" s="399"/>
      <c r="G69" s="368">
        <f>-'WS A - RB Support'!F23</f>
        <v>0</v>
      </c>
      <c r="H69" s="368"/>
      <c r="I69" s="400" t="s">
        <v>121</v>
      </c>
      <c r="J69" s="355">
        <f>L231</f>
        <v>0.96343412788870963</v>
      </c>
      <c r="K69" s="401"/>
      <c r="L69" s="397">
        <f>+G69*J69</f>
        <v>0</v>
      </c>
      <c r="M69" s="401"/>
      <c r="N69" s="325"/>
    </row>
    <row r="70" spans="2:15">
      <c r="B70" s="359">
        <f>+B69+1</f>
        <v>23</v>
      </c>
      <c r="C70" s="412"/>
      <c r="D70" s="371" t="s">
        <v>131</v>
      </c>
      <c r="E70" s="350" t="str">
        <f>"(Worksheet A ln "&amp;'WS A - RB Support'!A23&amp;"."&amp;'WS A - RB Support'!G8&amp;")"</f>
        <v>(Worksheet A ln 14.(f))</v>
      </c>
      <c r="F70" s="350"/>
      <c r="G70" s="368">
        <f>'WS A - RB Support'!G23</f>
        <v>2334813732.9007692</v>
      </c>
      <c r="H70" s="368"/>
      <c r="I70" s="354" t="s">
        <v>128</v>
      </c>
      <c r="J70" s="355">
        <v>0</v>
      </c>
      <c r="K70" s="350"/>
      <c r="L70" s="397">
        <f>+J70*G70</f>
        <v>0</v>
      </c>
      <c r="M70" s="350"/>
      <c r="N70" s="325"/>
    </row>
    <row r="71" spans="2:15">
      <c r="B71" s="359">
        <f t="shared" si="0"/>
        <v>24</v>
      </c>
      <c r="C71" s="412"/>
      <c r="D71" s="403" t="s">
        <v>376</v>
      </c>
      <c r="E71" s="350" t="str">
        <f>"(Worksheet A ln "&amp;'WS A - RB Support'!A23&amp;"."&amp;'WS A - RB Support'!H8&amp;")"</f>
        <v>(Worksheet A ln 14.(g))</v>
      </c>
      <c r="F71" s="350"/>
      <c r="G71" s="397">
        <f>-'WS A - RB Support'!H23</f>
        <v>0</v>
      </c>
      <c r="H71" s="368"/>
      <c r="I71" s="354" t="s">
        <v>128</v>
      </c>
      <c r="J71" s="355">
        <v>0</v>
      </c>
      <c r="K71" s="350"/>
      <c r="L71" s="397">
        <f>+G71*J71</f>
        <v>0</v>
      </c>
      <c r="M71" s="350"/>
      <c r="N71" s="325"/>
    </row>
    <row r="72" spans="2:15">
      <c r="B72" s="359">
        <f t="shared" si="0"/>
        <v>25</v>
      </c>
      <c r="C72" s="412"/>
      <c r="D72" s="371" t="s">
        <v>132</v>
      </c>
      <c r="E72" s="350" t="str">
        <f>"(Worksheet A ln "&amp;'WS A - RB Support'!A23&amp;"."&amp;'WS A - RB Support'!I8&amp;")"</f>
        <v>(Worksheet A ln 14.(h))</v>
      </c>
      <c r="F72" s="350"/>
      <c r="G72" s="368">
        <f>'WS A - RB Support'!I23</f>
        <v>158475003.99076921</v>
      </c>
      <c r="H72" s="368"/>
      <c r="I72" s="354" t="s">
        <v>133</v>
      </c>
      <c r="J72" s="355">
        <f>L241</f>
        <v>4.4746272618028077E-2</v>
      </c>
      <c r="K72" s="350"/>
      <c r="L72" s="397">
        <f>+J72*G72</f>
        <v>7091165.7317140466</v>
      </c>
      <c r="M72" s="350"/>
      <c r="N72" s="325"/>
    </row>
    <row r="73" spans="2:15">
      <c r="B73" s="359">
        <f t="shared" si="0"/>
        <v>26</v>
      </c>
      <c r="C73" s="412"/>
      <c r="D73" s="403" t="s">
        <v>377</v>
      </c>
      <c r="E73" s="350" t="str">
        <f>"(Worksheet A ln "&amp;'WS A - RB Support'!A23&amp;"."&amp;'WS A - RB Support'!J8&amp;")"</f>
        <v>(Worksheet A ln 14.(i))</v>
      </c>
      <c r="F73" s="350"/>
      <c r="G73" s="397">
        <f>-'WS A - RB Support'!J23</f>
        <v>-287149.22769230779</v>
      </c>
      <c r="H73" s="368"/>
      <c r="I73" s="354" t="s">
        <v>133</v>
      </c>
      <c r="J73" s="355">
        <f>L241</f>
        <v>4.4746272618028077E-2</v>
      </c>
      <c r="K73" s="350"/>
      <c r="L73" s="397">
        <f>+G73*J73</f>
        <v>-12848.857624376222</v>
      </c>
      <c r="M73" s="350"/>
      <c r="N73" s="325"/>
    </row>
    <row r="74" spans="2:15" ht="16" thickBot="1">
      <c r="B74" s="359">
        <f t="shared" si="0"/>
        <v>27</v>
      </c>
      <c r="C74" s="412"/>
      <c r="D74" s="371" t="s">
        <v>134</v>
      </c>
      <c r="E74" s="350" t="str">
        <f>"(Worksheet A ln "&amp;'WS A - RB Support'!A23&amp;"."&amp;'WS A - RB Support'!K8&amp;")"</f>
        <v>(Worksheet A ln 14.(j))</v>
      </c>
      <c r="F74" s="350"/>
      <c r="G74" s="404">
        <f>'WS A - RB Support'!K23</f>
        <v>197382107.17307693</v>
      </c>
      <c r="H74" s="368"/>
      <c r="I74" s="354" t="s">
        <v>133</v>
      </c>
      <c r="J74" s="355">
        <f>L241</f>
        <v>4.4746272618028077E-2</v>
      </c>
      <c r="K74" s="350"/>
      <c r="L74" s="498">
        <f>+J74*G74</f>
        <v>8832113.5774873346</v>
      </c>
      <c r="M74" s="350"/>
      <c r="N74" s="371"/>
      <c r="O74" s="326"/>
    </row>
    <row r="75" spans="2:15">
      <c r="B75" s="359">
        <f>+B74+1</f>
        <v>28</v>
      </c>
      <c r="C75" s="412"/>
      <c r="D75" s="371" t="s">
        <v>48</v>
      </c>
      <c r="E75" s="360" t="str">
        <f>"(sum lns "&amp;B66&amp;" to "&amp;B74&amp;")"</f>
        <v>(sum lns 19 to 27)</v>
      </c>
      <c r="F75" s="699"/>
      <c r="G75" s="368">
        <f>SUM(G66:G74)</f>
        <v>8782864487.3523064</v>
      </c>
      <c r="H75" s="368"/>
      <c r="I75" s="499" t="s">
        <v>761</v>
      </c>
      <c r="J75" s="406">
        <f>+L75/G75</f>
        <v>0.1777260588512326</v>
      </c>
      <c r="K75" s="350"/>
      <c r="L75" s="368">
        <f>SUM(L66:L74)</f>
        <v>1560943890.7615769</v>
      </c>
      <c r="M75" s="350"/>
      <c r="N75" s="371"/>
      <c r="O75" s="326"/>
    </row>
    <row r="76" spans="2:15">
      <c r="B76" s="359"/>
      <c r="C76" s="360"/>
      <c r="D76" s="371"/>
      <c r="E76" s="1131"/>
      <c r="F76" s="699"/>
      <c r="G76" s="368"/>
      <c r="H76" s="368"/>
      <c r="I76" s="1124" t="s">
        <v>217</v>
      </c>
      <c r="J76" s="407">
        <f>+L68/(G70+G68+G71)</f>
        <v>0.39229112577291336</v>
      </c>
      <c r="K76" s="350"/>
      <c r="L76" s="368"/>
      <c r="M76" s="350"/>
      <c r="N76" s="408"/>
      <c r="O76" s="326"/>
    </row>
    <row r="77" spans="2:15">
      <c r="B77" s="359">
        <f>+B75+1</f>
        <v>29</v>
      </c>
      <c r="C77" s="360"/>
      <c r="D77" s="371" t="s">
        <v>24</v>
      </c>
      <c r="E77" s="395"/>
      <c r="F77" s="395"/>
      <c r="G77" s="368"/>
      <c r="H77" s="409"/>
      <c r="I77" s="354"/>
      <c r="J77" s="410"/>
      <c r="K77" s="350"/>
      <c r="L77" s="368"/>
      <c r="M77" s="350"/>
      <c r="N77" s="350"/>
      <c r="O77" s="332"/>
    </row>
    <row r="78" spans="2:15">
      <c r="B78" s="359">
        <f>+B77+1</f>
        <v>30</v>
      </c>
      <c r="C78" s="360"/>
      <c r="D78" s="403" t="str">
        <f>+D66</f>
        <v xml:space="preserve">  Production</v>
      </c>
      <c r="E78" s="350" t="str">
        <f>"(Worksheet A ln "&amp;'WS A - RB Support'!A42&amp;"."&amp;'WS A - RB Support'!C27&amp;")"</f>
        <v>(Worksheet A ln 28.(b))</v>
      </c>
      <c r="F78" s="350"/>
      <c r="G78" s="368">
        <f>'WS A - RB Support'!C42</f>
        <v>1817917653.2446158</v>
      </c>
      <c r="H78" s="368"/>
      <c r="I78" s="354" t="s">
        <v>128</v>
      </c>
      <c r="J78" s="355">
        <v>0</v>
      </c>
      <c r="K78" s="350"/>
      <c r="L78" s="397">
        <f>+J78*G78</f>
        <v>0</v>
      </c>
      <c r="M78" s="350"/>
      <c r="N78" s="350"/>
      <c r="O78" s="332"/>
    </row>
    <row r="79" spans="2:15">
      <c r="B79" s="359">
        <f t="shared" ref="B79:B87" si="1">+B78+1</f>
        <v>31</v>
      </c>
      <c r="C79" s="360"/>
      <c r="D79" s="403" t="s">
        <v>378</v>
      </c>
      <c r="E79" s="350" t="str">
        <f>"(Worksheet A ln "&amp;'WS A - RB Support'!A42&amp;"."&amp;'WS A - RB Support'!D27&amp;")"</f>
        <v>(Worksheet A ln 28.(c))</v>
      </c>
      <c r="F79" s="350"/>
      <c r="G79" s="397">
        <f>-'WS A - RB Support'!D42</f>
        <v>-121203345.69923078</v>
      </c>
      <c r="H79" s="368"/>
      <c r="I79" s="354" t="s">
        <v>128</v>
      </c>
      <c r="J79" s="355">
        <v>0</v>
      </c>
      <c r="K79" s="350"/>
      <c r="L79" s="397">
        <f>+J79*G79</f>
        <v>0</v>
      </c>
      <c r="M79" s="350"/>
      <c r="N79" s="350"/>
      <c r="O79" s="332"/>
    </row>
    <row r="80" spans="2:15">
      <c r="B80" s="359">
        <f t="shared" si="1"/>
        <v>32</v>
      </c>
      <c r="C80" s="412"/>
      <c r="D80" s="1129" t="str">
        <f>D68</f>
        <v xml:space="preserve">  Transmission</v>
      </c>
      <c r="E80" s="350" t="str">
        <f>"(Worksheet A ln "&amp;'WS A - RB Support'!A42&amp;"."&amp;'WS A - RB Support'!E27&amp;" &amp; "&amp;"ln "&amp;'WS A - RB Support'!A64&amp;"."&amp;'WS A - RB Support'!D47&amp;")"</f>
        <v>(Worksheet A ln 28.(d) &amp; ln 43.(c))</v>
      </c>
      <c r="F80" s="399"/>
      <c r="G80" s="402">
        <f>'WS A - RB Support'!E42</f>
        <v>489641801.74846148</v>
      </c>
      <c r="H80" s="368"/>
      <c r="I80" s="1125" t="s">
        <v>27</v>
      </c>
      <c r="J80" s="411">
        <f>L80/G80</f>
        <v>0.98115039065110787</v>
      </c>
      <c r="K80" s="401"/>
      <c r="L80" s="397">
        <f>'WS A - RB Support'!D64</f>
        <v>480412245.06461531</v>
      </c>
      <c r="M80" s="401"/>
      <c r="N80" s="350"/>
      <c r="O80" s="332"/>
    </row>
    <row r="81" spans="2:15">
      <c r="B81" s="359">
        <f t="shared" si="1"/>
        <v>33</v>
      </c>
      <c r="C81" s="412"/>
      <c r="D81" s="403" t="s">
        <v>379</v>
      </c>
      <c r="E81" s="350" t="str">
        <f>"(Worksheet A ln "&amp;'WS A - RB Support'!A42&amp;"."&amp;'WS A - RB Support'!F27&amp;")"</f>
        <v>(Worksheet A ln 28.(e))</v>
      </c>
      <c r="F81" s="399"/>
      <c r="G81" s="397">
        <f>-'WS A - RB Support'!F42</f>
        <v>0</v>
      </c>
      <c r="H81" s="368"/>
      <c r="I81" s="1125" t="s">
        <v>27</v>
      </c>
      <c r="J81" s="355">
        <f>+J80</f>
        <v>0.98115039065110787</v>
      </c>
      <c r="K81" s="401"/>
      <c r="L81" s="397">
        <f t="shared" ref="L81:L86" si="2">+J81*G81</f>
        <v>0</v>
      </c>
      <c r="M81" s="401"/>
      <c r="N81" s="350"/>
      <c r="O81" s="332"/>
    </row>
    <row r="82" spans="2:15">
      <c r="B82" s="359">
        <f>+B81+1</f>
        <v>34</v>
      </c>
      <c r="C82" s="412"/>
      <c r="D82" s="371" t="str">
        <f>+D70</f>
        <v xml:space="preserve">  Distribution</v>
      </c>
      <c r="E82" s="350" t="str">
        <f>"(Worksheet A ln "&amp;'WS A - RB Support'!A42&amp;"."&amp;'WS A - RB Support'!G27&amp;")"</f>
        <v>(Worksheet A ln 28.(f))</v>
      </c>
      <c r="F82" s="350"/>
      <c r="G82" s="368">
        <f>'WS A - RB Support'!G42</f>
        <v>654540941.98153853</v>
      </c>
      <c r="H82" s="368"/>
      <c r="I82" s="354" t="s">
        <v>128</v>
      </c>
      <c r="J82" s="355">
        <v>0</v>
      </c>
      <c r="K82" s="350"/>
      <c r="L82" s="397">
        <f t="shared" si="2"/>
        <v>0</v>
      </c>
      <c r="M82" s="350"/>
      <c r="N82" s="350"/>
      <c r="O82" s="332"/>
    </row>
    <row r="83" spans="2:15">
      <c r="B83" s="359">
        <f t="shared" si="1"/>
        <v>35</v>
      </c>
      <c r="C83" s="412"/>
      <c r="D83" s="403" t="s">
        <v>376</v>
      </c>
      <c r="E83" s="350" t="str">
        <f>"(Worksheet A ln "&amp;'WS A - RB Support'!A42&amp;"."&amp;'WS A - RB Support'!H27&amp;")"</f>
        <v>(Worksheet A ln 28.(g))</v>
      </c>
      <c r="F83" s="350"/>
      <c r="G83" s="397">
        <f>-'WS A - RB Support'!H42</f>
        <v>0</v>
      </c>
      <c r="H83" s="368"/>
      <c r="I83" s="354" t="s">
        <v>128</v>
      </c>
      <c r="J83" s="355">
        <v>0</v>
      </c>
      <c r="K83" s="350"/>
      <c r="L83" s="397">
        <f t="shared" si="2"/>
        <v>0</v>
      </c>
      <c r="M83" s="350"/>
      <c r="N83" s="350"/>
      <c r="O83" s="332"/>
    </row>
    <row r="84" spans="2:15">
      <c r="B84" s="359">
        <f t="shared" si="1"/>
        <v>36</v>
      </c>
      <c r="C84" s="412"/>
      <c r="D84" s="371" t="str">
        <f>+D72</f>
        <v xml:space="preserve">  General Plant   </v>
      </c>
      <c r="E84" s="350" t="str">
        <f>"(Worksheet A ln "&amp;'WS A - RB Support'!A42&amp;"."&amp;'WS A - RB Support'!I27&amp;")"</f>
        <v>(Worksheet A ln 28.(h))</v>
      </c>
      <c r="F84" s="350"/>
      <c r="G84" s="353">
        <f>'WS A - RB Support'!I42</f>
        <v>32432941.269230768</v>
      </c>
      <c r="H84" s="368"/>
      <c r="I84" s="354" t="s">
        <v>133</v>
      </c>
      <c r="J84" s="355">
        <f>L241</f>
        <v>4.4746272618028077E-2</v>
      </c>
      <c r="K84" s="350"/>
      <c r="L84" s="397">
        <f t="shared" si="2"/>
        <v>1451253.2318374936</v>
      </c>
      <c r="M84" s="350"/>
      <c r="N84" s="350"/>
      <c r="O84" s="332"/>
    </row>
    <row r="85" spans="2:15">
      <c r="B85" s="359">
        <f t="shared" si="1"/>
        <v>37</v>
      </c>
      <c r="C85" s="412"/>
      <c r="D85" s="403" t="s">
        <v>377</v>
      </c>
      <c r="E85" s="350" t="str">
        <f>"(Worksheet A ln "&amp;'WS A - RB Support'!A42&amp;"."&amp;'WS A - RB Support'!J27&amp;")"</f>
        <v>(Worksheet A ln 28.(i))</v>
      </c>
      <c r="F85" s="350"/>
      <c r="G85" s="397">
        <f>-'WS A - RB Support'!J42</f>
        <v>-163492.70230769232</v>
      </c>
      <c r="H85" s="368"/>
      <c r="I85" s="354" t="s">
        <v>133</v>
      </c>
      <c r="J85" s="355">
        <f>L241</f>
        <v>4.4746272618028077E-2</v>
      </c>
      <c r="K85" s="350"/>
      <c r="L85" s="397">
        <f t="shared" si="2"/>
        <v>-7315.6890285181089</v>
      </c>
      <c r="M85" s="350"/>
      <c r="N85" s="350"/>
      <c r="O85" s="332"/>
    </row>
    <row r="86" spans="2:15" ht="16" thickBot="1">
      <c r="B86" s="359">
        <f t="shared" si="1"/>
        <v>38</v>
      </c>
      <c r="C86" s="412"/>
      <c r="D86" s="371" t="str">
        <f>+D74</f>
        <v xml:space="preserve">  Intangible Plant</v>
      </c>
      <c r="E86" s="350" t="str">
        <f>"(Worksheet A ln "&amp;'WS A - RB Support'!A42&amp;"."&amp;'WS A - RB Support'!K27&amp;")"</f>
        <v>(Worksheet A ln 28.(j))</v>
      </c>
      <c r="F86" s="350"/>
      <c r="G86" s="404">
        <f>'WS A - RB Support'!K42</f>
        <v>157750767.93923077</v>
      </c>
      <c r="H86" s="368"/>
      <c r="I86" s="354" t="s">
        <v>133</v>
      </c>
      <c r="J86" s="355">
        <f>L241</f>
        <v>4.4746272618028077E-2</v>
      </c>
      <c r="K86" s="350"/>
      <c r="L86" s="498">
        <f t="shared" si="2"/>
        <v>7058758.8679121034</v>
      </c>
      <c r="M86" s="350"/>
      <c r="N86" s="350"/>
      <c r="O86" s="332"/>
    </row>
    <row r="87" spans="2:15">
      <c r="B87" s="359">
        <f t="shared" si="1"/>
        <v>39</v>
      </c>
      <c r="C87" s="412"/>
      <c r="D87" s="371" t="s">
        <v>47</v>
      </c>
      <c r="E87" s="1109" t="str">
        <f>"(sum lns "&amp;B78&amp;" to "&amp;B86&amp;")"</f>
        <v>(sum lns 30 to 38)</v>
      </c>
      <c r="F87" s="697"/>
      <c r="G87" s="368">
        <f>SUM(G78:G86)</f>
        <v>3030917267.781539</v>
      </c>
      <c r="H87" s="368"/>
      <c r="I87" s="354"/>
      <c r="J87" s="350"/>
      <c r="K87" s="368"/>
      <c r="L87" s="368">
        <f>SUM(L78:L86)</f>
        <v>488914941.47533643</v>
      </c>
      <c r="M87" s="350"/>
      <c r="N87" s="350"/>
      <c r="O87" s="332"/>
    </row>
    <row r="88" spans="2:15">
      <c r="B88" s="359"/>
      <c r="C88" s="360"/>
      <c r="D88" s="325"/>
      <c r="E88" s="1132"/>
      <c r="F88" s="697"/>
      <c r="G88" s="368"/>
      <c r="H88" s="368"/>
      <c r="I88" s="354"/>
      <c r="J88" s="413"/>
      <c r="K88" s="350"/>
      <c r="L88" s="368"/>
      <c r="M88" s="350"/>
      <c r="N88" s="350"/>
      <c r="O88" s="332"/>
    </row>
    <row r="89" spans="2:15">
      <c r="B89" s="359">
        <f>+B87+1</f>
        <v>40</v>
      </c>
      <c r="C89" s="360"/>
      <c r="D89" s="371" t="s">
        <v>84</v>
      </c>
      <c r="E89" s="395"/>
      <c r="F89" s="395"/>
      <c r="G89" s="368"/>
      <c r="H89" s="368"/>
      <c r="I89" s="354"/>
      <c r="J89" s="350"/>
      <c r="K89" s="350"/>
      <c r="L89" s="368"/>
      <c r="M89" s="350"/>
      <c r="N89" s="350"/>
      <c r="O89" s="332"/>
    </row>
    <row r="90" spans="2:15">
      <c r="B90" s="359">
        <f t="shared" ref="B90:B95" si="3">+B89+1</f>
        <v>41</v>
      </c>
      <c r="C90" s="412"/>
      <c r="D90" s="403" t="str">
        <f>+D78</f>
        <v xml:space="preserve">  Production</v>
      </c>
      <c r="E90" s="350" t="str">
        <f>" (ln "&amp;B66&amp;" + ln "&amp;B67&amp;" - ln "&amp;B78&amp;" - ln "&amp;B79&amp;")"</f>
        <v xml:space="preserve"> (ln 19 + ln 20 - ln 30 - ln 31)</v>
      </c>
      <c r="F90" s="350"/>
      <c r="G90" s="368">
        <f>G66+G67-G78-G79</f>
        <v>2792093316.6799989</v>
      </c>
      <c r="H90" s="368"/>
      <c r="I90" s="354"/>
      <c r="J90" s="414"/>
      <c r="K90" s="350"/>
      <c r="L90" s="368">
        <f>L66+L67-L78-L79</f>
        <v>0</v>
      </c>
      <c r="M90" s="350"/>
      <c r="N90" s="350"/>
      <c r="O90" s="332"/>
    </row>
    <row r="91" spans="2:15">
      <c r="B91" s="359">
        <f t="shared" si="3"/>
        <v>42</v>
      </c>
      <c r="C91" s="412"/>
      <c r="D91" s="403" t="str">
        <f>+D80</f>
        <v xml:space="preserve">  Transmission</v>
      </c>
      <c r="E91" s="350" t="str">
        <f>" (ln "&amp;B68&amp;" + ln "&amp;B69&amp;" - ln "&amp;B80&amp;" - ln "&amp;B81&amp;")"</f>
        <v xml:space="preserve"> (ln 21 + ln 22 - ln 32 - ln 33)</v>
      </c>
      <c r="F91" s="350"/>
      <c r="G91" s="368">
        <f>+G68+G69-G80-G81</f>
        <v>1114031366.5415385</v>
      </c>
      <c r="H91" s="368"/>
      <c r="I91" s="354"/>
      <c r="J91" s="411"/>
      <c r="K91" s="350"/>
      <c r="L91" s="368">
        <f>+L68+L69-L80-L81</f>
        <v>1064621215.2453847</v>
      </c>
      <c r="M91" s="350"/>
      <c r="N91" s="350"/>
      <c r="O91" s="332"/>
    </row>
    <row r="92" spans="2:15">
      <c r="B92" s="359">
        <f>+B91+1</f>
        <v>43</v>
      </c>
      <c r="C92" s="412"/>
      <c r="D92" s="403" t="str">
        <f>+D82</f>
        <v xml:space="preserve">  Distribution</v>
      </c>
      <c r="E92" s="350" t="str">
        <f>" (ln "&amp;B70&amp;" + ln "&amp;B71&amp;" - ln "&amp;B82&amp;" - ln "&amp;B83&amp;")"</f>
        <v xml:space="preserve"> (ln 23 + ln 24 - ln 34 - ln 35)</v>
      </c>
      <c r="F92" s="350"/>
      <c r="G92" s="368">
        <f>+G70+G71-G82-G83</f>
        <v>1680272790.9192307</v>
      </c>
      <c r="H92" s="368"/>
      <c r="I92" s="354"/>
      <c r="J92" s="413"/>
      <c r="K92" s="350"/>
      <c r="L92" s="368">
        <f>+L70+L71-L82-L83</f>
        <v>0</v>
      </c>
      <c r="M92" s="350"/>
      <c r="N92" s="325"/>
      <c r="O92" s="332"/>
    </row>
    <row r="93" spans="2:15">
      <c r="B93" s="359">
        <f t="shared" si="3"/>
        <v>44</v>
      </c>
      <c r="C93" s="412"/>
      <c r="D93" s="403" t="str">
        <f>+D84</f>
        <v xml:space="preserve">  General Plant   </v>
      </c>
      <c r="E93" s="350" t="str">
        <f>" (ln "&amp;B72&amp;" + ln "&amp;B73&amp;" - ln "&amp;B84&amp;" - ln "&amp;B85&amp;")"</f>
        <v xml:space="preserve"> (ln 25 + ln 26 - ln 36 - ln 37)</v>
      </c>
      <c r="F93" s="350"/>
      <c r="G93" s="368">
        <f>+G72+G73-G84-G85</f>
        <v>125918406.19615382</v>
      </c>
      <c r="H93" s="368"/>
      <c r="I93" s="354"/>
      <c r="J93" s="413"/>
      <c r="K93" s="350"/>
      <c r="L93" s="368">
        <f>+L72+L73-L84-L85</f>
        <v>5634379.3312806953</v>
      </c>
      <c r="M93" s="350"/>
      <c r="N93" s="350"/>
      <c r="O93" s="332"/>
    </row>
    <row r="94" spans="2:15" ht="16" thickBot="1">
      <c r="B94" s="359">
        <f t="shared" si="3"/>
        <v>45</v>
      </c>
      <c r="C94" s="412"/>
      <c r="D94" s="403" t="str">
        <f>+D86</f>
        <v xml:space="preserve">  Intangible Plant</v>
      </c>
      <c r="E94" s="350" t="str">
        <f>" (ln "&amp;B74&amp;" - ln "&amp;B86&amp;")"</f>
        <v xml:space="preserve"> (ln 27 - ln 38)</v>
      </c>
      <c r="F94" s="350"/>
      <c r="G94" s="404">
        <f>+G74-G86</f>
        <v>39631339.233846158</v>
      </c>
      <c r="H94" s="368"/>
      <c r="I94" s="354"/>
      <c r="J94" s="413"/>
      <c r="K94" s="350"/>
      <c r="L94" s="404">
        <f>+L74-L86</f>
        <v>1773354.7095752312</v>
      </c>
      <c r="M94" s="350"/>
      <c r="N94" s="350"/>
      <c r="O94" s="332"/>
    </row>
    <row r="95" spans="2:15">
      <c r="B95" s="359">
        <f t="shared" si="3"/>
        <v>46</v>
      </c>
      <c r="C95" s="412"/>
      <c r="D95" s="403" t="s">
        <v>46</v>
      </c>
      <c r="E95" s="403" t="str">
        <f>"(sum lns "&amp;B90&amp;" to "&amp;B94&amp;")"</f>
        <v>(sum lns 41 to 45)</v>
      </c>
      <c r="F95" s="350"/>
      <c r="G95" s="368">
        <f>SUM(G90:G94)</f>
        <v>5751947219.5707674</v>
      </c>
      <c r="H95" s="368"/>
      <c r="I95" s="499" t="s">
        <v>762</v>
      </c>
      <c r="J95" s="406">
        <f>+L95/G95</f>
        <v>0.18637670137839679</v>
      </c>
      <c r="K95" s="350"/>
      <c r="L95" s="368">
        <f>SUM(L90:L94)</f>
        <v>1072028949.2862406</v>
      </c>
      <c r="M95" s="350"/>
      <c r="N95" s="350"/>
      <c r="O95" s="332"/>
    </row>
    <row r="96" spans="2:15">
      <c r="B96" s="359"/>
      <c r="C96" s="360"/>
      <c r="D96" s="371"/>
      <c r="E96" s="350"/>
      <c r="F96" s="350"/>
      <c r="G96" s="368"/>
      <c r="H96" s="368"/>
      <c r="I96" s="430"/>
      <c r="J96" s="418"/>
      <c r="K96" s="350"/>
      <c r="L96" s="368"/>
      <c r="M96" s="350"/>
      <c r="N96" s="350"/>
      <c r="O96" s="332"/>
    </row>
    <row r="97" spans="2:15">
      <c r="B97" s="359"/>
      <c r="C97" s="360"/>
      <c r="D97" s="325"/>
      <c r="E97" s="325"/>
      <c r="F97" s="325"/>
      <c r="G97" s="586"/>
      <c r="H97" s="586"/>
      <c r="I97" s="1131"/>
      <c r="J97" s="586"/>
      <c r="K97" s="586"/>
      <c r="L97" s="586"/>
      <c r="M97" s="419"/>
      <c r="N97" s="350"/>
      <c r="O97" s="332"/>
    </row>
    <row r="98" spans="2:15">
      <c r="B98" s="359">
        <f>+B95+1</f>
        <v>47</v>
      </c>
      <c r="C98" s="360"/>
      <c r="D98" s="371" t="s">
        <v>327</v>
      </c>
      <c r="E98" s="350" t="s">
        <v>304</v>
      </c>
      <c r="F98" s="354"/>
      <c r="G98" s="586"/>
      <c r="H98" s="586"/>
      <c r="I98" s="1131"/>
      <c r="J98" s="586"/>
      <c r="K98" s="586"/>
      <c r="L98" s="586"/>
      <c r="M98" s="419"/>
      <c r="N98" s="350"/>
      <c r="O98" s="332"/>
    </row>
    <row r="99" spans="2:15">
      <c r="B99" s="359">
        <f t="shared" ref="B99:B104" si="4">+B98+1</f>
        <v>48</v>
      </c>
      <c r="C99" s="412"/>
      <c r="D99" s="403" t="s">
        <v>194</v>
      </c>
      <c r="E99" s="350" t="s">
        <v>538</v>
      </c>
      <c r="F99" s="350"/>
      <c r="G99" s="368">
        <f>-'WS B ADIT &amp; ITC'!I17</f>
        <v>-29093205.975000001</v>
      </c>
      <c r="H99" s="368"/>
      <c r="I99" s="354" t="s">
        <v>128</v>
      </c>
      <c r="J99" s="355"/>
      <c r="K99" s="350"/>
      <c r="L99" s="368">
        <f>'WS B ADIT &amp; ITC'!I20</f>
        <v>0</v>
      </c>
      <c r="M99" s="350"/>
      <c r="N99" s="350"/>
      <c r="O99" s="332"/>
    </row>
    <row r="100" spans="2:15">
      <c r="B100" s="359">
        <f t="shared" si="4"/>
        <v>49</v>
      </c>
      <c r="C100" s="412"/>
      <c r="D100" s="403" t="s">
        <v>195</v>
      </c>
      <c r="E100" s="350" t="s">
        <v>539</v>
      </c>
      <c r="F100" s="350"/>
      <c r="G100" s="368">
        <f>-'WS B ADIT &amp; ITC'!I25</f>
        <v>-1445285800.52</v>
      </c>
      <c r="H100" s="368"/>
      <c r="I100" s="354" t="s">
        <v>130</v>
      </c>
      <c r="J100" s="355"/>
      <c r="K100" s="350"/>
      <c r="L100" s="368">
        <f>-'WS B ADIT &amp; ITC'!I28</f>
        <v>-243060627.94999981</v>
      </c>
      <c r="M100" s="350"/>
      <c r="N100" s="350"/>
      <c r="O100" s="332"/>
    </row>
    <row r="101" spans="2:15">
      <c r="B101" s="359">
        <f t="shared" si="4"/>
        <v>50</v>
      </c>
      <c r="C101" s="412"/>
      <c r="D101" s="403" t="s">
        <v>196</v>
      </c>
      <c r="E101" s="350" t="s">
        <v>540</v>
      </c>
      <c r="F101" s="350"/>
      <c r="G101" s="368">
        <f>-'WS B ADIT &amp; ITC'!I33</f>
        <v>-558560445.33500004</v>
      </c>
      <c r="H101" s="368"/>
      <c r="I101" s="354" t="s">
        <v>130</v>
      </c>
      <c r="J101" s="355"/>
      <c r="K101" s="350"/>
      <c r="L101" s="368">
        <f>-'WS B ADIT &amp; ITC'!I36</f>
        <v>-1084954.5000000298</v>
      </c>
      <c r="M101" s="350"/>
      <c r="N101" s="350"/>
      <c r="O101" s="332"/>
    </row>
    <row r="102" spans="2:15">
      <c r="B102" s="359">
        <f t="shared" si="4"/>
        <v>51</v>
      </c>
      <c r="C102" s="412"/>
      <c r="D102" s="403" t="s">
        <v>197</v>
      </c>
      <c r="E102" s="350" t="s">
        <v>541</v>
      </c>
      <c r="F102" s="350"/>
      <c r="G102" s="368">
        <f>'WS B ADIT &amp; ITC'!I41</f>
        <v>665751919.47500002</v>
      </c>
      <c r="H102" s="368"/>
      <c r="I102" s="354" t="s">
        <v>130</v>
      </c>
      <c r="J102" s="355"/>
      <c r="K102" s="350"/>
      <c r="L102" s="368">
        <f>'WS B ADIT &amp; ITC'!I44</f>
        <v>9369368.2599999905</v>
      </c>
      <c r="M102" s="350"/>
      <c r="N102" s="350"/>
      <c r="O102" s="332"/>
    </row>
    <row r="103" spans="2:15" ht="16" thickBot="1">
      <c r="B103" s="359">
        <f t="shared" si="4"/>
        <v>52</v>
      </c>
      <c r="C103" s="412"/>
      <c r="D103" s="484" t="s">
        <v>135</v>
      </c>
      <c r="E103" s="350" t="s">
        <v>542</v>
      </c>
      <c r="F103" s="325"/>
      <c r="G103" s="404">
        <f>-'WS B ADIT &amp; ITC'!I51</f>
        <v>0</v>
      </c>
      <c r="H103" s="368"/>
      <c r="I103" s="354" t="s">
        <v>130</v>
      </c>
      <c r="J103" s="355"/>
      <c r="K103" s="350"/>
      <c r="L103" s="404">
        <f>-'WS B ADIT &amp; ITC'!I52</f>
        <v>0</v>
      </c>
      <c r="M103" s="420"/>
      <c r="N103" s="350"/>
      <c r="O103" s="332"/>
    </row>
    <row r="104" spans="2:15">
      <c r="B104" s="359">
        <f t="shared" si="4"/>
        <v>53</v>
      </c>
      <c r="C104" s="412"/>
      <c r="D104" s="403" t="s">
        <v>93</v>
      </c>
      <c r="E104" s="403" t="str">
        <f>"(sum lns "&amp;B99&amp;" to "&amp;B103&amp;")"</f>
        <v>(sum lns 48 to 52)</v>
      </c>
      <c r="F104" s="350"/>
      <c r="G104" s="368">
        <f>SUM(G99:G103)</f>
        <v>-1367187532.355</v>
      </c>
      <c r="H104" s="586"/>
      <c r="I104" s="354"/>
      <c r="J104" s="422"/>
      <c r="K104" s="350"/>
      <c r="L104" s="368">
        <f>SUM(L99:L103)</f>
        <v>-234776214.18999985</v>
      </c>
      <c r="M104" s="350"/>
      <c r="N104" s="423"/>
    </row>
    <row r="105" spans="2:15">
      <c r="B105" s="359"/>
      <c r="C105" s="360"/>
      <c r="D105" s="403"/>
      <c r="E105" s="350"/>
      <c r="F105" s="350"/>
      <c r="G105" s="368"/>
      <c r="H105" s="586"/>
      <c r="I105" s="354"/>
      <c r="J105" s="413"/>
      <c r="K105" s="350"/>
      <c r="L105" s="368"/>
      <c r="M105" s="350"/>
      <c r="N105" s="325"/>
    </row>
    <row r="106" spans="2:15">
      <c r="B106" s="359">
        <f>+B104+1</f>
        <v>54</v>
      </c>
      <c r="C106" s="360"/>
      <c r="D106" s="403" t="s">
        <v>206</v>
      </c>
      <c r="E106" s="350" t="str">
        <f>"(Worksheet A ln "&amp;'WS A - RB Support'!A69&amp;"."&amp;'WS A - RB Support'!F68&amp;" &amp; "&amp;"ln "&amp;'WS A - RB Support'!A71&amp;"."&amp;'WS A - RB Support'!F68&amp;")"</f>
        <v>(Worksheet A ln 44.(e) &amp; ln 45.(e))</v>
      </c>
      <c r="F106" s="350"/>
      <c r="G106" s="368">
        <f>'WS A - RB Support'!F69</f>
        <v>1444928.0699999998</v>
      </c>
      <c r="H106" s="586"/>
      <c r="I106" s="354" t="s">
        <v>130</v>
      </c>
      <c r="J106" s="355"/>
      <c r="K106" s="350"/>
      <c r="L106" s="368">
        <f>'WS A - RB Support'!F71</f>
        <v>208360</v>
      </c>
      <c r="M106" s="350"/>
      <c r="N106" s="325"/>
    </row>
    <row r="107" spans="2:15">
      <c r="B107" s="359"/>
      <c r="C107" s="360"/>
      <c r="D107" s="403"/>
      <c r="E107" s="350"/>
      <c r="F107" s="350"/>
      <c r="G107" s="368"/>
      <c r="H107" s="586"/>
      <c r="I107" s="354"/>
      <c r="J107" s="355"/>
      <c r="K107" s="350"/>
      <c r="L107" s="368"/>
      <c r="M107" s="350"/>
      <c r="N107" s="325"/>
    </row>
    <row r="108" spans="2:15">
      <c r="B108" s="359">
        <f>+B106+1</f>
        <v>55</v>
      </c>
      <c r="C108" s="360"/>
      <c r="D108" s="403" t="s">
        <v>328</v>
      </c>
      <c r="E108" s="350" t="str">
        <f>"(Worksheet A ln "&amp;'WS A - RB Support'!A80&amp;"."&amp;'WS A - RB Support'!F68&amp;")"</f>
        <v>(Worksheet A ln 51.(e))</v>
      </c>
      <c r="F108" s="350"/>
      <c r="G108" s="368">
        <f>'WS A - RB Support'!F80</f>
        <v>0</v>
      </c>
      <c r="H108" s="586"/>
      <c r="I108" s="354" t="s">
        <v>130</v>
      </c>
      <c r="J108" s="350"/>
      <c r="K108" s="350"/>
      <c r="L108" s="368">
        <f>+G108</f>
        <v>0</v>
      </c>
      <c r="M108" s="350"/>
      <c r="N108" s="325"/>
    </row>
    <row r="109" spans="2:15">
      <c r="B109" s="359"/>
      <c r="C109" s="360"/>
      <c r="D109" s="403"/>
      <c r="E109" s="350"/>
      <c r="F109" s="350"/>
      <c r="G109" s="368"/>
      <c r="H109" s="586"/>
      <c r="I109" s="354"/>
      <c r="J109" s="350"/>
      <c r="K109" s="350"/>
      <c r="L109" s="368"/>
      <c r="M109" s="350"/>
      <c r="N109" s="325"/>
    </row>
    <row r="110" spans="2:15" ht="14.25" customHeight="1">
      <c r="B110" s="359">
        <f>+B108+1</f>
        <v>56</v>
      </c>
      <c r="C110" s="412"/>
      <c r="D110" s="479" t="s">
        <v>750</v>
      </c>
      <c r="E110" s="350" t="str">
        <f>"(Worksheet A ln "&amp;'WS A - RB Support'!A87&amp;"."&amp;'WS A - RB Support'!F68&amp;")"</f>
        <v>(Worksheet A ln 54.(e))</v>
      </c>
      <c r="F110" s="350"/>
      <c r="G110" s="353">
        <f>-'WS A - RB Support'!F87</f>
        <v>-141942.185</v>
      </c>
      <c r="H110" s="368"/>
      <c r="I110" s="354" t="s">
        <v>133</v>
      </c>
      <c r="J110" s="355">
        <f>L241</f>
        <v>4.4746272618028077E-2</v>
      </c>
      <c r="K110" s="350"/>
      <c r="L110" s="353">
        <f>G110*J110</f>
        <v>-6351.3837060085752</v>
      </c>
      <c r="M110" s="350"/>
      <c r="N110" s="325"/>
    </row>
    <row r="111" spans="2:15">
      <c r="B111" s="359"/>
      <c r="C111" s="360"/>
      <c r="D111" s="403"/>
      <c r="E111" s="350"/>
      <c r="F111" s="350"/>
      <c r="G111" s="368"/>
      <c r="H111" s="586"/>
      <c r="I111" s="354"/>
      <c r="J111" s="350"/>
      <c r="K111" s="350"/>
      <c r="L111" s="368"/>
      <c r="M111" s="350"/>
      <c r="N111" s="325"/>
    </row>
    <row r="112" spans="2:15">
      <c r="B112" s="359">
        <f>+B110+1</f>
        <v>57</v>
      </c>
      <c r="C112" s="360"/>
      <c r="D112" s="403" t="s">
        <v>94</v>
      </c>
      <c r="E112" s="350" t="s">
        <v>499</v>
      </c>
      <c r="F112" s="350"/>
      <c r="G112" s="368"/>
      <c r="H112" s="586"/>
      <c r="I112" s="354"/>
      <c r="J112" s="350"/>
      <c r="K112" s="350"/>
      <c r="L112" s="368"/>
      <c r="M112" s="350"/>
      <c r="N112" s="325"/>
    </row>
    <row r="113" spans="2:14">
      <c r="B113" s="359">
        <f t="shared" ref="B113:B120" si="5">+B112+1</f>
        <v>58</v>
      </c>
      <c r="C113" s="412"/>
      <c r="D113" s="403" t="s">
        <v>205</v>
      </c>
      <c r="E113" s="325" t="str">
        <f>"(1/8 * ln "&amp;B149&amp;")"</f>
        <v>(1/8 * ln 78)</v>
      </c>
      <c r="F113" s="325"/>
      <c r="G113" s="368">
        <f>+G149/8</f>
        <v>3450856.7787499987</v>
      </c>
      <c r="H113" s="350"/>
      <c r="I113" s="354"/>
      <c r="J113" s="413"/>
      <c r="K113" s="350"/>
      <c r="L113" s="368">
        <f>+L149/8</f>
        <v>3324673.1911038468</v>
      </c>
      <c r="M113" s="345"/>
      <c r="N113" s="325"/>
    </row>
    <row r="114" spans="2:14">
      <c r="B114" s="359">
        <f t="shared" si="5"/>
        <v>59</v>
      </c>
      <c r="C114" s="412"/>
      <c r="D114" s="403" t="s">
        <v>336</v>
      </c>
      <c r="E114" s="350" t="s">
        <v>543</v>
      </c>
      <c r="F114" s="350"/>
      <c r="G114" s="368">
        <f>'WS C  - Working Capital'!I17</f>
        <v>1861468.5</v>
      </c>
      <c r="H114" s="586"/>
      <c r="I114" s="354" t="s">
        <v>121</v>
      </c>
      <c r="J114" s="355">
        <f>L231</f>
        <v>0.96343412788870963</v>
      </c>
      <c r="K114" s="350"/>
      <c r="L114" s="368">
        <f>+J114*G114</f>
        <v>1793402.2808898045</v>
      </c>
      <c r="M114" s="350"/>
      <c r="N114" s="325"/>
    </row>
    <row r="115" spans="2:14">
      <c r="B115" s="359">
        <f t="shared" si="5"/>
        <v>60</v>
      </c>
      <c r="C115" s="412"/>
      <c r="D115" s="403" t="s">
        <v>337</v>
      </c>
      <c r="E115" s="350" t="s">
        <v>544</v>
      </c>
      <c r="F115" s="350"/>
      <c r="G115" s="368">
        <f>'WS C  - Working Capital'!I19</f>
        <v>401143.5</v>
      </c>
      <c r="H115" s="586"/>
      <c r="I115" s="354" t="s">
        <v>133</v>
      </c>
      <c r="J115" s="355">
        <f>L241</f>
        <v>4.4746272618028077E-2</v>
      </c>
      <c r="K115" s="350"/>
      <c r="L115" s="368">
        <f>+J115*G115</f>
        <v>17949.676409949945</v>
      </c>
      <c r="M115" s="350"/>
      <c r="N115" s="325"/>
    </row>
    <row r="116" spans="2:14">
      <c r="B116" s="359">
        <f t="shared" si="5"/>
        <v>61</v>
      </c>
      <c r="C116" s="412"/>
      <c r="D116" s="403" t="s">
        <v>531</v>
      </c>
      <c r="E116" s="350" t="s">
        <v>545</v>
      </c>
      <c r="F116" s="350"/>
      <c r="G116" s="368">
        <f>'WS C  - Working Capital'!I21</f>
        <v>0</v>
      </c>
      <c r="H116" s="586"/>
      <c r="I116" s="354" t="s">
        <v>761</v>
      </c>
      <c r="J116" s="355">
        <f>J75</f>
        <v>0.1777260588512326</v>
      </c>
      <c r="K116" s="350"/>
      <c r="L116" s="368">
        <f>+J116*G116</f>
        <v>0</v>
      </c>
      <c r="M116" s="350"/>
      <c r="N116" s="325"/>
    </row>
    <row r="117" spans="2:14">
      <c r="B117" s="359">
        <f t="shared" si="5"/>
        <v>62</v>
      </c>
      <c r="C117" s="412"/>
      <c r="D117" s="403" t="s">
        <v>209</v>
      </c>
      <c r="E117" s="350" t="s">
        <v>574</v>
      </c>
      <c r="F117" s="350"/>
      <c r="G117" s="368">
        <f>'WS C  - Working Capital'!J31</f>
        <v>155841460.84400001</v>
      </c>
      <c r="H117" s="586"/>
      <c r="I117" s="354" t="s">
        <v>133</v>
      </c>
      <c r="J117" s="355">
        <f>L241</f>
        <v>4.4746272618028077E-2</v>
      </c>
      <c r="K117" s="350"/>
      <c r="L117" s="368">
        <f>+J117*G117</f>
        <v>6973324.4921173723</v>
      </c>
      <c r="M117" s="350"/>
      <c r="N117" s="325"/>
    </row>
    <row r="118" spans="2:14">
      <c r="B118" s="359">
        <f t="shared" si="5"/>
        <v>63</v>
      </c>
      <c r="C118" s="412"/>
      <c r="D118" s="403" t="s">
        <v>210</v>
      </c>
      <c r="E118" s="350" t="s">
        <v>573</v>
      </c>
      <c r="F118" s="350"/>
      <c r="G118" s="368">
        <f>'WS C  - Working Capital'!I31</f>
        <v>5672893.3449999997</v>
      </c>
      <c r="H118" s="586"/>
      <c r="I118" s="354" t="s">
        <v>761</v>
      </c>
      <c r="J118" s="355">
        <f>J75</f>
        <v>0.1777260588512326</v>
      </c>
      <c r="K118" s="350"/>
      <c r="L118" s="368">
        <f>+G118*J118</f>
        <v>1008220.9764902358</v>
      </c>
      <c r="M118" s="350"/>
      <c r="N118" s="325"/>
    </row>
    <row r="119" spans="2:14">
      <c r="B119" s="359">
        <f t="shared" si="5"/>
        <v>64</v>
      </c>
      <c r="C119" s="412"/>
      <c r="D119" s="403" t="s">
        <v>306</v>
      </c>
      <c r="E119" s="350" t="s">
        <v>575</v>
      </c>
      <c r="F119" s="350"/>
      <c r="G119" s="368">
        <f>'WS C  - Working Capital'!G31</f>
        <v>0</v>
      </c>
      <c r="H119" s="586"/>
      <c r="I119" s="354" t="s">
        <v>130</v>
      </c>
      <c r="J119" s="355">
        <v>1</v>
      </c>
      <c r="K119" s="350"/>
      <c r="L119" s="368">
        <f>+G119*J119</f>
        <v>0</v>
      </c>
      <c r="M119" s="350"/>
      <c r="N119" s="325"/>
    </row>
    <row r="120" spans="2:14" ht="16" thickBot="1">
      <c r="B120" s="359">
        <f t="shared" si="5"/>
        <v>65</v>
      </c>
      <c r="C120" s="412"/>
      <c r="D120" s="403" t="s">
        <v>106</v>
      </c>
      <c r="E120" s="350" t="s">
        <v>576</v>
      </c>
      <c r="F120" s="350"/>
      <c r="G120" s="404">
        <f>'WS C  - Working Capital'!E31</f>
        <v>-153257414.285</v>
      </c>
      <c r="H120" s="368"/>
      <c r="I120" s="354" t="s">
        <v>128</v>
      </c>
      <c r="J120" s="355">
        <v>0</v>
      </c>
      <c r="K120" s="350"/>
      <c r="L120" s="404">
        <f>+G120*J120</f>
        <v>0</v>
      </c>
      <c r="M120" s="350"/>
      <c r="N120" s="325"/>
    </row>
    <row r="121" spans="2:14">
      <c r="B121" s="359">
        <f>+B120+1</f>
        <v>66</v>
      </c>
      <c r="C121" s="412"/>
      <c r="D121" s="403" t="s">
        <v>45</v>
      </c>
      <c r="E121" s="403" t="str">
        <f>"(sum lns "&amp;B113&amp;" to "&amp;B120&amp;")"</f>
        <v>(sum lns 58 to 65)</v>
      </c>
      <c r="F121" s="345"/>
      <c r="G121" s="368">
        <f>SUM(G113:G120)</f>
        <v>13970408.682750016</v>
      </c>
      <c r="H121" s="345"/>
      <c r="I121" s="360"/>
      <c r="J121" s="345"/>
      <c r="K121" s="345"/>
      <c r="L121" s="368">
        <f>SUM(L113:L120)</f>
        <v>13117570.617011208</v>
      </c>
      <c r="M121" s="345"/>
      <c r="N121" s="325"/>
    </row>
    <row r="122" spans="2:14">
      <c r="B122" s="359"/>
      <c r="C122" s="360"/>
      <c r="D122" s="403"/>
      <c r="E122" s="345"/>
      <c r="F122" s="345"/>
      <c r="G122" s="368"/>
      <c r="H122" s="345"/>
      <c r="I122" s="360"/>
      <c r="J122" s="345"/>
      <c r="K122" s="345"/>
      <c r="L122" s="368"/>
      <c r="M122" s="345"/>
      <c r="N122" s="325"/>
    </row>
    <row r="123" spans="2:14">
      <c r="B123" s="359">
        <f>+B121+1</f>
        <v>67</v>
      </c>
      <c r="C123" s="360"/>
      <c r="D123" s="403" t="s">
        <v>32</v>
      </c>
      <c r="E123" s="371" t="s">
        <v>546</v>
      </c>
      <c r="F123" s="345"/>
      <c r="G123" s="368">
        <f>+'WS D IPP Credits'!C23</f>
        <v>-3580990</v>
      </c>
      <c r="H123" s="345"/>
      <c r="I123" s="476" t="s">
        <v>130</v>
      </c>
      <c r="J123" s="355">
        <v>1</v>
      </c>
      <c r="K123" s="350"/>
      <c r="L123" s="368">
        <f>+J123*G123</f>
        <v>-3580990</v>
      </c>
      <c r="M123" s="345"/>
      <c r="N123" s="325"/>
    </row>
    <row r="124" spans="2:14" ht="16" thickBot="1">
      <c r="B124" s="359"/>
      <c r="C124" s="325"/>
      <c r="D124" s="484"/>
      <c r="E124" s="350"/>
      <c r="F124" s="350"/>
      <c r="G124" s="404"/>
      <c r="H124" s="350"/>
      <c r="I124" s="354"/>
      <c r="J124" s="350"/>
      <c r="K124" s="350"/>
      <c r="L124" s="404"/>
      <c r="M124" s="350"/>
      <c r="N124" s="325"/>
    </row>
    <row r="125" spans="2:14" ht="16" thickBot="1">
      <c r="B125" s="359">
        <f>+B123+1</f>
        <v>68</v>
      </c>
      <c r="C125" s="360"/>
      <c r="D125" s="371" t="str">
        <f>"RATE BASE  (sum lns "&amp;B95&amp;", "&amp;B104&amp;", "&amp;B106&amp;", "&amp;B108&amp;", "&amp;B110&amp;", "&amp;B121&amp;", "&amp;B123&amp;")"</f>
        <v>RATE BASE  (sum lns 46, 53, 54, 55, 56, 66, 67)</v>
      </c>
      <c r="E125" s="350"/>
      <c r="F125" s="350"/>
      <c r="G125" s="1130">
        <f>+G121+G106+G104+G95+G123+G108+G110</f>
        <v>4396452091.7835169</v>
      </c>
      <c r="H125" s="350"/>
      <c r="I125" s="350"/>
      <c r="J125" s="413"/>
      <c r="K125" s="350"/>
      <c r="L125" s="1130">
        <f>+L121+L106+L104+L95+L123+L108+L110</f>
        <v>846991324.32954597</v>
      </c>
      <c r="M125" s="350"/>
      <c r="N125" s="325"/>
    </row>
    <row r="126" spans="2:14" ht="16" thickTop="1">
      <c r="B126" s="334"/>
      <c r="C126" s="375"/>
      <c r="D126" s="375"/>
      <c r="E126" s="375"/>
      <c r="F126" s="375"/>
      <c r="G126" s="375"/>
      <c r="H126" s="375"/>
      <c r="I126" s="324"/>
      <c r="J126" s="324"/>
      <c r="K126" s="324"/>
      <c r="L126" s="1095"/>
      <c r="M126" s="325"/>
      <c r="N126" s="325"/>
    </row>
    <row r="127" spans="2:14">
      <c r="B127" s="427"/>
      <c r="C127" s="335"/>
      <c r="D127" s="326"/>
      <c r="E127" s="332"/>
      <c r="F127" s="332"/>
      <c r="G127" s="332"/>
      <c r="H127" s="332"/>
      <c r="I127" s="332"/>
      <c r="J127" s="332"/>
      <c r="K127" s="332"/>
      <c r="L127" s="332"/>
      <c r="M127" s="350"/>
      <c r="N127" s="325"/>
    </row>
    <row r="128" spans="2:14">
      <c r="B128" s="427"/>
      <c r="C128" s="335"/>
      <c r="D128" s="326"/>
      <c r="E128" s="332"/>
      <c r="F128" s="363" t="str">
        <f>F54</f>
        <v xml:space="preserve">AEP East Companies </v>
      </c>
      <c r="G128" s="363"/>
      <c r="H128" s="332"/>
      <c r="I128" s="332"/>
      <c r="J128" s="332"/>
      <c r="K128" s="332"/>
      <c r="L128" s="332"/>
      <c r="M128" s="428"/>
      <c r="N128" s="325"/>
    </row>
    <row r="129" spans="2:15">
      <c r="B129" s="427"/>
      <c r="C129" s="335"/>
      <c r="D129" s="326"/>
      <c r="E129" s="332"/>
      <c r="F129" s="363" t="str">
        <f>F55</f>
        <v>Transmission Cost of Service Formula Rate</v>
      </c>
      <c r="G129" s="363"/>
      <c r="H129" s="332"/>
      <c r="I129" s="332"/>
      <c r="J129" s="332"/>
      <c r="K129" s="332"/>
      <c r="L129" s="332"/>
      <c r="M129" s="428"/>
      <c r="N129" s="325"/>
    </row>
    <row r="130" spans="2:15">
      <c r="B130" s="427"/>
      <c r="C130" s="335"/>
      <c r="E130" s="332"/>
      <c r="F130" s="363" t="str">
        <f>F56</f>
        <v>Utilizing  Actual/Projected FERC Form 1 Data</v>
      </c>
      <c r="G130" s="332"/>
      <c r="H130" s="332"/>
      <c r="I130" s="332"/>
      <c r="J130" s="332"/>
      <c r="K130" s="332"/>
      <c r="L130" s="332"/>
      <c r="M130" s="385"/>
      <c r="N130" s="325"/>
    </row>
    <row r="131" spans="2:15">
      <c r="B131" s="427"/>
      <c r="C131" s="335"/>
      <c r="E131" s="332"/>
      <c r="F131" s="363"/>
      <c r="G131" s="332"/>
      <c r="H131" s="332"/>
      <c r="I131" s="332"/>
      <c r="J131" s="332"/>
      <c r="K131" s="332"/>
      <c r="L131" s="332"/>
      <c r="M131" s="350"/>
      <c r="N131" s="325"/>
    </row>
    <row r="132" spans="2:15">
      <c r="B132" s="427"/>
      <c r="C132" s="335"/>
      <c r="E132" s="429"/>
      <c r="F132" s="363" t="str">
        <f>F58</f>
        <v xml:space="preserve">Indiana Michigan Power Company </v>
      </c>
      <c r="G132" s="429"/>
      <c r="H132" s="430"/>
      <c r="I132" s="429"/>
      <c r="J132" s="429"/>
      <c r="K132" s="429"/>
      <c r="M132" s="350"/>
      <c r="N132" s="325"/>
    </row>
    <row r="133" spans="2:15">
      <c r="B133" s="427"/>
      <c r="C133" s="335"/>
      <c r="E133" s="429"/>
      <c r="F133" s="363"/>
      <c r="G133" s="429"/>
      <c r="H133" s="430"/>
      <c r="I133" s="429"/>
      <c r="J133" s="429"/>
      <c r="K133" s="429"/>
      <c r="M133" s="350"/>
      <c r="N133" s="325"/>
    </row>
    <row r="134" spans="2:15">
      <c r="B134" s="427"/>
      <c r="D134" s="335" t="s">
        <v>122</v>
      </c>
      <c r="E134" s="335" t="s">
        <v>123</v>
      </c>
      <c r="F134" s="335"/>
      <c r="G134" s="335" t="s">
        <v>124</v>
      </c>
      <c r="H134" s="350"/>
      <c r="I134" s="1493" t="s">
        <v>125</v>
      </c>
      <c r="J134" s="1497"/>
      <c r="K134" s="332"/>
      <c r="L134" s="336" t="s">
        <v>126</v>
      </c>
      <c r="M134" s="350"/>
      <c r="N134" s="432"/>
    </row>
    <row r="135" spans="2:15">
      <c r="B135" s="427"/>
      <c r="D135" s="335"/>
      <c r="E135" s="335"/>
      <c r="F135" s="335"/>
      <c r="G135" s="335"/>
      <c r="H135" s="350"/>
      <c r="I135" s="332"/>
      <c r="J135" s="387"/>
      <c r="K135" s="332"/>
      <c r="M135" s="350"/>
      <c r="N135" s="433"/>
      <c r="O135" s="434"/>
    </row>
    <row r="136" spans="2:15">
      <c r="B136" s="427"/>
      <c r="C136" s="335"/>
      <c r="D136" s="435" t="s">
        <v>102</v>
      </c>
      <c r="E136" s="389" t="str">
        <f>E62</f>
        <v>Data Sources</v>
      </c>
      <c r="F136" s="390"/>
      <c r="G136" s="332"/>
      <c r="H136" s="350"/>
      <c r="I136" s="332"/>
      <c r="J136" s="335"/>
      <c r="K136" s="332"/>
      <c r="L136" s="389" t="str">
        <f>L62</f>
        <v>Total</v>
      </c>
      <c r="M136" s="325"/>
      <c r="N136" s="433"/>
      <c r="O136" s="434"/>
    </row>
    <row r="137" spans="2:15">
      <c r="B137" s="427"/>
      <c r="C137" s="342"/>
      <c r="D137" s="392" t="s">
        <v>103</v>
      </c>
      <c r="E137" s="436" t="str">
        <f>E63</f>
        <v>(See "General Notes")</v>
      </c>
      <c r="F137" s="332"/>
      <c r="G137" s="436" t="str">
        <f>G63</f>
        <v>TO Total</v>
      </c>
      <c r="H137" s="437"/>
      <c r="I137" s="1495" t="str">
        <f>I63</f>
        <v>Allocator</v>
      </c>
      <c r="J137" s="1496"/>
      <c r="K137" s="394"/>
      <c r="L137" s="436" t="str">
        <f>L63</f>
        <v>Transmission</v>
      </c>
      <c r="M137" s="350"/>
      <c r="N137" s="433"/>
      <c r="O137" s="434"/>
    </row>
    <row r="138" spans="2:15">
      <c r="B138" s="334" t="str">
        <f>B64</f>
        <v>Line</v>
      </c>
      <c r="D138" s="326"/>
      <c r="E138" s="332"/>
      <c r="F138" s="332"/>
      <c r="G138" s="392"/>
      <c r="H138" s="438"/>
      <c r="I138" s="435"/>
      <c r="K138" s="439"/>
      <c r="L138" s="392"/>
      <c r="M138" s="350"/>
      <c r="N138" s="325"/>
    </row>
    <row r="139" spans="2:15">
      <c r="B139" s="334" t="str">
        <f>B65</f>
        <v>No.</v>
      </c>
      <c r="C139" s="335"/>
      <c r="D139" s="326" t="s">
        <v>104</v>
      </c>
      <c r="E139" s="332"/>
      <c r="F139" s="332"/>
      <c r="G139" s="332"/>
      <c r="H139" s="350"/>
      <c r="I139" s="363"/>
      <c r="J139" s="332"/>
      <c r="K139" s="332"/>
      <c r="L139" s="332"/>
      <c r="M139" s="350"/>
      <c r="N139" s="325"/>
    </row>
    <row r="140" spans="2:15">
      <c r="B140" s="334">
        <f>+B125+1</f>
        <v>69</v>
      </c>
      <c r="C140" s="335"/>
      <c r="D140" s="326" t="s">
        <v>127</v>
      </c>
      <c r="E140" s="332" t="s">
        <v>10</v>
      </c>
      <c r="F140" s="332"/>
      <c r="G140" s="846">
        <v>1035970421</v>
      </c>
      <c r="H140" s="350"/>
      <c r="I140" s="363"/>
      <c r="J140" s="355"/>
      <c r="K140" s="332"/>
      <c r="L140" s="368"/>
      <c r="M140" s="350"/>
      <c r="N140" s="325"/>
    </row>
    <row r="141" spans="2:15">
      <c r="B141" s="334">
        <f>+B140+1</f>
        <v>70</v>
      </c>
      <c r="C141" s="335"/>
      <c r="D141" s="371" t="s">
        <v>131</v>
      </c>
      <c r="E141" s="332" t="s">
        <v>11</v>
      </c>
      <c r="F141" s="350"/>
      <c r="G141" s="846">
        <v>81866438</v>
      </c>
      <c r="H141" s="350"/>
      <c r="I141" s="363"/>
      <c r="J141" s="355"/>
      <c r="K141" s="332"/>
      <c r="L141" s="368"/>
      <c r="M141" s="350"/>
      <c r="N141" s="325"/>
    </row>
    <row r="142" spans="2:15">
      <c r="B142" s="334">
        <f t="shared" ref="B142:B147" si="6">+B141+1</f>
        <v>71</v>
      </c>
      <c r="C142" s="335"/>
      <c r="D142" s="371" t="s">
        <v>247</v>
      </c>
      <c r="E142" s="332" t="s">
        <v>203</v>
      </c>
      <c r="F142" s="350"/>
      <c r="G142" s="846">
        <f>18688918+30442003+272403</f>
        <v>49403324</v>
      </c>
      <c r="H142" s="350"/>
      <c r="I142" s="354"/>
      <c r="J142" s="355"/>
      <c r="K142" s="350"/>
      <c r="L142" s="368"/>
      <c r="M142" s="350"/>
      <c r="N142" s="325"/>
    </row>
    <row r="143" spans="2:15">
      <c r="B143" s="334">
        <f t="shared" si="6"/>
        <v>72</v>
      </c>
      <c r="C143" s="335"/>
      <c r="D143" s="371" t="s">
        <v>248</v>
      </c>
      <c r="E143" s="332" t="s">
        <v>418</v>
      </c>
      <c r="F143" s="350"/>
      <c r="G143" s="846">
        <v>4451886</v>
      </c>
      <c r="H143" s="350"/>
      <c r="I143" s="354"/>
      <c r="J143" s="355"/>
      <c r="K143" s="350"/>
      <c r="L143" s="368"/>
      <c r="M143" s="350"/>
      <c r="N143" s="325"/>
    </row>
    <row r="144" spans="2:15" ht="16" thickBot="1">
      <c r="B144" s="334">
        <f t="shared" si="6"/>
        <v>73</v>
      </c>
      <c r="C144" s="335"/>
      <c r="D144" s="371" t="s">
        <v>136</v>
      </c>
      <c r="E144" s="332" t="s">
        <v>417</v>
      </c>
      <c r="F144" s="350"/>
      <c r="G144" s="847">
        <v>167694423</v>
      </c>
      <c r="H144" s="368"/>
      <c r="I144" s="375"/>
      <c r="J144" s="375"/>
      <c r="K144" s="337"/>
      <c r="L144" s="337"/>
      <c r="M144" s="345"/>
      <c r="N144" s="350"/>
      <c r="O144" s="332"/>
    </row>
    <row r="145" spans="2:15">
      <c r="B145" s="334">
        <f t="shared" si="6"/>
        <v>74</v>
      </c>
      <c r="C145" s="335"/>
      <c r="D145" s="371" t="s">
        <v>249</v>
      </c>
      <c r="E145" s="350" t="str">
        <f>"(sum lns "&amp;B140&amp;"  to "&amp;B144&amp;")"</f>
        <v>(sum lns 69  to 73)</v>
      </c>
      <c r="F145" s="350"/>
      <c r="G145" s="368">
        <f>SUM(G140:G144)</f>
        <v>1339386492</v>
      </c>
      <c r="H145" s="368"/>
      <c r="I145" s="375"/>
      <c r="J145" s="375"/>
      <c r="K145" s="337"/>
      <c r="L145" s="337"/>
      <c r="M145" s="345"/>
      <c r="N145" s="350"/>
      <c r="O145" s="332"/>
    </row>
    <row r="146" spans="2:15">
      <c r="B146" s="334">
        <f t="shared" si="6"/>
        <v>75</v>
      </c>
      <c r="C146" s="335"/>
      <c r="D146" s="371" t="s">
        <v>329</v>
      </c>
      <c r="E146" s="350" t="str">
        <f>"(Note G) (Worksheet F, ln "&amp;'WS F Misc Exp'!A33&amp;".C)"</f>
        <v>(Note G) (Worksheet F, ln 14.C)</v>
      </c>
      <c r="F146" s="350"/>
      <c r="G146" s="368">
        <f>'WS F Misc Exp'!D33</f>
        <v>6670986.7699999996</v>
      </c>
      <c r="H146" s="368"/>
      <c r="I146" s="375"/>
      <c r="J146" s="375"/>
      <c r="K146" s="337"/>
      <c r="L146" s="337"/>
      <c r="M146" s="345"/>
      <c r="N146" s="350"/>
      <c r="O146" s="332"/>
    </row>
    <row r="147" spans="2:15">
      <c r="B147" s="334">
        <f t="shared" si="6"/>
        <v>76</v>
      </c>
      <c r="C147" s="335"/>
      <c r="D147" s="371" t="s">
        <v>23</v>
      </c>
      <c r="E147" s="350" t="s">
        <v>101</v>
      </c>
      <c r="F147" s="350"/>
      <c r="G147" s="846">
        <v>133416582</v>
      </c>
      <c r="H147" s="368"/>
      <c r="I147" s="375"/>
      <c r="J147" s="375"/>
      <c r="K147" s="337"/>
      <c r="L147" s="337"/>
      <c r="M147" s="345"/>
      <c r="N147" s="350"/>
      <c r="O147" s="332"/>
    </row>
    <row r="148" spans="2:15" ht="16" thickBot="1">
      <c r="B148" s="334">
        <f>+B147+1</f>
        <v>77</v>
      </c>
      <c r="C148" s="360"/>
      <c r="D148" s="371" t="s">
        <v>333</v>
      </c>
      <c r="E148" s="350" t="s">
        <v>481</v>
      </c>
      <c r="F148" s="350"/>
      <c r="G148" s="404">
        <f>+'WS F Misc Exp'!D21</f>
        <v>0</v>
      </c>
      <c r="H148" s="368"/>
      <c r="I148" s="421"/>
      <c r="J148" s="421"/>
      <c r="K148" s="337"/>
      <c r="L148" s="337"/>
      <c r="M148" s="345"/>
      <c r="N148" s="350"/>
      <c r="O148" s="332"/>
    </row>
    <row r="149" spans="2:15">
      <c r="B149" s="334">
        <f>+B148+1</f>
        <v>78</v>
      </c>
      <c r="C149" s="335"/>
      <c r="D149" s="371" t="s">
        <v>385</v>
      </c>
      <c r="E149" s="332" t="str">
        <f>"(lns "&amp;B144&amp;" - "&amp;B146&amp;" - "&amp;B147&amp;" - "&amp;B148&amp;")"</f>
        <v>(lns 73 - 75 - 76 - 77)</v>
      </c>
      <c r="F149" s="371"/>
      <c r="G149" s="368">
        <f>G144-G146-G147-G148</f>
        <v>27606854.229999989</v>
      </c>
      <c r="H149" s="350"/>
      <c r="I149" s="363" t="s">
        <v>121</v>
      </c>
      <c r="J149" s="355">
        <f>L231</f>
        <v>0.96343412788870963</v>
      </c>
      <c r="K149" s="350"/>
      <c r="L149" s="368">
        <f>+J149*G149</f>
        <v>26597385.528830774</v>
      </c>
      <c r="M149" s="345"/>
      <c r="N149" s="350"/>
      <c r="O149" s="332"/>
    </row>
    <row r="150" spans="2:15">
      <c r="B150" s="334"/>
      <c r="C150" s="335"/>
      <c r="D150" s="371"/>
      <c r="E150" s="350"/>
      <c r="F150" s="350"/>
      <c r="G150" s="440"/>
      <c r="H150" s="368"/>
      <c r="I150" s="375"/>
      <c r="J150" s="375"/>
      <c r="K150" s="337"/>
      <c r="L150" s="337"/>
      <c r="M150" s="345"/>
      <c r="N150" s="350"/>
      <c r="O150" s="332"/>
    </row>
    <row r="151" spans="2:15">
      <c r="B151" s="334">
        <f>+B149+1</f>
        <v>79</v>
      </c>
      <c r="C151" s="335"/>
      <c r="D151" s="326" t="s">
        <v>105</v>
      </c>
      <c r="E151" s="350" t="s">
        <v>752</v>
      </c>
      <c r="F151" s="350"/>
      <c r="G151" s="846">
        <v>101839176</v>
      </c>
      <c r="H151" s="368"/>
      <c r="I151" s="416"/>
      <c r="J151" s="416"/>
      <c r="K151" s="332"/>
      <c r="L151" s="415"/>
      <c r="M151" s="350"/>
      <c r="N151" s="350"/>
      <c r="O151" s="332"/>
    </row>
    <row r="152" spans="2:15">
      <c r="B152" s="334">
        <f t="shared" ref="B152:B165" si="7">+B151+1</f>
        <v>80</v>
      </c>
      <c r="C152" s="335"/>
      <c r="D152" s="371" t="s">
        <v>331</v>
      </c>
      <c r="E152" s="332" t="s">
        <v>419</v>
      </c>
      <c r="F152" s="332"/>
      <c r="G152" s="846">
        <v>-2382592</v>
      </c>
      <c r="H152" s="368"/>
      <c r="I152" s="416"/>
      <c r="J152" s="326"/>
      <c r="K152" s="332"/>
      <c r="L152" s="415"/>
      <c r="M152" s="419"/>
      <c r="N152" s="350"/>
      <c r="O152" s="332"/>
    </row>
    <row r="153" spans="2:15">
      <c r="B153" s="334">
        <f t="shared" si="7"/>
        <v>81</v>
      </c>
      <c r="C153" s="335"/>
      <c r="D153" s="1259" t="s">
        <v>865</v>
      </c>
      <c r="E153" s="350" t="str">
        <f>"PBOP Worksheet O Line "&amp;'WS O - PBOP'!A37&amp;" &amp; "&amp;'WS O - PBOP'!A39&amp;", (Note K)"</f>
        <v>PBOP Worksheet O Line 9 &amp; 10, (Note K)</v>
      </c>
      <c r="F153" s="332"/>
      <c r="G153" s="1260">
        <f>'WS O - PBOP'!F37+'WS O - PBOP'!F39</f>
        <v>-9579409</v>
      </c>
      <c r="H153" s="368"/>
      <c r="I153" s="416"/>
      <c r="J153" s="326"/>
      <c r="K153" s="332"/>
      <c r="L153" s="415"/>
      <c r="M153" s="419"/>
      <c r="N153" s="350"/>
      <c r="O153" s="332"/>
    </row>
    <row r="154" spans="2:15">
      <c r="B154" s="334">
        <f t="shared" si="7"/>
        <v>82</v>
      </c>
      <c r="C154" s="335"/>
      <c r="D154" s="371" t="s">
        <v>866</v>
      </c>
      <c r="E154" s="350" t="str">
        <f>"PBOP Worksheet O  Line "&amp;'WS O - PBOP'!A41&amp;", (Note K)"</f>
        <v>PBOP Worksheet O  Line 11, (Note K)</v>
      </c>
      <c r="F154" s="332"/>
      <c r="G154" s="1260">
        <f>'WS O - PBOP'!F41</f>
        <v>0</v>
      </c>
      <c r="H154" s="368"/>
      <c r="I154" s="416"/>
      <c r="J154" s="326"/>
      <c r="K154" s="332"/>
      <c r="L154" s="415"/>
      <c r="M154" s="419"/>
      <c r="N154" s="350"/>
      <c r="O154" s="332"/>
    </row>
    <row r="155" spans="2:15">
      <c r="B155" s="334">
        <f t="shared" si="7"/>
        <v>83</v>
      </c>
      <c r="C155" s="335"/>
      <c r="D155" s="371" t="s">
        <v>867</v>
      </c>
      <c r="E155" s="350" t="str">
        <f>"PBOP Worksheet O Line "&amp;'WS O - PBOP'!A45&amp;", (Note K)"</f>
        <v>PBOP Worksheet O Line 13, (Note K)</v>
      </c>
      <c r="F155" s="332"/>
      <c r="G155" s="1260">
        <f>'WS O - PBOP'!F45</f>
        <v>-2429348</v>
      </c>
      <c r="H155" s="368"/>
      <c r="I155" s="416"/>
      <c r="J155" s="326"/>
      <c r="K155" s="332"/>
      <c r="L155" s="415"/>
      <c r="M155" s="419"/>
      <c r="N155" s="350"/>
      <c r="O155" s="332"/>
    </row>
    <row r="156" spans="2:15">
      <c r="B156" s="334">
        <f t="shared" si="7"/>
        <v>84</v>
      </c>
      <c r="C156" s="335"/>
      <c r="D156" s="326" t="s">
        <v>330</v>
      </c>
      <c r="E156" s="332" t="s">
        <v>97</v>
      </c>
      <c r="F156" s="350"/>
      <c r="G156" s="846">
        <v>16895038</v>
      </c>
      <c r="H156" s="368"/>
      <c r="I156" s="416"/>
      <c r="J156" s="441"/>
      <c r="K156" s="332"/>
      <c r="L156" s="415"/>
      <c r="M156" s="350"/>
      <c r="N156" s="350"/>
      <c r="O156" s="332"/>
    </row>
    <row r="157" spans="2:15">
      <c r="B157" s="334">
        <f t="shared" si="7"/>
        <v>85</v>
      </c>
      <c r="C157" s="335"/>
      <c r="D157" s="371" t="s">
        <v>108</v>
      </c>
      <c r="E157" s="332" t="s">
        <v>98</v>
      </c>
      <c r="F157" s="350"/>
      <c r="G157" s="846">
        <v>203266</v>
      </c>
      <c r="H157" s="368"/>
      <c r="I157" s="416"/>
      <c r="J157" s="416"/>
      <c r="K157" s="332"/>
      <c r="L157" s="415"/>
      <c r="M157" s="350"/>
      <c r="N157" s="350"/>
      <c r="O157" s="332"/>
    </row>
    <row r="158" spans="2:15" ht="16" thickBot="1">
      <c r="B158" s="334">
        <f t="shared" si="7"/>
        <v>86</v>
      </c>
      <c r="C158" s="335"/>
      <c r="D158" s="371" t="s">
        <v>332</v>
      </c>
      <c r="E158" s="332" t="s">
        <v>99</v>
      </c>
      <c r="F158" s="350"/>
      <c r="G158" s="847">
        <v>4770223</v>
      </c>
      <c r="H158" s="368"/>
      <c r="I158" s="416"/>
      <c r="J158" s="416"/>
      <c r="K158" s="332"/>
      <c r="L158" s="415"/>
      <c r="M158" s="350"/>
      <c r="N158" s="350"/>
      <c r="O158" s="332"/>
    </row>
    <row r="159" spans="2:15">
      <c r="B159" s="334">
        <f t="shared" si="7"/>
        <v>87</v>
      </c>
      <c r="C159" s="335"/>
      <c r="D159" s="326" t="s">
        <v>109</v>
      </c>
      <c r="E159" s="350" t="str">
        <f>"(ln "&amp;B151&amp;" - sum ln "&amp;B152&amp;"  to ln "&amp;B158&amp;")"</f>
        <v>(ln 79 - sum ln 80  to ln 86)</v>
      </c>
      <c r="F159" s="350"/>
      <c r="G159" s="368">
        <f>G151-SUM(G152:G158)</f>
        <v>94361998</v>
      </c>
      <c r="H159" s="368"/>
      <c r="I159" s="363" t="s">
        <v>133</v>
      </c>
      <c r="J159" s="355">
        <f>L241</f>
        <v>4.4746272618028077E-2</v>
      </c>
      <c r="K159" s="332"/>
      <c r="L159" s="415">
        <f>+J159*G159</f>
        <v>4222347.6872898201</v>
      </c>
      <c r="M159" s="350"/>
      <c r="N159" s="350"/>
      <c r="O159" s="332"/>
    </row>
    <row r="160" spans="2:15">
      <c r="B160" s="334">
        <f t="shared" si="7"/>
        <v>88</v>
      </c>
      <c r="C160" s="360"/>
      <c r="D160" s="371" t="s">
        <v>198</v>
      </c>
      <c r="E160" s="350" t="str">
        <f>"(ln "&amp;B152&amp;")"</f>
        <v>(ln 80)</v>
      </c>
      <c r="F160" s="350"/>
      <c r="G160" s="368">
        <f>+G152</f>
        <v>-2382592</v>
      </c>
      <c r="H160" s="368"/>
      <c r="I160" s="363" t="s">
        <v>761</v>
      </c>
      <c r="J160" s="355">
        <f>J75</f>
        <v>0.1777260588512326</v>
      </c>
      <c r="K160" s="350"/>
      <c r="L160" s="368">
        <f>+J160*G160</f>
        <v>-423448.68601047597</v>
      </c>
      <c r="M160" s="350"/>
      <c r="N160" s="350"/>
      <c r="O160" s="332"/>
    </row>
    <row r="161" spans="2:15">
      <c r="B161" s="334">
        <f t="shared" si="7"/>
        <v>89</v>
      </c>
      <c r="C161" s="335"/>
      <c r="D161" s="371" t="s">
        <v>231</v>
      </c>
      <c r="E161" s="350" t="str">
        <f>"Worksheet F ln "&amp;'WS F Misc Exp'!A41&amp;".(E) (Note L)"</f>
        <v>Worksheet F ln 20.(E) (Note L)</v>
      </c>
      <c r="F161" s="350"/>
      <c r="G161" s="368">
        <f>+'WS F Misc Exp'!F41</f>
        <v>42326.770000000004</v>
      </c>
      <c r="H161" s="368"/>
      <c r="I161" s="363" t="s">
        <v>121</v>
      </c>
      <c r="J161" s="355">
        <f>L231</f>
        <v>0.96343412788870963</v>
      </c>
      <c r="K161" s="332"/>
      <c r="L161" s="415">
        <f>J161*G161</f>
        <v>40779.054741296</v>
      </c>
      <c r="M161" s="350"/>
      <c r="N161" s="350"/>
      <c r="O161" s="332"/>
    </row>
    <row r="162" spans="2:15">
      <c r="B162" s="334">
        <f t="shared" si="7"/>
        <v>90</v>
      </c>
      <c r="C162" s="335"/>
      <c r="D162" s="371" t="s">
        <v>241</v>
      </c>
      <c r="E162" s="350" t="str">
        <f>"Worksheet F ln "&amp;'WS F Misc Exp'!A61&amp;".(E) (Note L)"</f>
        <v>Worksheet F ln 37.(E) (Note L)</v>
      </c>
      <c r="F162" s="350"/>
      <c r="G162" s="353">
        <f>+'WS F Misc Exp'!F61</f>
        <v>0</v>
      </c>
      <c r="H162" s="350"/>
      <c r="I162" s="354" t="s">
        <v>121</v>
      </c>
      <c r="J162" s="355">
        <f>L231</f>
        <v>0.96343412788870963</v>
      </c>
      <c r="K162" s="332"/>
      <c r="L162" s="415">
        <f>+J162*G162</f>
        <v>0</v>
      </c>
      <c r="M162" s="350"/>
      <c r="N162" s="350"/>
      <c r="O162" s="332"/>
    </row>
    <row r="163" spans="2:15">
      <c r="B163" s="334">
        <f t="shared" si="7"/>
        <v>91</v>
      </c>
      <c r="C163" s="335"/>
      <c r="D163" s="371" t="s">
        <v>242</v>
      </c>
      <c r="E163" s="350" t="str">
        <f>"Worksheet F ln "&amp;'WS F Misc Exp'!A73&amp;".(E) (Note L)"</f>
        <v>Worksheet F ln 45.(E) (Note L)</v>
      </c>
      <c r="F163" s="350"/>
      <c r="G163" s="353">
        <f>+'WS F Misc Exp'!F73</f>
        <v>244767</v>
      </c>
      <c r="H163" s="442"/>
      <c r="I163" s="354" t="s">
        <v>130</v>
      </c>
      <c r="J163" s="355">
        <v>1</v>
      </c>
      <c r="K163" s="332"/>
      <c r="L163" s="443">
        <f>+J163*G163</f>
        <v>244767</v>
      </c>
      <c r="M163" s="350"/>
      <c r="N163" s="350"/>
      <c r="O163" s="332"/>
    </row>
    <row r="164" spans="2:15" ht="16" thickBot="1">
      <c r="B164" s="334">
        <f t="shared" si="7"/>
        <v>92</v>
      </c>
      <c r="C164" s="335"/>
      <c r="D164" s="371" t="s">
        <v>868</v>
      </c>
      <c r="E164" s="350" t="s">
        <v>870</v>
      </c>
      <c r="F164" s="350"/>
      <c r="G164" s="404">
        <f>'WS O - PBOP'!E23</f>
        <v>-33620910</v>
      </c>
      <c r="H164" s="442"/>
      <c r="I164" s="363" t="s">
        <v>133</v>
      </c>
      <c r="J164" s="355">
        <f>L241</f>
        <v>4.4746272618028077E-2</v>
      </c>
      <c r="K164" s="332"/>
      <c r="L164" s="425">
        <f>+J164*G164</f>
        <v>-1504410.4045261864</v>
      </c>
      <c r="M164" s="350"/>
      <c r="N164" s="350"/>
      <c r="O164" s="332"/>
    </row>
    <row r="165" spans="2:15">
      <c r="B165" s="334">
        <f t="shared" si="7"/>
        <v>93</v>
      </c>
      <c r="C165" s="335"/>
      <c r="D165" s="326" t="s">
        <v>110</v>
      </c>
      <c r="E165" s="350" t="str">
        <f>"(sum lns "&amp;B159&amp;"  to "&amp;B164&amp;")"</f>
        <v>(sum lns 87  to 92)</v>
      </c>
      <c r="F165" s="350"/>
      <c r="G165" s="415">
        <f>SUM(G159:G164)</f>
        <v>58645589.769999996</v>
      </c>
      <c r="H165" s="368"/>
      <c r="I165" s="363"/>
      <c r="J165" s="416"/>
      <c r="K165" s="332"/>
      <c r="L165" s="415">
        <f>SUM(L159:L164)</f>
        <v>2580034.6514944537</v>
      </c>
      <c r="M165" s="350"/>
      <c r="N165" s="368"/>
      <c r="O165" s="332"/>
    </row>
    <row r="166" spans="2:15" ht="16" thickBot="1">
      <c r="B166" s="334"/>
      <c r="C166" s="335"/>
      <c r="D166" s="371"/>
      <c r="E166" s="350"/>
      <c r="F166" s="350"/>
      <c r="G166" s="404"/>
      <c r="H166" s="350"/>
      <c r="I166" s="363"/>
      <c r="J166" s="416"/>
      <c r="K166" s="332"/>
      <c r="L166" s="425"/>
      <c r="M166" s="350"/>
      <c r="N166" s="350"/>
      <c r="O166" s="332"/>
    </row>
    <row r="167" spans="2:15">
      <c r="B167" s="334">
        <f>+B165+1</f>
        <v>94</v>
      </c>
      <c r="C167" s="360"/>
      <c r="D167" s="371" t="s">
        <v>415</v>
      </c>
      <c r="E167" s="350" t="str">
        <f>"(ln "&amp;B149&amp;" + ln "&amp;B165&amp;")"</f>
        <v>(ln 78 + ln 93)</v>
      </c>
      <c r="F167" s="350"/>
      <c r="G167" s="368">
        <f>+G149+G165</f>
        <v>86252443.999999985</v>
      </c>
      <c r="H167" s="368"/>
      <c r="I167" s="354"/>
      <c r="J167" s="350"/>
      <c r="K167" s="350"/>
      <c r="L167" s="368">
        <f>L149+L165</f>
        <v>29177420.180325229</v>
      </c>
      <c r="M167" s="350"/>
      <c r="N167" s="350"/>
      <c r="O167" s="332"/>
    </row>
    <row r="168" spans="2:15" ht="16" thickBot="1">
      <c r="B168" s="334">
        <f>+B167+1</f>
        <v>95</v>
      </c>
      <c r="C168" s="360"/>
      <c r="D168" s="371" t="s">
        <v>487</v>
      </c>
      <c r="E168" s="371"/>
      <c r="F168" s="350"/>
      <c r="G168" s="847">
        <v>0</v>
      </c>
      <c r="H168" s="368"/>
      <c r="I168" s="363" t="s">
        <v>130</v>
      </c>
      <c r="J168" s="355">
        <v>1</v>
      </c>
      <c r="K168" s="350"/>
      <c r="L168" s="425">
        <f>J168*G168</f>
        <v>0</v>
      </c>
      <c r="M168" s="350"/>
      <c r="N168" s="350"/>
      <c r="O168" s="332"/>
    </row>
    <row r="169" spans="2:15">
      <c r="B169" s="334">
        <f>+B168+1</f>
        <v>96</v>
      </c>
      <c r="C169" s="335"/>
      <c r="D169" s="371" t="s">
        <v>111</v>
      </c>
      <c r="E169" s="350" t="str">
        <f>"(ln "&amp;B167&amp;" + ln "&amp;B168&amp;")"</f>
        <v>(ln 94 + ln 95)</v>
      </c>
      <c r="F169" s="350"/>
      <c r="G169" s="368">
        <f>+G167+G168</f>
        <v>86252443.999999985</v>
      </c>
      <c r="H169" s="368"/>
      <c r="I169" s="354"/>
      <c r="J169" s="350"/>
      <c r="K169" s="350"/>
      <c r="L169" s="368">
        <f>+L167+L168</f>
        <v>29177420.180325229</v>
      </c>
      <c r="M169" s="350"/>
      <c r="N169" s="350"/>
      <c r="O169" s="332"/>
    </row>
    <row r="170" spans="2:15">
      <c r="B170" s="334"/>
      <c r="C170" s="335"/>
      <c r="D170" s="371"/>
      <c r="E170" s="332"/>
      <c r="F170" s="332"/>
      <c r="G170" s="415"/>
      <c r="H170" s="350"/>
      <c r="I170" s="332"/>
      <c r="J170" s="332"/>
      <c r="K170" s="332"/>
      <c r="L170" s="415"/>
      <c r="M170" s="350"/>
      <c r="N170" s="350"/>
      <c r="O170" s="332"/>
    </row>
    <row r="171" spans="2:15">
      <c r="B171" s="334">
        <f>+B169+1</f>
        <v>97</v>
      </c>
      <c r="C171" s="335"/>
      <c r="D171" s="396" t="s">
        <v>114</v>
      </c>
      <c r="E171" s="354"/>
      <c r="F171" s="354"/>
      <c r="G171" s="415"/>
      <c r="H171" s="350"/>
      <c r="I171" s="363"/>
      <c r="J171" s="332"/>
      <c r="K171" s="332"/>
      <c r="L171" s="415"/>
      <c r="M171" s="350"/>
      <c r="N171" s="350"/>
      <c r="O171" s="332"/>
    </row>
    <row r="172" spans="2:15">
      <c r="B172" s="334">
        <f t="shared" ref="B172:B177" si="8">+B171+1</f>
        <v>98</v>
      </c>
      <c r="C172" s="335"/>
      <c r="D172" s="326" t="s">
        <v>127</v>
      </c>
      <c r="E172" s="349" t="s">
        <v>425</v>
      </c>
      <c r="F172" s="354"/>
      <c r="G172" s="846">
        <f>89345951+110026501+1172062+2217471</f>
        <v>202761985</v>
      </c>
      <c r="H172" s="350"/>
      <c r="I172" s="363" t="s">
        <v>128</v>
      </c>
      <c r="J172" s="355">
        <v>0</v>
      </c>
      <c r="K172" s="332"/>
      <c r="L172" s="368">
        <f>+G172*J172</f>
        <v>0</v>
      </c>
      <c r="M172" s="350"/>
      <c r="N172" s="350"/>
      <c r="O172" s="332"/>
    </row>
    <row r="173" spans="2:15">
      <c r="B173" s="334">
        <f t="shared" si="8"/>
        <v>99</v>
      </c>
      <c r="C173" s="335"/>
      <c r="D173" s="371" t="s">
        <v>131</v>
      </c>
      <c r="E173" s="349" t="s">
        <v>424</v>
      </c>
      <c r="F173" s="354"/>
      <c r="G173" s="846">
        <v>82678416</v>
      </c>
      <c r="H173" s="350"/>
      <c r="I173" s="363" t="s">
        <v>128</v>
      </c>
      <c r="J173" s="355">
        <v>0</v>
      </c>
      <c r="K173" s="332"/>
      <c r="L173" s="368">
        <f>+G173*J173</f>
        <v>0</v>
      </c>
      <c r="M173" s="350"/>
      <c r="N173" s="350"/>
      <c r="O173" s="332"/>
    </row>
    <row r="174" spans="2:15">
      <c r="B174" s="334">
        <f t="shared" si="8"/>
        <v>100</v>
      </c>
      <c r="C174" s="335"/>
      <c r="D174" s="398" t="str">
        <f>+D144</f>
        <v xml:space="preserve">  Transmission </v>
      </c>
      <c r="E174" s="349" t="s">
        <v>420</v>
      </c>
      <c r="F174" s="444"/>
      <c r="G174" s="846">
        <v>30810160</v>
      </c>
      <c r="H174" s="445"/>
      <c r="I174" s="446" t="s">
        <v>26</v>
      </c>
      <c r="J174" s="355">
        <f>J80</f>
        <v>0.98115039065110787</v>
      </c>
      <c r="K174" s="447"/>
      <c r="L174" s="448">
        <f>J174*G174</f>
        <v>30229400.520023137</v>
      </c>
      <c r="M174" s="401"/>
      <c r="N174" s="350"/>
      <c r="O174" s="332"/>
    </row>
    <row r="175" spans="2:15">
      <c r="B175" s="334">
        <f>+B174+1</f>
        <v>101</v>
      </c>
      <c r="C175" s="335"/>
      <c r="D175" s="396" t="s">
        <v>137</v>
      </c>
      <c r="E175" s="444" t="s">
        <v>421</v>
      </c>
      <c r="F175" s="332"/>
      <c r="G175" s="846">
        <v>6188083</v>
      </c>
      <c r="H175" s="368"/>
      <c r="I175" s="363" t="s">
        <v>133</v>
      </c>
      <c r="J175" s="355">
        <f>L241</f>
        <v>4.4746272618028077E-2</v>
      </c>
      <c r="K175" s="332"/>
      <c r="L175" s="415">
        <f>+J175*G175</f>
        <v>276893.64890098502</v>
      </c>
      <c r="M175" s="350"/>
      <c r="N175" s="350"/>
      <c r="O175" s="332"/>
    </row>
    <row r="176" spans="2:15" ht="16" thickBot="1">
      <c r="B176" s="334">
        <f t="shared" si="8"/>
        <v>102</v>
      </c>
      <c r="C176" s="335"/>
      <c r="D176" s="396" t="s">
        <v>138</v>
      </c>
      <c r="E176" s="399" t="s">
        <v>422</v>
      </c>
      <c r="F176" s="350"/>
      <c r="G176" s="847">
        <v>27404324</v>
      </c>
      <c r="H176" s="368"/>
      <c r="I176" s="363" t="s">
        <v>133</v>
      </c>
      <c r="J176" s="355">
        <f>L241</f>
        <v>4.4746272618028077E-2</v>
      </c>
      <c r="K176" s="332"/>
      <c r="L176" s="425">
        <f>+J176*G176</f>
        <v>1226241.3526167697</v>
      </c>
      <c r="M176" s="350"/>
      <c r="N176" s="350"/>
      <c r="O176" s="332"/>
    </row>
    <row r="177" spans="2:15">
      <c r="B177" s="334">
        <f t="shared" si="8"/>
        <v>103</v>
      </c>
      <c r="C177" s="335"/>
      <c r="D177" s="396" t="s">
        <v>302</v>
      </c>
      <c r="E177" s="1490" t="str">
        <f>"(Ln "&amp;B172&amp;"+"&amp;B173&amp;"+
"&amp;B174&amp;"+"&amp;B175&amp;"+"&amp;B176&amp;")"</f>
        <v>(Ln 98+99+
100+101+102)</v>
      </c>
      <c r="F177" s="332"/>
      <c r="G177" s="368">
        <f>+G172+G173+G174+G175+G176</f>
        <v>349842968</v>
      </c>
      <c r="H177" s="350"/>
      <c r="I177" s="363"/>
      <c r="J177" s="332"/>
      <c r="K177" s="332"/>
      <c r="L177" s="368">
        <f>+L172+L173+L174+L175+L176</f>
        <v>31732535.521540891</v>
      </c>
      <c r="M177" s="350"/>
      <c r="N177" s="350"/>
      <c r="O177" s="332"/>
    </row>
    <row r="178" spans="2:15">
      <c r="B178" s="334"/>
      <c r="C178" s="335"/>
      <c r="D178" s="396"/>
      <c r="E178" s="1491"/>
      <c r="F178" s="332"/>
      <c r="G178" s="415"/>
      <c r="H178" s="350"/>
      <c r="I178" s="363"/>
      <c r="J178" s="332"/>
      <c r="K178" s="332"/>
      <c r="L178" s="415"/>
      <c r="M178" s="350"/>
      <c r="N178" s="350"/>
      <c r="O178" s="332"/>
    </row>
    <row r="179" spans="2:15">
      <c r="B179" s="334">
        <f>+B177+1</f>
        <v>104</v>
      </c>
      <c r="C179" s="335"/>
      <c r="D179" s="396" t="s">
        <v>33</v>
      </c>
      <c r="E179" s="325" t="s">
        <v>423</v>
      </c>
      <c r="G179" s="415"/>
      <c r="H179" s="350"/>
      <c r="I179" s="363"/>
      <c r="J179" s="332"/>
      <c r="K179" s="332"/>
      <c r="L179" s="415"/>
      <c r="M179" s="350"/>
      <c r="N179" s="428"/>
      <c r="O179" s="332"/>
    </row>
    <row r="180" spans="2:15">
      <c r="B180" s="334">
        <f t="shared" ref="B180:B185" si="9">+B179+1</f>
        <v>105</v>
      </c>
      <c r="C180" s="335"/>
      <c r="D180" s="396" t="s">
        <v>139</v>
      </c>
      <c r="G180" s="415"/>
      <c r="H180" s="350"/>
      <c r="I180" s="363"/>
      <c r="K180" s="332"/>
      <c r="L180" s="415"/>
      <c r="M180" s="350"/>
      <c r="N180" s="350"/>
      <c r="O180" s="332"/>
    </row>
    <row r="181" spans="2:15">
      <c r="B181" s="334">
        <f t="shared" si="9"/>
        <v>106</v>
      </c>
      <c r="C181" s="335"/>
      <c r="D181" s="396" t="s">
        <v>140</v>
      </c>
      <c r="E181" s="350" t="str">
        <f>"Worksheet H ln "&amp;'WS H Other Taxes'!A42&amp;"."&amp;'WS H Other Taxes'!I10&amp;""</f>
        <v>Worksheet H ln 23.(D)</v>
      </c>
      <c r="F181" s="332"/>
      <c r="G181" s="368">
        <f>+'WS H Other Taxes'!I42</f>
        <v>13276263</v>
      </c>
      <c r="H181" s="368"/>
      <c r="I181" s="363" t="s">
        <v>133</v>
      </c>
      <c r="J181" s="355">
        <f>L241</f>
        <v>4.4746272618028077E-2</v>
      </c>
      <c r="K181" s="332"/>
      <c r="L181" s="415">
        <f>+J181*G181</f>
        <v>594063.28354663926</v>
      </c>
      <c r="M181" s="420"/>
      <c r="N181" s="350"/>
      <c r="O181" s="332"/>
    </row>
    <row r="182" spans="2:15">
      <c r="B182" s="334">
        <f t="shared" si="9"/>
        <v>107</v>
      </c>
      <c r="C182" s="335"/>
      <c r="D182" s="396" t="s">
        <v>141</v>
      </c>
      <c r="E182" s="350" t="s">
        <v>115</v>
      </c>
      <c r="F182" s="332"/>
      <c r="G182" s="368"/>
      <c r="H182" s="368"/>
      <c r="I182" s="363"/>
      <c r="K182" s="332"/>
      <c r="L182" s="415"/>
      <c r="M182" s="350"/>
      <c r="N182" s="350"/>
      <c r="O182" s="332"/>
    </row>
    <row r="183" spans="2:15">
      <c r="B183" s="334">
        <f t="shared" si="9"/>
        <v>108</v>
      </c>
      <c r="C183" s="360"/>
      <c r="D183" s="403" t="s">
        <v>142</v>
      </c>
      <c r="E183" s="350" t="str">
        <f>"Worksheet H ln "&amp;'WS H Other Taxes'!A42&amp;"."&amp;'WS H Other Taxes'!G10&amp;""</f>
        <v>Worksheet H ln 23.(C)</v>
      </c>
      <c r="F183" s="350"/>
      <c r="G183" s="368">
        <f>+'WS H Other Taxes'!G42</f>
        <v>65657132</v>
      </c>
      <c r="H183" s="368"/>
      <c r="I183" s="354" t="s">
        <v>130</v>
      </c>
      <c r="J183" s="355"/>
      <c r="K183" s="350"/>
      <c r="L183" s="428">
        <f>'WS H-1-Detail of Tax Amts'!I26</f>
        <v>9814909.2856994178</v>
      </c>
      <c r="M183" s="449"/>
      <c r="N183" s="428"/>
      <c r="O183" s="350"/>
    </row>
    <row r="184" spans="2:15">
      <c r="B184" s="334">
        <f t="shared" si="9"/>
        <v>109</v>
      </c>
      <c r="C184" s="335"/>
      <c r="D184" s="396" t="s">
        <v>201</v>
      </c>
      <c r="E184" s="350" t="str">
        <f>"Worksheet H ln "&amp;'WS H Other Taxes'!A42&amp;"."&amp;'WS H Other Taxes'!M10&amp;""</f>
        <v>Worksheet H ln 23.(F)</v>
      </c>
      <c r="F184" s="332"/>
      <c r="G184" s="368">
        <f>+'WS H Other Taxes'!M42</f>
        <v>21059003</v>
      </c>
      <c r="H184" s="421"/>
      <c r="I184" s="363" t="s">
        <v>128</v>
      </c>
      <c r="J184" s="355">
        <v>0</v>
      </c>
      <c r="K184" s="332"/>
      <c r="L184" s="415">
        <f>+J184*G184</f>
        <v>0</v>
      </c>
      <c r="M184" s="350"/>
      <c r="N184" s="350"/>
      <c r="O184" s="332"/>
    </row>
    <row r="185" spans="2:15" ht="16" thickBot="1">
      <c r="B185" s="334">
        <f t="shared" si="9"/>
        <v>110</v>
      </c>
      <c r="C185" s="335"/>
      <c r="D185" s="396" t="s">
        <v>143</v>
      </c>
      <c r="E185" s="350" t="str">
        <f>"Worksheet H ln "&amp;'WS H Other Taxes'!A42&amp;"."&amp;'WS H Other Taxes'!K10&amp;""</f>
        <v>Worksheet H ln 23.(E)</v>
      </c>
      <c r="F185" s="332"/>
      <c r="G185" s="404">
        <f>+'WS H Other Taxes'!K42</f>
        <v>2566485</v>
      </c>
      <c r="H185" s="421"/>
      <c r="I185" s="363" t="s">
        <v>761</v>
      </c>
      <c r="J185" s="355">
        <f>J75</f>
        <v>0.1777260588512326</v>
      </c>
      <c r="K185" s="332"/>
      <c r="L185" s="425">
        <f>+J185*G185</f>
        <v>456131.26415080571</v>
      </c>
      <c r="M185" s="350"/>
      <c r="N185" s="350"/>
      <c r="O185" s="332"/>
    </row>
    <row r="186" spans="2:15">
      <c r="B186" s="334">
        <f>+B185+1</f>
        <v>111</v>
      </c>
      <c r="C186" s="335"/>
      <c r="D186" s="396" t="s">
        <v>34</v>
      </c>
      <c r="E186" s="362" t="str">
        <f>"(sum lns "&amp;B181&amp;" to "&amp;B185&amp;")"</f>
        <v>(sum lns 106 to 110)</v>
      </c>
      <c r="F186" s="332"/>
      <c r="G186" s="368">
        <f>SUM(G181:G185)</f>
        <v>102558883</v>
      </c>
      <c r="H186" s="350"/>
      <c r="I186" s="363"/>
      <c r="J186" s="450"/>
      <c r="K186" s="332"/>
      <c r="L186" s="415">
        <f>SUM(L181:L185)</f>
        <v>10865103.833396863</v>
      </c>
      <c r="M186" s="350"/>
      <c r="N186" s="350"/>
      <c r="O186" s="332"/>
    </row>
    <row r="187" spans="2:15">
      <c r="B187" s="334"/>
      <c r="C187" s="335"/>
      <c r="D187" s="396"/>
      <c r="E187" s="332"/>
      <c r="F187" s="332"/>
      <c r="G187" s="332"/>
      <c r="H187" s="350"/>
      <c r="I187" s="363"/>
      <c r="J187" s="450"/>
      <c r="K187" s="332"/>
      <c r="L187" s="332"/>
      <c r="M187" s="418"/>
      <c r="N187" s="350"/>
      <c r="O187" s="332"/>
    </row>
    <row r="188" spans="2:15">
      <c r="B188" s="334">
        <f>+B186+1</f>
        <v>112</v>
      </c>
      <c r="C188" s="335"/>
      <c r="D188" s="396" t="s">
        <v>338</v>
      </c>
      <c r="E188" s="350" t="s">
        <v>426</v>
      </c>
      <c r="F188" s="451"/>
      <c r="G188" s="332"/>
      <c r="H188" s="375"/>
      <c r="I188" s="429"/>
      <c r="K188" s="332"/>
      <c r="L188" s="452"/>
      <c r="M188" s="350"/>
      <c r="N188" s="350"/>
      <c r="O188" s="332"/>
    </row>
    <row r="189" spans="2:15">
      <c r="B189" s="334">
        <f t="shared" ref="B189:B196" si="10">+B188+1</f>
        <v>113</v>
      </c>
      <c r="C189" s="335"/>
      <c r="D189" s="453" t="s">
        <v>339</v>
      </c>
      <c r="E189" s="332"/>
      <c r="F189" s="454"/>
      <c r="G189" s="455">
        <f>IF(F339&gt;0,1-(((1-F340)*(1-F339))/(1-F340*F339*F341)),0)</f>
        <v>0.25226499999999996</v>
      </c>
      <c r="H189" s="456"/>
      <c r="I189" s="456"/>
      <c r="K189" s="457"/>
      <c r="L189" s="452"/>
      <c r="M189" s="350"/>
      <c r="N189" s="350"/>
      <c r="O189" s="332"/>
    </row>
    <row r="190" spans="2:15">
      <c r="B190" s="334">
        <f t="shared" si="10"/>
        <v>114</v>
      </c>
      <c r="C190" s="335"/>
      <c r="D190" s="358" t="s">
        <v>340</v>
      </c>
      <c r="E190" s="332"/>
      <c r="F190" s="454"/>
      <c r="G190" s="455">
        <f>IF(L255&gt;0,($G189/(1-$G189))*(1-$L255/$L258),0)</f>
        <v>0.23368937600955342</v>
      </c>
      <c r="H190" s="456"/>
      <c r="I190" s="456"/>
      <c r="K190" s="457"/>
      <c r="L190" s="452"/>
      <c r="M190" s="350"/>
      <c r="N190" s="350"/>
      <c r="O190" s="332"/>
    </row>
    <row r="191" spans="2:15">
      <c r="B191" s="334">
        <f t="shared" si="10"/>
        <v>115</v>
      </c>
      <c r="C191" s="335"/>
      <c r="D191" s="403" t="str">
        <f>"       where WCLTD=(ln "&amp;B255&amp;") and WACC = (ln "&amp;B258&amp;")"</f>
        <v xml:space="preserve">       where WCLTD=(ln 154) and WACC = (ln 157)</v>
      </c>
      <c r="E191" s="350"/>
      <c r="F191" s="458"/>
      <c r="G191" s="332"/>
      <c r="H191" s="456"/>
      <c r="I191" s="456"/>
      <c r="J191" s="459"/>
      <c r="K191" s="457"/>
      <c r="L191" s="460"/>
      <c r="M191" s="350"/>
      <c r="N191" s="350"/>
      <c r="O191" s="332"/>
    </row>
    <row r="192" spans="2:15">
      <c r="B192" s="334">
        <f t="shared" si="10"/>
        <v>116</v>
      </c>
      <c r="C192" s="335"/>
      <c r="D192" s="396" t="s">
        <v>429</v>
      </c>
      <c r="E192" s="461"/>
      <c r="F192" s="454"/>
      <c r="G192" s="332"/>
      <c r="H192" s="375"/>
      <c r="I192" s="429"/>
      <c r="J192" s="459"/>
      <c r="K192" s="457"/>
      <c r="L192" s="452"/>
      <c r="M192" s="350"/>
      <c r="N192" s="350"/>
      <c r="O192" s="332"/>
    </row>
    <row r="193" spans="2:15">
      <c r="B193" s="334">
        <f t="shared" si="10"/>
        <v>117</v>
      </c>
      <c r="C193" s="335"/>
      <c r="D193" s="462" t="str">
        <f>"      GRCF=1 / (1 - T)  = (from ln "&amp;B189&amp;")"</f>
        <v xml:space="preserve">      GRCF=1 / (1 - T)  = (from ln 113)</v>
      </c>
      <c r="E193" s="451"/>
      <c r="F193" s="451"/>
      <c r="G193" s="463">
        <f>IF(G189&gt;0,1/(1-G189),0)</f>
        <v>1.3373721973693888</v>
      </c>
      <c r="H193" s="375"/>
      <c r="I193" s="380"/>
      <c r="J193" s="464"/>
      <c r="K193" s="465"/>
      <c r="L193" s="466"/>
      <c r="M193" s="350"/>
      <c r="N193" s="350"/>
      <c r="O193" s="332"/>
    </row>
    <row r="194" spans="2:15">
      <c r="B194" s="334">
        <f t="shared" si="10"/>
        <v>118</v>
      </c>
      <c r="C194" s="335"/>
      <c r="D194" s="396" t="s">
        <v>341</v>
      </c>
      <c r="E194" s="416" t="s">
        <v>505</v>
      </c>
      <c r="F194" s="451"/>
      <c r="G194" s="846">
        <v>-3642730</v>
      </c>
      <c r="H194" s="375"/>
      <c r="I194" s="380"/>
      <c r="J194" s="467"/>
      <c r="K194" s="465"/>
      <c r="L194" s="452"/>
      <c r="M194" s="354"/>
      <c r="N194" s="350"/>
      <c r="O194" s="332"/>
    </row>
    <row r="195" spans="2:15">
      <c r="B195" s="334">
        <f t="shared" si="10"/>
        <v>119</v>
      </c>
      <c r="C195" s="335"/>
      <c r="D195" s="358" t="s">
        <v>534</v>
      </c>
      <c r="E195" s="350" t="s">
        <v>547</v>
      </c>
      <c r="F195" s="468"/>
      <c r="G195" s="846">
        <v>-42478993</v>
      </c>
      <c r="H195" s="375"/>
      <c r="I195" s="354" t="s">
        <v>130</v>
      </c>
      <c r="J195" s="467"/>
      <c r="K195" s="465"/>
      <c r="L195" s="846">
        <v>-4604320</v>
      </c>
      <c r="M195" s="354"/>
      <c r="N195" s="350"/>
      <c r="O195" s="332"/>
    </row>
    <row r="196" spans="2:15">
      <c r="B196" s="334">
        <f t="shared" si="10"/>
        <v>120</v>
      </c>
      <c r="C196" s="335"/>
      <c r="D196" s="484" t="s">
        <v>751</v>
      </c>
      <c r="E196" s="350" t="s">
        <v>547</v>
      </c>
      <c r="F196" s="468"/>
      <c r="G196" s="846">
        <v>4025006</v>
      </c>
      <c r="H196" s="375"/>
      <c r="I196" s="354" t="s">
        <v>130</v>
      </c>
      <c r="J196" s="467"/>
      <c r="K196" s="465"/>
      <c r="L196" s="846">
        <v>1481153</v>
      </c>
      <c r="M196" s="354"/>
      <c r="N196" s="350"/>
      <c r="O196" s="332"/>
    </row>
    <row r="197" spans="2:15">
      <c r="B197" s="334"/>
      <c r="C197" s="335"/>
      <c r="D197" s="403"/>
      <c r="E197" s="332"/>
      <c r="F197" s="454"/>
      <c r="G197" s="415"/>
      <c r="H197" s="375"/>
      <c r="I197" s="380"/>
      <c r="J197" s="469"/>
      <c r="K197" s="465"/>
      <c r="L197" s="452"/>
      <c r="M197" s="350"/>
      <c r="N197" s="350"/>
      <c r="O197" s="332"/>
    </row>
    <row r="198" spans="2:15">
      <c r="B198" s="334">
        <f>+B196+1</f>
        <v>121</v>
      </c>
      <c r="C198" s="335"/>
      <c r="D198" s="462" t="s">
        <v>342</v>
      </c>
      <c r="E198" s="468" t="str">
        <f>"(ln "&amp;B190&amp;" * ln "&amp;B205&amp;")"</f>
        <v>(ln 114 * ln 126)</v>
      </c>
      <c r="F198" s="470"/>
      <c r="G198" s="415">
        <f>+G190*G205</f>
        <v>74378856.221045971</v>
      </c>
      <c r="H198" s="375"/>
      <c r="I198" s="380"/>
      <c r="J198" s="469"/>
      <c r="K198" s="415"/>
      <c r="L198" s="415">
        <f>+L205*G190</f>
        <v>14329337.524345456</v>
      </c>
      <c r="M198" s="350"/>
      <c r="N198" s="350"/>
      <c r="O198" s="332"/>
    </row>
    <row r="199" spans="2:15">
      <c r="B199" s="334">
        <f>+B198+1</f>
        <v>122</v>
      </c>
      <c r="C199" s="335"/>
      <c r="D199" s="484" t="s">
        <v>343</v>
      </c>
      <c r="E199" s="468" t="str">
        <f>"(ln "&amp;B193&amp;" * ln "&amp;B194&amp;")"</f>
        <v>(ln 117 * ln 118)</v>
      </c>
      <c r="F199" s="468"/>
      <c r="G199" s="443">
        <f>G193*G194</f>
        <v>-4871685.824523394</v>
      </c>
      <c r="H199" s="375"/>
      <c r="I199" s="354" t="s">
        <v>761</v>
      </c>
      <c r="J199" s="355">
        <f>J75</f>
        <v>0.1777260588512326</v>
      </c>
      <c r="K199" s="415"/>
      <c r="L199" s="443">
        <f>+G199*J199</f>
        <v>-865825.5215539604</v>
      </c>
      <c r="M199" s="350"/>
      <c r="N199" s="350"/>
      <c r="O199" s="332"/>
    </row>
    <row r="200" spans="2:15">
      <c r="B200" s="334">
        <f>B199+1</f>
        <v>123</v>
      </c>
      <c r="C200" s="335"/>
      <c r="D200" s="484" t="s">
        <v>534</v>
      </c>
      <c r="E200" s="468" t="str">
        <f>"(ln "&amp;B193&amp;" * ln "&amp;B195&amp;")"</f>
        <v>(ln 117 * ln 119)</v>
      </c>
      <c r="F200" s="468"/>
      <c r="G200" s="443">
        <f>G195*G193</f>
        <v>-56810224.210448883</v>
      </c>
      <c r="H200" s="375"/>
      <c r="I200" s="471"/>
      <c r="J200" s="355"/>
      <c r="K200" s="415"/>
      <c r="L200" s="443">
        <f>L195*G193</f>
        <v>-6157689.5557918241</v>
      </c>
      <c r="M200" s="350"/>
      <c r="N200" s="350"/>
      <c r="O200" s="332"/>
    </row>
    <row r="201" spans="2:15">
      <c r="B201" s="334">
        <f>B200+1</f>
        <v>124</v>
      </c>
      <c r="C201" s="335"/>
      <c r="D201" s="484" t="s">
        <v>751</v>
      </c>
      <c r="E201" s="468" t="str">
        <f>"(ln "&amp;B193&amp;" * ln "&amp;B196&amp;")"</f>
        <v>(ln 117 * ln 120)</v>
      </c>
      <c r="F201" s="468"/>
      <c r="G201" s="472">
        <f>G196*G193</f>
        <v>5382931.1186449742</v>
      </c>
      <c r="H201" s="375"/>
      <c r="I201" s="471"/>
      <c r="J201" s="355"/>
      <c r="K201" s="415"/>
      <c r="L201" s="472">
        <f>L196*G193</f>
        <v>1980852.8422502624</v>
      </c>
      <c r="M201" s="350"/>
      <c r="N201" s="350"/>
      <c r="O201" s="332"/>
    </row>
    <row r="202" spans="2:15">
      <c r="B202" s="334"/>
      <c r="C202" s="335"/>
      <c r="D202" s="358"/>
      <c r="E202" s="468"/>
      <c r="F202" s="468"/>
      <c r="G202" s="443"/>
      <c r="H202" s="375"/>
      <c r="I202" s="471"/>
      <c r="J202" s="355"/>
      <c r="K202" s="415"/>
      <c r="L202" s="443"/>
      <c r="M202" s="350"/>
      <c r="N202" s="350"/>
      <c r="O202" s="332"/>
    </row>
    <row r="203" spans="2:15">
      <c r="B203" s="334">
        <f>+B201+1</f>
        <v>125</v>
      </c>
      <c r="C203" s="335"/>
      <c r="D203" s="453" t="s">
        <v>36</v>
      </c>
      <c r="E203" s="332" t="str">
        <f>"(sum lns "&amp;B198&amp;" to "&amp;B201&amp;")"</f>
        <v>(sum lns 121 to 124)</v>
      </c>
      <c r="F203" s="468"/>
      <c r="G203" s="382">
        <f>SUM(G198:G201)</f>
        <v>18079877.304718673</v>
      </c>
      <c r="H203" s="375"/>
      <c r="I203" s="380" t="s">
        <v>115</v>
      </c>
      <c r="J203" s="473"/>
      <c r="K203" s="415"/>
      <c r="L203" s="382">
        <f>SUM(L198:L201)</f>
        <v>9286675.2892499343</v>
      </c>
      <c r="M203" s="350"/>
      <c r="N203" s="350"/>
      <c r="O203" s="332"/>
    </row>
    <row r="204" spans="2:15">
      <c r="B204" s="334"/>
      <c r="C204" s="335"/>
      <c r="D204" s="396"/>
      <c r="E204" s="332"/>
      <c r="F204" s="332"/>
      <c r="G204" s="332"/>
      <c r="H204" s="350"/>
      <c r="I204" s="363"/>
      <c r="J204" s="450"/>
      <c r="K204" s="332"/>
      <c r="L204" s="332"/>
      <c r="M204" s="350"/>
      <c r="N204" s="350"/>
      <c r="O204" s="332"/>
    </row>
    <row r="205" spans="2:15">
      <c r="B205" s="334">
        <f>+B203+1</f>
        <v>126</v>
      </c>
      <c r="C205" s="335"/>
      <c r="D205" s="462" t="s">
        <v>200</v>
      </c>
      <c r="E205" s="462" t="str">
        <f>"(ln "&amp;B125&amp;" * ln "&amp;B258&amp;")"</f>
        <v>(ln 68 * ln 157)</v>
      </c>
      <c r="F205" s="426"/>
      <c r="G205" s="415">
        <f>+$L258*G125</f>
        <v>318280862.78943765</v>
      </c>
      <c r="H205" s="350"/>
      <c r="I205" s="380"/>
      <c r="J205" s="415"/>
      <c r="K205" s="415"/>
      <c r="L205" s="415">
        <f>+L258*L125</f>
        <v>61317881.749830425</v>
      </c>
      <c r="M205" s="350"/>
      <c r="N205" s="474"/>
      <c r="O205" s="452"/>
    </row>
    <row r="206" spans="2:15">
      <c r="B206" s="334"/>
      <c r="C206" s="335"/>
      <c r="D206" s="453"/>
      <c r="G206" s="415"/>
      <c r="H206" s="415"/>
      <c r="I206" s="380"/>
      <c r="J206" s="380"/>
      <c r="K206" s="415"/>
      <c r="L206" s="415"/>
      <c r="M206" s="350"/>
      <c r="N206" s="325"/>
    </row>
    <row r="207" spans="2:15">
      <c r="B207" s="334">
        <f>+B205+1</f>
        <v>127</v>
      </c>
      <c r="C207" s="335"/>
      <c r="D207" s="475" t="s">
        <v>100</v>
      </c>
      <c r="F207" s="444"/>
      <c r="G207" s="368">
        <f>-'WS D IPP Credits'!C13</f>
        <v>191626</v>
      </c>
      <c r="H207" s="368"/>
      <c r="I207" s="424" t="s">
        <v>130</v>
      </c>
      <c r="J207" s="355">
        <v>1</v>
      </c>
      <c r="K207" s="448"/>
      <c r="L207" s="415">
        <f>+J207*G207</f>
        <v>191626</v>
      </c>
      <c r="M207" s="401"/>
      <c r="N207" s="325"/>
    </row>
    <row r="208" spans="2:15">
      <c r="B208" s="334"/>
      <c r="C208" s="335"/>
      <c r="D208" s="475"/>
      <c r="F208" s="444"/>
      <c r="G208" s="368"/>
      <c r="H208" s="368"/>
      <c r="I208" s="424"/>
      <c r="J208" s="355"/>
      <c r="K208" s="448"/>
      <c r="L208" s="415"/>
      <c r="M208" s="401"/>
      <c r="N208" s="325"/>
    </row>
    <row r="209" spans="2:15">
      <c r="B209" s="334">
        <f>+B207+1</f>
        <v>128</v>
      </c>
      <c r="C209" s="335"/>
      <c r="D209" s="475"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25"/>
      <c r="F209" s="399"/>
      <c r="G209" s="368">
        <f>+'WS N - Sale of Plant Held'!O33</f>
        <v>0</v>
      </c>
      <c r="H209" s="368"/>
      <c r="I209" s="476"/>
      <c r="J209" s="355"/>
      <c r="K209" s="402"/>
      <c r="L209" s="368">
        <f>'WS N - Sale of Plant Held'!S33</f>
        <v>0</v>
      </c>
      <c r="M209" s="401"/>
      <c r="N209" s="325"/>
    </row>
    <row r="210" spans="2:15">
      <c r="B210" s="334"/>
      <c r="C210" s="335"/>
      <c r="D210" s="475"/>
      <c r="E210" s="325"/>
      <c r="F210" s="399"/>
      <c r="G210" s="368"/>
      <c r="H210" s="368"/>
      <c r="I210" s="476"/>
      <c r="J210" s="355"/>
      <c r="K210" s="402"/>
      <c r="L210" s="368"/>
      <c r="M210" s="401"/>
      <c r="N210" s="325"/>
    </row>
    <row r="211" spans="2:15">
      <c r="B211" s="334">
        <f>+B209+1</f>
        <v>129</v>
      </c>
      <c r="C211" s="335"/>
      <c r="D211" s="475" t="str">
        <f>" Tax Impact on Net Loss / (Gain) on Sales of Plant Held for Future Use (ln "&amp;B209&amp;" * ln"&amp;B190&amp;")"</f>
        <v xml:space="preserve"> Tax Impact on Net Loss / (Gain) on Sales of Plant Held for Future Use (ln 128 * ln114)</v>
      </c>
      <c r="E211" s="325"/>
      <c r="F211" s="399"/>
      <c r="G211" s="368">
        <f>-+G190*G209</f>
        <v>0</v>
      </c>
      <c r="H211" s="368"/>
      <c r="I211" s="476"/>
      <c r="J211" s="355"/>
      <c r="K211" s="402"/>
      <c r="L211" s="368">
        <f>L209*-G190</f>
        <v>0</v>
      </c>
      <c r="M211" s="401"/>
      <c r="N211" s="325"/>
    </row>
    <row r="212" spans="2:15" ht="16" thickBot="1">
      <c r="B212" s="334"/>
      <c r="C212" s="335"/>
      <c r="D212" s="396"/>
      <c r="G212" s="425"/>
      <c r="H212" s="477"/>
      <c r="I212" s="380"/>
      <c r="J212" s="380"/>
      <c r="K212" s="415"/>
      <c r="L212" s="425"/>
      <c r="M212" s="350"/>
      <c r="N212" s="325"/>
    </row>
    <row r="213" spans="2:15" ht="16" thickBot="1">
      <c r="B213" s="334">
        <f>+B211+1</f>
        <v>130</v>
      </c>
      <c r="C213" s="335"/>
      <c r="D213" s="320" t="s">
        <v>250</v>
      </c>
      <c r="G213" s="478">
        <f>+G207+G205+G203+G186+G177+G169+G209+G211</f>
        <v>875206661.09415627</v>
      </c>
      <c r="L213" s="478">
        <f>+L207+L205+L203+L186+L177+L169+L209+L211</f>
        <v>142571242.57434335</v>
      </c>
      <c r="M213" s="350"/>
      <c r="N213" s="325"/>
    </row>
    <row r="214" spans="2:15" ht="16" thickTop="1">
      <c r="B214" s="334"/>
      <c r="C214" s="335"/>
      <c r="D214" s="326" t="str">
        <f>"    (sum lns "&amp;B169&amp;", "&amp;B177&amp;", "&amp;B186&amp;", "&amp;B203&amp;", "&amp;B205&amp;", "&amp;B207&amp;", "&amp;B209&amp;", "&amp;B211&amp;")"</f>
        <v xml:space="preserve">    (sum lns 96, 103, 111, 125, 126, 127, 128, 129)</v>
      </c>
      <c r="F214" s="479"/>
      <c r="M214" s="350"/>
      <c r="N214" s="325"/>
    </row>
    <row r="215" spans="2:15">
      <c r="B215" s="334"/>
      <c r="C215" s="335"/>
      <c r="F215" s="479"/>
      <c r="M215" s="350"/>
      <c r="N215" s="325"/>
    </row>
    <row r="216" spans="2:15">
      <c r="B216" s="334"/>
      <c r="C216" s="335"/>
      <c r="D216" s="326"/>
      <c r="F216" s="429" t="str">
        <f>F128</f>
        <v xml:space="preserve">AEP East Companies </v>
      </c>
      <c r="M216" s="428"/>
      <c r="N216" s="325"/>
    </row>
    <row r="217" spans="2:15">
      <c r="B217" s="334"/>
      <c r="C217" s="335"/>
      <c r="D217" s="326"/>
      <c r="F217" s="429" t="str">
        <f>F129</f>
        <v>Transmission Cost of Service Formula Rate</v>
      </c>
      <c r="M217" s="428"/>
      <c r="N217" s="325"/>
    </row>
    <row r="218" spans="2:15">
      <c r="B218" s="320"/>
      <c r="C218" s="335"/>
      <c r="F218" s="429" t="str">
        <f>F130</f>
        <v>Utilizing  Actual/Projected FERC Form 1 Data</v>
      </c>
      <c r="M218" s="385"/>
      <c r="N218" s="325"/>
    </row>
    <row r="219" spans="2:15">
      <c r="B219" s="334"/>
      <c r="C219" s="335"/>
      <c r="E219" s="429"/>
      <c r="F219" s="429"/>
      <c r="G219" s="429"/>
      <c r="H219" s="429"/>
      <c r="I219" s="429"/>
      <c r="J219" s="429"/>
      <c r="K219" s="429"/>
      <c r="M219" s="350"/>
      <c r="N219" s="325"/>
    </row>
    <row r="220" spans="2:15">
      <c r="B220" s="334"/>
      <c r="C220" s="335"/>
      <c r="E220" s="326"/>
      <c r="F220" s="429" t="str">
        <f>F132</f>
        <v xml:space="preserve">Indiana Michigan Power Company </v>
      </c>
      <c r="G220" s="326"/>
      <c r="H220" s="326"/>
      <c r="I220" s="326"/>
      <c r="J220" s="326"/>
      <c r="K220" s="326"/>
      <c r="L220" s="326"/>
      <c r="M220" s="371"/>
      <c r="N220" s="325"/>
    </row>
    <row r="221" spans="2:15">
      <c r="B221" s="334"/>
      <c r="C221" s="335"/>
      <c r="E221" s="326"/>
      <c r="F221" s="429"/>
      <c r="G221" s="326"/>
      <c r="H221" s="326"/>
      <c r="I221" s="326"/>
      <c r="J221" s="326"/>
      <c r="K221" s="326"/>
      <c r="L221" s="326"/>
      <c r="M221" s="371"/>
      <c r="N221" s="325"/>
    </row>
    <row r="222" spans="2:15">
      <c r="B222" s="334"/>
      <c r="C222" s="335"/>
      <c r="F222" s="435" t="s">
        <v>41</v>
      </c>
      <c r="H222" s="329"/>
      <c r="I222" s="329"/>
      <c r="J222" s="329"/>
      <c r="K222" s="329"/>
      <c r="L222" s="329"/>
      <c r="M222" s="350"/>
      <c r="N222" s="325"/>
    </row>
    <row r="223" spans="2:15">
      <c r="B223" s="334"/>
      <c r="C223" s="335"/>
      <c r="D223" s="480"/>
      <c r="E223" s="329"/>
      <c r="F223" s="329"/>
      <c r="G223" s="329"/>
      <c r="H223" s="329"/>
      <c r="I223" s="329"/>
      <c r="J223" s="329"/>
      <c r="K223" s="329"/>
      <c r="L223" s="329"/>
      <c r="M223" s="350"/>
      <c r="N223" s="325"/>
    </row>
    <row r="224" spans="2:15">
      <c r="B224" s="334" t="s">
        <v>117</v>
      </c>
      <c r="C224" s="335"/>
      <c r="D224" s="480"/>
      <c r="E224" s="329"/>
      <c r="F224" s="329"/>
      <c r="G224" s="329"/>
      <c r="H224" s="329"/>
      <c r="I224" s="329"/>
      <c r="J224" s="329"/>
      <c r="K224" s="329"/>
      <c r="L224" s="329"/>
      <c r="M224" s="350"/>
      <c r="N224" s="325"/>
      <c r="O224" s="325"/>
    </row>
    <row r="225" spans="2:16" ht="16" thickBot="1">
      <c r="B225" s="341" t="s">
        <v>118</v>
      </c>
      <c r="C225" s="342"/>
      <c r="D225" s="371" t="s">
        <v>222</v>
      </c>
      <c r="E225" s="345"/>
      <c r="F225" s="345"/>
      <c r="G225" s="345"/>
      <c r="H225" s="345"/>
      <c r="I225" s="345"/>
      <c r="J225" s="345"/>
      <c r="K225" s="325"/>
      <c r="M225" s="350"/>
      <c r="N225" s="325"/>
      <c r="O225" s="325"/>
      <c r="P225" s="337"/>
    </row>
    <row r="226" spans="2:16">
      <c r="B226" s="334">
        <f>+B213+1</f>
        <v>131</v>
      </c>
      <c r="C226" s="335"/>
      <c r="D226" s="345" t="s">
        <v>167</v>
      </c>
      <c r="E226" s="481" t="str">
        <f>"(ln "&amp;B68&amp;")"</f>
        <v>(ln 21)</v>
      </c>
      <c r="F226" s="482"/>
      <c r="H226" s="483"/>
      <c r="I226" s="483"/>
      <c r="J226" s="483"/>
      <c r="K226" s="483"/>
      <c r="L226" s="353">
        <f>+G68</f>
        <v>1603673168.29</v>
      </c>
      <c r="M226" s="350"/>
      <c r="N226" s="325"/>
      <c r="O226" s="325"/>
      <c r="P226" s="337"/>
    </row>
    <row r="227" spans="2:16">
      <c r="B227" s="334">
        <f>+B226+1</f>
        <v>132</v>
      </c>
      <c r="C227" s="335"/>
      <c r="D227" s="345" t="str">
        <f>"  Less transmission plant excluded from PJM Tariff  (Worksheet A, ln "&amp;'WS A - RB Support'!A62&amp;", Col. "&amp;'WS A - RB Support'!E47&amp;") (Note P)"</f>
        <v xml:space="preserve">  Less transmission plant excluded from PJM Tariff  (Worksheet A, ln 42, Col. (d)) (Note P)</v>
      </c>
      <c r="E227" s="484"/>
      <c r="F227" s="484"/>
      <c r="G227" s="485"/>
      <c r="H227" s="484"/>
      <c r="I227" s="484"/>
      <c r="J227" s="484"/>
      <c r="K227" s="484"/>
      <c r="L227" s="846">
        <f>'WS A - RB Support'!E62</f>
        <v>0</v>
      </c>
      <c r="M227" s="350"/>
      <c r="N227" s="325"/>
      <c r="P227" s="337"/>
    </row>
    <row r="228" spans="2:16" ht="16" thickBot="1">
      <c r="B228" s="334">
        <f>+B227+1</f>
        <v>133</v>
      </c>
      <c r="C228" s="335"/>
      <c r="D228" s="482" t="str">
        <f>"  Less transmission plant included in OATT Ancillary Services (Worksheet A, ln "&amp;'WS A - RB Support'!A62&amp;", Col. "&amp;'WS A - RB Support'!C47&amp;")  (Note Q)"</f>
        <v xml:space="preserve">  Less transmission plant included in OATT Ancillary Services (Worksheet A, ln 42, Col. (b))  (Note Q)</v>
      </c>
      <c r="E228" s="482"/>
      <c r="F228" s="482"/>
      <c r="G228" s="395"/>
      <c r="H228" s="483"/>
      <c r="I228" s="483"/>
      <c r="J228" s="395"/>
      <c r="K228" s="483"/>
      <c r="L228" s="486">
        <f>'WS A - RB Support'!C62</f>
        <v>58639707.980000004</v>
      </c>
      <c r="M228" s="350"/>
      <c r="N228" s="325"/>
      <c r="P228" s="337"/>
    </row>
    <row r="229" spans="2:16">
      <c r="B229" s="334">
        <f>+B228+1</f>
        <v>134</v>
      </c>
      <c r="C229" s="335"/>
      <c r="D229" s="345" t="s">
        <v>223</v>
      </c>
      <c r="E229" s="487" t="str">
        <f>"(ln "&amp;B226&amp;" - ln "&amp;B227&amp;" - ln "&amp;B228&amp;")"</f>
        <v>(ln 131 - ln 132 - ln 133)</v>
      </c>
      <c r="F229" s="482"/>
      <c r="H229" s="483"/>
      <c r="I229" s="483"/>
      <c r="J229" s="395"/>
      <c r="K229" s="483"/>
      <c r="L229" s="353">
        <f>L226-L227-L228</f>
        <v>1545033460.3099999</v>
      </c>
      <c r="M229" s="350"/>
      <c r="N229" s="325"/>
      <c r="P229" s="337"/>
    </row>
    <row r="230" spans="2:16">
      <c r="B230" s="334"/>
      <c r="C230" s="335"/>
      <c r="D230" s="325"/>
      <c r="E230" s="482"/>
      <c r="F230" s="482"/>
      <c r="G230" s="395"/>
      <c r="H230" s="483"/>
      <c r="I230" s="483"/>
      <c r="J230" s="395"/>
      <c r="K230" s="483"/>
      <c r="L230" s="484"/>
      <c r="M230" s="350"/>
      <c r="N230" s="325"/>
      <c r="P230" s="337"/>
    </row>
    <row r="231" spans="2:16">
      <c r="B231" s="334">
        <f>+B229+1</f>
        <v>135</v>
      </c>
      <c r="C231" s="335"/>
      <c r="D231" s="345" t="s">
        <v>224</v>
      </c>
      <c r="E231" s="488" t="str">
        <f>"(ln "&amp;B229&amp;" / ln "&amp;B226&amp;")"</f>
        <v>(ln 134 / ln 131)</v>
      </c>
      <c r="F231" s="489"/>
      <c r="H231" s="490"/>
      <c r="I231" s="491"/>
      <c r="J231" s="491"/>
      <c r="K231" s="492" t="s">
        <v>144</v>
      </c>
      <c r="L231" s="493">
        <f>IF(L226&gt;0,L229/L226,0)</f>
        <v>0.96343412788870963</v>
      </c>
      <c r="M231" s="350"/>
      <c r="N231" s="325"/>
      <c r="P231" s="337"/>
    </row>
    <row r="232" spans="2:16">
      <c r="B232" s="334"/>
      <c r="C232" s="335"/>
      <c r="D232" s="494"/>
      <c r="E232" s="345"/>
      <c r="F232" s="345"/>
      <c r="G232" s="495"/>
      <c r="H232" s="345"/>
      <c r="I232" s="360"/>
      <c r="J232" s="345"/>
      <c r="K232" s="345"/>
      <c r="L232" s="329"/>
      <c r="M232" s="350"/>
      <c r="N232" s="325"/>
    </row>
    <row r="233" spans="2:16" ht="31">
      <c r="B233" s="334">
        <f>B231+1</f>
        <v>136</v>
      </c>
      <c r="C233" s="360"/>
      <c r="D233" s="371" t="s">
        <v>42</v>
      </c>
      <c r="E233" s="354" t="s">
        <v>344</v>
      </c>
      <c r="F233" s="354" t="s">
        <v>185</v>
      </c>
      <c r="G233" s="496" t="s">
        <v>215</v>
      </c>
      <c r="H233" s="430" t="s">
        <v>119</v>
      </c>
      <c r="I233" s="363"/>
      <c r="J233" s="332"/>
      <c r="K233" s="332"/>
      <c r="L233" s="332"/>
      <c r="M233" s="350"/>
      <c r="N233" s="325"/>
    </row>
    <row r="234" spans="2:16">
      <c r="B234" s="334">
        <f t="shared" ref="B234:B239" si="11">+B233+1</f>
        <v>137</v>
      </c>
      <c r="C234" s="360"/>
      <c r="D234" s="371" t="s">
        <v>127</v>
      </c>
      <c r="E234" s="332" t="s">
        <v>432</v>
      </c>
      <c r="F234" s="848">
        <v>145738923.19999999</v>
      </c>
      <c r="G234" s="848">
        <v>13179912</v>
      </c>
      <c r="H234" s="397">
        <f>+F234+G234</f>
        <v>158918835.19999999</v>
      </c>
      <c r="I234" s="363" t="s">
        <v>128</v>
      </c>
      <c r="J234" s="355">
        <v>0</v>
      </c>
      <c r="K234" s="497"/>
      <c r="L234" s="415">
        <f>(F234+G234)*J234</f>
        <v>0</v>
      </c>
      <c r="M234" s="350"/>
      <c r="N234" s="325"/>
    </row>
    <row r="235" spans="2:16">
      <c r="B235" s="334">
        <f t="shared" si="11"/>
        <v>138</v>
      </c>
      <c r="C235" s="360"/>
      <c r="D235" s="403" t="s">
        <v>129</v>
      </c>
      <c r="E235" s="350" t="s">
        <v>12</v>
      </c>
      <c r="F235" s="848">
        <v>4744459</v>
      </c>
      <c r="G235" s="848">
        <v>4701818</v>
      </c>
      <c r="H235" s="397">
        <f>+F235+G235</f>
        <v>9446277</v>
      </c>
      <c r="I235" s="360" t="s">
        <v>121</v>
      </c>
      <c r="J235" s="355">
        <f>L231</f>
        <v>0.96343412788870963</v>
      </c>
      <c r="K235" s="497"/>
      <c r="L235" s="415">
        <f>(F235+G235)*J235</f>
        <v>9100865.643290177</v>
      </c>
      <c r="M235" s="350"/>
      <c r="N235" s="325"/>
    </row>
    <row r="236" spans="2:16">
      <c r="B236" s="334">
        <f t="shared" si="11"/>
        <v>139</v>
      </c>
      <c r="C236" s="360"/>
      <c r="D236" s="403" t="s">
        <v>227</v>
      </c>
      <c r="E236" s="332" t="s">
        <v>467</v>
      </c>
      <c r="F236" s="848">
        <v>0</v>
      </c>
      <c r="G236" s="848">
        <v>0</v>
      </c>
      <c r="H236" s="397">
        <v>0</v>
      </c>
      <c r="I236" s="363" t="s">
        <v>128</v>
      </c>
      <c r="J236" s="355">
        <v>0</v>
      </c>
      <c r="K236" s="497"/>
      <c r="L236" s="415">
        <f>(F236+G236)*J236</f>
        <v>0</v>
      </c>
      <c r="M236" s="350"/>
      <c r="N236" s="325"/>
    </row>
    <row r="237" spans="2:16">
      <c r="B237" s="334">
        <f t="shared" si="11"/>
        <v>140</v>
      </c>
      <c r="C237" s="360"/>
      <c r="D237" s="403" t="s">
        <v>131</v>
      </c>
      <c r="E237" s="332" t="s">
        <v>430</v>
      </c>
      <c r="F237" s="848">
        <v>19533926</v>
      </c>
      <c r="G237" s="848">
        <v>2236755</v>
      </c>
      <c r="H237" s="397">
        <f>+F237+G237</f>
        <v>21770681</v>
      </c>
      <c r="I237" s="363" t="s">
        <v>128</v>
      </c>
      <c r="J237" s="355">
        <v>0</v>
      </c>
      <c r="K237" s="497"/>
      <c r="L237" s="415">
        <f>(F237+G237)*J237</f>
        <v>0</v>
      </c>
      <c r="M237" s="350"/>
      <c r="N237" s="325"/>
    </row>
    <row r="238" spans="2:16" ht="16" thickBot="1">
      <c r="B238" s="334">
        <f t="shared" si="11"/>
        <v>141</v>
      </c>
      <c r="C238" s="360"/>
      <c r="D238" s="403" t="s">
        <v>202</v>
      </c>
      <c r="E238" s="332" t="s">
        <v>431</v>
      </c>
      <c r="F238" s="849">
        <v>7882064</v>
      </c>
      <c r="G238" s="849">
        <v>5370383</v>
      </c>
      <c r="H238" s="498">
        <f>+F238+G238</f>
        <v>13252447</v>
      </c>
      <c r="I238" s="363" t="s">
        <v>128</v>
      </c>
      <c r="J238" s="355">
        <v>0</v>
      </c>
      <c r="K238" s="497"/>
      <c r="L238" s="425">
        <f>(F238+G238)*J238</f>
        <v>0</v>
      </c>
      <c r="M238" s="350"/>
      <c r="N238" s="325"/>
    </row>
    <row r="239" spans="2:16">
      <c r="B239" s="334">
        <f t="shared" si="11"/>
        <v>142</v>
      </c>
      <c r="C239" s="360"/>
      <c r="D239" s="403" t="s">
        <v>119</v>
      </c>
      <c r="E239" s="403" t="str">
        <f>"(sum lns "&amp;B234&amp;" to "&amp;B238&amp;")"</f>
        <v>(sum lns 137 to 141)</v>
      </c>
      <c r="F239" s="350">
        <f>SUM(F234:F238)</f>
        <v>177899372.19999999</v>
      </c>
      <c r="G239" s="350">
        <f>SUM(G234:G238)</f>
        <v>25488868</v>
      </c>
      <c r="H239" s="350">
        <f>SUM(H234:H238)</f>
        <v>203388240.19999999</v>
      </c>
      <c r="I239" s="363"/>
      <c r="J239" s="332"/>
      <c r="K239" s="332"/>
      <c r="L239" s="415">
        <f>SUM(L234:L238)</f>
        <v>9100865.643290177</v>
      </c>
      <c r="M239" s="499"/>
      <c r="N239" s="325"/>
    </row>
    <row r="240" spans="2:16">
      <c r="B240" s="334"/>
      <c r="C240" s="360"/>
      <c r="D240" s="403" t="s">
        <v>115</v>
      </c>
      <c r="E240" s="350" t="s">
        <v>115</v>
      </c>
      <c r="F240" s="350"/>
      <c r="G240" s="325"/>
      <c r="H240" s="350"/>
      <c r="I240" s="429"/>
      <c r="M240" s="325"/>
      <c r="N240" s="325"/>
    </row>
    <row r="241" spans="2:21">
      <c r="B241" s="334">
        <f>B239+1</f>
        <v>143</v>
      </c>
      <c r="C241" s="335"/>
      <c r="D241" s="396" t="s">
        <v>43</v>
      </c>
      <c r="E241" s="350"/>
      <c r="F241" s="350"/>
      <c r="G241" s="350"/>
      <c r="H241" s="350"/>
      <c r="I241" s="429"/>
      <c r="K241" s="500" t="s">
        <v>44</v>
      </c>
      <c r="L241" s="501">
        <f>L239/(F239+G239)</f>
        <v>4.4746272618028077E-2</v>
      </c>
      <c r="M241" s="325"/>
      <c r="N241" s="325"/>
    </row>
    <row r="242" spans="2:21">
      <c r="B242" s="334"/>
      <c r="C242" s="335"/>
      <c r="D242" s="396"/>
      <c r="E242" s="350"/>
      <c r="F242" s="350"/>
      <c r="G242" s="350"/>
      <c r="H242" s="350"/>
      <c r="I242" s="363"/>
      <c r="J242" s="332"/>
      <c r="K242" s="332"/>
      <c r="L242" s="332"/>
      <c r="M242" s="350"/>
      <c r="N242" s="325"/>
    </row>
    <row r="243" spans="2:21">
      <c r="B243" s="334"/>
      <c r="C243" s="335"/>
      <c r="D243" s="396"/>
      <c r="E243" s="479"/>
      <c r="F243" s="332"/>
      <c r="H243" s="332"/>
      <c r="I243" s="332"/>
      <c r="J243" s="332"/>
      <c r="K243" s="394"/>
      <c r="L243" s="502"/>
      <c r="M243" s="350"/>
      <c r="N243" s="325"/>
    </row>
    <row r="244" spans="2:21" ht="16" thickBot="1">
      <c r="B244" s="334">
        <f>+B241+1</f>
        <v>144</v>
      </c>
      <c r="C244" s="360"/>
      <c r="D244" s="403" t="s">
        <v>199</v>
      </c>
      <c r="E244" s="350"/>
      <c r="F244" s="350"/>
      <c r="G244" s="350"/>
      <c r="H244" s="350"/>
      <c r="I244" s="350"/>
      <c r="J244" s="350"/>
      <c r="K244" s="350"/>
      <c r="L244" s="503" t="s">
        <v>145</v>
      </c>
      <c r="M244" s="350"/>
      <c r="N244" s="325"/>
    </row>
    <row r="245" spans="2:21">
      <c r="B245" s="334">
        <f t="shared" ref="B245:B252" si="12">+B244+1</f>
        <v>145</v>
      </c>
      <c r="C245" s="360"/>
      <c r="D245" s="350" t="s">
        <v>220</v>
      </c>
      <c r="E245" s="325" t="str">
        <f>"(Worksheet M, ln. "&amp;'WS M - Cost of Capital'!A56&amp;", col. "&amp;'WS M - Cost of Capital'!E47&amp;")"</f>
        <v>(Worksheet M, ln. 37, col. (d))</v>
      </c>
      <c r="F245" s="350"/>
      <c r="G245" s="350"/>
      <c r="H245" s="350"/>
      <c r="I245" s="350"/>
      <c r="J245" s="350"/>
      <c r="K245" s="350"/>
      <c r="L245" s="368">
        <f>'WS M - Cost of Capital'!E56</f>
        <v>114297542</v>
      </c>
      <c r="M245" s="350"/>
      <c r="N245" s="325"/>
    </row>
    <row r="246" spans="2:21">
      <c r="B246" s="334">
        <f t="shared" si="12"/>
        <v>146</v>
      </c>
      <c r="C246" s="360"/>
      <c r="D246" s="350" t="s">
        <v>221</v>
      </c>
      <c r="E246" s="325" t="str">
        <f>"(Worksheet M, ln. "&amp;'WS M - Cost of Capital'!A103&amp;")"</f>
        <v>(Worksheet M, ln. 71)</v>
      </c>
      <c r="F246" s="350"/>
      <c r="G246" s="350"/>
      <c r="H246" s="350"/>
      <c r="I246" s="350"/>
      <c r="J246" s="350"/>
      <c r="K246" s="350"/>
      <c r="L246" s="368">
        <f>'WS M - Cost of Capital'!E103</f>
        <v>0</v>
      </c>
      <c r="M246" s="350"/>
      <c r="N246" s="325"/>
    </row>
    <row r="247" spans="2:21">
      <c r="B247" s="334">
        <f t="shared" si="12"/>
        <v>147</v>
      </c>
      <c r="C247" s="360"/>
      <c r="D247" s="504" t="s">
        <v>243</v>
      </c>
      <c r="E247" s="350"/>
      <c r="F247" s="350"/>
      <c r="G247" s="350"/>
      <c r="H247" s="419"/>
      <c r="I247" s="350"/>
      <c r="J247" s="350"/>
      <c r="K247" s="350"/>
      <c r="L247" s="368"/>
      <c r="M247" s="350"/>
      <c r="N247" s="325"/>
    </row>
    <row r="248" spans="2:21">
      <c r="B248" s="334">
        <f t="shared" si="12"/>
        <v>148</v>
      </c>
      <c r="C248" s="360"/>
      <c r="D248" s="350" t="s">
        <v>244</v>
      </c>
      <c r="E248" s="531" t="str">
        <f>"(Worksheet M, ln. "&amp;'WS M - Cost of Capital'!A23&amp;", col. "&amp;'WS M - Cost of Capital'!C8&amp;")"</f>
        <v>(Worksheet M, ln. 14, col. (b))</v>
      </c>
      <c r="F248" s="350"/>
      <c r="G248" s="345"/>
      <c r="H248" s="421"/>
      <c r="I248" s="350"/>
      <c r="J248" s="350"/>
      <c r="K248" s="350"/>
      <c r="L248" s="368">
        <f>'WS M - Cost of Capital'!C23</f>
        <v>2470269468.9722314</v>
      </c>
      <c r="M248" s="350"/>
      <c r="N248" s="325"/>
    </row>
    <row r="249" spans="2:21">
      <c r="B249" s="334">
        <f t="shared" si="12"/>
        <v>149</v>
      </c>
      <c r="C249" s="360"/>
      <c r="D249" s="350" t="s">
        <v>369</v>
      </c>
      <c r="E249" s="531" t="str">
        <f>"(Worksheet M, ln. "&amp;'WS M - Cost of Capital'!A23&amp;", col. "&amp;'WS M - Cost of Capital'!D8&amp;")"</f>
        <v>(Worksheet M, ln. 14, col. (c))</v>
      </c>
      <c r="F249" s="350"/>
      <c r="G249" s="350"/>
      <c r="H249" s="421"/>
      <c r="I249" s="350"/>
      <c r="J249" s="350"/>
      <c r="K249" s="350"/>
      <c r="L249" s="397">
        <f>'WS M - Cost of Capital'!D23</f>
        <v>0</v>
      </c>
      <c r="M249" s="350"/>
      <c r="N249" s="325"/>
    </row>
    <row r="250" spans="2:21">
      <c r="B250" s="334">
        <f>+B249+1</f>
        <v>150</v>
      </c>
      <c r="C250" s="360"/>
      <c r="D250" s="350" t="s">
        <v>362</v>
      </c>
      <c r="E250" s="531" t="str">
        <f>"(Worksheet M, ln. "&amp;'WS M - Cost of Capital'!A23&amp;", col. "&amp;'WS M - Cost of Capital'!E8&amp;")"</f>
        <v>(Worksheet M, ln. 14, col. (d))</v>
      </c>
      <c r="F250" s="350"/>
      <c r="G250" s="350"/>
      <c r="H250" s="421"/>
      <c r="I250" s="350"/>
      <c r="J250" s="350"/>
      <c r="K250" s="350"/>
      <c r="L250" s="397">
        <f>'WS M - Cost of Capital'!E23</f>
        <v>-5778060.8407692313</v>
      </c>
      <c r="M250" s="350"/>
      <c r="N250" s="325"/>
    </row>
    <row r="251" spans="2:21" ht="16" thickBot="1">
      <c r="B251" s="334">
        <f t="shared" si="12"/>
        <v>151</v>
      </c>
      <c r="C251" s="360"/>
      <c r="D251" s="350" t="s">
        <v>368</v>
      </c>
      <c r="E251" s="531" t="str">
        <f>"(Worksheet M, ln. "&amp;'WS M - Cost of Capital'!A23&amp;", col. "&amp;'WS M - Cost of Capital'!F8&amp;")"</f>
        <v>(Worksheet M, ln. 14, col. (e))</v>
      </c>
      <c r="F251" s="350"/>
      <c r="G251" s="350"/>
      <c r="H251" s="421"/>
      <c r="I251" s="350"/>
      <c r="J251" s="422"/>
      <c r="K251" s="350"/>
      <c r="L251" s="498">
        <f>'WS M - Cost of Capital'!F23</f>
        <v>-12974288.369230768</v>
      </c>
      <c r="M251" s="350"/>
      <c r="N251" s="325"/>
    </row>
    <row r="252" spans="2:21">
      <c r="B252" s="334">
        <f t="shared" si="12"/>
        <v>152</v>
      </c>
      <c r="C252" s="360"/>
      <c r="D252" s="320" t="s">
        <v>245</v>
      </c>
      <c r="E252" s="350" t="str">
        <f>"(ln "&amp;B248&amp;" - ln "&amp;B249&amp;" - ln "&amp;B250&amp;" - ln "&amp;B251&amp;")"</f>
        <v>(ln 148 - ln 149 - ln 150 - ln 151)</v>
      </c>
      <c r="F252" s="505"/>
      <c r="G252" s="325"/>
      <c r="H252" s="345"/>
      <c r="I252" s="345"/>
      <c r="J252" s="345"/>
      <c r="K252" s="345"/>
      <c r="L252" s="368">
        <f>+L248-L249-L250-L251</f>
        <v>2489021818.1822314</v>
      </c>
      <c r="M252" s="332"/>
    </row>
    <row r="253" spans="2:21">
      <c r="B253" s="334"/>
      <c r="C253" s="360"/>
      <c r="D253" s="403"/>
      <c r="E253" s="350"/>
      <c r="F253" s="350"/>
      <c r="G253" s="1471" t="s">
        <v>999</v>
      </c>
      <c r="H253" s="1471"/>
      <c r="I253" s="1471"/>
      <c r="J253" s="507" t="s">
        <v>146</v>
      </c>
      <c r="K253" s="350"/>
      <c r="L253" s="350"/>
      <c r="M253" s="332"/>
    </row>
    <row r="254" spans="2:21" ht="16" thickBot="1">
      <c r="B254" s="334">
        <f>+B252+1</f>
        <v>153</v>
      </c>
      <c r="C254" s="360"/>
      <c r="D254" s="403"/>
      <c r="F254" s="350"/>
      <c r="G254" s="508" t="s">
        <v>145</v>
      </c>
      <c r="H254" s="508" t="s">
        <v>147</v>
      </c>
      <c r="I254" s="503" t="s">
        <v>998</v>
      </c>
      <c r="J254" s="509" t="s">
        <v>428</v>
      </c>
      <c r="K254" s="350"/>
      <c r="L254" s="508" t="s">
        <v>148</v>
      </c>
      <c r="M254" s="332"/>
      <c r="N254" s="326"/>
      <c r="O254" s="326"/>
      <c r="P254" s="326"/>
      <c r="Q254" s="326"/>
      <c r="R254" s="326"/>
      <c r="S254" s="326"/>
      <c r="T254" s="326"/>
      <c r="U254" s="326"/>
    </row>
    <row r="255" spans="2:21">
      <c r="B255" s="334">
        <f>+B254+1</f>
        <v>154</v>
      </c>
      <c r="C255" s="360"/>
      <c r="D255" s="531" t="str">
        <f>"  Long Term Debt  (Note T) Worksheet M, ln "&amp;'WS M - Cost of Capital'!A42&amp;", col. (g), ln "&amp;'WS M - Cost of Capital'!A58&amp;", col. "&amp;'WS M - Cost of Capital'!E47&amp;")"</f>
        <v xml:space="preserve">  Long Term Debt  (Note T) Worksheet M, ln 28, col. (g), ln 38, col. (d))</v>
      </c>
      <c r="E255" s="531"/>
      <c r="F255" s="350"/>
      <c r="G255" s="368">
        <f>'WS M - Cost of Capital'!H42</f>
        <v>2648233998.3076925</v>
      </c>
      <c r="H255" s="1311">
        <f>IF($G$258&gt;0,G255/$G$258,0)</f>
        <v>0.51549583920022157</v>
      </c>
      <c r="I255" s="510">
        <f>IF(H257&gt;E260,1-I256-I257,H255)</f>
        <v>0.51549583920022157</v>
      </c>
      <c r="J255" s="422">
        <f>'WS M - Cost of Capital'!E58</f>
        <v>4.3159910367829971E-2</v>
      </c>
      <c r="K255" s="325"/>
      <c r="L255" s="512">
        <f>I255*J255</f>
        <v>2.2248754214870853E-2</v>
      </c>
      <c r="M255" s="513"/>
      <c r="N255" s="326"/>
      <c r="O255" s="326"/>
      <c r="P255" s="326"/>
      <c r="Q255" s="326"/>
      <c r="R255" s="326"/>
      <c r="S255" s="326"/>
      <c r="T255" s="326"/>
      <c r="U255" s="326"/>
    </row>
    <row r="256" spans="2:21">
      <c r="B256" s="334">
        <f>+B255+1</f>
        <v>155</v>
      </c>
      <c r="C256" s="360"/>
      <c r="D256" s="403" t="str">
        <f>"  Preferred Stock (ln "&amp;B249&amp;")"</f>
        <v xml:space="preserve">  Preferred Stock (ln 149)</v>
      </c>
      <c r="F256" s="325"/>
      <c r="G256" s="368">
        <f>+L249</f>
        <v>0</v>
      </c>
      <c r="H256" s="510">
        <f>IF($G$258&gt;0,G256/$G$258,0)</f>
        <v>0</v>
      </c>
      <c r="I256" s="510">
        <f>H256</f>
        <v>0</v>
      </c>
      <c r="J256" s="511">
        <f>IF(G256&gt;0,L246/G256,0)</f>
        <v>0</v>
      </c>
      <c r="K256" s="325"/>
      <c r="L256" s="514">
        <f>I256*J256</f>
        <v>0</v>
      </c>
      <c r="M256" s="332"/>
    </row>
    <row r="257" spans="2:21" ht="16" thickBot="1">
      <c r="B257" s="334">
        <f>+B256+1</f>
        <v>156</v>
      </c>
      <c r="C257" s="360"/>
      <c r="D257" s="403" t="str">
        <f>"  Common Stock (ln "&amp;B252&amp;")"</f>
        <v xml:space="preserve">  Common Stock (ln 152)</v>
      </c>
      <c r="F257" s="325"/>
      <c r="G257" s="404">
        <f>+L252</f>
        <v>2489021818.1822314</v>
      </c>
      <c r="H257" s="510">
        <f>IF($G$258&gt;0,G257/$G$258,0)</f>
        <v>0.48450416079977854</v>
      </c>
      <c r="I257" s="510">
        <f>IF(H257&gt;E260,E260,H257)</f>
        <v>0.48450416079977854</v>
      </c>
      <c r="J257" s="850">
        <v>0.10349999999999999</v>
      </c>
      <c r="K257" s="325"/>
      <c r="L257" s="515">
        <f>I257*J257</f>
        <v>5.0146180642777073E-2</v>
      </c>
      <c r="M257" s="332"/>
    </row>
    <row r="258" spans="2:21">
      <c r="B258" s="334">
        <f>+B257+1</f>
        <v>157</v>
      </c>
      <c r="C258" s="360"/>
      <c r="D258" s="403" t="str">
        <f>" Total (Sum lns "&amp;B255&amp;" to "&amp;B257&amp;")"</f>
        <v xml:space="preserve"> Total (Sum lns 154 to 156)</v>
      </c>
      <c r="F258" s="325"/>
      <c r="G258" s="368">
        <f>G257+G256+G255</f>
        <v>5137255816.4899235</v>
      </c>
      <c r="I258" s="506"/>
      <c r="J258" s="516"/>
      <c r="K258" s="417" t="s">
        <v>25</v>
      </c>
      <c r="L258" s="517">
        <f>SUM(L255:L257)</f>
        <v>7.2394934857647919E-2</v>
      </c>
      <c r="M258" s="518"/>
    </row>
    <row r="259" spans="2:21">
      <c r="B259" s="334"/>
      <c r="C259" s="360"/>
      <c r="D259" s="403"/>
      <c r="F259" s="325"/>
      <c r="G259" s="368"/>
      <c r="I259" s="506"/>
      <c r="J259" s="516"/>
      <c r="K259" s="417"/>
      <c r="L259" s="517"/>
      <c r="M259" s="518"/>
    </row>
    <row r="260" spans="2:21">
      <c r="B260" s="359">
        <f>B258+1</f>
        <v>158</v>
      </c>
      <c r="C260" s="525"/>
      <c r="D260" s="525" t="s">
        <v>1000</v>
      </c>
      <c r="E260" s="1315">
        <v>0.55000000000000004</v>
      </c>
      <c r="F260" s="337"/>
      <c r="G260" s="337"/>
      <c r="H260" s="337"/>
      <c r="I260" s="337"/>
      <c r="J260" s="332"/>
      <c r="K260" s="329"/>
      <c r="L260" s="332"/>
      <c r="M260" s="329"/>
      <c r="N260" s="345"/>
      <c r="O260" s="345"/>
      <c r="P260" s="345"/>
      <c r="Q260" s="345"/>
      <c r="R260" s="345"/>
      <c r="S260" s="345"/>
      <c r="T260" s="345"/>
      <c r="U260" s="345"/>
    </row>
    <row r="261" spans="2:21">
      <c r="B261" s="334"/>
      <c r="C261" s="375"/>
      <c r="D261" s="375"/>
      <c r="E261" s="337"/>
      <c r="F261" s="337"/>
      <c r="G261" s="337"/>
      <c r="H261" s="337"/>
      <c r="I261" s="337"/>
      <c r="J261" s="332"/>
      <c r="K261" s="329"/>
      <c r="L261" s="332"/>
      <c r="M261" s="329"/>
      <c r="N261" s="345"/>
      <c r="O261" s="345"/>
      <c r="P261" s="345"/>
      <c r="Q261" s="345"/>
      <c r="R261" s="345"/>
      <c r="S261" s="345"/>
      <c r="T261" s="345"/>
      <c r="U261" s="345"/>
    </row>
    <row r="262" spans="2:21">
      <c r="B262" s="427"/>
      <c r="C262" s="335"/>
      <c r="D262" s="322"/>
      <c r="E262" s="322"/>
      <c r="F262" s="429" t="str">
        <f>F216</f>
        <v xml:space="preserve">AEP East Companies </v>
      </c>
      <c r="G262" s="323"/>
      <c r="H262" s="332"/>
      <c r="I262" s="332"/>
      <c r="J262" s="332"/>
      <c r="K262" s="329"/>
      <c r="L262" s="332"/>
      <c r="M262" s="519"/>
      <c r="N262" s="345"/>
      <c r="O262" s="345"/>
      <c r="P262" s="345"/>
      <c r="Q262" s="345"/>
      <c r="R262" s="345"/>
      <c r="S262" s="345"/>
      <c r="T262" s="345"/>
      <c r="U262" s="345"/>
    </row>
    <row r="263" spans="2:21">
      <c r="B263" s="427"/>
      <c r="C263" s="335"/>
      <c r="D263" s="520"/>
      <c r="E263" s="335"/>
      <c r="F263" s="429" t="str">
        <f>F217</f>
        <v>Transmission Cost of Service Formula Rate</v>
      </c>
      <c r="G263" s="332"/>
      <c r="H263" s="332"/>
      <c r="I263" s="332"/>
      <c r="J263" s="332"/>
      <c r="K263" s="329"/>
      <c r="L263" s="348"/>
      <c r="M263" s="385"/>
      <c r="N263" s="345"/>
      <c r="O263" s="345"/>
      <c r="P263" s="345"/>
      <c r="Q263" s="345"/>
      <c r="R263" s="345"/>
      <c r="S263" s="345"/>
      <c r="T263" s="345"/>
      <c r="U263" s="345"/>
    </row>
    <row r="264" spans="2:21">
      <c r="B264" s="427"/>
      <c r="C264" s="335"/>
      <c r="D264" s="520"/>
      <c r="E264" s="435"/>
      <c r="F264" s="429" t="str">
        <f>F218</f>
        <v>Utilizing  Actual/Projected FERC Form 1 Data</v>
      </c>
      <c r="G264" s="332"/>
      <c r="H264" s="332"/>
      <c r="I264" s="332"/>
      <c r="J264" s="332"/>
      <c r="K264" s="329"/>
      <c r="L264" s="348"/>
      <c r="M264" s="519"/>
      <c r="N264" s="345"/>
      <c r="O264" s="345"/>
      <c r="P264" s="345"/>
      <c r="Q264" s="345"/>
      <c r="R264" s="345"/>
      <c r="S264" s="345"/>
      <c r="T264" s="345"/>
      <c r="U264" s="345"/>
    </row>
    <row r="265" spans="2:21">
      <c r="B265" s="334"/>
      <c r="C265" s="335"/>
      <c r="D265" s="520"/>
      <c r="E265" s="435"/>
      <c r="F265" s="429"/>
      <c r="G265" s="332"/>
      <c r="H265" s="332"/>
      <c r="I265" s="332"/>
      <c r="J265" s="332"/>
      <c r="K265" s="329"/>
      <c r="L265" s="348"/>
      <c r="M265" s="325"/>
      <c r="N265" s="345"/>
      <c r="O265" s="345"/>
      <c r="P265" s="345"/>
      <c r="Q265" s="345"/>
      <c r="R265" s="345"/>
      <c r="S265" s="345"/>
      <c r="T265" s="345"/>
      <c r="U265" s="345"/>
    </row>
    <row r="266" spans="2:21">
      <c r="B266" s="334"/>
      <c r="C266" s="335"/>
      <c r="D266" s="520"/>
      <c r="E266" s="435"/>
      <c r="F266" s="429" t="str">
        <f>F220</f>
        <v xml:space="preserve">Indiana Michigan Power Company </v>
      </c>
      <c r="G266" s="332"/>
      <c r="H266" s="332"/>
      <c r="I266" s="332"/>
      <c r="J266" s="332"/>
      <c r="K266" s="329"/>
      <c r="L266" s="348"/>
      <c r="M266" s="325"/>
      <c r="N266" s="345"/>
      <c r="O266" s="345" t="s">
        <v>115</v>
      </c>
      <c r="P266" s="345"/>
      <c r="Q266" s="345"/>
      <c r="R266" s="345"/>
      <c r="S266" s="345"/>
      <c r="T266" s="345"/>
      <c r="U266" s="345"/>
    </row>
    <row r="267" spans="2:21">
      <c r="B267" s="334"/>
      <c r="C267" s="335"/>
      <c r="D267" s="520"/>
      <c r="E267" s="435"/>
      <c r="F267" s="429"/>
      <c r="G267" s="332"/>
      <c r="H267" s="332"/>
      <c r="I267" s="332"/>
      <c r="J267" s="332"/>
      <c r="K267" s="329"/>
      <c r="L267" s="348"/>
      <c r="M267" s="325"/>
      <c r="N267" s="345"/>
      <c r="O267" s="345"/>
      <c r="P267" s="345"/>
      <c r="Q267" s="345"/>
      <c r="R267" s="345"/>
      <c r="S267" s="345"/>
      <c r="T267" s="345"/>
      <c r="U267" s="345"/>
    </row>
    <row r="268" spans="2:21">
      <c r="B268" s="521" t="s">
        <v>177</v>
      </c>
      <c r="C268" s="342"/>
      <c r="D268" s="371"/>
      <c r="E268" s="345"/>
      <c r="F268" s="521" t="s">
        <v>176</v>
      </c>
      <c r="G268" s="350"/>
      <c r="H268" s="350"/>
      <c r="I268" s="350"/>
      <c r="J268" s="350"/>
      <c r="K268" s="345"/>
      <c r="L268" s="350"/>
      <c r="M268" s="325"/>
      <c r="N268" s="345"/>
      <c r="O268" s="345"/>
      <c r="P268" s="345"/>
      <c r="Q268" s="345"/>
      <c r="R268" s="345"/>
      <c r="S268" s="345"/>
      <c r="T268" s="345"/>
      <c r="U268" s="345"/>
    </row>
    <row r="269" spans="2:21">
      <c r="C269" s="342"/>
      <c r="L269" s="348"/>
      <c r="M269" s="325"/>
      <c r="N269" s="345"/>
      <c r="O269" s="345"/>
      <c r="P269" s="345"/>
      <c r="Q269" s="345"/>
      <c r="R269" s="345"/>
      <c r="S269" s="345"/>
      <c r="T269" s="345"/>
      <c r="U269" s="345"/>
    </row>
    <row r="270" spans="2:21">
      <c r="B270" s="334"/>
      <c r="C270" s="335"/>
      <c r="D270" s="326" t="s">
        <v>5</v>
      </c>
      <c r="E270" s="360"/>
      <c r="F270" s="360"/>
      <c r="G270" s="350"/>
      <c r="H270" s="350"/>
      <c r="I270" s="350"/>
      <c r="J270" s="350"/>
      <c r="K270" s="345"/>
      <c r="L270" s="350"/>
      <c r="M270" s="345"/>
      <c r="N270" s="345"/>
      <c r="O270" s="345"/>
      <c r="P270" s="345"/>
      <c r="Q270" s="345"/>
      <c r="R270" s="345"/>
      <c r="S270" s="345"/>
      <c r="T270" s="345"/>
      <c r="U270" s="345"/>
    </row>
    <row r="271" spans="2:21">
      <c r="B271" s="320"/>
      <c r="D271" s="371"/>
      <c r="E271" s="345"/>
      <c r="F271" s="345"/>
      <c r="G271" s="350"/>
      <c r="H271" s="350"/>
      <c r="I271" s="350"/>
      <c r="J271" s="350"/>
      <c r="K271" s="345"/>
      <c r="L271" s="350"/>
      <c r="M271" s="345"/>
      <c r="N271" s="345"/>
      <c r="O271" s="345"/>
      <c r="P271" s="345"/>
      <c r="Q271" s="345"/>
      <c r="R271" s="345"/>
      <c r="S271" s="345"/>
      <c r="T271" s="345"/>
      <c r="U271" s="345"/>
    </row>
    <row r="272" spans="2:21" ht="3.75" customHeight="1">
      <c r="B272" s="320"/>
      <c r="D272" s="371"/>
      <c r="E272" s="345"/>
      <c r="F272" s="345"/>
      <c r="G272" s="350"/>
      <c r="H272" s="350"/>
      <c r="I272" s="350"/>
      <c r="J272" s="350"/>
      <c r="K272" s="345"/>
      <c r="L272" s="350"/>
      <c r="M272" s="345"/>
      <c r="N272" s="345"/>
      <c r="O272" s="345"/>
      <c r="P272" s="345"/>
      <c r="Q272" s="345"/>
      <c r="R272" s="345"/>
      <c r="S272" s="345"/>
      <c r="T272" s="345"/>
      <c r="U272" s="345"/>
    </row>
    <row r="273" spans="2:21">
      <c r="B273" s="522" t="s">
        <v>149</v>
      </c>
      <c r="C273" s="342"/>
      <c r="D273" s="371" t="s">
        <v>478</v>
      </c>
      <c r="E273" s="345"/>
      <c r="F273" s="345"/>
      <c r="G273" s="350"/>
      <c r="H273" s="350"/>
      <c r="I273" s="350"/>
      <c r="J273" s="350"/>
      <c r="K273" s="345"/>
      <c r="L273" s="350"/>
      <c r="M273" s="345"/>
      <c r="N273" s="345"/>
      <c r="O273" s="345"/>
      <c r="P273" s="345"/>
      <c r="Q273" s="345"/>
      <c r="R273" s="345"/>
      <c r="S273" s="345"/>
      <c r="T273" s="345"/>
      <c r="U273" s="345"/>
    </row>
    <row r="274" spans="2:21">
      <c r="B274" s="522"/>
      <c r="C274" s="430"/>
      <c r="D274" s="371" t="s">
        <v>370</v>
      </c>
      <c r="E274" s="345"/>
      <c r="F274" s="345"/>
      <c r="G274" s="345"/>
      <c r="H274" s="345"/>
      <c r="I274" s="345"/>
      <c r="J274" s="345"/>
      <c r="K274" s="345"/>
      <c r="L274" s="345"/>
      <c r="M274" s="345"/>
      <c r="N274" s="345"/>
      <c r="O274" s="345"/>
      <c r="P274" s="345"/>
      <c r="Q274" s="345"/>
      <c r="R274" s="345"/>
      <c r="S274" s="345"/>
      <c r="T274" s="345"/>
      <c r="U274" s="345"/>
    </row>
    <row r="275" spans="2:21">
      <c r="B275" s="523"/>
      <c r="C275" s="325"/>
      <c r="D275" s="320" t="s">
        <v>371</v>
      </c>
      <c r="E275" s="524"/>
      <c r="F275" s="524"/>
      <c r="G275" s="345"/>
      <c r="H275" s="345"/>
      <c r="I275" s="345"/>
      <c r="J275" s="345"/>
      <c r="K275" s="345"/>
      <c r="L275" s="345"/>
      <c r="M275" s="345"/>
      <c r="N275" s="345"/>
      <c r="O275" s="345"/>
      <c r="P275" s="345"/>
      <c r="Q275" s="345"/>
      <c r="R275" s="345"/>
      <c r="S275" s="345"/>
      <c r="T275" s="345"/>
      <c r="U275" s="345"/>
    </row>
    <row r="276" spans="2:21">
      <c r="B276" s="523"/>
      <c r="C276" s="325"/>
      <c r="D276" s="371" t="s">
        <v>479</v>
      </c>
      <c r="E276" s="345"/>
      <c r="F276" s="345"/>
      <c r="G276" s="345"/>
      <c r="H276" s="345"/>
      <c r="I276" s="345"/>
      <c r="J276" s="345"/>
      <c r="K276" s="345"/>
      <c r="L276" s="345"/>
      <c r="M276" s="345"/>
      <c r="N276" s="345"/>
      <c r="O276" s="345"/>
      <c r="P276" s="345"/>
      <c r="Q276" s="345"/>
      <c r="R276" s="345"/>
      <c r="S276" s="345"/>
      <c r="T276" s="345"/>
      <c r="U276" s="345"/>
    </row>
    <row r="277" spans="2:21">
      <c r="B277" s="359"/>
      <c r="C277" s="360"/>
      <c r="D277" s="371" t="s">
        <v>480</v>
      </c>
      <c r="E277" s="345"/>
      <c r="F277" s="345"/>
      <c r="G277" s="345"/>
      <c r="H277" s="345"/>
      <c r="I277" s="345"/>
      <c r="J277" s="345"/>
      <c r="K277" s="345"/>
      <c r="L277" s="345"/>
      <c r="M277" s="345"/>
      <c r="N277" s="345"/>
      <c r="O277" s="345"/>
      <c r="P277" s="345"/>
      <c r="Q277" s="345"/>
      <c r="R277" s="345"/>
      <c r="S277" s="345"/>
      <c r="T277" s="345"/>
      <c r="U277" s="345"/>
    </row>
    <row r="278" spans="2:21">
      <c r="B278" s="359"/>
      <c r="C278" s="360"/>
      <c r="D278" s="371" t="s">
        <v>372</v>
      </c>
      <c r="E278" s="345"/>
      <c r="F278" s="345"/>
      <c r="G278" s="345"/>
      <c r="H278" s="345"/>
      <c r="I278" s="345"/>
      <c r="J278" s="345"/>
      <c r="K278" s="345"/>
      <c r="L278" s="345"/>
      <c r="M278" s="345"/>
      <c r="N278" s="345"/>
      <c r="O278" s="345"/>
      <c r="P278" s="345"/>
      <c r="Q278" s="345"/>
      <c r="R278" s="345"/>
      <c r="S278" s="345"/>
      <c r="T278" s="345"/>
      <c r="U278" s="345"/>
    </row>
    <row r="279" spans="2:21">
      <c r="B279" s="359"/>
      <c r="C279" s="360"/>
      <c r="D279" s="371" t="s">
        <v>373</v>
      </c>
      <c r="E279" s="345"/>
      <c r="F279" s="345"/>
      <c r="G279" s="345"/>
      <c r="H279" s="345"/>
      <c r="I279" s="345"/>
      <c r="J279" s="345"/>
      <c r="K279" s="345"/>
      <c r="L279" s="345"/>
      <c r="M279" s="345"/>
      <c r="N279" s="345"/>
      <c r="O279" s="345"/>
      <c r="P279" s="345"/>
      <c r="Q279" s="345"/>
      <c r="R279" s="345"/>
      <c r="S279" s="345"/>
      <c r="T279" s="345"/>
      <c r="U279" s="345"/>
    </row>
    <row r="280" spans="2:21" ht="45" customHeight="1">
      <c r="B280" s="359"/>
      <c r="C280" s="360"/>
      <c r="D280" s="1473" t="s">
        <v>577</v>
      </c>
      <c r="E280" s="1473"/>
      <c r="F280" s="1473"/>
      <c r="G280" s="1473"/>
      <c r="H280" s="1473"/>
      <c r="I280" s="1473"/>
      <c r="J280" s="1473"/>
      <c r="K280" s="1473"/>
      <c r="L280" s="1473"/>
      <c r="M280" s="345"/>
      <c r="N280" s="345"/>
      <c r="O280" s="345"/>
      <c r="P280" s="345"/>
      <c r="Q280" s="345"/>
      <c r="R280" s="345"/>
      <c r="S280" s="345"/>
      <c r="T280" s="345"/>
      <c r="U280" s="345"/>
    </row>
    <row r="281" spans="2:21">
      <c r="B281" s="359"/>
      <c r="C281" s="360"/>
      <c r="D281" s="371" t="s">
        <v>488</v>
      </c>
      <c r="E281" s="345"/>
      <c r="F281" s="345"/>
      <c r="G281" s="345"/>
      <c r="H281" s="345"/>
      <c r="I281" s="345"/>
      <c r="J281" s="345"/>
      <c r="K281" s="345"/>
      <c r="L281" s="345"/>
      <c r="M281" s="345"/>
      <c r="N281" s="345"/>
      <c r="O281" s="345"/>
      <c r="P281" s="345"/>
      <c r="Q281" s="345"/>
      <c r="R281" s="345"/>
      <c r="S281" s="345"/>
      <c r="T281" s="345"/>
      <c r="U281" s="345"/>
    </row>
    <row r="282" spans="2:21">
      <c r="B282" s="359"/>
      <c r="C282" s="360"/>
      <c r="D282" s="525"/>
      <c r="E282" s="345"/>
      <c r="F282" s="345"/>
      <c r="G282" s="345"/>
      <c r="H282" s="345"/>
      <c r="I282" s="345"/>
      <c r="J282" s="345"/>
      <c r="K282" s="345"/>
      <c r="L282" s="371"/>
      <c r="M282" s="345"/>
      <c r="N282" s="345"/>
      <c r="O282" s="345"/>
      <c r="P282" s="345"/>
      <c r="Q282" s="345"/>
      <c r="R282" s="345"/>
      <c r="S282" s="345"/>
      <c r="T282" s="345"/>
      <c r="U282" s="345"/>
    </row>
    <row r="283" spans="2:21" ht="15" customHeight="1">
      <c r="B283" s="359" t="s">
        <v>150</v>
      </c>
      <c r="C283" s="360"/>
      <c r="D283" s="1479" t="s">
        <v>596</v>
      </c>
      <c r="E283" s="1480"/>
      <c r="F283" s="1480"/>
      <c r="G283" s="1480"/>
      <c r="H283" s="1480"/>
      <c r="I283" s="1480"/>
      <c r="J283" s="1480"/>
      <c r="K283" s="1480"/>
      <c r="L283" s="371"/>
      <c r="M283" s="345"/>
      <c r="N283" s="345"/>
      <c r="O283" s="345"/>
      <c r="P283" s="345"/>
      <c r="Q283" s="345"/>
      <c r="R283" s="345"/>
      <c r="S283" s="345"/>
      <c r="T283" s="345"/>
      <c r="U283" s="345"/>
    </row>
    <row r="284" spans="2:21">
      <c r="B284" s="359"/>
      <c r="C284" s="360"/>
      <c r="D284" s="1480"/>
      <c r="E284" s="1480"/>
      <c r="F284" s="1480"/>
      <c r="G284" s="1480"/>
      <c r="H284" s="1480"/>
      <c r="I284" s="1480"/>
      <c r="J284" s="1480"/>
      <c r="K284" s="1480"/>
      <c r="L284" s="371"/>
      <c r="M284" s="345"/>
      <c r="N284" s="345"/>
      <c r="O284" s="345"/>
      <c r="P284" s="345"/>
      <c r="Q284" s="345"/>
      <c r="R284" s="345"/>
      <c r="S284" s="345"/>
      <c r="T284" s="345"/>
      <c r="U284" s="345"/>
    </row>
    <row r="285" spans="2:21">
      <c r="E285" s="345"/>
      <c r="F285" s="345"/>
      <c r="G285" s="345"/>
      <c r="H285" s="345"/>
      <c r="I285" s="345"/>
      <c r="J285" s="345"/>
      <c r="K285" s="345"/>
      <c r="L285" s="345"/>
      <c r="M285" s="345"/>
      <c r="N285" s="345"/>
      <c r="O285" s="345"/>
      <c r="P285" s="345"/>
      <c r="Q285" s="345"/>
      <c r="R285" s="345"/>
      <c r="S285" s="345"/>
      <c r="T285" s="345"/>
      <c r="U285" s="345"/>
    </row>
    <row r="286" spans="2:21">
      <c r="B286" s="359" t="s">
        <v>151</v>
      </c>
      <c r="C286" s="360"/>
      <c r="D286" s="526" t="s">
        <v>876</v>
      </c>
      <c r="E286" s="345"/>
      <c r="F286" s="345"/>
      <c r="G286" s="345"/>
      <c r="H286" s="345"/>
      <c r="I286" s="345"/>
      <c r="J286" s="345"/>
      <c r="K286" s="345"/>
      <c r="L286" s="345"/>
      <c r="M286" s="345"/>
      <c r="N286" s="345"/>
      <c r="O286" s="345"/>
      <c r="P286" s="345"/>
      <c r="Q286" s="345"/>
      <c r="R286" s="345"/>
      <c r="S286" s="345"/>
      <c r="T286" s="345"/>
      <c r="U286" s="345"/>
    </row>
    <row r="287" spans="2:21">
      <c r="B287" s="359"/>
      <c r="C287" s="360"/>
      <c r="D287" s="526"/>
      <c r="E287" s="345"/>
      <c r="F287" s="345"/>
      <c r="G287" s="345"/>
      <c r="H287" s="345"/>
      <c r="I287" s="345"/>
      <c r="J287" s="345"/>
      <c r="K287" s="345"/>
      <c r="L287" s="345"/>
      <c r="M287" s="345"/>
      <c r="N287" s="345"/>
      <c r="O287" s="345"/>
      <c r="P287" s="345"/>
      <c r="Q287" s="345"/>
      <c r="R287" s="345"/>
      <c r="S287" s="345"/>
      <c r="T287" s="345"/>
      <c r="U287" s="345"/>
    </row>
    <row r="288" spans="2:21">
      <c r="B288" s="359" t="s">
        <v>152</v>
      </c>
      <c r="C288" s="360"/>
      <c r="D288" s="1473" t="s">
        <v>579</v>
      </c>
      <c r="E288" s="1473"/>
      <c r="F288" s="1473"/>
      <c r="G288" s="1473"/>
      <c r="H288" s="1473"/>
      <c r="I288" s="1473"/>
      <c r="J288" s="1473"/>
      <c r="K288" s="1473"/>
      <c r="L288" s="1473"/>
      <c r="M288" s="345"/>
      <c r="N288" s="345"/>
      <c r="O288" s="345"/>
      <c r="P288" s="371"/>
      <c r="Q288" s="371"/>
      <c r="R288" s="345"/>
      <c r="S288" s="345"/>
      <c r="T288" s="345"/>
      <c r="U288" s="345"/>
    </row>
    <row r="289" spans="2:21">
      <c r="B289" s="359"/>
      <c r="C289" s="360"/>
      <c r="D289" s="1473"/>
      <c r="E289" s="1473"/>
      <c r="F289" s="1473"/>
      <c r="G289" s="1473"/>
      <c r="H289" s="1473"/>
      <c r="I289" s="1473"/>
      <c r="J289" s="1473"/>
      <c r="K289" s="1473"/>
      <c r="L289" s="1473"/>
      <c r="M289" s="345"/>
      <c r="N289" s="345"/>
      <c r="O289" s="345"/>
      <c r="P289" s="371"/>
      <c r="Q289" s="371"/>
      <c r="R289" s="345"/>
      <c r="S289" s="345"/>
      <c r="T289" s="345"/>
      <c r="U289" s="345"/>
    </row>
    <row r="290" spans="2:21">
      <c r="B290" s="359"/>
      <c r="C290" s="360"/>
      <c r="D290" s="371" t="s">
        <v>580</v>
      </c>
      <c r="E290" s="345"/>
      <c r="F290" s="345"/>
      <c r="G290" s="345"/>
      <c r="H290" s="345"/>
      <c r="I290" s="345"/>
      <c r="J290" s="345"/>
      <c r="K290" s="345"/>
      <c r="L290" s="482"/>
      <c r="M290" s="345"/>
      <c r="N290" s="345"/>
      <c r="O290" s="345"/>
      <c r="P290" s="371"/>
      <c r="Q290" s="371"/>
      <c r="R290" s="345"/>
      <c r="S290" s="345"/>
      <c r="T290" s="345"/>
      <c r="U290" s="345"/>
    </row>
    <row r="291" spans="2:21">
      <c r="B291" s="359"/>
      <c r="C291" s="360"/>
      <c r="D291" s="371" t="s">
        <v>581</v>
      </c>
      <c r="E291" s="345"/>
      <c r="F291" s="345"/>
      <c r="G291" s="345"/>
      <c r="H291" s="345"/>
      <c r="I291" s="345"/>
      <c r="J291" s="345"/>
      <c r="K291" s="345"/>
      <c r="L291" s="482"/>
      <c r="M291" s="345"/>
      <c r="N291" s="345"/>
      <c r="O291" s="345"/>
      <c r="P291" s="371"/>
      <c r="Q291" s="345"/>
      <c r="R291" s="345"/>
      <c r="S291" s="345"/>
      <c r="T291" s="345"/>
      <c r="U291" s="345"/>
    </row>
    <row r="292" spans="2:21" ht="30" customHeight="1">
      <c r="B292" s="359"/>
      <c r="C292" s="360"/>
      <c r="D292" s="1473" t="s">
        <v>578</v>
      </c>
      <c r="E292" s="1473"/>
      <c r="F292" s="1473"/>
      <c r="G292" s="1473"/>
      <c r="H292" s="1473"/>
      <c r="I292" s="1473"/>
      <c r="J292" s="1473"/>
      <c r="K292" s="1473"/>
      <c r="L292" s="1473"/>
      <c r="M292" s="345"/>
      <c r="N292" s="345"/>
      <c r="O292" s="345"/>
      <c r="P292" s="371"/>
      <c r="Q292" s="345"/>
      <c r="R292" s="345"/>
      <c r="S292" s="345"/>
      <c r="T292" s="345"/>
      <c r="U292" s="345"/>
    </row>
    <row r="293" spans="2:21" ht="21.75" customHeight="1">
      <c r="B293" s="359" t="s">
        <v>153</v>
      </c>
      <c r="C293" s="371"/>
      <c r="D293" s="37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27"/>
      <c r="F293" s="527"/>
      <c r="G293" s="527"/>
      <c r="H293" s="527"/>
      <c r="I293" s="527"/>
      <c r="J293" s="527"/>
      <c r="K293" s="527"/>
      <c r="L293" s="527"/>
      <c r="M293" s="345"/>
      <c r="N293" s="345"/>
      <c r="O293" s="345"/>
      <c r="P293" s="345"/>
      <c r="Q293" s="345"/>
      <c r="R293" s="345"/>
      <c r="S293" s="345"/>
      <c r="T293" s="345"/>
      <c r="U293" s="345"/>
    </row>
    <row r="294" spans="2:21">
      <c r="B294" s="359"/>
      <c r="C294" s="371"/>
      <c r="D294" s="528"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05"/>
      <c r="F294" s="405"/>
      <c r="G294" s="405"/>
      <c r="H294" s="405"/>
      <c r="I294" s="405"/>
      <c r="J294" s="405"/>
      <c r="K294" s="405"/>
      <c r="L294" s="405"/>
      <c r="M294" s="345"/>
      <c r="N294" s="345"/>
      <c r="O294" s="345"/>
      <c r="P294" s="345"/>
      <c r="Q294" s="345"/>
      <c r="R294" s="345"/>
      <c r="S294" s="345"/>
      <c r="T294" s="345"/>
      <c r="U294" s="345"/>
    </row>
    <row r="295" spans="2:21">
      <c r="B295" s="359"/>
      <c r="C295" s="371"/>
      <c r="D295" s="529" t="str">
        <f>+"2)  Costs of Transmission of Electricity by Others, as described in Note H."</f>
        <v>2)  Costs of Transmission of Electricity by Others, as described in Note H.</v>
      </c>
      <c r="E295" s="527"/>
      <c r="F295" s="527"/>
      <c r="G295" s="527"/>
      <c r="H295" s="527"/>
      <c r="I295" s="527"/>
      <c r="J295" s="527"/>
      <c r="K295" s="527"/>
      <c r="L295" s="527"/>
      <c r="M295" s="345"/>
      <c r="N295" s="345"/>
      <c r="O295" s="345"/>
      <c r="P295" s="345"/>
      <c r="Q295" s="345"/>
      <c r="R295" s="345"/>
      <c r="S295" s="345"/>
      <c r="T295" s="345"/>
      <c r="U295" s="345"/>
    </row>
    <row r="296" spans="2:21">
      <c r="B296" s="359"/>
      <c r="C296" s="371"/>
      <c r="D296" s="528" t="str">
        <f>+"3)  The impact of state regulatory deferrals and amortizations, as shown on line  "&amp;B148&amp;""</f>
        <v>3)  The impact of state regulatory deferrals and amortizations, as shown on line  77</v>
      </c>
      <c r="E296" s="405"/>
      <c r="F296" s="405"/>
      <c r="G296" s="405"/>
      <c r="H296" s="405"/>
      <c r="I296" s="405"/>
      <c r="J296" s="405"/>
      <c r="K296" s="405"/>
      <c r="L296" s="405"/>
      <c r="M296" s="345"/>
      <c r="N296" s="345"/>
      <c r="O296" s="345"/>
      <c r="P296" s="345"/>
      <c r="Q296" s="345"/>
      <c r="R296" s="345"/>
      <c r="S296" s="345"/>
      <c r="T296" s="345"/>
      <c r="U296" s="345"/>
    </row>
    <row r="297" spans="2:21">
      <c r="B297" s="359"/>
      <c r="C297" s="405"/>
      <c r="D297" s="529" t="str">
        <f>"4) All A&amp;G Expenses, as shown on line "&amp;B165&amp;"."</f>
        <v>4) All A&amp;G Expenses, as shown on line 93.</v>
      </c>
      <c r="E297" s="527"/>
      <c r="F297" s="527"/>
      <c r="G297" s="527"/>
      <c r="H297" s="527"/>
      <c r="I297" s="527"/>
      <c r="J297" s="527"/>
      <c r="K297" s="527"/>
      <c r="L297" s="527"/>
      <c r="M297" s="345"/>
      <c r="N297" s="345"/>
      <c r="O297" s="345"/>
      <c r="P297" s="345"/>
      <c r="Q297" s="345"/>
      <c r="R297" s="345"/>
      <c r="S297" s="345"/>
      <c r="T297" s="345"/>
      <c r="U297" s="345"/>
    </row>
    <row r="298" spans="2:21">
      <c r="B298" s="359"/>
      <c r="C298" s="360"/>
      <c r="D298" s="528"/>
      <c r="E298" s="530"/>
      <c r="F298" s="530"/>
      <c r="G298" s="530"/>
      <c r="H298" s="530"/>
      <c r="I298" s="530"/>
      <c r="J298" s="530"/>
      <c r="K298" s="530"/>
      <c r="L298" s="530"/>
      <c r="M298" s="345"/>
      <c r="N298" s="345"/>
      <c r="O298" s="345"/>
      <c r="P298" s="345"/>
      <c r="Q298" s="345"/>
      <c r="R298" s="345"/>
      <c r="S298" s="345"/>
      <c r="T298" s="345"/>
      <c r="U298" s="345"/>
    </row>
    <row r="299" spans="2:21">
      <c r="B299" s="522" t="s">
        <v>154</v>
      </c>
      <c r="C299" s="430"/>
      <c r="D299" s="531"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1"/>
      <c r="F299" s="531"/>
      <c r="G299" s="531"/>
      <c r="H299" s="531"/>
      <c r="I299" s="531"/>
      <c r="J299" s="531"/>
      <c r="K299" s="531"/>
      <c r="L299" s="531"/>
      <c r="M299" s="345"/>
      <c r="N299" s="345"/>
      <c r="O299" s="345"/>
      <c r="P299" s="345"/>
      <c r="Q299" s="345"/>
      <c r="R299" s="345"/>
      <c r="S299" s="345"/>
      <c r="T299" s="345"/>
      <c r="U299" s="345"/>
    </row>
    <row r="300" spans="2:21">
      <c r="B300" s="523"/>
      <c r="C300" s="325"/>
      <c r="D300" s="531" t="s">
        <v>219</v>
      </c>
      <c r="E300" s="531"/>
      <c r="F300" s="531"/>
      <c r="G300" s="531"/>
      <c r="H300" s="531"/>
      <c r="I300" s="531"/>
      <c r="J300" s="531"/>
      <c r="K300" s="531"/>
      <c r="L300" s="531"/>
      <c r="M300" s="345"/>
      <c r="N300" s="345"/>
      <c r="O300" s="345"/>
      <c r="P300" s="345"/>
      <c r="Q300" s="345"/>
      <c r="R300" s="345"/>
      <c r="S300" s="345"/>
      <c r="T300" s="345"/>
      <c r="U300" s="345"/>
    </row>
    <row r="301" spans="2:21">
      <c r="B301" s="523"/>
      <c r="C301" s="325"/>
      <c r="D301" s="531" t="str">
        <f>"expense is included on line "&amp;B207&amp;"."</f>
        <v>expense is included on line 127.</v>
      </c>
      <c r="E301" s="531"/>
      <c r="F301" s="531"/>
      <c r="G301" s="531"/>
      <c r="H301" s="531"/>
      <c r="I301" s="531"/>
      <c r="J301" s="531"/>
      <c r="K301" s="531"/>
      <c r="L301" s="531"/>
      <c r="M301" s="345"/>
      <c r="N301" s="345"/>
      <c r="O301" s="345"/>
      <c r="P301" s="345"/>
      <c r="Q301" s="345"/>
      <c r="R301" s="345"/>
      <c r="S301" s="345"/>
      <c r="T301" s="345"/>
      <c r="U301" s="345"/>
    </row>
    <row r="302" spans="2:21">
      <c r="B302" s="523"/>
      <c r="C302" s="325"/>
      <c r="D302" s="531"/>
      <c r="E302" s="531"/>
      <c r="F302" s="531"/>
      <c r="G302" s="531"/>
      <c r="H302" s="531"/>
      <c r="I302" s="531"/>
      <c r="J302" s="531"/>
      <c r="K302" s="531"/>
      <c r="L302" s="531"/>
      <c r="M302" s="325"/>
      <c r="N302" s="345"/>
      <c r="O302" s="345"/>
      <c r="P302" s="345"/>
      <c r="Q302" s="345"/>
      <c r="R302" s="345"/>
      <c r="S302" s="345"/>
      <c r="T302" s="345"/>
      <c r="U302" s="345"/>
    </row>
    <row r="303" spans="2:21">
      <c r="B303" s="522" t="s">
        <v>155</v>
      </c>
      <c r="C303" s="325"/>
      <c r="D303" s="1489"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89"/>
      <c r="F303" s="1489"/>
      <c r="G303" s="1489"/>
      <c r="H303" s="1489"/>
      <c r="I303" s="1489"/>
      <c r="J303" s="1489"/>
      <c r="K303" s="1489"/>
      <c r="L303" s="531"/>
      <c r="M303" s="325"/>
      <c r="N303" s="345"/>
      <c r="O303" s="345"/>
      <c r="P303" s="345"/>
      <c r="Q303" s="345"/>
      <c r="R303" s="345"/>
      <c r="S303" s="345"/>
      <c r="T303" s="345"/>
      <c r="U303" s="345"/>
    </row>
    <row r="304" spans="2:21">
      <c r="B304" s="522"/>
      <c r="C304" s="325"/>
      <c r="D304" s="1489"/>
      <c r="E304" s="1489"/>
      <c r="F304" s="1489"/>
      <c r="G304" s="1489"/>
      <c r="H304" s="1489"/>
      <c r="I304" s="1489"/>
      <c r="J304" s="1489"/>
      <c r="K304" s="1489"/>
      <c r="L304" s="531"/>
      <c r="M304" s="325"/>
      <c r="N304" s="345"/>
      <c r="O304" s="345"/>
      <c r="P304" s="345"/>
      <c r="Q304" s="345"/>
      <c r="R304" s="345"/>
      <c r="S304" s="345"/>
      <c r="T304" s="345"/>
      <c r="U304" s="345"/>
    </row>
    <row r="305" spans="2:21">
      <c r="B305" s="522"/>
      <c r="C305" s="325"/>
      <c r="D305" s="1489"/>
      <c r="E305" s="1489"/>
      <c r="F305" s="1489"/>
      <c r="G305" s="1489"/>
      <c r="H305" s="1489"/>
      <c r="I305" s="1489"/>
      <c r="J305" s="1489"/>
      <c r="K305" s="1489"/>
      <c r="L305" s="531"/>
      <c r="M305" s="325"/>
      <c r="N305" s="345"/>
      <c r="O305" s="345"/>
      <c r="P305" s="345"/>
      <c r="Q305" s="345"/>
      <c r="R305" s="345"/>
      <c r="S305" s="345"/>
      <c r="T305" s="345"/>
      <c r="U305" s="345"/>
    </row>
    <row r="306" spans="2:21">
      <c r="B306" s="522"/>
      <c r="C306" s="325"/>
      <c r="D306" s="528"/>
      <c r="E306" s="531"/>
      <c r="F306" s="531"/>
      <c r="G306" s="531"/>
      <c r="H306" s="531"/>
      <c r="I306" s="531"/>
      <c r="J306" s="531"/>
      <c r="K306" s="531"/>
      <c r="L306" s="531"/>
      <c r="M306" s="325"/>
      <c r="N306" s="345"/>
      <c r="O306" s="345"/>
      <c r="P306" s="345"/>
      <c r="Q306" s="345"/>
      <c r="R306" s="345"/>
      <c r="S306" s="345"/>
      <c r="T306" s="345"/>
      <c r="U306" s="345"/>
    </row>
    <row r="307" spans="2:21">
      <c r="B307" s="522" t="s">
        <v>156</v>
      </c>
      <c r="C307" s="325"/>
      <c r="D307" s="1476"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76"/>
      <c r="F307" s="1476"/>
      <c r="G307" s="1476"/>
      <c r="H307" s="1476"/>
      <c r="I307" s="1476"/>
      <c r="J307" s="1476"/>
      <c r="K307" s="1476"/>
      <c r="L307" s="531"/>
      <c r="M307" s="325"/>
      <c r="N307" s="345"/>
      <c r="O307" s="345"/>
      <c r="P307" s="345"/>
      <c r="Q307" s="345"/>
      <c r="R307" s="345"/>
      <c r="S307" s="345"/>
      <c r="T307" s="345"/>
      <c r="U307" s="345"/>
    </row>
    <row r="308" spans="2:21">
      <c r="B308" s="522"/>
      <c r="C308" s="325"/>
      <c r="D308" s="1476"/>
      <c r="E308" s="1476"/>
      <c r="F308" s="1476"/>
      <c r="G308" s="1476"/>
      <c r="H308" s="1476"/>
      <c r="I308" s="1476"/>
      <c r="J308" s="1476"/>
      <c r="K308" s="1476"/>
      <c r="L308" s="531"/>
      <c r="M308" s="325"/>
      <c r="N308" s="345"/>
      <c r="O308" s="345"/>
      <c r="P308" s="345"/>
      <c r="Q308" s="345"/>
      <c r="R308" s="345"/>
      <c r="S308" s="345"/>
      <c r="T308" s="345"/>
      <c r="U308" s="345"/>
    </row>
    <row r="309" spans="2:21">
      <c r="B309" s="522"/>
      <c r="C309" s="325"/>
      <c r="D309" s="1477"/>
      <c r="E309" s="1477"/>
      <c r="F309" s="1477"/>
      <c r="G309" s="1477"/>
      <c r="H309" s="1477"/>
      <c r="I309" s="1477"/>
      <c r="J309" s="1477"/>
      <c r="K309" s="1477"/>
      <c r="L309" s="531"/>
      <c r="M309" s="325"/>
      <c r="N309" s="345"/>
      <c r="O309" s="345"/>
      <c r="P309" s="345"/>
      <c r="Q309" s="345"/>
      <c r="R309" s="345"/>
      <c r="S309" s="345"/>
      <c r="T309" s="345"/>
      <c r="U309" s="345"/>
    </row>
    <row r="310" spans="2:21">
      <c r="B310" s="522"/>
      <c r="C310" s="325"/>
      <c r="D310" s="1483"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83"/>
      <c r="F310" s="1483"/>
      <c r="G310" s="1483"/>
      <c r="H310" s="1483"/>
      <c r="I310" s="1483"/>
      <c r="J310" s="1483"/>
      <c r="K310" s="532"/>
      <c r="L310" s="531"/>
      <c r="M310" s="325"/>
      <c r="N310" s="345"/>
      <c r="O310" s="345"/>
      <c r="P310" s="345"/>
      <c r="Q310" s="345"/>
      <c r="R310" s="345"/>
      <c r="S310" s="345"/>
      <c r="T310" s="345"/>
      <c r="U310" s="345"/>
    </row>
    <row r="311" spans="2:21">
      <c r="B311" s="522"/>
      <c r="C311" s="325"/>
      <c r="D311" s="1483"/>
      <c r="E311" s="1483"/>
      <c r="F311" s="1483"/>
      <c r="G311" s="1483"/>
      <c r="H311" s="1483"/>
      <c r="I311" s="1483"/>
      <c r="J311" s="1483"/>
      <c r="K311" s="532"/>
      <c r="L311" s="531"/>
      <c r="M311" s="325"/>
      <c r="N311" s="345"/>
      <c r="O311" s="345"/>
      <c r="P311" s="345"/>
      <c r="Q311" s="345"/>
      <c r="R311" s="345"/>
      <c r="S311" s="345"/>
      <c r="T311" s="345"/>
      <c r="U311" s="345"/>
    </row>
    <row r="312" spans="2:21">
      <c r="B312" s="522"/>
      <c r="C312" s="325"/>
      <c r="D312" s="531" t="str">
        <f>"The company records referenced on line "&amp;B168&amp;" is the "&amp;F9&amp;" general ledger."</f>
        <v>The company records referenced on line 95 is the Indiana Michigan Power Company  general ledger.</v>
      </c>
      <c r="E312" s="533"/>
      <c r="F312" s="533"/>
      <c r="G312" s="533"/>
      <c r="H312" s="533"/>
      <c r="I312" s="533"/>
      <c r="J312" s="533"/>
      <c r="K312" s="533"/>
      <c r="L312" s="531"/>
      <c r="M312" s="325"/>
      <c r="N312" s="345"/>
      <c r="O312" s="345"/>
      <c r="P312" s="345"/>
      <c r="Q312" s="345"/>
      <c r="R312" s="345"/>
      <c r="S312" s="345"/>
      <c r="T312" s="345"/>
      <c r="U312" s="345"/>
    </row>
    <row r="313" spans="2:21">
      <c r="B313" s="522"/>
      <c r="C313" s="325"/>
      <c r="D313" s="531"/>
      <c r="E313" s="533"/>
      <c r="F313" s="533"/>
      <c r="G313" s="533"/>
      <c r="H313" s="533"/>
      <c r="I313" s="533"/>
      <c r="J313" s="533"/>
      <c r="K313" s="533"/>
      <c r="L313" s="531"/>
      <c r="M313" s="325"/>
      <c r="N313" s="345"/>
      <c r="O313" s="345"/>
      <c r="P313" s="345"/>
      <c r="Q313" s="345"/>
      <c r="R313" s="345"/>
      <c r="S313" s="345"/>
      <c r="T313" s="345"/>
      <c r="U313" s="345"/>
    </row>
    <row r="314" spans="2:21">
      <c r="B314" s="522" t="s">
        <v>157</v>
      </c>
      <c r="C314" s="325"/>
      <c r="D314" s="325" t="s">
        <v>582</v>
      </c>
      <c r="E314" s="375"/>
      <c r="F314" s="375"/>
      <c r="G314" s="375"/>
      <c r="H314" s="375"/>
      <c r="I314" s="375"/>
      <c r="J314" s="375"/>
      <c r="K314" s="375"/>
      <c r="L314" s="534"/>
      <c r="M314" s="325"/>
      <c r="N314" s="345"/>
      <c r="O314" s="345"/>
      <c r="P314" s="345"/>
      <c r="Q314" s="345"/>
      <c r="R314" s="345"/>
      <c r="S314" s="345"/>
      <c r="T314" s="345"/>
      <c r="U314" s="345"/>
    </row>
    <row r="315" spans="2:21">
      <c r="B315" s="522"/>
      <c r="C315" s="325"/>
      <c r="D315" s="534"/>
      <c r="E315" s="534"/>
      <c r="F315" s="534"/>
      <c r="G315" s="534"/>
      <c r="H315" s="534"/>
      <c r="I315" s="534"/>
      <c r="J315" s="534"/>
      <c r="K315" s="534"/>
      <c r="L315" s="534"/>
      <c r="M315" s="325"/>
      <c r="N315" s="345"/>
      <c r="O315" s="345"/>
      <c r="P315" s="345"/>
      <c r="Q315" s="345"/>
      <c r="R315" s="345"/>
      <c r="S315" s="345"/>
      <c r="T315" s="345"/>
      <c r="U315" s="345"/>
    </row>
    <row r="316" spans="2:21">
      <c r="B316" s="522" t="s">
        <v>158</v>
      </c>
      <c r="C316" s="325"/>
      <c r="D316" s="1487" t="s">
        <v>49</v>
      </c>
      <c r="E316" s="1480"/>
      <c r="F316" s="1480"/>
      <c r="G316" s="1480"/>
      <c r="H316" s="1480"/>
      <c r="I316" s="1480"/>
      <c r="J316" s="1480"/>
      <c r="K316" s="531"/>
      <c r="L316" s="531"/>
      <c r="M316" s="325"/>
      <c r="N316" s="345"/>
      <c r="O316" s="345"/>
      <c r="P316" s="345"/>
      <c r="Q316" s="345"/>
      <c r="R316" s="345"/>
      <c r="S316" s="345"/>
      <c r="T316" s="345"/>
      <c r="U316" s="345"/>
    </row>
    <row r="317" spans="2:21">
      <c r="B317" s="522"/>
      <c r="C317" s="325"/>
      <c r="D317" s="1488"/>
      <c r="E317" s="1488"/>
      <c r="F317" s="1488"/>
      <c r="G317" s="1488"/>
      <c r="H317" s="1488"/>
      <c r="I317" s="1488"/>
      <c r="J317" s="1488"/>
      <c r="K317" s="534"/>
      <c r="L317" s="534"/>
      <c r="M317" s="325"/>
      <c r="N317" s="345"/>
      <c r="O317" s="345"/>
      <c r="P317" s="345"/>
      <c r="Q317" s="345"/>
      <c r="R317" s="345"/>
      <c r="S317" s="345"/>
      <c r="T317" s="345"/>
      <c r="U317" s="345"/>
    </row>
    <row r="318" spans="2:21">
      <c r="B318" s="522"/>
      <c r="C318" s="325"/>
      <c r="D318" s="1480"/>
      <c r="E318" s="1480"/>
      <c r="F318" s="1480"/>
      <c r="G318" s="1480"/>
      <c r="H318" s="1480"/>
      <c r="I318" s="1480"/>
      <c r="J318" s="1480"/>
      <c r="K318" s="531"/>
      <c r="L318" s="531"/>
      <c r="M318" s="325"/>
      <c r="N318" s="345"/>
      <c r="O318" s="345"/>
      <c r="P318" s="345"/>
      <c r="Q318" s="345"/>
      <c r="R318" s="345"/>
      <c r="S318" s="345"/>
      <c r="T318" s="345"/>
      <c r="U318" s="345"/>
    </row>
    <row r="319" spans="2:21">
      <c r="B319" s="522"/>
      <c r="C319" s="325"/>
      <c r="D319" s="531"/>
      <c r="E319" s="531"/>
      <c r="F319" s="531"/>
      <c r="G319" s="531"/>
      <c r="H319" s="531"/>
      <c r="I319" s="531"/>
      <c r="J319" s="531"/>
      <c r="K319" s="531"/>
      <c r="L319" s="531"/>
      <c r="M319" s="325"/>
      <c r="N319" s="345"/>
      <c r="O319" s="345"/>
      <c r="P319" s="345"/>
      <c r="Q319" s="345"/>
      <c r="R319" s="345"/>
      <c r="S319" s="345"/>
      <c r="T319" s="345"/>
      <c r="U319" s="345"/>
    </row>
    <row r="320" spans="2:21">
      <c r="B320" s="1120" t="s">
        <v>159</v>
      </c>
      <c r="C320" s="1121"/>
      <c r="D320" s="1481" t="s">
        <v>871</v>
      </c>
      <c r="E320" s="1482"/>
      <c r="F320" s="1482"/>
      <c r="G320" s="1482"/>
      <c r="H320" s="1482"/>
      <c r="I320" s="1482"/>
      <c r="J320" s="1482"/>
      <c r="K320" s="1482"/>
      <c r="L320" s="534"/>
      <c r="M320" s="325"/>
      <c r="N320" s="345"/>
      <c r="O320" s="345"/>
      <c r="P320" s="345"/>
      <c r="Q320" s="345"/>
      <c r="R320" s="345"/>
      <c r="S320" s="345"/>
      <c r="T320" s="345"/>
      <c r="U320" s="345"/>
    </row>
    <row r="321" spans="2:21">
      <c r="B321" s="1094"/>
      <c r="C321" s="1121"/>
      <c r="D321" s="1482"/>
      <c r="E321" s="1482"/>
      <c r="F321" s="1482"/>
      <c r="G321" s="1482"/>
      <c r="H321" s="1482"/>
      <c r="I321" s="1482"/>
      <c r="J321" s="1482"/>
      <c r="K321" s="1482"/>
      <c r="L321" s="531"/>
      <c r="M321" s="325"/>
      <c r="N321" s="345"/>
      <c r="O321" s="345"/>
      <c r="P321" s="345"/>
      <c r="Q321" s="345"/>
      <c r="R321" s="345"/>
      <c r="S321" s="345"/>
      <c r="T321" s="345"/>
      <c r="U321" s="345"/>
    </row>
    <row r="322" spans="2:21">
      <c r="B322" s="522"/>
      <c r="C322" s="325"/>
      <c r="D322" s="531"/>
      <c r="E322" s="531"/>
      <c r="F322" s="531"/>
      <c r="G322" s="531"/>
      <c r="H322" s="531"/>
      <c r="I322" s="531"/>
      <c r="J322" s="531"/>
      <c r="K322" s="531"/>
      <c r="L322" s="531"/>
      <c r="M322" s="325"/>
      <c r="N322" s="345"/>
      <c r="O322" s="345"/>
      <c r="P322" s="345"/>
      <c r="Q322" s="345"/>
      <c r="R322" s="345"/>
      <c r="S322" s="345"/>
      <c r="T322" s="345"/>
      <c r="U322" s="345"/>
    </row>
    <row r="323" spans="2:21">
      <c r="B323" s="359" t="s">
        <v>160</v>
      </c>
      <c r="C323" s="360"/>
      <c r="D323" s="1473" t="s">
        <v>583</v>
      </c>
      <c r="E323" s="1473"/>
      <c r="F323" s="1473"/>
      <c r="G323" s="1473"/>
      <c r="H323" s="1473"/>
      <c r="I323" s="1473"/>
      <c r="J323" s="1473"/>
      <c r="K323" s="1473"/>
      <c r="L323" s="1473"/>
      <c r="M323" s="325"/>
      <c r="N323" s="345"/>
      <c r="O323" s="345"/>
      <c r="P323" s="345"/>
      <c r="Q323" s="345"/>
      <c r="R323" s="345"/>
      <c r="S323" s="345"/>
      <c r="T323" s="345"/>
      <c r="U323" s="345"/>
    </row>
    <row r="324" spans="2:21">
      <c r="B324" s="359"/>
      <c r="C324" s="360"/>
      <c r="D324" s="1473"/>
      <c r="E324" s="1473"/>
      <c r="F324" s="1473"/>
      <c r="G324" s="1473"/>
      <c r="H324" s="1473"/>
      <c r="I324" s="1473"/>
      <c r="J324" s="1473"/>
      <c r="K324" s="1473"/>
      <c r="L324" s="1473"/>
      <c r="M324" s="325"/>
      <c r="N324" s="345"/>
      <c r="O324" s="345"/>
      <c r="P324" s="345"/>
      <c r="Q324" s="345"/>
      <c r="R324" s="345"/>
      <c r="S324" s="345"/>
      <c r="T324" s="345"/>
      <c r="U324" s="345"/>
    </row>
    <row r="325" spans="2:21">
      <c r="B325" s="359"/>
      <c r="C325" s="360"/>
      <c r="D325" s="1473"/>
      <c r="E325" s="1473"/>
      <c r="F325" s="1473"/>
      <c r="G325" s="1473"/>
      <c r="H325" s="1473"/>
      <c r="I325" s="1473"/>
      <c r="J325" s="1473"/>
      <c r="K325" s="1473"/>
      <c r="L325" s="1473"/>
      <c r="M325" s="325"/>
      <c r="N325" s="345"/>
      <c r="O325" s="345"/>
      <c r="P325" s="345"/>
      <c r="Q325" s="345"/>
      <c r="R325" s="345"/>
      <c r="S325" s="345"/>
      <c r="T325" s="345"/>
      <c r="U325" s="345"/>
    </row>
    <row r="326" spans="2:21">
      <c r="B326" s="359"/>
      <c r="C326" s="360"/>
      <c r="D326" s="1473"/>
      <c r="E326" s="1473"/>
      <c r="F326" s="1473"/>
      <c r="G326" s="1473"/>
      <c r="H326" s="1473"/>
      <c r="I326" s="1473"/>
      <c r="J326" s="1473"/>
      <c r="K326" s="1473"/>
      <c r="L326" s="1473"/>
      <c r="M326" s="325"/>
      <c r="N326" s="345"/>
      <c r="O326" s="345"/>
      <c r="P326" s="345"/>
      <c r="Q326" s="345"/>
      <c r="R326" s="345"/>
      <c r="S326" s="345"/>
      <c r="T326" s="345"/>
      <c r="U326" s="345"/>
    </row>
    <row r="327" spans="2:21">
      <c r="B327" s="359"/>
      <c r="C327" s="360"/>
      <c r="D327" s="531"/>
      <c r="E327" s="530"/>
      <c r="F327" s="530"/>
      <c r="G327" s="530"/>
      <c r="H327" s="530"/>
      <c r="I327" s="530"/>
      <c r="J327" s="530"/>
      <c r="K327" s="530"/>
      <c r="L327" s="530"/>
      <c r="M327" s="325"/>
      <c r="N327" s="345"/>
      <c r="O327" s="345"/>
      <c r="P327" s="345"/>
      <c r="Q327" s="345"/>
      <c r="R327" s="345"/>
      <c r="S327" s="345"/>
      <c r="T327" s="345"/>
      <c r="U327" s="345"/>
    </row>
    <row r="328" spans="2:21" ht="15" customHeight="1">
      <c r="B328" s="359" t="s">
        <v>161</v>
      </c>
      <c r="C328" s="360"/>
      <c r="D328" s="1484" t="s">
        <v>869</v>
      </c>
      <c r="E328" s="1485"/>
      <c r="F328" s="1485"/>
      <c r="G328" s="1485"/>
      <c r="H328" s="1485"/>
      <c r="I328" s="1485"/>
      <c r="J328" s="1485"/>
      <c r="K328" s="1485"/>
      <c r="L328" s="1486"/>
      <c r="M328" s="325"/>
      <c r="N328" s="345"/>
      <c r="O328" s="345"/>
      <c r="P328" s="345"/>
      <c r="Q328" s="345"/>
      <c r="R328" s="345"/>
      <c r="S328" s="345"/>
      <c r="T328" s="345"/>
      <c r="U328" s="345"/>
    </row>
    <row r="329" spans="2:21">
      <c r="B329" s="359"/>
      <c r="C329" s="360"/>
      <c r="D329" s="1485"/>
      <c r="E329" s="1485"/>
      <c r="F329" s="1485"/>
      <c r="G329" s="1485"/>
      <c r="H329" s="1485"/>
      <c r="I329" s="1485"/>
      <c r="J329" s="1485"/>
      <c r="K329" s="1485"/>
      <c r="L329" s="1486"/>
      <c r="M329" s="325"/>
      <c r="N329" s="345"/>
      <c r="O329" s="345"/>
      <c r="P329" s="345"/>
      <c r="Q329" s="345"/>
      <c r="R329" s="345"/>
      <c r="S329" s="345"/>
      <c r="T329" s="345"/>
      <c r="U329" s="345"/>
    </row>
    <row r="330" spans="2:21">
      <c r="B330" s="359"/>
      <c r="C330" s="360"/>
      <c r="D330" s="1486"/>
      <c r="E330" s="1486"/>
      <c r="F330" s="1486"/>
      <c r="G330" s="1486"/>
      <c r="H330" s="1486"/>
      <c r="I330" s="1486"/>
      <c r="J330" s="1486"/>
      <c r="K330" s="1486"/>
      <c r="L330" s="1486"/>
      <c r="M330" s="325"/>
      <c r="N330" s="345"/>
      <c r="O330" s="345"/>
      <c r="P330" s="345"/>
      <c r="Q330" s="345"/>
      <c r="R330" s="345"/>
      <c r="S330" s="345"/>
      <c r="T330" s="345"/>
      <c r="U330" s="345"/>
    </row>
    <row r="331" spans="2:21">
      <c r="B331" s="359"/>
      <c r="C331" s="360"/>
      <c r="D331" s="474"/>
      <c r="E331" s="345"/>
      <c r="F331" s="345"/>
      <c r="G331" s="345"/>
      <c r="H331" s="345"/>
      <c r="I331" s="345"/>
      <c r="J331" s="345"/>
      <c r="K331" s="345"/>
      <c r="L331" s="345"/>
      <c r="M331" s="325"/>
      <c r="N331" s="345"/>
      <c r="O331" s="345"/>
      <c r="P331" s="345"/>
      <c r="Q331" s="345"/>
      <c r="R331" s="345"/>
      <c r="S331" s="345"/>
      <c r="T331" s="345"/>
      <c r="U331" s="345"/>
    </row>
    <row r="332" spans="2:21">
      <c r="B332" s="429" t="s">
        <v>246</v>
      </c>
      <c r="C332" s="360"/>
      <c r="D332" s="371" t="s">
        <v>356</v>
      </c>
      <c r="E332" s="328"/>
      <c r="F332" s="328"/>
      <c r="G332" s="328"/>
      <c r="H332" s="328"/>
      <c r="I332" s="328"/>
      <c r="J332" s="328"/>
      <c r="K332" s="325"/>
      <c r="L332" s="325"/>
      <c r="M332" s="325"/>
      <c r="N332" s="345"/>
      <c r="O332" s="345"/>
      <c r="P332" s="345"/>
      <c r="Q332" s="345"/>
      <c r="R332" s="345"/>
      <c r="S332" s="345"/>
      <c r="T332" s="345"/>
      <c r="U332" s="345"/>
    </row>
    <row r="333" spans="2:21">
      <c r="B333" s="429"/>
      <c r="C333" s="360"/>
      <c r="D333" s="328"/>
      <c r="E333" s="328"/>
      <c r="F333" s="328"/>
      <c r="G333" s="328"/>
      <c r="H333" s="328"/>
      <c r="I333" s="328"/>
      <c r="J333" s="328"/>
      <c r="K333" s="325"/>
      <c r="L333" s="325"/>
      <c r="M333" s="325"/>
      <c r="N333" s="345"/>
      <c r="O333" s="345"/>
      <c r="P333" s="345"/>
      <c r="Q333" s="345"/>
      <c r="R333" s="345"/>
      <c r="S333" s="345"/>
      <c r="T333" s="345"/>
      <c r="U333" s="345"/>
    </row>
    <row r="334" spans="2:21">
      <c r="B334" s="359" t="s">
        <v>305</v>
      </c>
      <c r="C334" s="360"/>
      <c r="D334" s="371" t="s">
        <v>345</v>
      </c>
      <c r="E334" s="325"/>
      <c r="F334" s="325"/>
      <c r="G334" s="325"/>
      <c r="H334" s="325"/>
      <c r="I334" s="325"/>
      <c r="J334" s="325"/>
      <c r="K334" s="325"/>
      <c r="L334" s="325"/>
      <c r="M334" s="325"/>
      <c r="N334" s="345"/>
      <c r="O334" s="345"/>
      <c r="P334" s="345"/>
      <c r="Q334" s="345"/>
      <c r="R334" s="345"/>
      <c r="S334" s="345"/>
      <c r="T334" s="345"/>
      <c r="U334" s="345"/>
    </row>
    <row r="335" spans="2:21">
      <c r="B335" s="429"/>
      <c r="C335" s="360"/>
      <c r="D335" s="371" t="s">
        <v>234</v>
      </c>
      <c r="E335" s="325"/>
      <c r="F335" s="325"/>
      <c r="G335" s="325"/>
      <c r="H335" s="325"/>
      <c r="I335" s="325"/>
      <c r="J335" s="325"/>
      <c r="K335" s="325"/>
      <c r="L335" s="325"/>
      <c r="M335" s="325"/>
      <c r="N335" s="345"/>
      <c r="O335" s="345"/>
      <c r="P335" s="345"/>
      <c r="Q335" s="345"/>
      <c r="R335" s="345"/>
      <c r="S335" s="345"/>
      <c r="T335" s="345"/>
      <c r="U335" s="345"/>
    </row>
    <row r="336" spans="2:21">
      <c r="B336" s="429"/>
      <c r="C336" s="360"/>
      <c r="D336" s="371" t="s">
        <v>235</v>
      </c>
      <c r="E336" s="325"/>
      <c r="F336" s="325"/>
      <c r="G336" s="325"/>
      <c r="H336" s="325"/>
      <c r="I336" s="325"/>
      <c r="J336" s="325"/>
      <c r="K336" s="325"/>
      <c r="L336" s="325"/>
      <c r="M336" s="325"/>
      <c r="N336" s="345"/>
      <c r="O336" s="345"/>
      <c r="P336" s="345"/>
      <c r="Q336" s="345"/>
      <c r="R336" s="345"/>
      <c r="S336" s="345"/>
      <c r="T336" s="345"/>
      <c r="U336" s="345"/>
    </row>
    <row r="337" spans="2:21">
      <c r="B337" s="429"/>
      <c r="C337" s="360"/>
      <c r="D337" s="371" t="s">
        <v>236</v>
      </c>
      <c r="E337" s="325"/>
      <c r="F337" s="325"/>
      <c r="G337" s="325"/>
      <c r="H337" s="325"/>
      <c r="I337" s="325"/>
      <c r="J337" s="325"/>
      <c r="K337" s="325"/>
      <c r="L337" s="325"/>
      <c r="M337" s="325"/>
      <c r="N337" s="345"/>
      <c r="O337" s="345"/>
      <c r="P337" s="345"/>
      <c r="Q337" s="345"/>
      <c r="R337" s="345"/>
      <c r="S337" s="345"/>
      <c r="T337" s="345"/>
      <c r="U337" s="345"/>
    </row>
    <row r="338" spans="2:21">
      <c r="B338" s="359"/>
      <c r="C338" s="360"/>
      <c r="D338" s="371" t="str">
        <f>"(ln "&amp;B194&amp;") multiplied by (1/1-T) .  If the applicable tax rates are zero enter 0."</f>
        <v>(ln 118) multiplied by (1/1-T) .  If the applicable tax rates are zero enter 0.</v>
      </c>
      <c r="H338" s="325"/>
      <c r="I338" s="325"/>
      <c r="J338" s="325"/>
      <c r="K338" s="325"/>
      <c r="L338" s="325"/>
      <c r="M338" s="325"/>
      <c r="N338" s="345"/>
      <c r="O338" s="345"/>
      <c r="P338" s="345"/>
      <c r="Q338" s="345"/>
      <c r="R338" s="345"/>
      <c r="S338" s="345"/>
      <c r="T338" s="345"/>
      <c r="U338" s="345"/>
    </row>
    <row r="339" spans="2:21">
      <c r="B339" s="535"/>
      <c r="C339" s="345"/>
      <c r="D339" s="371" t="s">
        <v>346</v>
      </c>
      <c r="E339" s="345" t="s">
        <v>347</v>
      </c>
      <c r="F339" s="850">
        <v>0.21</v>
      </c>
      <c r="G339" s="345"/>
      <c r="H339" s="325"/>
      <c r="I339" s="325"/>
      <c r="J339" s="325"/>
      <c r="K339" s="325"/>
      <c r="L339" s="325"/>
      <c r="M339" s="325"/>
      <c r="N339" s="345"/>
      <c r="O339" s="345"/>
      <c r="P339" s="345"/>
      <c r="Q339" s="345"/>
      <c r="R339" s="345"/>
      <c r="S339" s="345"/>
      <c r="T339" s="345"/>
      <c r="U339" s="345"/>
    </row>
    <row r="340" spans="2:21">
      <c r="B340" s="535"/>
      <c r="C340" s="345"/>
      <c r="D340" s="371"/>
      <c r="E340" s="345" t="s">
        <v>348</v>
      </c>
      <c r="F340" s="524">
        <f>'WS G  State Tax Rate'!F38</f>
        <v>5.3499999999999999E-2</v>
      </c>
      <c r="G340" s="345" t="s">
        <v>506</v>
      </c>
      <c r="H340" s="325"/>
      <c r="I340" s="325"/>
      <c r="J340" s="325"/>
      <c r="K340" s="325"/>
      <c r="L340" s="325"/>
      <c r="M340" s="325"/>
      <c r="N340" s="345"/>
      <c r="O340" s="345"/>
      <c r="P340" s="345"/>
      <c r="Q340" s="345"/>
      <c r="R340" s="345"/>
      <c r="S340" s="345"/>
      <c r="T340" s="345"/>
      <c r="U340" s="345"/>
    </row>
    <row r="341" spans="2:21">
      <c r="B341" s="535"/>
      <c r="C341" s="345"/>
      <c r="D341" s="371"/>
      <c r="E341" s="345" t="s">
        <v>349</v>
      </c>
      <c r="F341" s="850">
        <v>0</v>
      </c>
      <c r="G341" s="345" t="s">
        <v>350</v>
      </c>
      <c r="H341" s="325"/>
      <c r="I341" s="325"/>
      <c r="J341" s="325"/>
      <c r="K341" s="325"/>
      <c r="L341" s="325"/>
      <c r="M341" s="325"/>
      <c r="N341" s="345"/>
      <c r="O341" s="345"/>
      <c r="P341" s="345"/>
      <c r="Q341" s="345"/>
      <c r="R341" s="345"/>
      <c r="S341" s="345"/>
      <c r="T341" s="345"/>
      <c r="U341" s="345"/>
    </row>
    <row r="342" spans="2:21">
      <c r="B342" s="429"/>
      <c r="C342" s="360"/>
      <c r="D342" s="371" t="s">
        <v>594</v>
      </c>
      <c r="E342" s="325"/>
      <c r="F342" s="325"/>
      <c r="G342" s="325"/>
      <c r="H342" s="325"/>
      <c r="I342" s="325"/>
      <c r="J342" s="325"/>
      <c r="K342" s="325"/>
      <c r="L342" s="325"/>
      <c r="M342" s="345"/>
      <c r="N342" s="345"/>
      <c r="O342" s="345"/>
      <c r="P342" s="345"/>
      <c r="Q342" s="345"/>
      <c r="R342" s="345"/>
      <c r="S342" s="345"/>
      <c r="T342" s="345"/>
      <c r="U342" s="345"/>
    </row>
    <row r="343" spans="2:21">
      <c r="B343" s="429"/>
      <c r="C343" s="360"/>
      <c r="D343" s="371" t="s">
        <v>595</v>
      </c>
      <c r="E343" s="325"/>
      <c r="F343" s="325"/>
      <c r="G343" s="325"/>
      <c r="H343" s="325"/>
      <c r="I343" s="325"/>
      <c r="J343" s="325"/>
      <c r="K343" s="325"/>
      <c r="L343" s="325"/>
      <c r="M343" s="345"/>
      <c r="N343" s="345"/>
      <c r="O343" s="345"/>
      <c r="P343" s="345"/>
      <c r="Q343" s="345"/>
      <c r="R343" s="345"/>
      <c r="S343" s="345"/>
      <c r="T343" s="345"/>
      <c r="U343" s="345"/>
    </row>
    <row r="344" spans="2:21">
      <c r="B344" s="359" t="s">
        <v>351</v>
      </c>
      <c r="C344" s="360"/>
      <c r="D344" s="371" t="s">
        <v>225</v>
      </c>
      <c r="E344" s="325"/>
      <c r="F344" s="325"/>
      <c r="G344" s="325"/>
      <c r="H344" s="325"/>
      <c r="I344" s="325"/>
      <c r="J344" s="325"/>
      <c r="K344" s="325"/>
      <c r="L344" s="325"/>
      <c r="M344" s="325"/>
      <c r="N344" s="345"/>
      <c r="O344" s="345"/>
      <c r="P344" s="345"/>
      <c r="Q344" s="345"/>
      <c r="R344" s="345"/>
      <c r="S344" s="345"/>
      <c r="T344" s="345"/>
      <c r="U344" s="345"/>
    </row>
    <row r="345" spans="2:21">
      <c r="B345" s="320"/>
      <c r="D345" s="371"/>
      <c r="E345" s="325"/>
      <c r="F345" s="325"/>
      <c r="G345" s="325"/>
      <c r="H345" s="325"/>
      <c r="I345" s="325"/>
      <c r="J345" s="325"/>
      <c r="K345" s="325"/>
      <c r="L345" s="325"/>
      <c r="M345" s="325"/>
      <c r="N345" s="345"/>
      <c r="O345" s="345"/>
      <c r="P345" s="345"/>
      <c r="Q345" s="345"/>
      <c r="R345" s="345"/>
      <c r="S345" s="345"/>
      <c r="T345" s="345"/>
      <c r="U345" s="345"/>
    </row>
    <row r="346" spans="2:21">
      <c r="B346" s="359" t="s">
        <v>352</v>
      </c>
      <c r="C346" s="360"/>
      <c r="D346" s="371" t="s">
        <v>22</v>
      </c>
      <c r="E346" s="325"/>
      <c r="F346" s="325"/>
      <c r="G346" s="325"/>
      <c r="H346" s="325"/>
      <c r="I346" s="325"/>
      <c r="J346" s="325"/>
      <c r="K346" s="325"/>
      <c r="L346" s="325"/>
      <c r="M346" s="325"/>
      <c r="N346" s="345"/>
      <c r="O346" s="345"/>
      <c r="P346" s="345"/>
      <c r="Q346" s="345"/>
      <c r="R346" s="345"/>
      <c r="S346" s="345"/>
      <c r="T346" s="345"/>
      <c r="U346" s="345"/>
    </row>
    <row r="347" spans="2:21">
      <c r="B347" s="359"/>
      <c r="C347" s="360"/>
      <c r="D347" s="371"/>
      <c r="E347" s="345"/>
      <c r="F347" s="345"/>
      <c r="G347" s="345"/>
      <c r="H347" s="345"/>
      <c r="I347" s="345"/>
      <c r="J347" s="345"/>
      <c r="K347" s="345"/>
      <c r="L347" s="345"/>
      <c r="M347" s="345"/>
      <c r="N347" s="345"/>
      <c r="O347" s="345"/>
      <c r="P347" s="345"/>
      <c r="Q347" s="345"/>
      <c r="R347" s="345"/>
      <c r="S347" s="345"/>
      <c r="T347" s="345"/>
      <c r="U347" s="345"/>
    </row>
    <row r="348" spans="2:21">
      <c r="B348" s="359" t="s">
        <v>353</v>
      </c>
      <c r="C348" s="360"/>
      <c r="D348" s="371" t="s">
        <v>416</v>
      </c>
      <c r="E348" s="345"/>
      <c r="F348" s="345"/>
      <c r="G348" s="345"/>
      <c r="H348" s="345"/>
      <c r="I348" s="345"/>
      <c r="J348" s="345"/>
      <c r="K348" s="345"/>
      <c r="L348" s="345"/>
      <c r="M348" s="345"/>
      <c r="N348" s="345"/>
      <c r="O348" s="345"/>
      <c r="P348" s="345"/>
      <c r="Q348" s="345"/>
      <c r="R348" s="345"/>
      <c r="S348" s="345"/>
      <c r="T348" s="345"/>
      <c r="U348" s="345"/>
    </row>
    <row r="349" spans="2:21">
      <c r="B349" s="359"/>
      <c r="C349" s="360"/>
      <c r="D349" s="371"/>
      <c r="E349" s="345"/>
      <c r="F349" s="345"/>
      <c r="G349" s="345"/>
      <c r="H349" s="345"/>
      <c r="I349" s="345"/>
      <c r="J349" s="345"/>
      <c r="K349" s="345"/>
      <c r="L349" s="345"/>
      <c r="M349" s="345"/>
      <c r="N349" s="345"/>
      <c r="O349" s="345"/>
      <c r="P349" s="345"/>
      <c r="Q349" s="345"/>
      <c r="R349" s="345"/>
      <c r="S349" s="345"/>
      <c r="T349" s="345"/>
      <c r="U349" s="345"/>
    </row>
    <row r="350" spans="2:21">
      <c r="B350" s="522" t="s">
        <v>354</v>
      </c>
      <c r="C350" s="430"/>
      <c r="D350" s="371"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45"/>
      <c r="N350" s="345"/>
      <c r="O350" s="345"/>
      <c r="P350" s="345"/>
      <c r="Q350" s="345"/>
      <c r="R350" s="345"/>
      <c r="S350" s="345"/>
      <c r="T350" s="345"/>
      <c r="U350" s="345"/>
    </row>
    <row r="351" spans="2:21">
      <c r="B351" s="523"/>
      <c r="C351" s="325"/>
      <c r="D351" s="371"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45"/>
      <c r="N351" s="345"/>
      <c r="O351" s="345"/>
      <c r="P351" s="345"/>
      <c r="Q351" s="345"/>
      <c r="R351" s="345"/>
      <c r="S351" s="345"/>
      <c r="T351" s="345"/>
      <c r="U351" s="345"/>
    </row>
    <row r="352" spans="2:21" ht="15" customHeight="1">
      <c r="B352" s="523"/>
      <c r="C352" s="325"/>
      <c r="D352" s="1474" t="s">
        <v>584</v>
      </c>
      <c r="E352" s="1474"/>
      <c r="F352" s="1474"/>
      <c r="G352" s="1474"/>
      <c r="H352" s="1474"/>
      <c r="I352" s="1474"/>
      <c r="J352" s="1474"/>
      <c r="K352" s="1474"/>
      <c r="L352" s="1474"/>
      <c r="M352" s="345"/>
      <c r="N352" s="345"/>
      <c r="O352" s="345"/>
      <c r="P352" s="345"/>
      <c r="Q352" s="345"/>
      <c r="R352" s="345"/>
      <c r="S352" s="345"/>
      <c r="T352" s="345"/>
      <c r="U352" s="345"/>
    </row>
    <row r="353" spans="2:21">
      <c r="B353" s="523"/>
      <c r="C353" s="325"/>
      <c r="D353" s="1474"/>
      <c r="E353" s="1474"/>
      <c r="F353" s="1474"/>
      <c r="G353" s="1474"/>
      <c r="H353" s="1474"/>
      <c r="I353" s="1474"/>
      <c r="J353" s="1474"/>
      <c r="K353" s="1474"/>
      <c r="L353" s="1474"/>
      <c r="M353" s="345"/>
      <c r="N353" s="345"/>
      <c r="O353" s="345"/>
      <c r="P353" s="345"/>
      <c r="Q353" s="345"/>
      <c r="R353" s="345"/>
      <c r="S353" s="345"/>
      <c r="T353" s="345"/>
      <c r="U353" s="345"/>
    </row>
    <row r="354" spans="2:21" ht="14.25" customHeight="1">
      <c r="B354" s="523"/>
      <c r="C354" s="325"/>
      <c r="D354" s="1474"/>
      <c r="E354" s="1474"/>
      <c r="F354" s="1474"/>
      <c r="G354" s="1474"/>
      <c r="H354" s="1474"/>
      <c r="I354" s="1474"/>
      <c r="J354" s="1474"/>
      <c r="K354" s="1474"/>
      <c r="L354" s="1474"/>
      <c r="M354" s="345"/>
      <c r="N354" s="345"/>
      <c r="O354" s="345"/>
      <c r="P354" s="345"/>
      <c r="Q354" s="345"/>
      <c r="R354" s="345"/>
      <c r="S354" s="345"/>
      <c r="T354" s="345"/>
      <c r="U354" s="345"/>
    </row>
    <row r="355" spans="2:21" ht="15" hidden="1" customHeight="1">
      <c r="B355" s="523"/>
      <c r="C355" s="325"/>
      <c r="D355" s="1474"/>
      <c r="E355" s="1474"/>
      <c r="F355" s="1474"/>
      <c r="G355" s="1474"/>
      <c r="H355" s="1474"/>
      <c r="I355" s="1474"/>
      <c r="J355" s="1474"/>
      <c r="K355" s="1474"/>
      <c r="L355" s="1474"/>
      <c r="M355" s="345"/>
      <c r="N355" s="345"/>
      <c r="O355" s="345"/>
      <c r="P355" s="345"/>
      <c r="Q355" s="345"/>
      <c r="R355" s="345"/>
      <c r="S355" s="345"/>
      <c r="T355" s="345"/>
      <c r="U355" s="345"/>
    </row>
    <row r="356" spans="2:21" ht="15" hidden="1" customHeight="1">
      <c r="B356" s="523"/>
      <c r="C356" s="325"/>
      <c r="D356" s="1474"/>
      <c r="E356" s="1474"/>
      <c r="F356" s="1474"/>
      <c r="G356" s="1474"/>
      <c r="H356" s="1474"/>
      <c r="I356" s="1474"/>
      <c r="J356" s="1474"/>
      <c r="K356" s="1474"/>
      <c r="L356" s="1474"/>
      <c r="M356" s="345"/>
      <c r="N356" s="345"/>
      <c r="O356" s="345"/>
      <c r="P356" s="345"/>
      <c r="Q356" s="345"/>
      <c r="R356" s="345"/>
      <c r="S356" s="345"/>
      <c r="T356" s="345"/>
      <c r="U356" s="345"/>
    </row>
    <row r="357" spans="2:21" ht="15" hidden="1" customHeight="1">
      <c r="B357" s="523"/>
      <c r="C357" s="325"/>
      <c r="D357" s="1474"/>
      <c r="E357" s="1474"/>
      <c r="F357" s="1474"/>
      <c r="G357" s="1474"/>
      <c r="H357" s="1474"/>
      <c r="I357" s="1474"/>
      <c r="J357" s="1474"/>
      <c r="K357" s="1474"/>
      <c r="L357" s="1474"/>
      <c r="M357" s="345"/>
      <c r="N357" s="345"/>
      <c r="O357" s="345"/>
      <c r="P357" s="345"/>
      <c r="Q357" s="345"/>
      <c r="R357" s="345"/>
      <c r="S357" s="345"/>
      <c r="T357" s="345"/>
      <c r="U357" s="345"/>
    </row>
    <row r="358" spans="2:21" s="325" customFormat="1">
      <c r="B358" s="359" t="s">
        <v>427</v>
      </c>
      <c r="C358" s="360"/>
      <c r="D358" s="531" t="s">
        <v>35</v>
      </c>
      <c r="E358" s="531"/>
      <c r="F358" s="531"/>
      <c r="G358" s="531"/>
      <c r="H358" s="531"/>
      <c r="I358" s="531"/>
      <c r="J358" s="531"/>
      <c r="M358" s="345"/>
      <c r="N358" s="345"/>
      <c r="O358" s="345"/>
      <c r="P358" s="345"/>
      <c r="Q358" s="345"/>
      <c r="R358" s="345"/>
      <c r="S358" s="345"/>
      <c r="T358" s="345"/>
      <c r="U358" s="345"/>
    </row>
    <row r="359" spans="2:21" s="325" customFormat="1">
      <c r="B359" s="359"/>
      <c r="C359" s="360"/>
      <c r="D359" s="531" t="str">
        <f>"This total balance of $265,249,280 at 12/31/12 is not included in the balance in line "&amp;B255&amp;" above."</f>
        <v>This total balance of $265,249,280 at 12/31/12 is not included in the balance in line 154 above.</v>
      </c>
      <c r="E359" s="531"/>
      <c r="F359" s="531"/>
      <c r="G359" s="531"/>
      <c r="H359" s="531"/>
      <c r="I359" s="531"/>
      <c r="J359" s="531"/>
      <c r="M359" s="345"/>
      <c r="N359" s="345"/>
      <c r="O359" s="345"/>
      <c r="P359" s="345"/>
      <c r="Q359" s="345"/>
      <c r="R359" s="345"/>
      <c r="S359" s="345"/>
      <c r="T359" s="345"/>
      <c r="U359" s="345"/>
    </row>
    <row r="360" spans="2:21" s="325" customFormat="1">
      <c r="B360" s="359"/>
      <c r="C360" s="360"/>
      <c r="D360" s="1475" t="s">
        <v>585</v>
      </c>
      <c r="E360" s="1475"/>
      <c r="F360" s="1475"/>
      <c r="G360" s="1475"/>
      <c r="H360" s="1475"/>
      <c r="I360" s="1475"/>
      <c r="J360" s="1475"/>
      <c r="K360" s="1475"/>
      <c r="L360" s="1475"/>
      <c r="M360" s="345"/>
      <c r="N360" s="345"/>
      <c r="O360" s="345"/>
      <c r="P360" s="345"/>
      <c r="Q360" s="345"/>
      <c r="R360" s="345"/>
      <c r="S360" s="345"/>
      <c r="T360" s="345"/>
      <c r="U360" s="345"/>
    </row>
    <row r="361" spans="2:21" s="325" customFormat="1">
      <c r="B361" s="359"/>
      <c r="C361" s="360"/>
      <c r="D361" s="1475"/>
      <c r="E361" s="1475"/>
      <c r="F361" s="1475"/>
      <c r="G361" s="1475"/>
      <c r="H361" s="1475"/>
      <c r="I361" s="1475"/>
      <c r="J361" s="1475"/>
      <c r="K361" s="1475"/>
      <c r="L361" s="1475"/>
      <c r="M361" s="345"/>
      <c r="N361" s="345"/>
      <c r="O361" s="345"/>
      <c r="P361" s="345"/>
      <c r="Q361" s="345"/>
      <c r="R361" s="345"/>
      <c r="S361" s="345"/>
      <c r="T361" s="345"/>
      <c r="U361" s="345"/>
    </row>
    <row r="362" spans="2:21" s="325" customFormat="1">
      <c r="B362" s="359"/>
      <c r="C362" s="360"/>
      <c r="D362" s="1475"/>
      <c r="E362" s="1475"/>
      <c r="F362" s="1475"/>
      <c r="G362" s="1475"/>
      <c r="H362" s="1475"/>
      <c r="I362" s="1475"/>
      <c r="J362" s="1475"/>
      <c r="K362" s="1475"/>
      <c r="L362" s="1475"/>
      <c r="M362" s="345"/>
      <c r="N362" s="345"/>
      <c r="O362" s="345"/>
      <c r="P362" s="345"/>
      <c r="Q362" s="345"/>
      <c r="R362" s="345"/>
      <c r="S362" s="345"/>
      <c r="T362" s="345"/>
      <c r="U362" s="345"/>
    </row>
    <row r="363" spans="2:21">
      <c r="B363" s="359" t="s">
        <v>495</v>
      </c>
      <c r="C363" s="536"/>
      <c r="D363" s="1475" t="s">
        <v>763</v>
      </c>
      <c r="E363" s="1475"/>
      <c r="F363" s="1475"/>
      <c r="G363" s="1475"/>
      <c r="H363" s="1475"/>
      <c r="I363" s="1475"/>
      <c r="J363" s="1475"/>
      <c r="K363" s="1475"/>
      <c r="L363" s="1475"/>
      <c r="M363" s="345"/>
      <c r="N363" s="345"/>
      <c r="O363" s="345"/>
      <c r="P363" s="345"/>
      <c r="Q363" s="345"/>
      <c r="R363" s="345"/>
      <c r="S363" s="345"/>
      <c r="T363" s="345"/>
      <c r="U363" s="345"/>
    </row>
    <row r="364" spans="2:21" ht="64.5" customHeight="1">
      <c r="B364" s="359"/>
      <c r="C364" s="360"/>
      <c r="D364" s="1475"/>
      <c r="E364" s="1475"/>
      <c r="F364" s="1475"/>
      <c r="G364" s="1475"/>
      <c r="H364" s="1475"/>
      <c r="I364" s="1475"/>
      <c r="J364" s="1475"/>
      <c r="K364" s="1475"/>
      <c r="L364" s="1475"/>
      <c r="M364" s="345"/>
      <c r="N364" s="345"/>
      <c r="O364" s="345"/>
      <c r="P364" s="345"/>
      <c r="Q364" s="345"/>
      <c r="R364" s="345"/>
      <c r="S364" s="345"/>
      <c r="T364" s="345"/>
      <c r="U364" s="345"/>
    </row>
    <row r="365" spans="2:21">
      <c r="B365" s="359" t="s">
        <v>587</v>
      </c>
      <c r="C365" s="360"/>
      <c r="D365" s="1472" t="s">
        <v>586</v>
      </c>
      <c r="E365" s="1472"/>
      <c r="F365" s="1472"/>
      <c r="G365" s="1472"/>
      <c r="H365" s="1472"/>
      <c r="I365" s="1472"/>
      <c r="J365" s="1472"/>
      <c r="K365" s="1472"/>
      <c r="L365" s="1472"/>
      <c r="M365" s="345"/>
      <c r="N365" s="345"/>
      <c r="O365" s="345"/>
      <c r="P365" s="345"/>
      <c r="Q365" s="345"/>
      <c r="R365" s="345"/>
      <c r="S365" s="345"/>
      <c r="T365" s="345"/>
      <c r="U365" s="345"/>
    </row>
    <row r="366" spans="2:21">
      <c r="B366" s="359"/>
      <c r="C366" s="360"/>
      <c r="D366" s="1472"/>
      <c r="E366" s="1472"/>
      <c r="F366" s="1472"/>
      <c r="G366" s="1472"/>
      <c r="H366" s="1472"/>
      <c r="I366" s="1472"/>
      <c r="J366" s="1472"/>
      <c r="K366" s="1472"/>
      <c r="L366" s="1472"/>
      <c r="M366" s="345"/>
      <c r="N366" s="345"/>
      <c r="O366" s="345"/>
      <c r="P366" s="345"/>
      <c r="Q366" s="345"/>
      <c r="R366" s="345"/>
      <c r="S366" s="345"/>
      <c r="T366" s="345"/>
      <c r="U366" s="345"/>
    </row>
    <row r="367" spans="2:21">
      <c r="B367" s="359" t="s">
        <v>589</v>
      </c>
      <c r="C367" s="360"/>
      <c r="D367" s="1478" t="s">
        <v>590</v>
      </c>
      <c r="E367" s="1478"/>
      <c r="F367" s="1478"/>
      <c r="G367" s="1478"/>
      <c r="H367" s="1478"/>
      <c r="I367" s="1478"/>
      <c r="J367" s="1478"/>
      <c r="K367" s="1478"/>
      <c r="L367" s="1478"/>
      <c r="M367" s="345"/>
      <c r="N367" s="345"/>
      <c r="O367" s="345"/>
      <c r="P367" s="345"/>
      <c r="Q367" s="345"/>
      <c r="R367" s="345"/>
      <c r="S367" s="345"/>
      <c r="T367" s="345"/>
      <c r="U367" s="345"/>
    </row>
    <row r="368" spans="2:21">
      <c r="B368" s="359" t="s">
        <v>588</v>
      </c>
      <c r="C368" s="360"/>
      <c r="D368" s="1472" t="s">
        <v>591</v>
      </c>
      <c r="E368" s="1472"/>
      <c r="F368" s="1472"/>
      <c r="G368" s="1472"/>
      <c r="H368" s="1472"/>
      <c r="I368" s="1472"/>
      <c r="J368" s="1472"/>
      <c r="K368" s="1472"/>
      <c r="L368" s="1472"/>
      <c r="M368" s="345"/>
      <c r="N368" s="345"/>
      <c r="O368" s="345"/>
      <c r="P368" s="345"/>
      <c r="Q368" s="345"/>
      <c r="R368" s="345"/>
      <c r="S368" s="345"/>
      <c r="T368" s="345"/>
      <c r="U368" s="345"/>
    </row>
    <row r="369" spans="2:21">
      <c r="B369" s="359"/>
      <c r="C369" s="360"/>
      <c r="D369" s="1472"/>
      <c r="E369" s="1472"/>
      <c r="F369" s="1472"/>
      <c r="G369" s="1472"/>
      <c r="H369" s="1472"/>
      <c r="I369" s="1472"/>
      <c r="J369" s="1472"/>
      <c r="K369" s="1472"/>
      <c r="L369" s="1472"/>
      <c r="M369" s="345"/>
      <c r="N369" s="345"/>
      <c r="O369" s="345"/>
      <c r="P369" s="345"/>
      <c r="Q369" s="345"/>
      <c r="R369" s="345"/>
      <c r="S369" s="345"/>
      <c r="T369" s="345"/>
      <c r="U369" s="345"/>
    </row>
    <row r="370" spans="2:21">
      <c r="B370" s="337"/>
      <c r="C370" s="337"/>
      <c r="D370" s="1472"/>
      <c r="E370" s="1472"/>
      <c r="F370" s="1472"/>
      <c r="G370" s="1472"/>
      <c r="H370" s="1472"/>
      <c r="I370" s="1472"/>
      <c r="J370" s="1472"/>
      <c r="K370" s="1472"/>
      <c r="L370" s="1472"/>
      <c r="M370" s="345"/>
      <c r="N370" s="345"/>
      <c r="O370" s="345"/>
      <c r="P370" s="345"/>
      <c r="Q370" s="345"/>
      <c r="R370" s="345"/>
      <c r="S370" s="345"/>
      <c r="T370" s="345"/>
      <c r="U370" s="345"/>
    </row>
    <row r="371" spans="2:21" ht="18" customHeight="1">
      <c r="B371" s="1133" t="s">
        <v>635</v>
      </c>
      <c r="C371" s="1134"/>
      <c r="D371" s="525" t="s">
        <v>875</v>
      </c>
      <c r="E371" s="586"/>
      <c r="F371" s="586"/>
      <c r="G371" s="586"/>
      <c r="H371" s="337"/>
      <c r="M371" s="345"/>
      <c r="N371" s="345"/>
      <c r="O371" s="345"/>
      <c r="P371" s="345"/>
      <c r="Q371" s="345"/>
      <c r="R371" s="345"/>
      <c r="S371" s="345"/>
      <c r="T371" s="345"/>
      <c r="U371" s="345"/>
    </row>
    <row r="372" spans="2:21">
      <c r="B372" s="337"/>
      <c r="C372" s="337"/>
      <c r="D372" s="337"/>
      <c r="E372" s="337"/>
      <c r="F372" s="337"/>
      <c r="G372" s="337"/>
      <c r="H372" s="337"/>
      <c r="M372" s="345"/>
      <c r="N372" s="345"/>
      <c r="O372" s="345"/>
      <c r="P372" s="345"/>
      <c r="Q372" s="345"/>
      <c r="R372" s="345"/>
      <c r="S372" s="345"/>
      <c r="T372" s="345"/>
      <c r="U372" s="345"/>
    </row>
    <row r="373" spans="2:21">
      <c r="B373" s="1133" t="s">
        <v>996</v>
      </c>
      <c r="C373" s="419"/>
      <c r="D373" s="1470" t="s">
        <v>997</v>
      </c>
      <c r="E373" s="1470"/>
      <c r="F373" s="1470"/>
      <c r="G373" s="1470"/>
      <c r="H373" s="1470"/>
      <c r="I373" s="1470"/>
      <c r="J373" s="1470"/>
      <c r="K373" s="1470"/>
      <c r="L373" s="1470"/>
      <c r="M373" s="345"/>
      <c r="N373" s="345"/>
      <c r="O373" s="345"/>
      <c r="P373" s="345"/>
      <c r="Q373" s="345"/>
      <c r="R373" s="345"/>
      <c r="S373" s="345"/>
      <c r="T373" s="345"/>
      <c r="U373" s="345"/>
    </row>
    <row r="374" spans="2:21">
      <c r="B374" s="419"/>
      <c r="C374" s="419"/>
      <c r="D374" s="1470"/>
      <c r="E374" s="1470"/>
      <c r="F374" s="1470"/>
      <c r="G374" s="1470"/>
      <c r="H374" s="1470"/>
      <c r="I374" s="1470"/>
      <c r="J374" s="1470"/>
      <c r="K374" s="1470"/>
      <c r="L374" s="1470"/>
      <c r="M374" s="345"/>
      <c r="N374" s="345"/>
      <c r="O374" s="345"/>
      <c r="P374" s="345"/>
      <c r="Q374" s="345"/>
      <c r="R374" s="345"/>
      <c r="S374" s="345"/>
      <c r="T374" s="345"/>
      <c r="U374" s="345"/>
    </row>
    <row r="375" spans="2:21">
      <c r="B375" s="337"/>
      <c r="C375" s="337"/>
      <c r="D375" s="337"/>
      <c r="E375" s="337"/>
      <c r="F375" s="337"/>
      <c r="G375" s="337"/>
      <c r="H375" s="337"/>
      <c r="M375" s="345"/>
      <c r="N375" s="345"/>
      <c r="O375" s="345"/>
      <c r="P375" s="345"/>
      <c r="Q375" s="345"/>
      <c r="R375" s="345"/>
      <c r="S375" s="345"/>
      <c r="T375" s="345"/>
      <c r="U375" s="345"/>
    </row>
    <row r="376" spans="2:21">
      <c r="B376" s="337"/>
      <c r="C376" s="337"/>
      <c r="D376" s="337"/>
      <c r="E376" s="337"/>
      <c r="F376" s="337"/>
      <c r="G376" s="337"/>
      <c r="H376" s="337"/>
      <c r="M376" s="345"/>
      <c r="N376" s="345"/>
      <c r="O376" s="345"/>
      <c r="P376" s="345"/>
      <c r="Q376" s="345"/>
      <c r="R376" s="345"/>
      <c r="S376" s="345"/>
      <c r="T376" s="345"/>
      <c r="U376" s="345"/>
    </row>
    <row r="377" spans="2:21">
      <c r="B377" s="523"/>
      <c r="C377" s="325"/>
      <c r="D377" s="325"/>
      <c r="E377" s="325"/>
      <c r="F377" s="325"/>
      <c r="G377" s="325"/>
      <c r="H377" s="325"/>
      <c r="I377" s="325"/>
      <c r="J377" s="325"/>
      <c r="K377" s="325"/>
      <c r="L377" s="325"/>
      <c r="M377" s="325"/>
    </row>
    <row r="378" spans="2:21">
      <c r="B378" s="523"/>
      <c r="C378" s="325"/>
      <c r="D378" s="325"/>
      <c r="E378" s="325"/>
      <c r="F378" s="325"/>
      <c r="G378" s="325"/>
      <c r="H378" s="325"/>
      <c r="I378" s="325"/>
      <c r="J378" s="325"/>
      <c r="K378" s="325"/>
      <c r="L378" s="325"/>
      <c r="M378" s="325"/>
    </row>
    <row r="379" spans="2:21">
      <c r="B379" s="523"/>
      <c r="C379" s="325"/>
      <c r="D379" s="325"/>
      <c r="E379" s="325"/>
      <c r="F379" s="325"/>
      <c r="G379" s="325"/>
      <c r="H379" s="325"/>
      <c r="I379" s="325"/>
      <c r="J379" s="325"/>
      <c r="K379" s="325"/>
      <c r="L379" s="325"/>
      <c r="M379" s="325"/>
    </row>
    <row r="380" spans="2:21">
      <c r="B380" s="523"/>
      <c r="C380" s="325"/>
      <c r="D380" s="325"/>
      <c r="E380" s="325"/>
      <c r="F380" s="325"/>
      <c r="G380" s="325"/>
      <c r="H380" s="325"/>
      <c r="I380" s="325"/>
      <c r="J380" s="325"/>
      <c r="K380" s="325"/>
      <c r="L380" s="325"/>
      <c r="M380" s="325"/>
    </row>
    <row r="381" spans="2:21">
      <c r="B381" s="523"/>
      <c r="C381" s="325"/>
      <c r="D381" s="325"/>
      <c r="E381" s="325"/>
      <c r="F381" s="325"/>
      <c r="G381" s="325"/>
      <c r="H381" s="325"/>
      <c r="I381" s="325"/>
      <c r="J381" s="325"/>
      <c r="K381" s="325"/>
      <c r="L381" s="325"/>
      <c r="M381" s="325"/>
    </row>
    <row r="382" spans="2:21">
      <c r="B382" s="523"/>
      <c r="C382" s="325"/>
      <c r="D382" s="325"/>
      <c r="E382" s="325"/>
      <c r="F382" s="325"/>
      <c r="G382" s="325"/>
      <c r="H382" s="325"/>
      <c r="I382" s="325"/>
      <c r="J382" s="325"/>
      <c r="K382" s="325"/>
      <c r="L382" s="325"/>
      <c r="M382" s="325"/>
    </row>
    <row r="383" spans="2:21">
      <c r="B383" s="523"/>
      <c r="C383" s="325"/>
      <c r="D383" s="325"/>
      <c r="E383" s="325"/>
      <c r="F383" s="325"/>
      <c r="G383" s="325"/>
      <c r="H383" s="325"/>
      <c r="I383" s="325"/>
      <c r="J383" s="325"/>
      <c r="K383" s="325"/>
      <c r="L383" s="325"/>
      <c r="M383" s="325"/>
    </row>
    <row r="384" spans="2:21">
      <c r="B384" s="523"/>
      <c r="C384" s="325"/>
      <c r="D384" s="325"/>
      <c r="E384" s="325"/>
      <c r="F384" s="325"/>
      <c r="G384" s="325"/>
      <c r="H384" s="325"/>
      <c r="I384" s="325"/>
      <c r="J384" s="325"/>
      <c r="K384" s="325"/>
      <c r="L384" s="325"/>
      <c r="M384" s="325"/>
    </row>
    <row r="385" spans="2:13">
      <c r="B385" s="523"/>
      <c r="C385" s="325"/>
      <c r="D385" s="325"/>
      <c r="E385" s="325"/>
      <c r="F385" s="325"/>
      <c r="G385" s="325"/>
      <c r="H385" s="325"/>
      <c r="I385" s="325"/>
      <c r="J385" s="325"/>
      <c r="K385" s="325"/>
      <c r="L385" s="325"/>
      <c r="M385" s="325"/>
    </row>
    <row r="386" spans="2:13">
      <c r="B386" s="523"/>
      <c r="C386" s="325"/>
      <c r="D386" s="325"/>
      <c r="E386" s="325"/>
      <c r="F386" s="325"/>
      <c r="G386" s="325"/>
      <c r="H386" s="325"/>
      <c r="I386" s="325"/>
      <c r="J386" s="325"/>
      <c r="K386" s="325"/>
      <c r="L386" s="325"/>
      <c r="M386" s="325"/>
    </row>
    <row r="387" spans="2:13">
      <c r="B387" s="523"/>
      <c r="C387" s="325"/>
      <c r="D387" s="325"/>
      <c r="E387" s="325"/>
      <c r="F387" s="325"/>
      <c r="G387" s="325"/>
      <c r="H387" s="325"/>
      <c r="I387" s="325"/>
      <c r="J387" s="325"/>
      <c r="K387" s="325"/>
      <c r="L387" s="325"/>
      <c r="M387" s="325"/>
    </row>
    <row r="388" spans="2:13">
      <c r="B388" s="523"/>
      <c r="C388" s="325"/>
      <c r="D388" s="325"/>
      <c r="E388" s="325"/>
      <c r="F388" s="325"/>
      <c r="G388" s="325"/>
      <c r="H388" s="325"/>
      <c r="I388" s="325"/>
      <c r="J388" s="325"/>
      <c r="K388" s="325"/>
      <c r="L388" s="325"/>
      <c r="M388" s="325"/>
    </row>
    <row r="389" spans="2:13">
      <c r="B389" s="523"/>
      <c r="C389" s="325"/>
      <c r="D389" s="325"/>
      <c r="E389" s="325"/>
      <c r="F389" s="325"/>
      <c r="G389" s="325"/>
      <c r="H389" s="325"/>
      <c r="I389" s="325"/>
      <c r="J389" s="325"/>
      <c r="K389" s="325"/>
      <c r="L389" s="325"/>
      <c r="M389" s="325"/>
    </row>
    <row r="390" spans="2:13">
      <c r="B390" s="523"/>
      <c r="C390" s="325"/>
      <c r="D390" s="325"/>
      <c r="E390" s="325"/>
      <c r="F390" s="325"/>
      <c r="G390" s="325"/>
      <c r="H390" s="325"/>
      <c r="I390" s="325"/>
      <c r="J390" s="325"/>
      <c r="K390" s="325"/>
      <c r="L390" s="325"/>
      <c r="M390" s="325"/>
    </row>
    <row r="391" spans="2:13">
      <c r="B391" s="523"/>
      <c r="C391" s="325"/>
      <c r="D391" s="325"/>
      <c r="E391" s="325"/>
      <c r="F391" s="325"/>
      <c r="G391" s="325"/>
      <c r="H391" s="325"/>
      <c r="I391" s="325"/>
      <c r="J391" s="325"/>
      <c r="K391" s="325"/>
      <c r="L391" s="325"/>
      <c r="M391" s="325"/>
    </row>
    <row r="392" spans="2:13">
      <c r="B392" s="523"/>
      <c r="C392" s="325"/>
      <c r="D392" s="325"/>
      <c r="E392" s="325"/>
      <c r="F392" s="325"/>
      <c r="G392" s="325"/>
      <c r="H392" s="325"/>
      <c r="I392" s="325"/>
      <c r="J392" s="325"/>
      <c r="K392" s="325"/>
      <c r="L392" s="325"/>
      <c r="M392" s="325"/>
    </row>
    <row r="393" spans="2:13">
      <c r="B393" s="523"/>
      <c r="C393" s="325"/>
      <c r="D393" s="325"/>
      <c r="E393" s="325"/>
      <c r="F393" s="325"/>
      <c r="G393" s="325"/>
      <c r="H393" s="325"/>
      <c r="I393" s="325"/>
      <c r="J393" s="325"/>
      <c r="K393" s="325"/>
      <c r="L393" s="325"/>
      <c r="M393" s="325"/>
    </row>
    <row r="394" spans="2:13">
      <c r="B394" s="523"/>
      <c r="C394" s="325"/>
      <c r="D394" s="325"/>
      <c r="E394" s="325"/>
      <c r="F394" s="325"/>
      <c r="G394" s="325"/>
      <c r="H394" s="325"/>
      <c r="I394" s="325"/>
      <c r="J394" s="325"/>
      <c r="K394" s="325"/>
      <c r="L394" s="325"/>
      <c r="M394" s="325"/>
    </row>
    <row r="395" spans="2:13">
      <c r="B395" s="523"/>
      <c r="C395" s="325"/>
      <c r="D395" s="325"/>
      <c r="E395" s="325"/>
      <c r="F395" s="325"/>
      <c r="G395" s="325"/>
      <c r="H395" s="325"/>
      <c r="I395" s="325"/>
      <c r="J395" s="325"/>
      <c r="K395" s="325"/>
      <c r="L395" s="325"/>
      <c r="M395" s="325"/>
    </row>
    <row r="396" spans="2:13">
      <c r="B396" s="523"/>
      <c r="C396" s="325"/>
      <c r="D396" s="325"/>
      <c r="E396" s="325"/>
      <c r="F396" s="325"/>
      <c r="G396" s="325"/>
      <c r="H396" s="325"/>
      <c r="I396" s="325"/>
      <c r="J396" s="325"/>
      <c r="K396" s="325"/>
      <c r="L396" s="325"/>
      <c r="M396" s="325"/>
    </row>
    <row r="397" spans="2:13">
      <c r="B397" s="523"/>
      <c r="C397" s="325"/>
      <c r="D397" s="325"/>
      <c r="E397" s="325"/>
      <c r="F397" s="325"/>
      <c r="G397" s="325"/>
      <c r="H397" s="325"/>
      <c r="I397" s="325"/>
      <c r="J397" s="325"/>
      <c r="K397" s="325"/>
      <c r="L397" s="325"/>
      <c r="M397" s="325"/>
    </row>
    <row r="398" spans="2:13">
      <c r="B398" s="523"/>
      <c r="C398" s="325"/>
      <c r="D398" s="325"/>
      <c r="E398" s="325"/>
      <c r="F398" s="325"/>
      <c r="G398" s="325"/>
      <c r="H398" s="325"/>
      <c r="I398" s="325"/>
      <c r="J398" s="325"/>
      <c r="K398" s="325"/>
      <c r="L398" s="325"/>
      <c r="M398" s="325"/>
    </row>
    <row r="399" spans="2:13">
      <c r="B399" s="523"/>
      <c r="C399" s="325"/>
      <c r="D399" s="325"/>
      <c r="E399" s="325"/>
      <c r="F399" s="325"/>
      <c r="G399" s="325"/>
      <c r="H399" s="325"/>
      <c r="I399" s="325"/>
      <c r="J399" s="325"/>
      <c r="K399" s="325"/>
      <c r="L399" s="325"/>
      <c r="M399" s="325"/>
    </row>
    <row r="400" spans="2:13">
      <c r="B400" s="523"/>
      <c r="C400" s="325"/>
      <c r="D400" s="325"/>
      <c r="E400" s="325"/>
      <c r="F400" s="325"/>
      <c r="G400" s="325"/>
      <c r="H400" s="325"/>
      <c r="I400" s="325"/>
      <c r="J400" s="325"/>
      <c r="K400" s="325"/>
      <c r="L400" s="325"/>
      <c r="M400" s="325"/>
    </row>
    <row r="401" spans="2:13">
      <c r="B401" s="523"/>
      <c r="C401" s="325"/>
      <c r="D401" s="325"/>
      <c r="E401" s="325"/>
      <c r="F401" s="325"/>
      <c r="G401" s="325"/>
      <c r="H401" s="325"/>
      <c r="I401" s="325"/>
      <c r="J401" s="325"/>
      <c r="K401" s="325"/>
      <c r="L401" s="325"/>
      <c r="M401" s="325"/>
    </row>
    <row r="402" spans="2:13">
      <c r="B402" s="523"/>
      <c r="C402" s="325"/>
      <c r="D402" s="325"/>
      <c r="E402" s="325"/>
      <c r="F402" s="325"/>
      <c r="G402" s="325"/>
      <c r="H402" s="325"/>
      <c r="I402" s="325"/>
      <c r="J402" s="325"/>
      <c r="K402" s="325"/>
      <c r="L402" s="325"/>
      <c r="M402" s="325"/>
    </row>
    <row r="403" spans="2:13">
      <c r="B403" s="523"/>
      <c r="C403" s="325"/>
      <c r="D403" s="325"/>
      <c r="E403" s="325"/>
      <c r="F403" s="325"/>
      <c r="G403" s="325"/>
      <c r="H403" s="325"/>
      <c r="I403" s="325"/>
      <c r="J403" s="325"/>
      <c r="K403" s="325"/>
      <c r="L403" s="325"/>
      <c r="M403" s="325"/>
    </row>
    <row r="404" spans="2:13">
      <c r="B404" s="523"/>
      <c r="C404" s="325"/>
      <c r="D404" s="325"/>
      <c r="E404" s="325"/>
      <c r="F404" s="325"/>
      <c r="G404" s="325"/>
      <c r="H404" s="325"/>
      <c r="I404" s="325"/>
      <c r="J404" s="325"/>
      <c r="K404" s="325"/>
      <c r="L404" s="325"/>
      <c r="M404" s="325"/>
    </row>
    <row r="405" spans="2:13">
      <c r="B405" s="523"/>
      <c r="C405" s="325"/>
      <c r="D405" s="325"/>
      <c r="E405" s="325"/>
      <c r="F405" s="325"/>
      <c r="G405" s="325"/>
      <c r="H405" s="325"/>
      <c r="I405" s="325"/>
      <c r="J405" s="325"/>
      <c r="K405" s="325"/>
      <c r="L405" s="325"/>
      <c r="M405" s="325"/>
    </row>
    <row r="406" spans="2:13">
      <c r="B406" s="523"/>
      <c r="C406" s="325"/>
      <c r="D406" s="325"/>
      <c r="E406" s="325"/>
      <c r="F406" s="325"/>
      <c r="G406" s="325"/>
      <c r="H406" s="325"/>
      <c r="I406" s="325"/>
      <c r="J406" s="325"/>
      <c r="K406" s="325"/>
      <c r="L406" s="325"/>
      <c r="M406" s="325"/>
    </row>
    <row r="407" spans="2:13">
      <c r="B407" s="523"/>
      <c r="C407" s="325"/>
      <c r="D407" s="325"/>
      <c r="E407" s="325"/>
      <c r="F407" s="325"/>
      <c r="G407" s="325"/>
      <c r="H407" s="325"/>
      <c r="I407" s="325"/>
      <c r="J407" s="325"/>
      <c r="K407" s="325"/>
      <c r="L407" s="325"/>
      <c r="M407" s="325"/>
    </row>
    <row r="408" spans="2:13">
      <c r="B408" s="523"/>
      <c r="C408" s="325"/>
      <c r="D408" s="325"/>
      <c r="E408" s="325"/>
      <c r="F408" s="325"/>
      <c r="G408" s="325"/>
      <c r="H408" s="325"/>
      <c r="I408" s="325"/>
      <c r="J408" s="325"/>
      <c r="K408" s="325"/>
      <c r="L408" s="325"/>
      <c r="M408" s="325"/>
    </row>
    <row r="409" spans="2:13">
      <c r="B409" s="523"/>
      <c r="C409" s="325"/>
      <c r="D409" s="325"/>
      <c r="E409" s="325"/>
      <c r="F409" s="325"/>
      <c r="G409" s="325"/>
      <c r="H409" s="325"/>
      <c r="I409" s="325"/>
      <c r="J409" s="325"/>
      <c r="K409" s="325"/>
      <c r="L409" s="325"/>
      <c r="M409" s="325"/>
    </row>
    <row r="410" spans="2:13">
      <c r="B410" s="523"/>
      <c r="C410" s="325"/>
      <c r="D410" s="325"/>
      <c r="E410" s="325"/>
      <c r="F410" s="325"/>
      <c r="G410" s="325"/>
      <c r="H410" s="325"/>
      <c r="I410" s="325"/>
      <c r="J410" s="325"/>
      <c r="K410" s="325"/>
      <c r="L410" s="325"/>
      <c r="M410" s="325"/>
    </row>
    <row r="411" spans="2:13">
      <c r="B411" s="523"/>
      <c r="C411" s="325"/>
      <c r="D411" s="325"/>
      <c r="E411" s="325"/>
      <c r="F411" s="325"/>
      <c r="G411" s="325"/>
      <c r="H411" s="325"/>
      <c r="I411" s="325"/>
      <c r="J411" s="325"/>
      <c r="K411" s="325"/>
      <c r="L411" s="325"/>
      <c r="M411" s="325"/>
    </row>
    <row r="412" spans="2:13">
      <c r="B412" s="523"/>
      <c r="C412" s="325"/>
      <c r="D412" s="325"/>
      <c r="E412" s="325"/>
      <c r="F412" s="325"/>
      <c r="G412" s="325"/>
      <c r="H412" s="325"/>
      <c r="I412" s="325"/>
      <c r="J412" s="325"/>
      <c r="K412" s="325"/>
      <c r="L412" s="325"/>
      <c r="M412" s="325"/>
    </row>
    <row r="413" spans="2:13">
      <c r="B413" s="523"/>
      <c r="C413" s="325"/>
      <c r="D413" s="325"/>
      <c r="E413" s="325"/>
      <c r="F413" s="325"/>
      <c r="G413" s="325"/>
      <c r="H413" s="325"/>
      <c r="I413" s="325"/>
      <c r="J413" s="325"/>
      <c r="K413" s="325"/>
      <c r="L413" s="325"/>
      <c r="M413" s="325"/>
    </row>
    <row r="414" spans="2:13">
      <c r="B414" s="523"/>
      <c r="C414" s="325"/>
      <c r="D414" s="325"/>
      <c r="E414" s="325"/>
      <c r="F414" s="325"/>
      <c r="G414" s="325"/>
      <c r="H414" s="325"/>
      <c r="I414" s="325"/>
      <c r="J414" s="325"/>
      <c r="K414" s="325"/>
      <c r="L414" s="325"/>
      <c r="M414" s="325"/>
    </row>
    <row r="415" spans="2:13">
      <c r="B415" s="523"/>
      <c r="C415" s="325"/>
      <c r="D415" s="325"/>
      <c r="E415" s="325"/>
      <c r="F415" s="325"/>
      <c r="G415" s="325"/>
      <c r="H415" s="325"/>
      <c r="I415" s="325"/>
      <c r="J415" s="325"/>
      <c r="K415" s="325"/>
      <c r="L415" s="325"/>
      <c r="M415" s="325"/>
    </row>
    <row r="416" spans="2:13">
      <c r="B416" s="523"/>
      <c r="C416" s="325"/>
      <c r="D416" s="325"/>
      <c r="E416" s="325"/>
      <c r="F416" s="325"/>
      <c r="G416" s="325"/>
      <c r="H416" s="325"/>
      <c r="I416" s="325"/>
      <c r="J416" s="325"/>
      <c r="K416" s="325"/>
      <c r="L416" s="325"/>
      <c r="M416" s="325"/>
    </row>
    <row r="417" spans="2:13">
      <c r="B417" s="523"/>
      <c r="C417" s="325"/>
      <c r="D417" s="325"/>
      <c r="E417" s="325"/>
      <c r="F417" s="325"/>
      <c r="G417" s="325"/>
      <c r="H417" s="325"/>
      <c r="I417" s="325"/>
      <c r="J417" s="325"/>
      <c r="K417" s="325"/>
      <c r="L417" s="325"/>
      <c r="M417" s="325"/>
    </row>
    <row r="418" spans="2:13">
      <c r="B418" s="523"/>
      <c r="C418" s="325"/>
      <c r="D418" s="325"/>
      <c r="E418" s="325"/>
      <c r="F418" s="325"/>
      <c r="G418" s="325"/>
      <c r="H418" s="325"/>
      <c r="I418" s="325"/>
      <c r="J418" s="325"/>
      <c r="K418" s="325"/>
      <c r="L418" s="325"/>
      <c r="M418" s="325"/>
    </row>
    <row r="419" spans="2:13">
      <c r="B419" s="523"/>
      <c r="C419" s="325"/>
      <c r="D419" s="325"/>
      <c r="E419" s="325"/>
      <c r="F419" s="325"/>
      <c r="G419" s="325"/>
      <c r="H419" s="325"/>
      <c r="I419" s="325"/>
      <c r="J419" s="325"/>
      <c r="K419" s="325"/>
      <c r="L419" s="325"/>
      <c r="M419" s="325"/>
    </row>
    <row r="420" spans="2:13">
      <c r="B420" s="523"/>
      <c r="C420" s="325"/>
      <c r="D420" s="325"/>
      <c r="E420" s="325"/>
      <c r="F420" s="325"/>
      <c r="G420" s="325"/>
      <c r="H420" s="325"/>
      <c r="I420" s="325"/>
      <c r="J420" s="325"/>
      <c r="K420" s="325"/>
      <c r="L420" s="325"/>
      <c r="M420" s="325"/>
    </row>
    <row r="421" spans="2:13">
      <c r="B421" s="523"/>
      <c r="C421" s="325"/>
      <c r="D421" s="325"/>
      <c r="E421" s="325"/>
      <c r="F421" s="325"/>
      <c r="G421" s="325"/>
      <c r="H421" s="325"/>
      <c r="I421" s="325"/>
      <c r="J421" s="325"/>
      <c r="K421" s="325"/>
      <c r="L421" s="325"/>
      <c r="M421" s="325"/>
    </row>
    <row r="422" spans="2:13">
      <c r="B422" s="523"/>
      <c r="C422" s="325"/>
      <c r="D422" s="325"/>
      <c r="E422" s="325"/>
      <c r="F422" s="325"/>
      <c r="G422" s="325"/>
      <c r="H422" s="325"/>
      <c r="I422" s="325"/>
      <c r="J422" s="325"/>
      <c r="K422" s="325"/>
      <c r="L422" s="325"/>
      <c r="M422" s="325"/>
    </row>
    <row r="423" spans="2:13">
      <c r="B423" s="523"/>
      <c r="C423" s="325"/>
      <c r="D423" s="325"/>
      <c r="E423" s="325"/>
      <c r="F423" s="325"/>
      <c r="G423" s="325"/>
      <c r="H423" s="325"/>
      <c r="I423" s="325"/>
      <c r="J423" s="325"/>
      <c r="K423" s="325"/>
      <c r="L423" s="325"/>
      <c r="M423" s="325"/>
    </row>
    <row r="424" spans="2:13">
      <c r="B424" s="523"/>
      <c r="C424" s="325"/>
      <c r="D424" s="325"/>
      <c r="E424" s="325"/>
      <c r="F424" s="325"/>
      <c r="G424" s="325"/>
      <c r="H424" s="325"/>
      <c r="I424" s="325"/>
      <c r="J424" s="325"/>
      <c r="K424" s="325"/>
      <c r="L424" s="325"/>
      <c r="M424" s="325"/>
    </row>
    <row r="425" spans="2:13">
      <c r="B425" s="523"/>
      <c r="C425" s="325"/>
      <c r="D425" s="325"/>
      <c r="E425" s="325"/>
      <c r="F425" s="325"/>
      <c r="G425" s="325"/>
      <c r="H425" s="325"/>
      <c r="I425" s="325"/>
      <c r="J425" s="325"/>
      <c r="K425" s="325"/>
      <c r="L425" s="325"/>
      <c r="M425" s="325"/>
    </row>
    <row r="426" spans="2:13">
      <c r="B426" s="523"/>
      <c r="C426" s="325"/>
      <c r="D426" s="325"/>
      <c r="E426" s="325"/>
      <c r="F426" s="325"/>
      <c r="G426" s="325"/>
      <c r="H426" s="325"/>
      <c r="I426" s="325"/>
      <c r="J426" s="325"/>
      <c r="K426" s="325"/>
      <c r="L426" s="325"/>
      <c r="M426" s="325"/>
    </row>
    <row r="427" spans="2:13">
      <c r="B427" s="523"/>
      <c r="C427" s="325"/>
      <c r="D427" s="325"/>
      <c r="E427" s="325"/>
      <c r="F427" s="325"/>
      <c r="G427" s="325"/>
      <c r="H427" s="325"/>
      <c r="I427" s="325"/>
      <c r="J427" s="325"/>
      <c r="K427" s="325"/>
      <c r="L427" s="325"/>
      <c r="M427" s="325"/>
    </row>
    <row r="428" spans="2:13">
      <c r="B428" s="523"/>
      <c r="C428" s="325"/>
      <c r="D428" s="325"/>
      <c r="E428" s="325"/>
      <c r="F428" s="325"/>
      <c r="G428" s="325"/>
      <c r="H428" s="325"/>
      <c r="I428" s="325"/>
      <c r="J428" s="325"/>
      <c r="K428" s="325"/>
      <c r="L428" s="325"/>
      <c r="M428" s="325"/>
    </row>
    <row r="429" spans="2:13">
      <c r="B429" s="523"/>
      <c r="C429" s="325"/>
      <c r="D429" s="325"/>
      <c r="E429" s="325"/>
      <c r="F429" s="325"/>
      <c r="G429" s="325"/>
      <c r="H429" s="325"/>
      <c r="I429" s="325"/>
      <c r="J429" s="325"/>
      <c r="K429" s="325"/>
      <c r="L429" s="325"/>
      <c r="M429" s="325"/>
    </row>
    <row r="430" spans="2:13">
      <c r="B430" s="523"/>
      <c r="C430" s="325"/>
      <c r="D430" s="325"/>
      <c r="E430" s="325"/>
      <c r="F430" s="325"/>
      <c r="G430" s="325"/>
      <c r="H430" s="325"/>
      <c r="I430" s="325"/>
      <c r="J430" s="325"/>
      <c r="K430" s="325"/>
      <c r="L430" s="325"/>
      <c r="M430" s="325"/>
    </row>
    <row r="431" spans="2:13">
      <c r="B431" s="523"/>
      <c r="C431" s="325"/>
      <c r="D431" s="325"/>
      <c r="E431" s="325"/>
      <c r="F431" s="325"/>
      <c r="G431" s="325"/>
      <c r="H431" s="325"/>
      <c r="I431" s="325"/>
      <c r="J431" s="325"/>
      <c r="K431" s="325"/>
      <c r="L431" s="325"/>
      <c r="M431" s="325"/>
    </row>
    <row r="432" spans="2:13">
      <c r="B432" s="523"/>
      <c r="C432" s="325"/>
      <c r="D432" s="325"/>
      <c r="E432" s="325"/>
      <c r="F432" s="325"/>
      <c r="G432" s="325"/>
      <c r="H432" s="325"/>
      <c r="I432" s="325"/>
      <c r="J432" s="325"/>
      <c r="K432" s="325"/>
      <c r="L432" s="325"/>
      <c r="M432" s="325"/>
    </row>
    <row r="433" spans="2:13">
      <c r="B433" s="523"/>
      <c r="C433" s="325"/>
      <c r="D433" s="325"/>
      <c r="E433" s="325"/>
      <c r="F433" s="325"/>
      <c r="G433" s="325"/>
      <c r="H433" s="325"/>
      <c r="I433" s="325"/>
      <c r="J433" s="325"/>
      <c r="K433" s="325"/>
      <c r="L433" s="325"/>
      <c r="M433" s="325"/>
    </row>
    <row r="434" spans="2:13">
      <c r="B434" s="523"/>
      <c r="C434" s="325"/>
      <c r="D434" s="325"/>
      <c r="E434" s="325"/>
      <c r="F434" s="325"/>
      <c r="G434" s="325"/>
      <c r="H434" s="325"/>
      <c r="I434" s="325"/>
      <c r="J434" s="325"/>
      <c r="K434" s="325"/>
      <c r="L434" s="325"/>
      <c r="M434" s="325"/>
    </row>
    <row r="435" spans="2:13">
      <c r="B435" s="523"/>
      <c r="C435" s="325"/>
      <c r="D435" s="325"/>
      <c r="E435" s="325"/>
      <c r="F435" s="325"/>
      <c r="G435" s="325"/>
      <c r="H435" s="325"/>
      <c r="I435" s="325"/>
      <c r="J435" s="325"/>
      <c r="K435" s="325"/>
      <c r="L435" s="325"/>
      <c r="M435" s="325"/>
    </row>
    <row r="436" spans="2:13">
      <c r="B436" s="523"/>
      <c r="C436" s="325"/>
      <c r="D436" s="325"/>
      <c r="E436" s="325"/>
      <c r="F436" s="325"/>
      <c r="G436" s="325"/>
      <c r="H436" s="325"/>
      <c r="I436" s="325"/>
      <c r="J436" s="325"/>
      <c r="K436" s="325"/>
      <c r="L436" s="325"/>
      <c r="M436" s="325"/>
    </row>
    <row r="437" spans="2:13">
      <c r="B437" s="523"/>
      <c r="C437" s="325"/>
      <c r="D437" s="325"/>
      <c r="E437" s="325"/>
      <c r="F437" s="325"/>
      <c r="G437" s="325"/>
      <c r="H437" s="325"/>
      <c r="I437" s="325"/>
      <c r="J437" s="325"/>
      <c r="K437" s="325"/>
      <c r="L437" s="325"/>
      <c r="M437" s="325"/>
    </row>
    <row r="438" spans="2:13">
      <c r="B438" s="523"/>
      <c r="C438" s="325"/>
      <c r="D438" s="325"/>
      <c r="E438" s="325"/>
      <c r="F438" s="325"/>
      <c r="G438" s="325"/>
      <c r="H438" s="325"/>
      <c r="I438" s="325"/>
      <c r="J438" s="325"/>
      <c r="K438" s="325"/>
      <c r="L438" s="325"/>
      <c r="M438" s="325"/>
    </row>
    <row r="439" spans="2:13">
      <c r="B439" s="523"/>
      <c r="C439" s="325"/>
      <c r="D439" s="325"/>
      <c r="E439" s="325"/>
      <c r="F439" s="325"/>
      <c r="G439" s="325"/>
      <c r="H439" s="325"/>
      <c r="I439" s="325"/>
      <c r="J439" s="325"/>
      <c r="K439" s="325"/>
      <c r="L439" s="325"/>
      <c r="M439" s="325"/>
    </row>
    <row r="440" spans="2:13">
      <c r="B440" s="523"/>
      <c r="C440" s="325"/>
      <c r="D440" s="325"/>
      <c r="E440" s="325"/>
      <c r="F440" s="325"/>
      <c r="G440" s="325"/>
      <c r="H440" s="325"/>
      <c r="I440" s="325"/>
      <c r="J440" s="325"/>
      <c r="K440" s="325"/>
      <c r="L440" s="325"/>
      <c r="M440" s="325"/>
    </row>
    <row r="441" spans="2:13">
      <c r="B441" s="523"/>
      <c r="C441" s="325"/>
      <c r="D441" s="325"/>
      <c r="E441" s="325"/>
      <c r="F441" s="325"/>
      <c r="G441" s="325"/>
      <c r="H441" s="325"/>
      <c r="I441" s="325"/>
      <c r="J441" s="325"/>
      <c r="K441" s="325"/>
      <c r="L441" s="325"/>
      <c r="M441" s="325"/>
    </row>
    <row r="442" spans="2:13">
      <c r="B442" s="523"/>
      <c r="C442" s="325"/>
      <c r="D442" s="325"/>
      <c r="E442" s="325"/>
      <c r="F442" s="325"/>
      <c r="G442" s="325"/>
      <c r="H442" s="325"/>
      <c r="I442" s="325"/>
      <c r="J442" s="325"/>
      <c r="K442" s="325"/>
      <c r="L442" s="325"/>
      <c r="M442" s="325"/>
    </row>
    <row r="443" spans="2:13">
      <c r="B443" s="523"/>
      <c r="C443" s="325"/>
      <c r="D443" s="325"/>
      <c r="E443" s="325"/>
      <c r="F443" s="325"/>
      <c r="G443" s="325"/>
      <c r="H443" s="325"/>
      <c r="I443" s="325"/>
      <c r="J443" s="325"/>
      <c r="K443" s="325"/>
      <c r="L443" s="325"/>
      <c r="M443" s="325"/>
    </row>
    <row r="444" spans="2:13">
      <c r="B444" s="523"/>
      <c r="C444" s="325"/>
      <c r="D444" s="325"/>
      <c r="E444" s="325"/>
      <c r="F444" s="325"/>
      <c r="G444" s="325"/>
      <c r="H444" s="325"/>
      <c r="I444" s="325"/>
      <c r="J444" s="325"/>
      <c r="K444" s="325"/>
      <c r="L444" s="325"/>
      <c r="M444" s="325"/>
    </row>
    <row r="445" spans="2:13">
      <c r="B445" s="523"/>
      <c r="C445" s="325"/>
      <c r="D445" s="325"/>
      <c r="E445" s="325"/>
      <c r="F445" s="325"/>
      <c r="G445" s="325"/>
      <c r="H445" s="325"/>
      <c r="I445" s="325"/>
      <c r="J445" s="325"/>
      <c r="K445" s="325"/>
      <c r="L445" s="325"/>
      <c r="M445" s="325"/>
    </row>
    <row r="446" spans="2:13">
      <c r="B446" s="523"/>
      <c r="C446" s="325"/>
      <c r="D446" s="325"/>
      <c r="E446" s="325"/>
      <c r="F446" s="325"/>
      <c r="G446" s="325"/>
      <c r="H446" s="325"/>
      <c r="I446" s="325"/>
      <c r="J446" s="325"/>
      <c r="K446" s="325"/>
      <c r="L446" s="325"/>
      <c r="M446" s="325"/>
    </row>
    <row r="447" spans="2:13">
      <c r="B447" s="523"/>
      <c r="C447" s="325"/>
      <c r="D447" s="325"/>
      <c r="E447" s="325"/>
      <c r="F447" s="325"/>
      <c r="G447" s="325"/>
      <c r="H447" s="325"/>
      <c r="I447" s="325"/>
      <c r="J447" s="325"/>
      <c r="K447" s="325"/>
      <c r="L447" s="325"/>
      <c r="M447" s="325"/>
    </row>
    <row r="448" spans="2:13">
      <c r="B448" s="523"/>
      <c r="C448" s="325"/>
      <c r="D448" s="325"/>
      <c r="E448" s="325"/>
      <c r="F448" s="325"/>
      <c r="G448" s="325"/>
      <c r="H448" s="325"/>
      <c r="I448" s="325"/>
      <c r="J448" s="325"/>
      <c r="K448" s="325"/>
      <c r="L448" s="325"/>
      <c r="M448" s="325"/>
    </row>
    <row r="449" spans="2:13">
      <c r="B449" s="523"/>
      <c r="C449" s="325"/>
      <c r="D449" s="325"/>
      <c r="E449" s="325"/>
      <c r="F449" s="325"/>
      <c r="G449" s="325"/>
      <c r="H449" s="325"/>
      <c r="I449" s="325"/>
      <c r="J449" s="325"/>
      <c r="K449" s="325"/>
      <c r="L449" s="325"/>
      <c r="M449" s="325"/>
    </row>
    <row r="450" spans="2:13">
      <c r="B450" s="523"/>
      <c r="C450" s="325"/>
      <c r="D450" s="325"/>
      <c r="E450" s="325"/>
      <c r="F450" s="325"/>
      <c r="G450" s="325"/>
      <c r="H450" s="325"/>
      <c r="I450" s="325"/>
      <c r="J450" s="325"/>
      <c r="K450" s="325"/>
      <c r="L450" s="325"/>
      <c r="M450" s="325"/>
    </row>
    <row r="451" spans="2:13">
      <c r="B451" s="523"/>
      <c r="C451" s="325"/>
      <c r="D451" s="325"/>
      <c r="E451" s="325"/>
      <c r="F451" s="325"/>
      <c r="G451" s="325"/>
      <c r="H451" s="325"/>
      <c r="I451" s="325"/>
      <c r="J451" s="325"/>
      <c r="K451" s="325"/>
      <c r="L451" s="325"/>
      <c r="M451" s="325"/>
    </row>
    <row r="452" spans="2:13">
      <c r="B452" s="523"/>
      <c r="C452" s="325"/>
      <c r="D452" s="325"/>
      <c r="E452" s="325"/>
      <c r="F452" s="325"/>
      <c r="G452" s="325"/>
      <c r="H452" s="325"/>
      <c r="I452" s="325"/>
      <c r="J452" s="325"/>
      <c r="K452" s="325"/>
      <c r="L452" s="325"/>
      <c r="M452" s="325"/>
    </row>
    <row r="453" spans="2:13">
      <c r="B453" s="523"/>
      <c r="C453" s="325"/>
      <c r="D453" s="325"/>
      <c r="E453" s="325"/>
      <c r="F453" s="325"/>
      <c r="G453" s="325"/>
      <c r="H453" s="325"/>
      <c r="I453" s="325"/>
      <c r="J453" s="325"/>
      <c r="K453" s="325"/>
      <c r="L453" s="325"/>
      <c r="M453" s="325"/>
    </row>
    <row r="454" spans="2:13">
      <c r="B454" s="523"/>
      <c r="C454" s="325"/>
      <c r="D454" s="325"/>
      <c r="E454" s="325"/>
      <c r="F454" s="325"/>
      <c r="G454" s="325"/>
      <c r="H454" s="325"/>
      <c r="I454" s="325"/>
      <c r="J454" s="325"/>
      <c r="K454" s="325"/>
      <c r="L454" s="325"/>
      <c r="M454" s="325"/>
    </row>
    <row r="455" spans="2:13">
      <c r="B455" s="523"/>
      <c r="C455" s="325"/>
      <c r="D455" s="325"/>
      <c r="E455" s="325"/>
      <c r="F455" s="325"/>
      <c r="G455" s="325"/>
      <c r="H455" s="325"/>
      <c r="I455" s="325"/>
      <c r="J455" s="325"/>
      <c r="K455" s="325"/>
      <c r="L455" s="325"/>
      <c r="M455" s="325"/>
    </row>
    <row r="456" spans="2:13">
      <c r="B456" s="523"/>
      <c r="C456" s="325"/>
      <c r="D456" s="325"/>
      <c r="E456" s="325"/>
      <c r="F456" s="325"/>
      <c r="G456" s="325"/>
      <c r="H456" s="325"/>
      <c r="I456" s="325"/>
      <c r="J456" s="325"/>
      <c r="K456" s="325"/>
      <c r="L456" s="325"/>
      <c r="M456" s="325"/>
    </row>
    <row r="457" spans="2:13">
      <c r="B457" s="523"/>
      <c r="C457" s="325"/>
      <c r="D457" s="325"/>
      <c r="E457" s="325"/>
      <c r="F457" s="325"/>
      <c r="G457" s="325"/>
      <c r="H457" s="325"/>
      <c r="I457" s="325"/>
      <c r="J457" s="325"/>
      <c r="K457" s="325"/>
      <c r="L457" s="325"/>
      <c r="M457" s="325"/>
    </row>
    <row r="458" spans="2:13">
      <c r="B458" s="523"/>
      <c r="C458" s="325"/>
      <c r="D458" s="325"/>
      <c r="E458" s="325"/>
      <c r="F458" s="325"/>
      <c r="G458" s="325"/>
      <c r="H458" s="325"/>
      <c r="I458" s="325"/>
      <c r="J458" s="325"/>
      <c r="K458" s="325"/>
      <c r="L458" s="325"/>
      <c r="M458" s="325"/>
    </row>
    <row r="459" spans="2:13">
      <c r="B459" s="523"/>
      <c r="C459" s="325"/>
      <c r="D459" s="325"/>
      <c r="E459" s="325"/>
      <c r="F459" s="325"/>
      <c r="G459" s="325"/>
      <c r="H459" s="325"/>
      <c r="I459" s="325"/>
      <c r="J459" s="325"/>
      <c r="K459" s="325"/>
      <c r="L459" s="325"/>
      <c r="M459" s="325"/>
    </row>
    <row r="460" spans="2:13">
      <c r="B460" s="523"/>
      <c r="C460" s="325"/>
      <c r="D460" s="325"/>
      <c r="E460" s="325"/>
      <c r="F460" s="325"/>
      <c r="G460" s="325"/>
      <c r="H460" s="325"/>
      <c r="I460" s="325"/>
      <c r="J460" s="325"/>
      <c r="K460" s="325"/>
      <c r="L460" s="325"/>
      <c r="M460" s="325"/>
    </row>
    <row r="461" spans="2:13">
      <c r="B461" s="523"/>
      <c r="C461" s="325"/>
      <c r="D461" s="325"/>
      <c r="E461" s="325"/>
      <c r="F461" s="325"/>
      <c r="G461" s="325"/>
      <c r="H461" s="325"/>
      <c r="I461" s="325"/>
      <c r="J461" s="325"/>
      <c r="K461" s="325"/>
      <c r="L461" s="325"/>
      <c r="M461" s="325"/>
    </row>
    <row r="462" spans="2:13">
      <c r="B462" s="523"/>
      <c r="C462" s="325"/>
      <c r="D462" s="325"/>
      <c r="E462" s="325"/>
      <c r="F462" s="325"/>
      <c r="G462" s="325"/>
      <c r="H462" s="325"/>
      <c r="I462" s="325"/>
      <c r="J462" s="325"/>
      <c r="K462" s="325"/>
      <c r="L462" s="325"/>
      <c r="M462" s="325"/>
    </row>
    <row r="463" spans="2:13">
      <c r="B463" s="523"/>
      <c r="C463" s="325"/>
      <c r="D463" s="325"/>
      <c r="E463" s="325"/>
      <c r="F463" s="325"/>
      <c r="G463" s="325"/>
      <c r="H463" s="325"/>
      <c r="I463" s="325"/>
      <c r="J463" s="325"/>
      <c r="K463" s="325"/>
      <c r="L463" s="325"/>
      <c r="M463" s="325"/>
    </row>
    <row r="464" spans="2:13">
      <c r="B464" s="523"/>
      <c r="C464" s="325"/>
      <c r="D464" s="325"/>
      <c r="E464" s="325"/>
      <c r="F464" s="325"/>
      <c r="G464" s="325"/>
      <c r="H464" s="325"/>
      <c r="I464" s="325"/>
      <c r="J464" s="325"/>
      <c r="K464" s="325"/>
      <c r="L464" s="325"/>
      <c r="M464" s="325"/>
    </row>
    <row r="465" spans="2:13">
      <c r="B465" s="523"/>
      <c r="C465" s="325"/>
      <c r="D465" s="325"/>
      <c r="E465" s="325"/>
      <c r="F465" s="325"/>
      <c r="G465" s="325"/>
      <c r="H465" s="325"/>
      <c r="I465" s="325"/>
      <c r="J465" s="325"/>
      <c r="K465" s="325"/>
      <c r="L465" s="325"/>
      <c r="M465" s="325"/>
    </row>
    <row r="466" spans="2:13">
      <c r="B466" s="523"/>
      <c r="C466" s="325"/>
      <c r="D466" s="325"/>
      <c r="E466" s="325"/>
      <c r="F466" s="325"/>
      <c r="G466" s="325"/>
      <c r="H466" s="325"/>
      <c r="I466" s="325"/>
      <c r="J466" s="325"/>
      <c r="K466" s="325"/>
      <c r="L466" s="325"/>
      <c r="M466" s="325"/>
    </row>
    <row r="467" spans="2:13">
      <c r="B467" s="523"/>
      <c r="C467" s="325"/>
      <c r="D467" s="325"/>
      <c r="E467" s="325"/>
      <c r="F467" s="325"/>
      <c r="G467" s="325"/>
      <c r="H467" s="325"/>
      <c r="I467" s="325"/>
      <c r="J467" s="325"/>
      <c r="K467" s="325"/>
      <c r="L467" s="325"/>
      <c r="M467" s="325"/>
    </row>
    <row r="468" spans="2:13">
      <c r="B468" s="523"/>
      <c r="C468" s="325"/>
      <c r="D468" s="325"/>
      <c r="E468" s="325"/>
      <c r="F468" s="325"/>
      <c r="G468" s="325"/>
      <c r="H468" s="325"/>
      <c r="I468" s="325"/>
      <c r="J468" s="325"/>
      <c r="K468" s="325"/>
      <c r="L468" s="325"/>
      <c r="M468" s="325"/>
    </row>
    <row r="469" spans="2:13">
      <c r="B469" s="523"/>
      <c r="C469" s="325"/>
      <c r="D469" s="325"/>
      <c r="E469" s="325"/>
      <c r="F469" s="325"/>
      <c r="G469" s="325"/>
      <c r="H469" s="325"/>
      <c r="I469" s="325"/>
      <c r="J469" s="325"/>
      <c r="K469" s="325"/>
      <c r="L469" s="325"/>
      <c r="M469" s="325"/>
    </row>
    <row r="470" spans="2:13">
      <c r="B470" s="523"/>
      <c r="C470" s="325"/>
      <c r="D470" s="325"/>
      <c r="E470" s="325"/>
      <c r="F470" s="325"/>
      <c r="G470" s="325"/>
      <c r="H470" s="325"/>
      <c r="I470" s="325"/>
      <c r="J470" s="325"/>
      <c r="K470" s="325"/>
      <c r="L470" s="325"/>
      <c r="M470" s="325"/>
    </row>
    <row r="471" spans="2:13">
      <c r="B471" s="523"/>
      <c r="C471" s="325"/>
      <c r="D471" s="325"/>
      <c r="E471" s="325"/>
      <c r="F471" s="325"/>
      <c r="G471" s="325"/>
      <c r="H471" s="325"/>
      <c r="I471" s="325"/>
      <c r="J471" s="325"/>
      <c r="K471" s="325"/>
      <c r="L471" s="325"/>
      <c r="M471" s="325"/>
    </row>
    <row r="472" spans="2:13">
      <c r="B472" s="523"/>
      <c r="C472" s="325"/>
      <c r="D472" s="325"/>
      <c r="E472" s="325"/>
      <c r="F472" s="325"/>
      <c r="G472" s="325"/>
      <c r="H472" s="325"/>
      <c r="I472" s="325"/>
      <c r="J472" s="325"/>
      <c r="K472" s="325"/>
      <c r="L472" s="325"/>
      <c r="M472" s="325"/>
    </row>
    <row r="473" spans="2:13">
      <c r="B473" s="523"/>
      <c r="C473" s="325"/>
      <c r="D473" s="325"/>
      <c r="E473" s="325"/>
      <c r="F473" s="325"/>
      <c r="G473" s="325"/>
      <c r="H473" s="325"/>
      <c r="I473" s="325"/>
      <c r="J473" s="325"/>
      <c r="K473" s="325"/>
      <c r="L473" s="325"/>
      <c r="M473" s="325"/>
    </row>
    <row r="474" spans="2:13">
      <c r="B474" s="523"/>
      <c r="C474" s="325"/>
      <c r="D474" s="325"/>
      <c r="E474" s="325"/>
      <c r="F474" s="325"/>
      <c r="G474" s="325"/>
      <c r="H474" s="325"/>
      <c r="I474" s="325"/>
      <c r="J474" s="325"/>
      <c r="K474" s="325"/>
      <c r="L474" s="325"/>
      <c r="M474" s="325"/>
    </row>
    <row r="475" spans="2:13">
      <c r="B475" s="523"/>
      <c r="C475" s="325"/>
      <c r="D475" s="325"/>
      <c r="E475" s="325"/>
      <c r="F475" s="325"/>
      <c r="G475" s="325"/>
      <c r="H475" s="325"/>
      <c r="I475" s="325"/>
      <c r="J475" s="325"/>
      <c r="K475" s="325"/>
      <c r="L475" s="325"/>
      <c r="M475" s="325"/>
    </row>
    <row r="476" spans="2:13">
      <c r="B476" s="523"/>
      <c r="C476" s="325"/>
      <c r="D476" s="325"/>
      <c r="E476" s="325"/>
      <c r="F476" s="325"/>
      <c r="G476" s="325"/>
      <c r="H476" s="325"/>
      <c r="I476" s="325"/>
      <c r="J476" s="325"/>
      <c r="K476" s="325"/>
      <c r="L476" s="325"/>
      <c r="M476" s="325"/>
    </row>
    <row r="477" spans="2:13">
      <c r="B477" s="523"/>
      <c r="C477" s="325"/>
      <c r="D477" s="325"/>
      <c r="E477" s="325"/>
      <c r="F477" s="325"/>
      <c r="G477" s="325"/>
      <c r="H477" s="325"/>
      <c r="I477" s="325"/>
      <c r="J477" s="325"/>
      <c r="K477" s="325"/>
      <c r="L477" s="325"/>
      <c r="M477" s="325"/>
    </row>
    <row r="478" spans="2:13">
      <c r="B478" s="523"/>
      <c r="C478" s="325"/>
      <c r="D478" s="325"/>
      <c r="E478" s="325"/>
      <c r="F478" s="325"/>
      <c r="G478" s="325"/>
      <c r="H478" s="325"/>
      <c r="I478" s="325"/>
      <c r="J478" s="325"/>
      <c r="K478" s="325"/>
      <c r="L478" s="325"/>
      <c r="M478" s="325"/>
    </row>
    <row r="479" spans="2:13">
      <c r="B479" s="523"/>
      <c r="C479" s="325"/>
      <c r="D479" s="325"/>
      <c r="E479" s="325"/>
      <c r="F479" s="325"/>
      <c r="G479" s="325"/>
      <c r="H479" s="325"/>
      <c r="I479" s="325"/>
      <c r="J479" s="325"/>
      <c r="K479" s="325"/>
      <c r="L479" s="325"/>
      <c r="M479" s="325"/>
    </row>
    <row r="480" spans="2:13">
      <c r="B480" s="523"/>
      <c r="C480" s="325"/>
      <c r="D480" s="325"/>
      <c r="E480" s="325"/>
      <c r="F480" s="325"/>
      <c r="G480" s="325"/>
      <c r="H480" s="325"/>
      <c r="I480" s="325"/>
      <c r="J480" s="325"/>
      <c r="K480" s="325"/>
      <c r="L480" s="325"/>
      <c r="M480" s="325"/>
    </row>
    <row r="481" spans="2:13">
      <c r="B481" s="523"/>
      <c r="C481" s="325"/>
      <c r="D481" s="325"/>
      <c r="E481" s="325"/>
      <c r="F481" s="325"/>
      <c r="G481" s="325"/>
      <c r="H481" s="325"/>
      <c r="I481" s="325"/>
      <c r="J481" s="325"/>
      <c r="K481" s="325"/>
      <c r="L481" s="325"/>
      <c r="M481" s="325"/>
    </row>
    <row r="482" spans="2:13">
      <c r="B482" s="523"/>
      <c r="C482" s="325"/>
      <c r="D482" s="325"/>
      <c r="E482" s="325"/>
      <c r="F482" s="325"/>
      <c r="G482" s="325"/>
      <c r="H482" s="325"/>
      <c r="I482" s="325"/>
      <c r="J482" s="325"/>
      <c r="K482" s="325"/>
      <c r="L482" s="325"/>
      <c r="M482" s="325"/>
    </row>
    <row r="483" spans="2:13">
      <c r="B483" s="523"/>
      <c r="C483" s="325"/>
      <c r="D483" s="325"/>
      <c r="E483" s="325"/>
      <c r="F483" s="325"/>
      <c r="G483" s="325"/>
      <c r="H483" s="325"/>
      <c r="I483" s="325"/>
      <c r="J483" s="325"/>
      <c r="K483" s="325"/>
      <c r="L483" s="325"/>
      <c r="M483" s="325"/>
    </row>
    <row r="484" spans="2:13">
      <c r="B484" s="523"/>
      <c r="C484" s="325"/>
      <c r="D484" s="325"/>
      <c r="E484" s="325"/>
      <c r="F484" s="325"/>
      <c r="G484" s="325"/>
      <c r="H484" s="325"/>
      <c r="I484" s="325"/>
      <c r="J484" s="325"/>
      <c r="K484" s="325"/>
      <c r="L484" s="325"/>
      <c r="M484" s="325"/>
    </row>
    <row r="485" spans="2:13">
      <c r="B485" s="523"/>
      <c r="C485" s="325"/>
      <c r="D485" s="325"/>
      <c r="E485" s="325"/>
      <c r="F485" s="325"/>
      <c r="G485" s="325"/>
      <c r="H485" s="325"/>
      <c r="I485" s="325"/>
      <c r="J485" s="325"/>
      <c r="K485" s="325"/>
      <c r="L485" s="325"/>
      <c r="M485" s="325"/>
    </row>
    <row r="486" spans="2:13">
      <c r="B486" s="523"/>
      <c r="C486" s="325"/>
      <c r="D486" s="325"/>
      <c r="E486" s="325"/>
      <c r="F486" s="325"/>
      <c r="G486" s="325"/>
      <c r="H486" s="325"/>
      <c r="I486" s="325"/>
      <c r="J486" s="325"/>
      <c r="K486" s="325"/>
      <c r="L486" s="325"/>
      <c r="M486" s="325"/>
    </row>
    <row r="487" spans="2:13">
      <c r="B487" s="523"/>
      <c r="C487" s="325"/>
      <c r="D487" s="325"/>
      <c r="E487" s="325"/>
      <c r="F487" s="325"/>
      <c r="G487" s="325"/>
      <c r="H487" s="325"/>
      <c r="I487" s="325"/>
      <c r="J487" s="325"/>
      <c r="K487" s="325"/>
      <c r="L487" s="325"/>
      <c r="M487" s="325"/>
    </row>
    <row r="488" spans="2:13">
      <c r="B488" s="523"/>
      <c r="C488" s="325"/>
      <c r="D488" s="325"/>
      <c r="E488" s="325"/>
      <c r="F488" s="325"/>
      <c r="G488" s="325"/>
      <c r="H488" s="325"/>
      <c r="I488" s="325"/>
      <c r="J488" s="325"/>
      <c r="K488" s="325"/>
      <c r="L488" s="325"/>
      <c r="M488" s="325"/>
    </row>
    <row r="489" spans="2:13">
      <c r="B489" s="523"/>
      <c r="C489" s="325"/>
      <c r="D489" s="325"/>
      <c r="E489" s="325"/>
      <c r="F489" s="325"/>
      <c r="G489" s="325"/>
      <c r="H489" s="325"/>
      <c r="I489" s="325"/>
      <c r="J489" s="325"/>
      <c r="K489" s="325"/>
      <c r="L489" s="325"/>
      <c r="M489" s="325"/>
    </row>
    <row r="490" spans="2:13">
      <c r="B490" s="523"/>
      <c r="C490" s="325"/>
      <c r="D490" s="325"/>
      <c r="E490" s="325"/>
      <c r="F490" s="325"/>
      <c r="G490" s="325"/>
      <c r="H490" s="325"/>
      <c r="I490" s="325"/>
      <c r="J490" s="325"/>
      <c r="K490" s="325"/>
      <c r="L490" s="325"/>
      <c r="M490" s="325"/>
    </row>
    <row r="491" spans="2:13">
      <c r="B491" s="523"/>
      <c r="C491" s="325"/>
      <c r="D491" s="325"/>
      <c r="E491" s="325"/>
      <c r="F491" s="325"/>
      <c r="G491" s="325"/>
      <c r="H491" s="325"/>
      <c r="I491" s="325"/>
      <c r="J491" s="325"/>
      <c r="K491" s="325"/>
      <c r="L491" s="325"/>
      <c r="M491" s="325"/>
    </row>
    <row r="492" spans="2:13">
      <c r="B492" s="523"/>
      <c r="C492" s="325"/>
      <c r="D492" s="325"/>
      <c r="E492" s="325"/>
      <c r="F492" s="325"/>
      <c r="G492" s="325"/>
      <c r="H492" s="325"/>
      <c r="I492" s="325"/>
      <c r="J492" s="325"/>
      <c r="K492" s="325"/>
      <c r="L492" s="325"/>
      <c r="M492" s="325"/>
    </row>
    <row r="493" spans="2:13">
      <c r="B493" s="523"/>
      <c r="C493" s="325"/>
      <c r="D493" s="325"/>
      <c r="E493" s="325"/>
      <c r="F493" s="325"/>
      <c r="G493" s="325"/>
      <c r="H493" s="325"/>
      <c r="I493" s="325"/>
      <c r="J493" s="325"/>
      <c r="K493" s="325"/>
      <c r="L493" s="325"/>
      <c r="M493" s="325"/>
    </row>
    <row r="494" spans="2:13">
      <c r="B494" s="523"/>
      <c r="C494" s="325"/>
      <c r="D494" s="325"/>
      <c r="E494" s="325"/>
      <c r="F494" s="325"/>
      <c r="G494" s="325"/>
      <c r="H494" s="325"/>
      <c r="I494" s="325"/>
      <c r="J494" s="325"/>
      <c r="K494" s="325"/>
      <c r="L494" s="325"/>
      <c r="M494" s="325"/>
    </row>
    <row r="495" spans="2:13">
      <c r="B495" s="523"/>
      <c r="C495" s="325"/>
      <c r="D495" s="325"/>
      <c r="E495" s="325"/>
      <c r="F495" s="325"/>
      <c r="G495" s="325"/>
      <c r="H495" s="325"/>
      <c r="I495" s="325"/>
      <c r="J495" s="325"/>
      <c r="K495" s="325"/>
      <c r="L495" s="325"/>
      <c r="M495" s="325"/>
    </row>
    <row r="496" spans="2:13">
      <c r="B496" s="523"/>
      <c r="C496" s="325"/>
      <c r="D496" s="325"/>
      <c r="E496" s="325"/>
      <c r="F496" s="325"/>
      <c r="G496" s="325"/>
      <c r="H496" s="325"/>
      <c r="I496" s="325"/>
      <c r="J496" s="325"/>
      <c r="K496" s="325"/>
      <c r="L496" s="325"/>
      <c r="M496" s="325"/>
    </row>
    <row r="497" spans="2:13">
      <c r="B497" s="523"/>
      <c r="C497" s="325"/>
      <c r="D497" s="325"/>
      <c r="E497" s="325"/>
      <c r="F497" s="325"/>
      <c r="G497" s="325"/>
      <c r="H497" s="325"/>
      <c r="I497" s="325"/>
      <c r="J497" s="325"/>
      <c r="K497" s="325"/>
      <c r="L497" s="325"/>
      <c r="M497" s="325"/>
    </row>
    <row r="498" spans="2:13">
      <c r="B498" s="523"/>
      <c r="C498" s="325"/>
      <c r="D498" s="325"/>
      <c r="E498" s="325"/>
      <c r="F498" s="325"/>
      <c r="G498" s="325"/>
      <c r="H498" s="325"/>
      <c r="I498" s="325"/>
      <c r="J498" s="325"/>
      <c r="K498" s="325"/>
      <c r="L498" s="325"/>
      <c r="M498" s="325"/>
    </row>
    <row r="499" spans="2:13">
      <c r="B499" s="523"/>
      <c r="C499" s="325"/>
      <c r="D499" s="325"/>
      <c r="E499" s="325"/>
      <c r="F499" s="325"/>
      <c r="G499" s="325"/>
      <c r="H499" s="325"/>
      <c r="I499" s="325"/>
      <c r="J499" s="325"/>
      <c r="K499" s="325"/>
      <c r="L499" s="325"/>
      <c r="M499" s="325"/>
    </row>
    <row r="500" spans="2:13">
      <c r="B500" s="523"/>
      <c r="C500" s="325"/>
      <c r="D500" s="325"/>
      <c r="E500" s="325"/>
      <c r="F500" s="325"/>
      <c r="G500" s="325"/>
      <c r="H500" s="325"/>
      <c r="I500" s="325"/>
      <c r="J500" s="325"/>
      <c r="K500" s="325"/>
      <c r="L500" s="325"/>
      <c r="M500" s="325"/>
    </row>
    <row r="501" spans="2:13">
      <c r="B501" s="523"/>
      <c r="C501" s="325"/>
      <c r="D501" s="325"/>
      <c r="E501" s="325"/>
      <c r="F501" s="325"/>
      <c r="G501" s="325"/>
      <c r="H501" s="325"/>
      <c r="I501" s="325"/>
      <c r="J501" s="325"/>
      <c r="K501" s="325"/>
      <c r="L501" s="325"/>
      <c r="M501" s="325"/>
    </row>
    <row r="502" spans="2:13">
      <c r="B502" s="523"/>
      <c r="C502" s="325"/>
      <c r="D502" s="325"/>
      <c r="E502" s="325"/>
      <c r="F502" s="325"/>
      <c r="G502" s="325"/>
      <c r="H502" s="325"/>
      <c r="I502" s="325"/>
      <c r="J502" s="325"/>
      <c r="K502" s="325"/>
      <c r="L502" s="325"/>
      <c r="M502" s="325"/>
    </row>
    <row r="503" spans="2:13">
      <c r="B503" s="523"/>
      <c r="C503" s="325"/>
      <c r="D503" s="325"/>
      <c r="E503" s="325"/>
      <c r="F503" s="325"/>
      <c r="G503" s="325"/>
      <c r="H503" s="325"/>
      <c r="I503" s="325"/>
      <c r="J503" s="325"/>
      <c r="K503" s="325"/>
      <c r="L503" s="325"/>
      <c r="M503" s="325"/>
    </row>
    <row r="504" spans="2:13">
      <c r="B504" s="523"/>
      <c r="C504" s="325"/>
      <c r="D504" s="325"/>
      <c r="E504" s="325"/>
      <c r="F504" s="325"/>
      <c r="G504" s="325"/>
      <c r="H504" s="325"/>
      <c r="I504" s="325"/>
      <c r="J504" s="325"/>
      <c r="K504" s="325"/>
      <c r="L504" s="325"/>
      <c r="M504" s="325"/>
    </row>
    <row r="505" spans="2:13">
      <c r="B505" s="523"/>
      <c r="C505" s="325"/>
      <c r="D505" s="325"/>
      <c r="E505" s="325"/>
      <c r="F505" s="325"/>
      <c r="G505" s="325"/>
      <c r="H505" s="325"/>
      <c r="I505" s="325"/>
      <c r="J505" s="325"/>
      <c r="K505" s="325"/>
      <c r="L505" s="325"/>
      <c r="M505" s="325"/>
    </row>
    <row r="506" spans="2:13">
      <c r="B506" s="523"/>
      <c r="C506" s="325"/>
      <c r="D506" s="325"/>
      <c r="E506" s="325"/>
      <c r="F506" s="325"/>
      <c r="G506" s="325"/>
      <c r="H506" s="325"/>
      <c r="I506" s="325"/>
      <c r="J506" s="325"/>
      <c r="K506" s="325"/>
      <c r="L506" s="325"/>
      <c r="M506" s="325"/>
    </row>
    <row r="507" spans="2:13">
      <c r="B507" s="523"/>
      <c r="C507" s="325"/>
      <c r="D507" s="325"/>
      <c r="E507" s="325"/>
      <c r="F507" s="325"/>
      <c r="G507" s="325"/>
      <c r="H507" s="325"/>
      <c r="I507" s="325"/>
      <c r="J507" s="325"/>
      <c r="K507" s="325"/>
      <c r="L507" s="325"/>
      <c r="M507" s="325"/>
    </row>
    <row r="508" spans="2:13">
      <c r="B508" s="523"/>
      <c r="C508" s="325"/>
      <c r="D508" s="325"/>
      <c r="E508" s="325"/>
      <c r="F508" s="325"/>
      <c r="G508" s="325"/>
      <c r="H508" s="325"/>
      <c r="I508" s="325"/>
      <c r="J508" s="325"/>
      <c r="K508" s="325"/>
      <c r="L508" s="325"/>
      <c r="M508" s="325"/>
    </row>
    <row r="509" spans="2:13">
      <c r="B509" s="523"/>
      <c r="C509" s="325"/>
      <c r="D509" s="325"/>
      <c r="E509" s="325"/>
      <c r="F509" s="325"/>
      <c r="G509" s="325"/>
      <c r="H509" s="325"/>
      <c r="I509" s="325"/>
      <c r="J509" s="325"/>
      <c r="K509" s="325"/>
      <c r="L509" s="325"/>
      <c r="M509" s="325"/>
    </row>
    <row r="510" spans="2:13">
      <c r="B510" s="523"/>
      <c r="C510" s="325"/>
      <c r="D510" s="325"/>
      <c r="E510" s="325"/>
      <c r="F510" s="325"/>
      <c r="G510" s="325"/>
      <c r="H510" s="325"/>
      <c r="I510" s="325"/>
      <c r="J510" s="325"/>
      <c r="K510" s="325"/>
      <c r="L510" s="325"/>
      <c r="M510" s="325"/>
    </row>
    <row r="511" spans="2:13">
      <c r="B511" s="523"/>
      <c r="C511" s="325"/>
      <c r="D511" s="325"/>
      <c r="E511" s="325"/>
      <c r="F511" s="325"/>
      <c r="G511" s="325"/>
      <c r="H511" s="325"/>
      <c r="I511" s="325"/>
      <c r="J511" s="325"/>
      <c r="K511" s="325"/>
      <c r="L511" s="325"/>
      <c r="M511" s="325"/>
    </row>
    <row r="512" spans="2:13">
      <c r="B512" s="523"/>
      <c r="C512" s="325"/>
      <c r="D512" s="325"/>
      <c r="E512" s="325"/>
      <c r="F512" s="325"/>
      <c r="G512" s="325"/>
      <c r="H512" s="325"/>
      <c r="I512" s="325"/>
      <c r="J512" s="325"/>
      <c r="K512" s="325"/>
      <c r="L512" s="325"/>
      <c r="M512" s="325"/>
    </row>
    <row r="513" spans="2:13">
      <c r="B513" s="523"/>
      <c r="C513" s="325"/>
      <c r="D513" s="325"/>
      <c r="E513" s="325"/>
      <c r="F513" s="325"/>
      <c r="G513" s="325"/>
      <c r="H513" s="325"/>
      <c r="I513" s="325"/>
      <c r="J513" s="325"/>
      <c r="K513" s="325"/>
      <c r="L513" s="325"/>
      <c r="M513" s="325"/>
    </row>
    <row r="514" spans="2:13">
      <c r="B514" s="523"/>
      <c r="C514" s="325"/>
      <c r="D514" s="325"/>
      <c r="E514" s="325"/>
      <c r="F514" s="325"/>
      <c r="G514" s="325"/>
      <c r="H514" s="325"/>
      <c r="I514" s="325"/>
      <c r="J514" s="325"/>
      <c r="K514" s="325"/>
      <c r="L514" s="325"/>
      <c r="M514" s="325"/>
    </row>
    <row r="515" spans="2:13">
      <c r="B515" s="523"/>
      <c r="C515" s="325"/>
      <c r="D515" s="325"/>
      <c r="E515" s="325"/>
      <c r="F515" s="325"/>
      <c r="G515" s="325"/>
      <c r="H515" s="325"/>
      <c r="I515" s="325"/>
      <c r="J515" s="325"/>
      <c r="K515" s="325"/>
      <c r="L515" s="325"/>
      <c r="M515" s="325"/>
    </row>
    <row r="516" spans="2:13">
      <c r="B516" s="523"/>
      <c r="C516" s="325"/>
      <c r="D516" s="325"/>
      <c r="E516" s="325"/>
      <c r="F516" s="325"/>
      <c r="G516" s="325"/>
      <c r="H516" s="325"/>
      <c r="I516" s="325"/>
      <c r="J516" s="325"/>
      <c r="K516" s="325"/>
      <c r="L516" s="325"/>
      <c r="M516" s="325"/>
    </row>
    <row r="517" spans="2:13">
      <c r="B517" s="523"/>
      <c r="C517" s="325"/>
      <c r="D517" s="325"/>
      <c r="E517" s="325"/>
      <c r="F517" s="325"/>
      <c r="G517" s="325"/>
      <c r="H517" s="325"/>
      <c r="I517" s="325"/>
      <c r="J517" s="325"/>
      <c r="K517" s="325"/>
      <c r="L517" s="325"/>
      <c r="M517" s="325"/>
    </row>
    <row r="518" spans="2:13">
      <c r="B518" s="523"/>
      <c r="C518" s="325"/>
      <c r="D518" s="325"/>
      <c r="E518" s="325"/>
      <c r="F518" s="325"/>
      <c r="G518" s="325"/>
      <c r="H518" s="325"/>
      <c r="I518" s="325"/>
      <c r="J518" s="325"/>
      <c r="K518" s="325"/>
      <c r="L518" s="325"/>
      <c r="M518" s="325"/>
    </row>
    <row r="519" spans="2:13">
      <c r="B519" s="523"/>
      <c r="C519" s="325"/>
      <c r="D519" s="325"/>
      <c r="E519" s="325"/>
      <c r="F519" s="325"/>
      <c r="G519" s="325"/>
      <c r="H519" s="325"/>
      <c r="I519" s="325"/>
      <c r="J519" s="325"/>
      <c r="K519" s="325"/>
      <c r="L519" s="325"/>
      <c r="M519" s="325"/>
    </row>
    <row r="520" spans="2:13">
      <c r="B520" s="523"/>
      <c r="C520" s="325"/>
      <c r="D520" s="325"/>
      <c r="E520" s="325"/>
      <c r="F520" s="325"/>
      <c r="G520" s="325"/>
      <c r="H520" s="325"/>
      <c r="I520" s="325"/>
      <c r="J520" s="325"/>
      <c r="K520" s="325"/>
      <c r="L520" s="325"/>
      <c r="M520" s="325"/>
    </row>
    <row r="521" spans="2:13">
      <c r="B521" s="523"/>
      <c r="C521" s="325"/>
      <c r="D521" s="325"/>
      <c r="E521" s="325"/>
      <c r="F521" s="325"/>
      <c r="G521" s="325"/>
      <c r="H521" s="325"/>
      <c r="I521" s="325"/>
      <c r="J521" s="325"/>
      <c r="K521" s="325"/>
      <c r="L521" s="325"/>
      <c r="M521" s="325"/>
    </row>
    <row r="522" spans="2:13">
      <c r="B522" s="523"/>
      <c r="C522" s="325"/>
      <c r="D522" s="325"/>
      <c r="E522" s="325"/>
      <c r="F522" s="325"/>
      <c r="G522" s="325"/>
      <c r="H522" s="325"/>
      <c r="I522" s="325"/>
      <c r="J522" s="325"/>
      <c r="K522" s="325"/>
      <c r="L522" s="325"/>
      <c r="M522" s="325"/>
    </row>
    <row r="523" spans="2:13">
      <c r="B523" s="523"/>
      <c r="C523" s="325"/>
      <c r="D523" s="325"/>
      <c r="E523" s="325"/>
      <c r="F523" s="325"/>
      <c r="G523" s="325"/>
      <c r="H523" s="325"/>
      <c r="I523" s="325"/>
      <c r="J523" s="325"/>
      <c r="K523" s="325"/>
      <c r="L523" s="325"/>
      <c r="M523" s="325"/>
    </row>
    <row r="524" spans="2:13">
      <c r="B524" s="523"/>
      <c r="C524" s="325"/>
      <c r="D524" s="325"/>
      <c r="E524" s="325"/>
      <c r="F524" s="325"/>
      <c r="G524" s="325"/>
      <c r="H524" s="325"/>
      <c r="I524" s="325"/>
      <c r="J524" s="325"/>
      <c r="K524" s="325"/>
      <c r="L524" s="325"/>
      <c r="M524" s="325"/>
    </row>
    <row r="525" spans="2:13">
      <c r="B525" s="523"/>
      <c r="C525" s="325"/>
      <c r="D525" s="325"/>
      <c r="E525" s="325"/>
      <c r="F525" s="325"/>
      <c r="G525" s="325"/>
      <c r="H525" s="325"/>
      <c r="I525" s="325"/>
      <c r="J525" s="325"/>
      <c r="K525" s="325"/>
      <c r="L525" s="325"/>
      <c r="M525" s="325"/>
    </row>
    <row r="526" spans="2:13">
      <c r="B526" s="523"/>
      <c r="C526" s="325"/>
      <c r="D526" s="325"/>
      <c r="E526" s="325"/>
      <c r="F526" s="325"/>
      <c r="G526" s="325"/>
      <c r="H526" s="325"/>
      <c r="I526" s="325"/>
      <c r="J526" s="325"/>
      <c r="K526" s="325"/>
      <c r="L526" s="325"/>
      <c r="M526" s="325"/>
    </row>
    <row r="527" spans="2:13">
      <c r="B527" s="523"/>
      <c r="C527" s="325"/>
      <c r="D527" s="325"/>
      <c r="E527" s="325"/>
      <c r="F527" s="325"/>
      <c r="G527" s="325"/>
      <c r="H527" s="325"/>
      <c r="I527" s="325"/>
      <c r="J527" s="325"/>
      <c r="K527" s="325"/>
      <c r="L527" s="325"/>
      <c r="M527" s="325"/>
    </row>
    <row r="528" spans="2:13">
      <c r="B528" s="523"/>
      <c r="C528" s="325"/>
      <c r="D528" s="325"/>
      <c r="E528" s="325"/>
      <c r="F528" s="325"/>
      <c r="G528" s="325"/>
      <c r="H528" s="325"/>
      <c r="I528" s="325"/>
      <c r="J528" s="325"/>
      <c r="K528" s="325"/>
      <c r="L528" s="325"/>
      <c r="M528" s="325"/>
    </row>
    <row r="529" spans="2:13">
      <c r="B529" s="523"/>
      <c r="C529" s="325"/>
      <c r="D529" s="325"/>
      <c r="E529" s="325"/>
      <c r="F529" s="325"/>
      <c r="G529" s="325"/>
      <c r="H529" s="325"/>
      <c r="I529" s="325"/>
      <c r="J529" s="325"/>
      <c r="K529" s="325"/>
      <c r="L529" s="325"/>
      <c r="M529" s="325"/>
    </row>
    <row r="530" spans="2:13">
      <c r="B530" s="523"/>
      <c r="C530" s="325"/>
      <c r="D530" s="325"/>
      <c r="E530" s="325"/>
      <c r="F530" s="325"/>
      <c r="G530" s="325"/>
      <c r="H530" s="325"/>
      <c r="I530" s="325"/>
      <c r="J530" s="325"/>
      <c r="K530" s="325"/>
      <c r="L530" s="325"/>
      <c r="M530" s="325"/>
    </row>
    <row r="531" spans="2:13">
      <c r="B531" s="523"/>
      <c r="C531" s="325"/>
      <c r="D531" s="325"/>
      <c r="E531" s="325"/>
      <c r="F531" s="325"/>
      <c r="G531" s="325"/>
      <c r="H531" s="325"/>
      <c r="I531" s="325"/>
      <c r="J531" s="325"/>
      <c r="K531" s="325"/>
      <c r="L531" s="325"/>
      <c r="M531" s="325"/>
    </row>
    <row r="532" spans="2:13">
      <c r="B532" s="523"/>
      <c r="C532" s="325"/>
      <c r="D532" s="325"/>
      <c r="E532" s="325"/>
      <c r="F532" s="325"/>
      <c r="G532" s="325"/>
      <c r="H532" s="325"/>
      <c r="I532" s="325"/>
      <c r="J532" s="325"/>
      <c r="K532" s="325"/>
      <c r="L532" s="325"/>
      <c r="M532" s="325"/>
    </row>
    <row r="533" spans="2:13">
      <c r="B533" s="523"/>
      <c r="C533" s="325"/>
      <c r="D533" s="325"/>
      <c r="E533" s="325"/>
      <c r="F533" s="325"/>
      <c r="G533" s="325"/>
      <c r="H533" s="325"/>
      <c r="I533" s="325"/>
      <c r="J533" s="325"/>
      <c r="K533" s="325"/>
      <c r="L533" s="325"/>
      <c r="M533" s="325"/>
    </row>
    <row r="534" spans="2:13">
      <c r="B534" s="523"/>
      <c r="C534" s="325"/>
      <c r="D534" s="325"/>
      <c r="E534" s="325"/>
      <c r="F534" s="325"/>
      <c r="G534" s="325"/>
      <c r="H534" s="325"/>
      <c r="I534" s="325"/>
      <c r="J534" s="325"/>
      <c r="K534" s="325"/>
      <c r="L534" s="325"/>
      <c r="M534" s="325"/>
    </row>
    <row r="535" spans="2:13">
      <c r="B535" s="523"/>
      <c r="C535" s="325"/>
      <c r="D535" s="325"/>
      <c r="E535" s="325"/>
      <c r="F535" s="325"/>
      <c r="G535" s="325"/>
      <c r="H535" s="325"/>
      <c r="I535" s="325"/>
      <c r="J535" s="325"/>
      <c r="K535" s="325"/>
      <c r="L535" s="325"/>
      <c r="M535" s="325"/>
    </row>
    <row r="536" spans="2:13">
      <c r="B536" s="523"/>
      <c r="C536" s="325"/>
      <c r="D536" s="325"/>
      <c r="E536" s="325"/>
      <c r="F536" s="325"/>
      <c r="G536" s="325"/>
      <c r="H536" s="325"/>
      <c r="I536" s="325"/>
      <c r="J536" s="325"/>
      <c r="K536" s="325"/>
      <c r="L536" s="325"/>
      <c r="M536" s="325"/>
    </row>
    <row r="537" spans="2:13">
      <c r="B537" s="523"/>
      <c r="C537" s="325"/>
      <c r="D537" s="325"/>
      <c r="E537" s="325"/>
      <c r="F537" s="325"/>
      <c r="G537" s="325"/>
      <c r="H537" s="325"/>
      <c r="I537" s="325"/>
      <c r="J537" s="325"/>
      <c r="K537" s="325"/>
      <c r="L537" s="325"/>
      <c r="M537" s="325"/>
    </row>
    <row r="538" spans="2:13">
      <c r="B538" s="523"/>
      <c r="C538" s="325"/>
      <c r="D538" s="325"/>
      <c r="E538" s="325"/>
      <c r="F538" s="325"/>
      <c r="G538" s="325"/>
      <c r="H538" s="325"/>
      <c r="I538" s="325"/>
      <c r="J538" s="325"/>
      <c r="K538" s="325"/>
      <c r="L538" s="325"/>
      <c r="M538" s="325"/>
    </row>
    <row r="539" spans="2:13">
      <c r="B539" s="523"/>
      <c r="C539" s="325"/>
      <c r="D539" s="325"/>
      <c r="E539" s="325"/>
      <c r="F539" s="325"/>
      <c r="G539" s="325"/>
      <c r="H539" s="325"/>
      <c r="I539" s="325"/>
      <c r="J539" s="325"/>
      <c r="K539" s="325"/>
      <c r="L539" s="325"/>
      <c r="M539" s="325"/>
    </row>
    <row r="540" spans="2:13">
      <c r="B540" s="523"/>
      <c r="C540" s="325"/>
      <c r="D540" s="325"/>
      <c r="E540" s="325"/>
      <c r="F540" s="325"/>
      <c r="G540" s="325"/>
      <c r="H540" s="325"/>
      <c r="I540" s="325"/>
      <c r="J540" s="325"/>
      <c r="K540" s="325"/>
      <c r="L540" s="325"/>
      <c r="M540" s="325"/>
    </row>
    <row r="541" spans="2:13">
      <c r="B541" s="523"/>
      <c r="C541" s="325"/>
      <c r="D541" s="325"/>
      <c r="E541" s="325"/>
      <c r="F541" s="325"/>
      <c r="G541" s="325"/>
      <c r="H541" s="325"/>
      <c r="I541" s="325"/>
      <c r="J541" s="325"/>
      <c r="K541" s="325"/>
      <c r="L541" s="325"/>
      <c r="M541" s="325"/>
    </row>
    <row r="542" spans="2:13">
      <c r="B542" s="523"/>
      <c r="C542" s="325"/>
      <c r="D542" s="325"/>
      <c r="E542" s="325"/>
      <c r="F542" s="325"/>
      <c r="G542" s="325"/>
      <c r="H542" s="325"/>
      <c r="I542" s="325"/>
      <c r="J542" s="325"/>
      <c r="K542" s="325"/>
      <c r="L542" s="325"/>
      <c r="M542" s="325"/>
    </row>
    <row r="543" spans="2:13">
      <c r="B543" s="523"/>
      <c r="C543" s="325"/>
      <c r="D543" s="325"/>
      <c r="E543" s="325"/>
      <c r="F543" s="325"/>
      <c r="G543" s="325"/>
      <c r="H543" s="325"/>
      <c r="I543" s="325"/>
      <c r="J543" s="325"/>
      <c r="K543" s="325"/>
      <c r="L543" s="325"/>
      <c r="M543" s="325"/>
    </row>
    <row r="544" spans="2:13">
      <c r="B544" s="523"/>
      <c r="C544" s="325"/>
      <c r="D544" s="325"/>
      <c r="E544" s="325"/>
      <c r="F544" s="325"/>
      <c r="G544" s="325"/>
      <c r="H544" s="325"/>
      <c r="I544" s="325"/>
      <c r="J544" s="325"/>
      <c r="K544" s="325"/>
      <c r="L544" s="325"/>
      <c r="M544" s="325"/>
    </row>
    <row r="545" spans="2:13">
      <c r="B545" s="523"/>
      <c r="C545" s="325"/>
      <c r="D545" s="325"/>
      <c r="E545" s="325"/>
      <c r="F545" s="325"/>
      <c r="G545" s="325"/>
      <c r="H545" s="325"/>
      <c r="I545" s="325"/>
      <c r="J545" s="325"/>
      <c r="K545" s="325"/>
      <c r="L545" s="325"/>
      <c r="M545" s="325"/>
    </row>
    <row r="546" spans="2:13">
      <c r="B546" s="523"/>
      <c r="C546" s="325"/>
      <c r="D546" s="325"/>
      <c r="E546" s="325"/>
      <c r="F546" s="325"/>
      <c r="G546" s="325"/>
      <c r="H546" s="325"/>
      <c r="I546" s="325"/>
      <c r="J546" s="325"/>
      <c r="K546" s="325"/>
      <c r="L546" s="325"/>
      <c r="M546" s="325"/>
    </row>
    <row r="547" spans="2:13">
      <c r="B547" s="523"/>
      <c r="C547" s="325"/>
      <c r="D547" s="325"/>
      <c r="E547" s="325"/>
      <c r="F547" s="325"/>
      <c r="G547" s="325"/>
      <c r="H547" s="325"/>
      <c r="I547" s="325"/>
      <c r="J547" s="325"/>
      <c r="K547" s="325"/>
      <c r="L547" s="325"/>
      <c r="M547" s="325"/>
    </row>
    <row r="548" spans="2:13">
      <c r="B548" s="523"/>
      <c r="C548" s="325"/>
      <c r="D548" s="325"/>
      <c r="E548" s="325"/>
      <c r="F548" s="325"/>
      <c r="G548" s="325"/>
      <c r="H548" s="325"/>
      <c r="I548" s="325"/>
      <c r="J548" s="325"/>
      <c r="K548" s="325"/>
      <c r="L548" s="325"/>
      <c r="M548" s="325"/>
    </row>
    <row r="549" spans="2:13">
      <c r="B549" s="523"/>
      <c r="C549" s="325"/>
      <c r="D549" s="325"/>
      <c r="E549" s="325"/>
      <c r="F549" s="325"/>
      <c r="G549" s="325"/>
      <c r="H549" s="325"/>
      <c r="I549" s="325"/>
      <c r="J549" s="325"/>
      <c r="K549" s="325"/>
      <c r="L549" s="325"/>
      <c r="M549" s="325"/>
    </row>
    <row r="550" spans="2:13">
      <c r="B550" s="523"/>
      <c r="C550" s="325"/>
      <c r="D550" s="325"/>
      <c r="E550" s="325"/>
      <c r="F550" s="325"/>
      <c r="G550" s="325"/>
      <c r="H550" s="325"/>
      <c r="I550" s="325"/>
      <c r="J550" s="325"/>
      <c r="K550" s="325"/>
      <c r="L550" s="325"/>
      <c r="M550" s="325"/>
    </row>
    <row r="551" spans="2:13">
      <c r="B551" s="523"/>
      <c r="C551" s="325"/>
      <c r="D551" s="325"/>
      <c r="E551" s="325"/>
      <c r="F551" s="325"/>
      <c r="G551" s="325"/>
      <c r="H551" s="325"/>
      <c r="I551" s="325"/>
      <c r="J551" s="325"/>
      <c r="K551" s="325"/>
      <c r="L551" s="325"/>
      <c r="M551" s="325"/>
    </row>
    <row r="552" spans="2:13">
      <c r="B552" s="523"/>
      <c r="C552" s="325"/>
      <c r="D552" s="325"/>
      <c r="E552" s="325"/>
      <c r="F552" s="325"/>
      <c r="G552" s="325"/>
      <c r="H552" s="325"/>
      <c r="I552" s="325"/>
      <c r="J552" s="325"/>
      <c r="K552" s="325"/>
      <c r="L552" s="325"/>
      <c r="M552" s="325"/>
    </row>
    <row r="553" spans="2:13">
      <c r="B553" s="523"/>
      <c r="C553" s="325"/>
      <c r="D553" s="325"/>
      <c r="E553" s="325"/>
      <c r="F553" s="325"/>
      <c r="G553" s="325"/>
      <c r="H553" s="325"/>
      <c r="I553" s="325"/>
      <c r="J553" s="325"/>
      <c r="K553" s="325"/>
      <c r="L553" s="325"/>
      <c r="M553" s="325"/>
    </row>
    <row r="554" spans="2:13">
      <c r="B554" s="523"/>
      <c r="C554" s="325"/>
      <c r="D554" s="325"/>
      <c r="E554" s="325"/>
      <c r="F554" s="325"/>
      <c r="G554" s="325"/>
      <c r="H554" s="325"/>
      <c r="I554" s="325"/>
      <c r="J554" s="325"/>
      <c r="K554" s="325"/>
      <c r="L554" s="325"/>
      <c r="M554" s="325"/>
    </row>
    <row r="555" spans="2:13">
      <c r="B555" s="523"/>
      <c r="C555" s="325"/>
      <c r="D555" s="325"/>
      <c r="E555" s="325"/>
      <c r="F555" s="325"/>
      <c r="G555" s="325"/>
      <c r="H555" s="325"/>
      <c r="I555" s="325"/>
      <c r="J555" s="325"/>
      <c r="K555" s="325"/>
      <c r="L555" s="325"/>
      <c r="M555" s="325"/>
    </row>
    <row r="556" spans="2:13">
      <c r="B556" s="523"/>
      <c r="C556" s="325"/>
      <c r="D556" s="325"/>
      <c r="E556" s="325"/>
      <c r="F556" s="325"/>
      <c r="G556" s="325"/>
      <c r="H556" s="325"/>
      <c r="I556" s="325"/>
      <c r="J556" s="325"/>
      <c r="K556" s="325"/>
      <c r="L556" s="325"/>
      <c r="M556" s="325"/>
    </row>
    <row r="557" spans="2:13">
      <c r="B557" s="523"/>
      <c r="C557" s="325"/>
      <c r="D557" s="325"/>
      <c r="E557" s="325"/>
      <c r="F557" s="325"/>
      <c r="G557" s="325"/>
      <c r="H557" s="325"/>
      <c r="I557" s="325"/>
      <c r="J557" s="325"/>
      <c r="K557" s="325"/>
      <c r="L557" s="325"/>
      <c r="M557" s="325"/>
    </row>
    <row r="558" spans="2:13">
      <c r="B558" s="523"/>
      <c r="C558" s="325"/>
      <c r="D558" s="325"/>
      <c r="E558" s="325"/>
      <c r="F558" s="325"/>
      <c r="G558" s="325"/>
      <c r="H558" s="325"/>
      <c r="I558" s="325"/>
      <c r="J558" s="325"/>
      <c r="K558" s="325"/>
      <c r="L558" s="325"/>
      <c r="M558" s="325"/>
    </row>
    <row r="559" spans="2:13">
      <c r="B559" s="523"/>
      <c r="C559" s="325"/>
      <c r="D559" s="325"/>
      <c r="E559" s="325"/>
      <c r="F559" s="325"/>
      <c r="G559" s="325"/>
      <c r="H559" s="325"/>
      <c r="I559" s="325"/>
      <c r="J559" s="325"/>
      <c r="K559" s="325"/>
      <c r="L559" s="325"/>
      <c r="M559" s="325"/>
    </row>
    <row r="560" spans="2:13">
      <c r="B560" s="523"/>
      <c r="C560" s="325"/>
      <c r="D560" s="325"/>
      <c r="E560" s="325"/>
      <c r="F560" s="325"/>
      <c r="G560" s="325"/>
      <c r="H560" s="325"/>
      <c r="I560" s="325"/>
      <c r="J560" s="325"/>
      <c r="K560" s="325"/>
      <c r="L560" s="325"/>
      <c r="M560" s="325"/>
    </row>
    <row r="561" spans="2:13">
      <c r="B561" s="523"/>
      <c r="C561" s="325"/>
      <c r="D561" s="325"/>
      <c r="E561" s="325"/>
      <c r="F561" s="325"/>
      <c r="G561" s="325"/>
      <c r="H561" s="325"/>
      <c r="I561" s="325"/>
      <c r="J561" s="325"/>
      <c r="K561" s="325"/>
      <c r="L561" s="325"/>
      <c r="M561" s="325"/>
    </row>
    <row r="562" spans="2:13">
      <c r="B562" s="523"/>
      <c r="C562" s="325"/>
      <c r="D562" s="325"/>
      <c r="E562" s="325"/>
      <c r="F562" s="325"/>
      <c r="G562" s="325"/>
      <c r="H562" s="325"/>
      <c r="I562" s="325"/>
      <c r="J562" s="325"/>
      <c r="K562" s="325"/>
      <c r="L562" s="325"/>
      <c r="M562" s="325"/>
    </row>
    <row r="563" spans="2:13">
      <c r="B563" s="523"/>
      <c r="C563" s="325"/>
      <c r="D563" s="325"/>
      <c r="E563" s="325"/>
      <c r="F563" s="325"/>
      <c r="G563" s="325"/>
      <c r="H563" s="325"/>
      <c r="I563" s="325"/>
      <c r="J563" s="325"/>
      <c r="K563" s="325"/>
      <c r="L563" s="325"/>
      <c r="M563" s="325"/>
    </row>
    <row r="564" spans="2:13">
      <c r="B564" s="523"/>
      <c r="C564" s="325"/>
      <c r="D564" s="325"/>
      <c r="E564" s="325"/>
      <c r="F564" s="325"/>
      <c r="G564" s="325"/>
      <c r="H564" s="325"/>
      <c r="I564" s="325"/>
      <c r="J564" s="325"/>
      <c r="K564" s="325"/>
      <c r="L564" s="325"/>
      <c r="M564" s="325"/>
    </row>
    <row r="565" spans="2:13">
      <c r="B565" s="523"/>
      <c r="C565" s="325"/>
      <c r="D565" s="325"/>
      <c r="E565" s="325"/>
      <c r="F565" s="325"/>
      <c r="G565" s="325"/>
      <c r="H565" s="325"/>
      <c r="I565" s="325"/>
      <c r="J565" s="325"/>
      <c r="K565" s="325"/>
      <c r="L565" s="325"/>
      <c r="M565" s="325"/>
    </row>
    <row r="566" spans="2:13">
      <c r="B566" s="523"/>
      <c r="C566" s="325"/>
      <c r="D566" s="325"/>
      <c r="E566" s="325"/>
      <c r="F566" s="325"/>
      <c r="G566" s="325"/>
      <c r="H566" s="325"/>
      <c r="I566" s="325"/>
      <c r="J566" s="325"/>
      <c r="K566" s="325"/>
      <c r="L566" s="325"/>
      <c r="M566" s="325"/>
    </row>
    <row r="567" spans="2:13">
      <c r="B567" s="523"/>
      <c r="C567" s="325"/>
      <c r="D567" s="325"/>
      <c r="E567" s="325"/>
      <c r="F567" s="325"/>
      <c r="G567" s="325"/>
      <c r="H567" s="325"/>
      <c r="I567" s="325"/>
      <c r="J567" s="325"/>
      <c r="K567" s="325"/>
      <c r="L567" s="325"/>
      <c r="M567" s="325"/>
    </row>
    <row r="568" spans="2:13">
      <c r="B568" s="523"/>
      <c r="C568" s="325"/>
      <c r="D568" s="325"/>
      <c r="E568" s="325"/>
      <c r="F568" s="325"/>
      <c r="G568" s="325"/>
      <c r="H568" s="325"/>
      <c r="I568" s="325"/>
      <c r="J568" s="325"/>
      <c r="K568" s="325"/>
      <c r="L568" s="325"/>
      <c r="M568" s="325"/>
    </row>
    <row r="569" spans="2:13">
      <c r="B569" s="523"/>
      <c r="C569" s="325"/>
      <c r="D569" s="325"/>
      <c r="E569" s="325"/>
      <c r="F569" s="325"/>
      <c r="G569" s="325"/>
      <c r="H569" s="325"/>
      <c r="I569" s="325"/>
      <c r="J569" s="325"/>
      <c r="K569" s="325"/>
      <c r="L569" s="325"/>
      <c r="M569" s="325"/>
    </row>
    <row r="570" spans="2:13">
      <c r="B570" s="523"/>
      <c r="C570" s="325"/>
      <c r="D570" s="325"/>
      <c r="E570" s="325"/>
      <c r="F570" s="325"/>
      <c r="G570" s="325"/>
      <c r="H570" s="325"/>
      <c r="I570" s="325"/>
      <c r="J570" s="325"/>
      <c r="K570" s="325"/>
      <c r="L570" s="325"/>
      <c r="M570" s="325"/>
    </row>
    <row r="571" spans="2:13">
      <c r="B571" s="523"/>
      <c r="C571" s="325"/>
      <c r="D571" s="325"/>
      <c r="E571" s="325"/>
      <c r="F571" s="325"/>
      <c r="G571" s="325"/>
      <c r="H571" s="325"/>
      <c r="I571" s="325"/>
      <c r="J571" s="325"/>
      <c r="K571" s="325"/>
      <c r="L571" s="325"/>
      <c r="M571" s="325"/>
    </row>
    <row r="572" spans="2:13">
      <c r="B572" s="523"/>
      <c r="C572" s="325"/>
      <c r="D572" s="325"/>
      <c r="E572" s="325"/>
      <c r="F572" s="325"/>
      <c r="G572" s="325"/>
      <c r="H572" s="325"/>
      <c r="I572" s="325"/>
      <c r="J572" s="325"/>
      <c r="K572" s="325"/>
      <c r="L572" s="325"/>
      <c r="M572" s="325"/>
    </row>
    <row r="573" spans="2:13">
      <c r="B573" s="523"/>
      <c r="C573" s="325"/>
      <c r="D573" s="325"/>
      <c r="E573" s="325"/>
      <c r="F573" s="325"/>
      <c r="G573" s="325"/>
      <c r="H573" s="325"/>
      <c r="I573" s="325"/>
      <c r="J573" s="325"/>
      <c r="K573" s="325"/>
      <c r="L573" s="325"/>
      <c r="M573" s="325"/>
    </row>
    <row r="574" spans="2:13">
      <c r="B574" s="523"/>
      <c r="C574" s="325"/>
      <c r="D574" s="325"/>
      <c r="E574" s="325"/>
      <c r="F574" s="325"/>
      <c r="G574" s="325"/>
      <c r="H574" s="325"/>
      <c r="I574" s="325"/>
      <c r="J574" s="325"/>
      <c r="K574" s="325"/>
      <c r="L574" s="325"/>
      <c r="M574" s="325"/>
    </row>
    <row r="575" spans="2:13">
      <c r="B575" s="523"/>
      <c r="C575" s="325"/>
      <c r="D575" s="325"/>
      <c r="E575" s="325"/>
      <c r="F575" s="325"/>
      <c r="G575" s="325"/>
      <c r="H575" s="325"/>
      <c r="I575" s="325"/>
      <c r="J575" s="325"/>
      <c r="K575" s="325"/>
      <c r="L575" s="325"/>
      <c r="M575" s="325"/>
    </row>
    <row r="576" spans="2:13">
      <c r="B576" s="523"/>
      <c r="C576" s="325"/>
      <c r="D576" s="325"/>
      <c r="E576" s="325"/>
      <c r="F576" s="325"/>
      <c r="G576" s="325"/>
      <c r="H576" s="325"/>
      <c r="I576" s="325"/>
      <c r="J576" s="325"/>
      <c r="K576" s="325"/>
      <c r="L576" s="325"/>
      <c r="M576" s="325"/>
    </row>
    <row r="577" spans="2:13">
      <c r="B577" s="523"/>
      <c r="C577" s="325"/>
      <c r="D577" s="325"/>
      <c r="E577" s="325"/>
      <c r="F577" s="325"/>
      <c r="G577" s="325"/>
      <c r="H577" s="325"/>
      <c r="I577" s="325"/>
      <c r="J577" s="325"/>
      <c r="K577" s="325"/>
      <c r="L577" s="325"/>
      <c r="M577" s="325"/>
    </row>
    <row r="578" spans="2:13">
      <c r="B578" s="523"/>
      <c r="C578" s="325"/>
      <c r="D578" s="325"/>
      <c r="E578" s="325"/>
      <c r="F578" s="325"/>
      <c r="G578" s="325"/>
      <c r="H578" s="325"/>
      <c r="I578" s="325"/>
      <c r="J578" s="325"/>
      <c r="K578" s="325"/>
      <c r="L578" s="325"/>
      <c r="M578" s="325"/>
    </row>
    <row r="579" spans="2:13">
      <c r="B579" s="523"/>
      <c r="C579" s="325"/>
      <c r="D579" s="325"/>
      <c r="E579" s="325"/>
      <c r="F579" s="325"/>
      <c r="G579" s="325"/>
      <c r="H579" s="325"/>
      <c r="I579" s="325"/>
      <c r="J579" s="325"/>
      <c r="K579" s="325"/>
      <c r="L579" s="325"/>
      <c r="M579" s="325"/>
    </row>
    <row r="580" spans="2:13">
      <c r="B580" s="523"/>
      <c r="C580" s="325"/>
      <c r="D580" s="325"/>
      <c r="E580" s="325"/>
      <c r="F580" s="325"/>
      <c r="G580" s="325"/>
      <c r="H580" s="325"/>
      <c r="I580" s="325"/>
      <c r="J580" s="325"/>
      <c r="K580" s="325"/>
      <c r="L580" s="325"/>
      <c r="M580" s="325"/>
    </row>
    <row r="581" spans="2:13">
      <c r="B581" s="523"/>
      <c r="C581" s="325"/>
      <c r="D581" s="325"/>
      <c r="E581" s="325"/>
      <c r="F581" s="325"/>
      <c r="G581" s="325"/>
      <c r="H581" s="325"/>
      <c r="I581" s="325"/>
      <c r="J581" s="325"/>
      <c r="K581" s="325"/>
      <c r="L581" s="325"/>
      <c r="M581" s="325"/>
    </row>
    <row r="582" spans="2:13">
      <c r="B582" s="523"/>
      <c r="C582" s="325"/>
      <c r="D582" s="325"/>
      <c r="E582" s="325"/>
      <c r="F582" s="325"/>
      <c r="G582" s="325"/>
      <c r="H582" s="325"/>
      <c r="I582" s="325"/>
      <c r="J582" s="325"/>
      <c r="K582" s="325"/>
      <c r="L582" s="325"/>
      <c r="M582" s="325"/>
    </row>
    <row r="583" spans="2:13">
      <c r="B583" s="523"/>
      <c r="C583" s="325"/>
      <c r="D583" s="325"/>
      <c r="E583" s="325"/>
      <c r="F583" s="325"/>
      <c r="G583" s="325"/>
      <c r="H583" s="325"/>
      <c r="I583" s="325"/>
      <c r="J583" s="325"/>
      <c r="K583" s="325"/>
      <c r="L583" s="325"/>
      <c r="M583" s="325"/>
    </row>
    <row r="584" spans="2:13">
      <c r="B584" s="523"/>
      <c r="C584" s="325"/>
      <c r="D584" s="325"/>
      <c r="E584" s="325"/>
      <c r="F584" s="325"/>
      <c r="G584" s="325"/>
      <c r="H584" s="325"/>
      <c r="I584" s="325"/>
      <c r="J584" s="325"/>
      <c r="K584" s="325"/>
      <c r="L584" s="325"/>
      <c r="M584" s="325"/>
    </row>
    <row r="585" spans="2:13">
      <c r="B585" s="523"/>
      <c r="C585" s="325"/>
      <c r="D585" s="325"/>
      <c r="E585" s="325"/>
      <c r="F585" s="325"/>
      <c r="G585" s="325"/>
      <c r="H585" s="325"/>
      <c r="I585" s="325"/>
      <c r="J585" s="325"/>
      <c r="K585" s="325"/>
      <c r="L585" s="325"/>
      <c r="M585" s="325"/>
    </row>
    <row r="586" spans="2:13">
      <c r="B586" s="523"/>
      <c r="C586" s="325"/>
      <c r="D586" s="325"/>
      <c r="E586" s="325"/>
      <c r="F586" s="325"/>
      <c r="G586" s="325"/>
      <c r="H586" s="325"/>
      <c r="I586" s="325"/>
      <c r="J586" s="325"/>
      <c r="K586" s="325"/>
      <c r="L586" s="325"/>
      <c r="M586" s="325"/>
    </row>
    <row r="587" spans="2:13">
      <c r="B587" s="523"/>
      <c r="C587" s="325"/>
      <c r="D587" s="325"/>
      <c r="E587" s="325"/>
      <c r="F587" s="325"/>
      <c r="G587" s="325"/>
      <c r="H587" s="325"/>
      <c r="I587" s="325"/>
      <c r="J587" s="325"/>
      <c r="K587" s="325"/>
      <c r="L587" s="325"/>
      <c r="M587" s="325"/>
    </row>
    <row r="588" spans="2:13">
      <c r="B588" s="523"/>
      <c r="C588" s="325"/>
      <c r="D588" s="325"/>
      <c r="E588" s="325"/>
      <c r="F588" s="325"/>
      <c r="G588" s="325"/>
      <c r="H588" s="325"/>
      <c r="I588" s="325"/>
      <c r="J588" s="325"/>
      <c r="K588" s="325"/>
      <c r="L588" s="325"/>
      <c r="M588" s="325"/>
    </row>
    <row r="589" spans="2:13">
      <c r="B589" s="523"/>
      <c r="C589" s="325"/>
      <c r="D589" s="325"/>
      <c r="E589" s="325"/>
      <c r="F589" s="325"/>
      <c r="G589" s="325"/>
      <c r="H589" s="325"/>
      <c r="I589" s="325"/>
      <c r="J589" s="325"/>
      <c r="K589" s="325"/>
      <c r="L589" s="325"/>
      <c r="M589" s="325"/>
    </row>
    <row r="590" spans="2:13">
      <c r="B590" s="523"/>
      <c r="C590" s="325"/>
      <c r="D590" s="325"/>
      <c r="E590" s="325"/>
      <c r="F590" s="325"/>
      <c r="G590" s="325"/>
      <c r="H590" s="325"/>
      <c r="I590" s="325"/>
      <c r="J590" s="325"/>
      <c r="K590" s="325"/>
      <c r="L590" s="325"/>
      <c r="M590" s="325"/>
    </row>
    <row r="591" spans="2:13">
      <c r="B591" s="523"/>
      <c r="C591" s="325"/>
      <c r="D591" s="325"/>
      <c r="E591" s="325"/>
      <c r="F591" s="325"/>
      <c r="G591" s="325"/>
      <c r="H591" s="325"/>
      <c r="I591" s="325"/>
      <c r="J591" s="325"/>
      <c r="K591" s="325"/>
      <c r="L591" s="325"/>
      <c r="M591" s="325"/>
    </row>
    <row r="592" spans="2:13">
      <c r="B592" s="523"/>
      <c r="C592" s="325"/>
      <c r="D592" s="325"/>
      <c r="E592" s="325"/>
      <c r="F592" s="325"/>
      <c r="G592" s="325"/>
      <c r="H592" s="325"/>
      <c r="I592" s="325"/>
      <c r="J592" s="325"/>
      <c r="K592" s="325"/>
      <c r="L592" s="325"/>
      <c r="M592" s="325"/>
    </row>
    <row r="593" spans="2:13">
      <c r="B593" s="523"/>
      <c r="C593" s="325"/>
      <c r="D593" s="325"/>
      <c r="E593" s="325"/>
      <c r="F593" s="325"/>
      <c r="G593" s="325"/>
      <c r="H593" s="325"/>
      <c r="I593" s="325"/>
      <c r="J593" s="325"/>
      <c r="K593" s="325"/>
      <c r="L593" s="325"/>
      <c r="M593" s="325"/>
    </row>
    <row r="594" spans="2:13">
      <c r="B594" s="523"/>
      <c r="C594" s="325"/>
      <c r="D594" s="325"/>
      <c r="E594" s="325"/>
      <c r="F594" s="325"/>
      <c r="G594" s="325"/>
      <c r="H594" s="325"/>
      <c r="I594" s="325"/>
      <c r="J594" s="325"/>
      <c r="K594" s="325"/>
      <c r="L594" s="325"/>
      <c r="M594" s="325"/>
    </row>
    <row r="595" spans="2:13">
      <c r="B595" s="523"/>
      <c r="C595" s="325"/>
      <c r="D595" s="325"/>
      <c r="E595" s="325"/>
      <c r="F595" s="325"/>
      <c r="G595" s="325"/>
      <c r="H595" s="325"/>
      <c r="I595" s="325"/>
      <c r="J595" s="325"/>
      <c r="K595" s="325"/>
      <c r="L595" s="325"/>
      <c r="M595" s="325"/>
    </row>
    <row r="596" spans="2:13">
      <c r="B596" s="523"/>
      <c r="C596" s="325"/>
      <c r="D596" s="325"/>
      <c r="E596" s="325"/>
      <c r="F596" s="325"/>
      <c r="G596" s="325"/>
      <c r="H596" s="325"/>
      <c r="I596" s="325"/>
      <c r="J596" s="325"/>
      <c r="K596" s="325"/>
      <c r="L596" s="325"/>
      <c r="M596" s="325"/>
    </row>
    <row r="597" spans="2:13">
      <c r="B597" s="523"/>
      <c r="C597" s="325"/>
      <c r="D597" s="325"/>
      <c r="E597" s="325"/>
      <c r="F597" s="325"/>
      <c r="G597" s="325"/>
      <c r="H597" s="325"/>
      <c r="I597" s="325"/>
      <c r="J597" s="325"/>
      <c r="K597" s="325"/>
      <c r="L597" s="325"/>
      <c r="M597" s="325"/>
    </row>
    <row r="598" spans="2:13">
      <c r="B598" s="523"/>
      <c r="C598" s="325"/>
      <c r="D598" s="325"/>
      <c r="E598" s="325"/>
      <c r="F598" s="325"/>
      <c r="G598" s="325"/>
      <c r="H598" s="325"/>
      <c r="I598" s="325"/>
      <c r="J598" s="325"/>
      <c r="K598" s="325"/>
      <c r="L598" s="325"/>
      <c r="M598" s="325"/>
    </row>
    <row r="599" spans="2:13">
      <c r="B599" s="523"/>
      <c r="C599" s="325"/>
      <c r="D599" s="325"/>
      <c r="E599" s="325"/>
      <c r="F599" s="325"/>
      <c r="G599" s="325"/>
      <c r="H599" s="325"/>
      <c r="I599" s="325"/>
      <c r="J599" s="325"/>
      <c r="K599" s="325"/>
      <c r="L599" s="325"/>
      <c r="M599" s="325"/>
    </row>
    <row r="600" spans="2:13">
      <c r="B600" s="523"/>
      <c r="C600" s="325"/>
      <c r="D600" s="325"/>
      <c r="E600" s="325"/>
      <c r="F600" s="325"/>
      <c r="G600" s="325"/>
      <c r="H600" s="325"/>
      <c r="I600" s="325"/>
      <c r="J600" s="325"/>
      <c r="K600" s="325"/>
      <c r="L600" s="325"/>
      <c r="M600" s="325"/>
    </row>
    <row r="601" spans="2:13">
      <c r="B601" s="523"/>
      <c r="C601" s="325"/>
      <c r="D601" s="325"/>
      <c r="E601" s="325"/>
      <c r="F601" s="325"/>
      <c r="G601" s="325"/>
      <c r="H601" s="325"/>
      <c r="I601" s="325"/>
      <c r="J601" s="325"/>
      <c r="K601" s="325"/>
      <c r="L601" s="325"/>
      <c r="M601" s="325"/>
    </row>
    <row r="602" spans="2:13">
      <c r="B602" s="523"/>
      <c r="C602" s="325"/>
      <c r="D602" s="325"/>
      <c r="E602" s="325"/>
      <c r="F602" s="325"/>
      <c r="G602" s="325"/>
      <c r="H602" s="325"/>
      <c r="I602" s="325"/>
      <c r="J602" s="325"/>
      <c r="K602" s="325"/>
      <c r="L602" s="325"/>
      <c r="M602" s="325"/>
    </row>
    <row r="603" spans="2:13">
      <c r="B603" s="523"/>
      <c r="C603" s="325"/>
      <c r="D603" s="325"/>
      <c r="E603" s="325"/>
      <c r="F603" s="325"/>
      <c r="G603" s="325"/>
      <c r="H603" s="325"/>
      <c r="I603" s="325"/>
      <c r="J603" s="325"/>
      <c r="K603" s="325"/>
      <c r="L603" s="325"/>
      <c r="M603" s="325"/>
    </row>
    <row r="604" spans="2:13">
      <c r="B604" s="523"/>
      <c r="C604" s="325"/>
      <c r="D604" s="325"/>
      <c r="E604" s="325"/>
      <c r="F604" s="325"/>
      <c r="G604" s="325"/>
      <c r="H604" s="325"/>
      <c r="I604" s="325"/>
      <c r="J604" s="325"/>
      <c r="K604" s="325"/>
      <c r="L604" s="325"/>
      <c r="M604" s="325"/>
    </row>
    <row r="605" spans="2:13">
      <c r="B605" s="523"/>
      <c r="C605" s="325"/>
      <c r="D605" s="325"/>
      <c r="E605" s="325"/>
      <c r="F605" s="325"/>
      <c r="G605" s="325"/>
      <c r="H605" s="325"/>
      <c r="I605" s="325"/>
      <c r="J605" s="325"/>
      <c r="K605" s="325"/>
      <c r="L605" s="325"/>
      <c r="M605" s="325"/>
    </row>
    <row r="606" spans="2:13">
      <c r="B606" s="523"/>
      <c r="C606" s="325"/>
      <c r="D606" s="325"/>
      <c r="E606" s="325"/>
      <c r="F606" s="325"/>
      <c r="G606" s="325"/>
      <c r="H606" s="325"/>
      <c r="I606" s="325"/>
      <c r="J606" s="325"/>
      <c r="K606" s="325"/>
      <c r="L606" s="325"/>
      <c r="M606" s="325"/>
    </row>
    <row r="607" spans="2:13">
      <c r="B607" s="523"/>
      <c r="C607" s="325"/>
      <c r="D607" s="325"/>
      <c r="E607" s="325"/>
      <c r="F607" s="325"/>
      <c r="G607" s="325"/>
      <c r="H607" s="325"/>
      <c r="I607" s="325"/>
      <c r="J607" s="325"/>
      <c r="K607" s="325"/>
      <c r="L607" s="325"/>
      <c r="M607" s="325"/>
    </row>
    <row r="608" spans="2:13">
      <c r="B608" s="523"/>
      <c r="C608" s="325"/>
      <c r="D608" s="325"/>
      <c r="E608" s="325"/>
      <c r="F608" s="325"/>
      <c r="G608" s="325"/>
      <c r="H608" s="325"/>
      <c r="I608" s="325"/>
      <c r="J608" s="325"/>
      <c r="K608" s="325"/>
      <c r="L608" s="325"/>
      <c r="M608" s="325"/>
    </row>
    <row r="609" spans="2:13">
      <c r="B609" s="523"/>
      <c r="C609" s="325"/>
      <c r="D609" s="325"/>
      <c r="E609" s="325"/>
      <c r="F609" s="325"/>
      <c r="G609" s="325"/>
      <c r="H609" s="325"/>
      <c r="I609" s="325"/>
      <c r="J609" s="325"/>
      <c r="K609" s="325"/>
      <c r="L609" s="325"/>
      <c r="M609" s="325"/>
    </row>
    <row r="610" spans="2:13">
      <c r="B610" s="523"/>
      <c r="C610" s="325"/>
      <c r="D610" s="325"/>
      <c r="E610" s="325"/>
      <c r="F610" s="325"/>
      <c r="G610" s="325"/>
      <c r="H610" s="325"/>
      <c r="I610" s="325"/>
      <c r="J610" s="325"/>
      <c r="K610" s="325"/>
      <c r="L610" s="325"/>
      <c r="M610" s="325"/>
    </row>
    <row r="611" spans="2:13">
      <c r="B611" s="523"/>
      <c r="C611" s="325"/>
      <c r="D611" s="325"/>
      <c r="E611" s="325"/>
      <c r="F611" s="325"/>
      <c r="G611" s="325"/>
      <c r="H611" s="325"/>
      <c r="I611" s="325"/>
      <c r="J611" s="325"/>
      <c r="K611" s="325"/>
      <c r="L611" s="325"/>
      <c r="M611" s="325"/>
    </row>
    <row r="612" spans="2:13">
      <c r="B612" s="523"/>
      <c r="C612" s="325"/>
      <c r="D612" s="325"/>
      <c r="E612" s="325"/>
      <c r="F612" s="325"/>
      <c r="G612" s="325"/>
      <c r="H612" s="325"/>
      <c r="I612" s="325"/>
      <c r="J612" s="325"/>
      <c r="K612" s="325"/>
      <c r="L612" s="325"/>
      <c r="M612" s="325"/>
    </row>
    <row r="613" spans="2:13">
      <c r="B613" s="523"/>
      <c r="C613" s="325"/>
      <c r="D613" s="325"/>
      <c r="E613" s="325"/>
      <c r="F613" s="325"/>
      <c r="G613" s="325"/>
      <c r="H613" s="325"/>
      <c r="I613" s="325"/>
      <c r="J613" s="325"/>
      <c r="K613" s="325"/>
      <c r="L613" s="325"/>
      <c r="M613" s="325"/>
    </row>
    <row r="614" spans="2:13">
      <c r="B614" s="523"/>
      <c r="C614" s="325"/>
      <c r="D614" s="325"/>
      <c r="E614" s="325"/>
      <c r="F614" s="325"/>
      <c r="G614" s="325"/>
      <c r="H614" s="325"/>
      <c r="I614" s="325"/>
      <c r="J614" s="325"/>
      <c r="K614" s="325"/>
      <c r="L614" s="325"/>
      <c r="M614" s="325"/>
    </row>
    <row r="615" spans="2:13">
      <c r="B615" s="523"/>
      <c r="C615" s="325"/>
      <c r="D615" s="325"/>
      <c r="E615" s="325"/>
      <c r="F615" s="325"/>
      <c r="G615" s="325"/>
      <c r="H615" s="325"/>
      <c r="I615" s="325"/>
      <c r="J615" s="325"/>
      <c r="K615" s="325"/>
      <c r="L615" s="325"/>
      <c r="M615" s="325"/>
    </row>
    <row r="616" spans="2:13">
      <c r="B616" s="523"/>
      <c r="C616" s="325"/>
      <c r="D616" s="325"/>
      <c r="E616" s="325"/>
      <c r="F616" s="325"/>
      <c r="G616" s="325"/>
      <c r="H616" s="325"/>
      <c r="I616" s="325"/>
      <c r="J616" s="325"/>
      <c r="K616" s="325"/>
      <c r="L616" s="325"/>
      <c r="M616" s="325"/>
    </row>
    <row r="617" spans="2:13">
      <c r="B617" s="523"/>
      <c r="C617" s="325"/>
      <c r="D617" s="325"/>
      <c r="E617" s="325"/>
      <c r="F617" s="325"/>
      <c r="G617" s="325"/>
      <c r="H617" s="325"/>
      <c r="I617" s="325"/>
      <c r="J617" s="325"/>
      <c r="K617" s="325"/>
      <c r="L617" s="325"/>
      <c r="M617" s="325"/>
    </row>
    <row r="618" spans="2:13">
      <c r="B618" s="523"/>
      <c r="C618" s="325"/>
      <c r="D618" s="325"/>
      <c r="E618" s="325"/>
      <c r="F618" s="325"/>
      <c r="G618" s="325"/>
      <c r="H618" s="325"/>
      <c r="I618" s="325"/>
      <c r="J618" s="325"/>
      <c r="K618" s="325"/>
      <c r="L618" s="325"/>
      <c r="M618" s="325"/>
    </row>
    <row r="619" spans="2:13">
      <c r="B619" s="523"/>
      <c r="C619" s="325"/>
      <c r="D619" s="325"/>
      <c r="E619" s="325"/>
      <c r="F619" s="325"/>
      <c r="G619" s="325"/>
      <c r="H619" s="325"/>
      <c r="I619" s="325"/>
      <c r="J619" s="325"/>
      <c r="K619" s="325"/>
      <c r="L619" s="325"/>
      <c r="M619" s="325"/>
    </row>
    <row r="620" spans="2:13">
      <c r="B620" s="523"/>
      <c r="C620" s="325"/>
      <c r="D620" s="325"/>
      <c r="E620" s="325"/>
      <c r="F620" s="325"/>
      <c r="G620" s="325"/>
      <c r="H620" s="325"/>
      <c r="I620" s="325"/>
      <c r="J620" s="325"/>
      <c r="K620" s="325"/>
      <c r="L620" s="325"/>
      <c r="M620" s="325"/>
    </row>
    <row r="621" spans="2:13">
      <c r="B621" s="523"/>
      <c r="C621" s="325"/>
      <c r="D621" s="325"/>
      <c r="E621" s="325"/>
      <c r="F621" s="325"/>
      <c r="G621" s="325"/>
      <c r="H621" s="325"/>
      <c r="I621" s="325"/>
      <c r="J621" s="325"/>
      <c r="K621" s="325"/>
      <c r="L621" s="325"/>
      <c r="M621" s="325"/>
    </row>
    <row r="622" spans="2:13">
      <c r="B622" s="523"/>
      <c r="C622" s="325"/>
      <c r="D622" s="325"/>
      <c r="E622" s="325"/>
      <c r="F622" s="325"/>
      <c r="G622" s="325"/>
      <c r="H622" s="325"/>
      <c r="I622" s="325"/>
      <c r="J622" s="325"/>
      <c r="K622" s="325"/>
      <c r="L622" s="325"/>
      <c r="M622" s="325"/>
    </row>
    <row r="623" spans="2:13">
      <c r="B623" s="523"/>
      <c r="C623" s="325"/>
      <c r="D623" s="325"/>
      <c r="E623" s="325"/>
      <c r="F623" s="325"/>
      <c r="G623" s="325"/>
      <c r="H623" s="325"/>
      <c r="I623" s="325"/>
      <c r="J623" s="325"/>
      <c r="K623" s="325"/>
      <c r="L623" s="325"/>
      <c r="M623" s="325"/>
    </row>
    <row r="624" spans="2:13">
      <c r="B624" s="523"/>
      <c r="C624" s="325"/>
      <c r="D624" s="325"/>
      <c r="E624" s="325"/>
      <c r="F624" s="325"/>
      <c r="G624" s="325"/>
      <c r="H624" s="325"/>
      <c r="I624" s="325"/>
      <c r="J624" s="325"/>
      <c r="K624" s="325"/>
      <c r="L624" s="325"/>
      <c r="M624" s="325"/>
    </row>
    <row r="625" spans="2:13">
      <c r="B625" s="523"/>
      <c r="C625" s="325"/>
      <c r="D625" s="325"/>
      <c r="E625" s="325"/>
      <c r="F625" s="325"/>
      <c r="G625" s="325"/>
      <c r="H625" s="325"/>
      <c r="I625" s="325"/>
      <c r="J625" s="325"/>
      <c r="K625" s="325"/>
      <c r="L625" s="325"/>
      <c r="M625" s="325"/>
    </row>
    <row r="626" spans="2:13">
      <c r="B626" s="523"/>
      <c r="C626" s="325"/>
      <c r="D626" s="325"/>
      <c r="E626" s="325"/>
      <c r="F626" s="325"/>
      <c r="G626" s="325"/>
      <c r="H626" s="325"/>
      <c r="I626" s="325"/>
      <c r="J626" s="325"/>
      <c r="K626" s="325"/>
      <c r="L626" s="325"/>
      <c r="M626" s="325"/>
    </row>
    <row r="627" spans="2:13">
      <c r="B627" s="523"/>
      <c r="C627" s="325"/>
      <c r="D627" s="325"/>
      <c r="E627" s="325"/>
      <c r="F627" s="325"/>
      <c r="G627" s="325"/>
      <c r="H627" s="325"/>
      <c r="I627" s="325"/>
      <c r="J627" s="325"/>
      <c r="K627" s="325"/>
      <c r="L627" s="325"/>
      <c r="M627" s="325"/>
    </row>
    <row r="628" spans="2:13">
      <c r="B628" s="523"/>
      <c r="C628" s="325"/>
      <c r="D628" s="325"/>
      <c r="E628" s="325"/>
      <c r="F628" s="325"/>
      <c r="G628" s="325"/>
      <c r="H628" s="325"/>
      <c r="I628" s="325"/>
      <c r="J628" s="325"/>
      <c r="K628" s="325"/>
      <c r="L628" s="325"/>
      <c r="M628" s="325"/>
    </row>
    <row r="629" spans="2:13">
      <c r="B629" s="523"/>
      <c r="C629" s="325"/>
      <c r="D629" s="325"/>
      <c r="E629" s="325"/>
      <c r="F629" s="325"/>
      <c r="G629" s="325"/>
      <c r="H629" s="325"/>
      <c r="I629" s="325"/>
      <c r="J629" s="325"/>
      <c r="K629" s="325"/>
      <c r="L629" s="325"/>
      <c r="M629" s="325"/>
    </row>
    <row r="630" spans="2:13">
      <c r="B630" s="523"/>
      <c r="C630" s="325"/>
      <c r="D630" s="325"/>
      <c r="E630" s="325"/>
      <c r="F630" s="325"/>
      <c r="G630" s="325"/>
      <c r="H630" s="325"/>
      <c r="I630" s="325"/>
      <c r="J630" s="325"/>
      <c r="K630" s="325"/>
      <c r="L630" s="325"/>
      <c r="M630" s="325"/>
    </row>
    <row r="631" spans="2:13">
      <c r="B631" s="523"/>
      <c r="C631" s="325"/>
      <c r="D631" s="325"/>
      <c r="E631" s="325"/>
      <c r="F631" s="325"/>
      <c r="G631" s="325"/>
      <c r="H631" s="325"/>
      <c r="I631" s="325"/>
      <c r="J631" s="325"/>
      <c r="K631" s="325"/>
      <c r="L631" s="325"/>
      <c r="M631" s="325"/>
    </row>
    <row r="632" spans="2:13">
      <c r="B632" s="523"/>
      <c r="C632" s="325"/>
      <c r="D632" s="325"/>
      <c r="E632" s="325"/>
      <c r="F632" s="325"/>
      <c r="G632" s="325"/>
      <c r="H632" s="325"/>
      <c r="I632" s="325"/>
      <c r="J632" s="325"/>
      <c r="K632" s="325"/>
      <c r="L632" s="325"/>
      <c r="M632" s="325"/>
    </row>
    <row r="633" spans="2:13">
      <c r="B633" s="523"/>
      <c r="C633" s="325"/>
      <c r="D633" s="325"/>
      <c r="E633" s="325"/>
      <c r="F633" s="325"/>
      <c r="G633" s="325"/>
      <c r="H633" s="325"/>
      <c r="I633" s="325"/>
      <c r="J633" s="325"/>
      <c r="K633" s="325"/>
      <c r="L633" s="325"/>
      <c r="M633" s="325"/>
    </row>
    <row r="634" spans="2:13">
      <c r="B634" s="523"/>
      <c r="C634" s="325"/>
      <c r="D634" s="325"/>
      <c r="E634" s="325"/>
      <c r="F634" s="325"/>
      <c r="G634" s="325"/>
      <c r="H634" s="325"/>
      <c r="I634" s="325"/>
      <c r="J634" s="325"/>
      <c r="K634" s="325"/>
      <c r="L634" s="325"/>
      <c r="M634" s="325"/>
    </row>
    <row r="635" spans="2:13">
      <c r="B635" s="523"/>
      <c r="C635" s="325"/>
      <c r="D635" s="325"/>
      <c r="E635" s="325"/>
      <c r="F635" s="325"/>
      <c r="G635" s="325"/>
      <c r="H635" s="325"/>
      <c r="I635" s="325"/>
      <c r="J635" s="325"/>
      <c r="K635" s="325"/>
      <c r="L635" s="325"/>
      <c r="M635" s="325"/>
    </row>
    <row r="636" spans="2:13">
      <c r="B636" s="523"/>
      <c r="C636" s="325"/>
      <c r="D636" s="325"/>
      <c r="E636" s="325"/>
      <c r="F636" s="325"/>
      <c r="G636" s="325"/>
      <c r="H636" s="325"/>
      <c r="I636" s="325"/>
      <c r="J636" s="325"/>
      <c r="K636" s="325"/>
      <c r="L636" s="325"/>
      <c r="M636" s="325"/>
    </row>
    <row r="637" spans="2:13">
      <c r="B637" s="523"/>
      <c r="C637" s="325"/>
      <c r="D637" s="325"/>
      <c r="E637" s="325"/>
      <c r="F637" s="325"/>
      <c r="G637" s="325"/>
      <c r="H637" s="325"/>
      <c r="I637" s="325"/>
      <c r="J637" s="325"/>
      <c r="K637" s="325"/>
      <c r="L637" s="325"/>
      <c r="M637" s="325"/>
    </row>
    <row r="638" spans="2:13">
      <c r="B638" s="523"/>
      <c r="C638" s="325"/>
      <c r="D638" s="325"/>
      <c r="E638" s="325"/>
      <c r="F638" s="325"/>
      <c r="G638" s="325"/>
      <c r="H638" s="325"/>
      <c r="I638" s="325"/>
      <c r="J638" s="325"/>
      <c r="K638" s="325"/>
      <c r="L638" s="325"/>
      <c r="M638" s="325"/>
    </row>
    <row r="639" spans="2:13">
      <c r="B639" s="523"/>
      <c r="C639" s="325"/>
      <c r="D639" s="325"/>
      <c r="E639" s="325"/>
      <c r="F639" s="325"/>
      <c r="G639" s="325"/>
      <c r="H639" s="325"/>
      <c r="I639" s="325"/>
      <c r="J639" s="325"/>
      <c r="K639" s="325"/>
      <c r="L639" s="325"/>
      <c r="M639" s="325"/>
    </row>
    <row r="640" spans="2:13">
      <c r="B640" s="523"/>
      <c r="C640" s="325"/>
      <c r="D640" s="325"/>
      <c r="E640" s="325"/>
      <c r="F640" s="325"/>
      <c r="G640" s="325"/>
      <c r="H640" s="325"/>
      <c r="I640" s="325"/>
      <c r="J640" s="325"/>
      <c r="K640" s="325"/>
      <c r="L640" s="325"/>
      <c r="M640" s="325"/>
    </row>
    <row r="641" spans="2:13">
      <c r="B641" s="523"/>
      <c r="C641" s="325"/>
      <c r="D641" s="325"/>
      <c r="E641" s="325"/>
      <c r="F641" s="325"/>
      <c r="G641" s="325"/>
      <c r="H641" s="325"/>
      <c r="I641" s="325"/>
      <c r="J641" s="325"/>
      <c r="K641" s="325"/>
      <c r="L641" s="325"/>
      <c r="M641" s="325"/>
    </row>
    <row r="642" spans="2:13">
      <c r="B642" s="523"/>
      <c r="C642" s="325"/>
      <c r="D642" s="325"/>
      <c r="E642" s="325"/>
      <c r="F642" s="325"/>
      <c r="G642" s="325"/>
      <c r="H642" s="325"/>
      <c r="I642" s="325"/>
      <c r="J642" s="325"/>
      <c r="K642" s="325"/>
      <c r="L642" s="325"/>
      <c r="M642" s="325"/>
    </row>
    <row r="643" spans="2:13">
      <c r="B643" s="523"/>
      <c r="C643" s="325"/>
      <c r="D643" s="325"/>
      <c r="E643" s="325"/>
      <c r="F643" s="325"/>
      <c r="G643" s="325"/>
      <c r="H643" s="325"/>
      <c r="I643" s="325"/>
      <c r="J643" s="325"/>
      <c r="K643" s="325"/>
      <c r="L643" s="325"/>
      <c r="M643" s="325"/>
    </row>
    <row r="644" spans="2:13">
      <c r="B644" s="523"/>
      <c r="C644" s="325"/>
      <c r="D644" s="325"/>
      <c r="E644" s="325"/>
      <c r="F644" s="325"/>
      <c r="G644" s="325"/>
      <c r="H644" s="325"/>
      <c r="I644" s="325"/>
      <c r="J644" s="325"/>
      <c r="K644" s="325"/>
      <c r="L644" s="325"/>
      <c r="M644" s="325"/>
    </row>
    <row r="645" spans="2:13">
      <c r="B645" s="523"/>
      <c r="C645" s="325"/>
      <c r="D645" s="325"/>
      <c r="E645" s="325"/>
      <c r="F645" s="325"/>
      <c r="G645" s="325"/>
      <c r="H645" s="325"/>
      <c r="I645" s="325"/>
      <c r="J645" s="325"/>
      <c r="K645" s="325"/>
      <c r="L645" s="325"/>
      <c r="M645" s="325"/>
    </row>
    <row r="646" spans="2:13">
      <c r="B646" s="523"/>
      <c r="C646" s="325"/>
      <c r="D646" s="325"/>
      <c r="E646" s="325"/>
      <c r="F646" s="325"/>
      <c r="G646" s="325"/>
      <c r="H646" s="325"/>
      <c r="I646" s="325"/>
      <c r="J646" s="325"/>
      <c r="K646" s="325"/>
      <c r="L646" s="325"/>
      <c r="M646" s="325"/>
    </row>
    <row r="647" spans="2:13">
      <c r="B647" s="523"/>
      <c r="C647" s="325"/>
      <c r="D647" s="325"/>
      <c r="E647" s="325"/>
      <c r="F647" s="325"/>
      <c r="G647" s="325"/>
      <c r="H647" s="325"/>
      <c r="I647" s="325"/>
      <c r="J647" s="325"/>
      <c r="K647" s="325"/>
      <c r="L647" s="325"/>
      <c r="M647" s="325"/>
    </row>
    <row r="648" spans="2:13">
      <c r="B648" s="523"/>
      <c r="C648" s="325"/>
      <c r="D648" s="325"/>
      <c r="E648" s="325"/>
      <c r="F648" s="325"/>
      <c r="G648" s="325"/>
      <c r="H648" s="325"/>
      <c r="I648" s="325"/>
      <c r="J648" s="325"/>
      <c r="K648" s="325"/>
      <c r="L648" s="325"/>
      <c r="M648" s="325"/>
    </row>
    <row r="649" spans="2:13">
      <c r="B649" s="523"/>
      <c r="C649" s="325"/>
      <c r="D649" s="325"/>
      <c r="E649" s="325"/>
      <c r="F649" s="325"/>
      <c r="G649" s="325"/>
      <c r="H649" s="325"/>
      <c r="I649" s="325"/>
      <c r="J649" s="325"/>
      <c r="K649" s="325"/>
      <c r="L649" s="325"/>
      <c r="M649" s="325"/>
    </row>
    <row r="650" spans="2:13">
      <c r="B650" s="523"/>
      <c r="C650" s="325"/>
      <c r="D650" s="325"/>
      <c r="E650" s="325"/>
      <c r="F650" s="325"/>
      <c r="G650" s="325"/>
      <c r="H650" s="325"/>
      <c r="I650" s="325"/>
      <c r="J650" s="325"/>
      <c r="K650" s="325"/>
      <c r="L650" s="325"/>
      <c r="M650" s="325"/>
    </row>
    <row r="651" spans="2:13">
      <c r="B651" s="523"/>
      <c r="C651" s="325"/>
      <c r="D651" s="325"/>
      <c r="E651" s="325"/>
      <c r="F651" s="325"/>
      <c r="G651" s="325"/>
      <c r="H651" s="325"/>
      <c r="I651" s="325"/>
      <c r="J651" s="325"/>
      <c r="K651" s="325"/>
      <c r="L651" s="325"/>
      <c r="M651" s="325"/>
    </row>
    <row r="652" spans="2:13">
      <c r="B652" s="523"/>
      <c r="C652" s="325"/>
      <c r="D652" s="325"/>
      <c r="E652" s="325"/>
      <c r="F652" s="325"/>
      <c r="G652" s="325"/>
      <c r="H652" s="325"/>
      <c r="I652" s="325"/>
      <c r="J652" s="325"/>
      <c r="K652" s="325"/>
      <c r="L652" s="325"/>
      <c r="M652" s="325"/>
    </row>
    <row r="653" spans="2:13">
      <c r="B653" s="523"/>
      <c r="C653" s="325"/>
      <c r="D653" s="325"/>
      <c r="E653" s="325"/>
      <c r="F653" s="325"/>
      <c r="G653" s="325"/>
      <c r="H653" s="325"/>
      <c r="I653" s="325"/>
      <c r="J653" s="325"/>
      <c r="K653" s="325"/>
      <c r="L653" s="325"/>
      <c r="M653" s="325"/>
    </row>
    <row r="654" spans="2:13">
      <c r="B654" s="523"/>
      <c r="C654" s="325"/>
      <c r="D654" s="325"/>
      <c r="E654" s="325"/>
      <c r="F654" s="325"/>
      <c r="G654" s="325"/>
      <c r="H654" s="325"/>
      <c r="I654" s="325"/>
      <c r="J654" s="325"/>
      <c r="K654" s="325"/>
      <c r="L654" s="325"/>
      <c r="M654" s="325"/>
    </row>
    <row r="655" spans="2:13">
      <c r="B655" s="523"/>
      <c r="C655" s="325"/>
      <c r="D655" s="325"/>
      <c r="E655" s="325"/>
      <c r="F655" s="325"/>
      <c r="G655" s="325"/>
      <c r="H655" s="325"/>
      <c r="I655" s="325"/>
      <c r="J655" s="325"/>
      <c r="K655" s="325"/>
      <c r="L655" s="325"/>
      <c r="M655" s="325"/>
    </row>
    <row r="656" spans="2:13">
      <c r="B656" s="523"/>
      <c r="C656" s="325"/>
      <c r="D656" s="325"/>
      <c r="E656" s="325"/>
      <c r="F656" s="325"/>
      <c r="G656" s="325"/>
      <c r="H656" s="325"/>
      <c r="I656" s="325"/>
      <c r="J656" s="325"/>
      <c r="K656" s="325"/>
      <c r="L656" s="325"/>
      <c r="M656" s="325"/>
    </row>
    <row r="657" spans="2:13">
      <c r="B657" s="523"/>
      <c r="C657" s="325"/>
      <c r="D657" s="325"/>
      <c r="E657" s="325"/>
      <c r="F657" s="325"/>
      <c r="G657" s="325"/>
      <c r="H657" s="325"/>
      <c r="I657" s="325"/>
      <c r="J657" s="325"/>
      <c r="K657" s="325"/>
      <c r="L657" s="325"/>
      <c r="M657" s="325"/>
    </row>
    <row r="658" spans="2:13">
      <c r="B658" s="523"/>
      <c r="C658" s="325"/>
      <c r="D658" s="325"/>
      <c r="E658" s="325"/>
      <c r="F658" s="325"/>
      <c r="G658" s="325"/>
      <c r="H658" s="325"/>
      <c r="I658" s="325"/>
      <c r="J658" s="325"/>
      <c r="K658" s="325"/>
      <c r="L658" s="325"/>
      <c r="M658" s="325"/>
    </row>
    <row r="659" spans="2:13">
      <c r="B659" s="523"/>
      <c r="C659" s="325"/>
      <c r="D659" s="325"/>
      <c r="E659" s="325"/>
      <c r="F659" s="325"/>
      <c r="G659" s="325"/>
      <c r="H659" s="325"/>
      <c r="I659" s="325"/>
      <c r="J659" s="325"/>
      <c r="K659" s="325"/>
      <c r="L659" s="325"/>
      <c r="M659" s="325"/>
    </row>
    <row r="660" spans="2:13">
      <c r="B660" s="523"/>
      <c r="C660" s="325"/>
      <c r="D660" s="325"/>
      <c r="E660" s="325"/>
      <c r="F660" s="325"/>
      <c r="G660" s="325"/>
      <c r="H660" s="325"/>
      <c r="I660" s="325"/>
      <c r="J660" s="325"/>
      <c r="K660" s="325"/>
      <c r="L660" s="325"/>
      <c r="M660" s="325"/>
    </row>
    <row r="661" spans="2:13">
      <c r="B661" s="523"/>
      <c r="C661" s="325"/>
      <c r="D661" s="325"/>
      <c r="E661" s="325"/>
      <c r="F661" s="325"/>
      <c r="G661" s="325"/>
      <c r="H661" s="325"/>
      <c r="I661" s="325"/>
      <c r="J661" s="325"/>
      <c r="K661" s="325"/>
      <c r="L661" s="325"/>
      <c r="M661" s="325"/>
    </row>
    <row r="662" spans="2:13">
      <c r="B662" s="523"/>
      <c r="C662" s="325"/>
      <c r="D662" s="325"/>
      <c r="E662" s="325"/>
      <c r="F662" s="325"/>
      <c r="G662" s="325"/>
      <c r="H662" s="325"/>
      <c r="I662" s="325"/>
      <c r="J662" s="325"/>
      <c r="K662" s="325"/>
      <c r="L662" s="325"/>
      <c r="M662" s="325"/>
    </row>
    <row r="663" spans="2:13">
      <c r="B663" s="523"/>
      <c r="C663" s="325"/>
      <c r="D663" s="325"/>
      <c r="E663" s="325"/>
      <c r="F663" s="325"/>
      <c r="G663" s="325"/>
      <c r="H663" s="325"/>
      <c r="I663" s="325"/>
      <c r="J663" s="325"/>
      <c r="K663" s="325"/>
      <c r="L663" s="325"/>
      <c r="M663" s="325"/>
    </row>
    <row r="664" spans="2:13">
      <c r="B664" s="523"/>
      <c r="C664" s="325"/>
      <c r="D664" s="325"/>
      <c r="E664" s="325"/>
      <c r="F664" s="325"/>
      <c r="G664" s="325"/>
      <c r="H664" s="325"/>
      <c r="I664" s="325"/>
      <c r="J664" s="325"/>
      <c r="K664" s="325"/>
      <c r="L664" s="325"/>
      <c r="M664" s="325"/>
    </row>
    <row r="665" spans="2:13">
      <c r="B665" s="523"/>
      <c r="C665" s="325"/>
      <c r="D665" s="325"/>
      <c r="E665" s="325"/>
      <c r="F665" s="325"/>
      <c r="G665" s="325"/>
      <c r="H665" s="325"/>
      <c r="I665" s="325"/>
      <c r="J665" s="325"/>
      <c r="K665" s="325"/>
      <c r="L665" s="325"/>
      <c r="M665" s="325"/>
    </row>
    <row r="666" spans="2:13">
      <c r="B666" s="523"/>
      <c r="C666" s="325"/>
      <c r="D666" s="325"/>
      <c r="E666" s="325"/>
      <c r="F666" s="325"/>
      <c r="G666" s="325"/>
      <c r="H666" s="325"/>
      <c r="I666" s="325"/>
      <c r="J666" s="325"/>
      <c r="K666" s="325"/>
      <c r="L666" s="325"/>
      <c r="M666" s="325"/>
    </row>
    <row r="667" spans="2:13">
      <c r="B667" s="523"/>
      <c r="C667" s="325"/>
      <c r="D667" s="325"/>
      <c r="E667" s="325"/>
      <c r="F667" s="325"/>
      <c r="G667" s="325"/>
      <c r="H667" s="325"/>
      <c r="I667" s="325"/>
      <c r="J667" s="325"/>
      <c r="K667" s="325"/>
      <c r="L667" s="325"/>
      <c r="M667" s="325"/>
    </row>
    <row r="668" spans="2:13">
      <c r="B668" s="523"/>
      <c r="C668" s="325"/>
      <c r="D668" s="325"/>
      <c r="E668" s="325"/>
      <c r="F668" s="325"/>
      <c r="G668" s="325"/>
      <c r="H668" s="325"/>
      <c r="I668" s="325"/>
      <c r="J668" s="325"/>
      <c r="K668" s="325"/>
      <c r="L668" s="325"/>
      <c r="M668" s="325"/>
    </row>
    <row r="669" spans="2:13">
      <c r="B669" s="523"/>
      <c r="C669" s="325"/>
      <c r="D669" s="325"/>
      <c r="E669" s="325"/>
      <c r="F669" s="325"/>
      <c r="G669" s="325"/>
      <c r="H669" s="325"/>
      <c r="I669" s="325"/>
      <c r="J669" s="325"/>
      <c r="K669" s="325"/>
      <c r="L669" s="325"/>
      <c r="M669" s="325"/>
    </row>
    <row r="670" spans="2:13">
      <c r="B670" s="523"/>
      <c r="C670" s="325"/>
      <c r="D670" s="325"/>
      <c r="E670" s="325"/>
      <c r="F670" s="325"/>
      <c r="G670" s="325"/>
      <c r="H670" s="325"/>
      <c r="I670" s="325"/>
      <c r="J670" s="325"/>
      <c r="K670" s="325"/>
      <c r="L670" s="325"/>
      <c r="M670" s="325"/>
    </row>
    <row r="671" spans="2:13">
      <c r="B671" s="523"/>
      <c r="C671" s="325"/>
      <c r="D671" s="325"/>
      <c r="E671" s="325"/>
      <c r="F671" s="325"/>
      <c r="G671" s="325"/>
      <c r="H671" s="325"/>
      <c r="I671" s="325"/>
      <c r="J671" s="325"/>
      <c r="K671" s="325"/>
      <c r="L671" s="325"/>
      <c r="M671" s="325"/>
    </row>
    <row r="672" spans="2:13">
      <c r="B672" s="523"/>
      <c r="C672" s="325"/>
      <c r="D672" s="325"/>
      <c r="E672" s="325"/>
      <c r="F672" s="325"/>
      <c r="G672" s="325"/>
      <c r="H672" s="325"/>
      <c r="I672" s="325"/>
      <c r="J672" s="325"/>
      <c r="K672" s="325"/>
      <c r="L672" s="325"/>
      <c r="M672" s="325"/>
    </row>
    <row r="673" spans="2:13">
      <c r="B673" s="523"/>
      <c r="C673" s="325"/>
      <c r="D673" s="325"/>
      <c r="E673" s="325"/>
      <c r="F673" s="325"/>
      <c r="G673" s="325"/>
      <c r="H673" s="325"/>
      <c r="I673" s="325"/>
      <c r="J673" s="325"/>
      <c r="K673" s="325"/>
      <c r="L673" s="325"/>
      <c r="M673" s="325"/>
    </row>
    <row r="674" spans="2:13">
      <c r="B674" s="523"/>
      <c r="C674" s="325"/>
      <c r="D674" s="325"/>
      <c r="E674" s="325"/>
      <c r="F674" s="325"/>
      <c r="G674" s="325"/>
      <c r="H674" s="325"/>
      <c r="I674" s="325"/>
      <c r="J674" s="325"/>
      <c r="K674" s="325"/>
      <c r="L674" s="325"/>
      <c r="M674" s="325"/>
    </row>
    <row r="675" spans="2:13">
      <c r="B675" s="523"/>
      <c r="C675" s="325"/>
      <c r="D675" s="325"/>
      <c r="E675" s="325"/>
      <c r="F675" s="325"/>
      <c r="G675" s="325"/>
      <c r="H675" s="325"/>
      <c r="I675" s="325"/>
      <c r="J675" s="325"/>
      <c r="K675" s="325"/>
      <c r="L675" s="325"/>
      <c r="M675" s="325"/>
    </row>
    <row r="676" spans="2:13">
      <c r="B676" s="523"/>
      <c r="C676" s="325"/>
      <c r="D676" s="325"/>
      <c r="E676" s="325"/>
      <c r="F676" s="325"/>
      <c r="G676" s="325"/>
      <c r="H676" s="325"/>
      <c r="I676" s="325"/>
      <c r="J676" s="325"/>
      <c r="K676" s="325"/>
      <c r="L676" s="325"/>
      <c r="M676" s="325"/>
    </row>
    <row r="677" spans="2:13">
      <c r="B677" s="523"/>
      <c r="C677" s="325"/>
      <c r="D677" s="325"/>
      <c r="E677" s="325"/>
      <c r="F677" s="325"/>
      <c r="G677" s="325"/>
      <c r="H677" s="325"/>
      <c r="I677" s="325"/>
      <c r="J677" s="325"/>
      <c r="K677" s="325"/>
      <c r="L677" s="325"/>
      <c r="M677" s="325"/>
    </row>
    <row r="678" spans="2:13">
      <c r="B678" s="523"/>
      <c r="C678" s="325"/>
      <c r="D678" s="325"/>
      <c r="E678" s="325"/>
      <c r="F678" s="325"/>
      <c r="G678" s="325"/>
      <c r="H678" s="325"/>
      <c r="I678" s="325"/>
      <c r="J678" s="325"/>
      <c r="K678" s="325"/>
      <c r="L678" s="325"/>
      <c r="M678" s="325"/>
    </row>
    <row r="679" spans="2:13">
      <c r="B679" s="523"/>
      <c r="C679" s="325"/>
      <c r="D679" s="325"/>
      <c r="E679" s="325"/>
      <c r="F679" s="325"/>
      <c r="G679" s="325"/>
      <c r="H679" s="325"/>
      <c r="I679" s="325"/>
      <c r="J679" s="325"/>
      <c r="K679" s="325"/>
      <c r="L679" s="325"/>
      <c r="M679" s="325"/>
    </row>
    <row r="680" spans="2:13">
      <c r="B680" s="523"/>
      <c r="C680" s="325"/>
      <c r="D680" s="325"/>
      <c r="E680" s="325"/>
      <c r="F680" s="325"/>
      <c r="G680" s="325"/>
      <c r="H680" s="325"/>
      <c r="I680" s="325"/>
      <c r="J680" s="325"/>
      <c r="K680" s="325"/>
      <c r="L680" s="325"/>
      <c r="M680" s="325"/>
    </row>
    <row r="681" spans="2:13">
      <c r="B681" s="523"/>
      <c r="C681" s="325"/>
      <c r="D681" s="325"/>
      <c r="E681" s="325"/>
      <c r="F681" s="325"/>
      <c r="G681" s="325"/>
      <c r="H681" s="325"/>
      <c r="I681" s="325"/>
      <c r="J681" s="325"/>
      <c r="K681" s="325"/>
      <c r="L681" s="325"/>
      <c r="M681" s="325"/>
    </row>
    <row r="682" spans="2:13">
      <c r="B682" s="523"/>
      <c r="C682" s="325"/>
      <c r="D682" s="325"/>
      <c r="E682" s="325"/>
      <c r="F682" s="325"/>
      <c r="G682" s="325"/>
      <c r="H682" s="325"/>
      <c r="I682" s="325"/>
      <c r="J682" s="325"/>
      <c r="K682" s="325"/>
      <c r="L682" s="325"/>
      <c r="M682" s="325"/>
    </row>
    <row r="683" spans="2:13">
      <c r="B683" s="523"/>
      <c r="C683" s="325"/>
      <c r="D683" s="325"/>
      <c r="E683" s="325"/>
      <c r="F683" s="325"/>
      <c r="G683" s="325"/>
      <c r="H683" s="325"/>
      <c r="I683" s="325"/>
      <c r="J683" s="325"/>
      <c r="K683" s="325"/>
      <c r="L683" s="325"/>
      <c r="M683" s="325"/>
    </row>
    <row r="684" spans="2:13">
      <c r="B684" s="523"/>
      <c r="C684" s="325"/>
      <c r="D684" s="325"/>
      <c r="E684" s="325"/>
      <c r="F684" s="325"/>
      <c r="G684" s="325"/>
      <c r="H684" s="325"/>
      <c r="I684" s="325"/>
      <c r="J684" s="325"/>
      <c r="K684" s="325"/>
      <c r="L684" s="325"/>
      <c r="M684" s="325"/>
    </row>
    <row r="685" spans="2:13">
      <c r="B685" s="523"/>
      <c r="C685" s="325"/>
      <c r="D685" s="325"/>
      <c r="E685" s="325"/>
      <c r="F685" s="325"/>
      <c r="G685" s="325"/>
      <c r="H685" s="325"/>
      <c r="I685" s="325"/>
      <c r="J685" s="325"/>
      <c r="K685" s="325"/>
      <c r="L685" s="325"/>
      <c r="M685" s="325"/>
    </row>
    <row r="686" spans="2:13">
      <c r="B686" s="523"/>
      <c r="C686" s="325"/>
      <c r="D686" s="325"/>
      <c r="E686" s="325"/>
      <c r="F686" s="325"/>
      <c r="G686" s="325"/>
      <c r="H686" s="325"/>
      <c r="I686" s="325"/>
      <c r="J686" s="325"/>
      <c r="K686" s="325"/>
      <c r="L686" s="325"/>
      <c r="M686" s="325"/>
    </row>
    <row r="687" spans="2:13">
      <c r="B687" s="523"/>
      <c r="C687" s="325"/>
      <c r="D687" s="325"/>
      <c r="E687" s="325"/>
      <c r="F687" s="325"/>
      <c r="G687" s="325"/>
      <c r="H687" s="325"/>
      <c r="I687" s="325"/>
      <c r="J687" s="325"/>
      <c r="K687" s="325"/>
      <c r="L687" s="325"/>
      <c r="M687" s="325"/>
    </row>
    <row r="688" spans="2:13">
      <c r="B688" s="523"/>
      <c r="C688" s="325"/>
      <c r="D688" s="325"/>
      <c r="E688" s="325"/>
      <c r="F688" s="325"/>
      <c r="G688" s="325"/>
      <c r="H688" s="325"/>
      <c r="I688" s="325"/>
      <c r="J688" s="325"/>
      <c r="K688" s="325"/>
      <c r="L688" s="325"/>
      <c r="M688" s="325"/>
    </row>
    <row r="689" spans="2:13">
      <c r="B689" s="523"/>
      <c r="C689" s="325"/>
      <c r="D689" s="325"/>
      <c r="E689" s="325"/>
      <c r="F689" s="325"/>
      <c r="G689" s="325"/>
      <c r="H689" s="325"/>
      <c r="I689" s="325"/>
      <c r="J689" s="325"/>
      <c r="K689" s="325"/>
      <c r="L689" s="325"/>
      <c r="M689" s="325"/>
    </row>
    <row r="690" spans="2:13">
      <c r="B690" s="523"/>
      <c r="C690" s="325"/>
      <c r="D690" s="325"/>
      <c r="E690" s="325"/>
      <c r="F690" s="325"/>
      <c r="G690" s="325"/>
      <c r="H690" s="325"/>
      <c r="I690" s="325"/>
      <c r="J690" s="325"/>
      <c r="K690" s="325"/>
      <c r="L690" s="325"/>
      <c r="M690" s="325"/>
    </row>
    <row r="691" spans="2:13">
      <c r="B691" s="523"/>
      <c r="C691" s="325"/>
      <c r="D691" s="325"/>
      <c r="E691" s="325"/>
      <c r="F691" s="325"/>
      <c r="G691" s="325"/>
      <c r="H691" s="325"/>
      <c r="I691" s="325"/>
      <c r="J691" s="325"/>
      <c r="K691" s="325"/>
      <c r="L691" s="325"/>
      <c r="M691" s="325"/>
    </row>
    <row r="692" spans="2:13">
      <c r="B692" s="523"/>
      <c r="C692" s="325"/>
      <c r="D692" s="325"/>
      <c r="E692" s="325"/>
      <c r="F692" s="325"/>
      <c r="G692" s="325"/>
      <c r="H692" s="325"/>
      <c r="I692" s="325"/>
      <c r="J692" s="325"/>
      <c r="K692" s="325"/>
      <c r="L692" s="325"/>
      <c r="M692" s="325"/>
    </row>
    <row r="693" spans="2:13">
      <c r="B693" s="523"/>
      <c r="C693" s="325"/>
      <c r="D693" s="325"/>
      <c r="E693" s="325"/>
      <c r="F693" s="325"/>
      <c r="G693" s="325"/>
      <c r="H693" s="325"/>
      <c r="I693" s="325"/>
      <c r="J693" s="325"/>
      <c r="K693" s="325"/>
      <c r="L693" s="325"/>
      <c r="M693" s="325"/>
    </row>
    <row r="694" spans="2:13">
      <c r="B694" s="523"/>
      <c r="C694" s="325"/>
      <c r="D694" s="325"/>
      <c r="E694" s="325"/>
      <c r="F694" s="325"/>
      <c r="G694" s="325"/>
      <c r="H694" s="325"/>
      <c r="I694" s="325"/>
      <c r="J694" s="325"/>
      <c r="K694" s="325"/>
      <c r="L694" s="325"/>
      <c r="M694" s="325"/>
    </row>
    <row r="695" spans="2:13">
      <c r="B695" s="523"/>
      <c r="C695" s="325"/>
      <c r="D695" s="325"/>
      <c r="E695" s="325"/>
      <c r="F695" s="325"/>
      <c r="G695" s="325"/>
      <c r="H695" s="325"/>
      <c r="I695" s="325"/>
      <c r="J695" s="325"/>
      <c r="K695" s="325"/>
      <c r="L695" s="325"/>
      <c r="M695" s="325"/>
    </row>
    <row r="696" spans="2:13">
      <c r="B696" s="523"/>
      <c r="C696" s="325"/>
      <c r="D696" s="325"/>
      <c r="E696" s="325"/>
      <c r="F696" s="325"/>
      <c r="G696" s="325"/>
      <c r="H696" s="325"/>
      <c r="I696" s="325"/>
      <c r="J696" s="325"/>
      <c r="K696" s="325"/>
      <c r="L696" s="325"/>
      <c r="M696" s="325"/>
    </row>
    <row r="697" spans="2:13">
      <c r="B697" s="523"/>
      <c r="C697" s="325"/>
      <c r="D697" s="325"/>
      <c r="E697" s="325"/>
      <c r="F697" s="325"/>
      <c r="G697" s="325"/>
      <c r="H697" s="325"/>
      <c r="I697" s="325"/>
      <c r="J697" s="325"/>
      <c r="K697" s="325"/>
      <c r="L697" s="325"/>
      <c r="M697" s="325"/>
    </row>
    <row r="698" spans="2:13">
      <c r="B698" s="523"/>
      <c r="C698" s="325"/>
      <c r="D698" s="325"/>
      <c r="E698" s="325"/>
      <c r="F698" s="325"/>
      <c r="G698" s="325"/>
      <c r="H698" s="325"/>
      <c r="I698" s="325"/>
      <c r="J698" s="325"/>
      <c r="K698" s="325"/>
      <c r="L698" s="325"/>
      <c r="M698" s="325"/>
    </row>
    <row r="699" spans="2:13">
      <c r="B699" s="523"/>
      <c r="C699" s="325"/>
      <c r="D699" s="325"/>
      <c r="E699" s="325"/>
      <c r="F699" s="325"/>
      <c r="G699" s="325"/>
      <c r="H699" s="325"/>
      <c r="I699" s="325"/>
      <c r="J699" s="325"/>
      <c r="K699" s="325"/>
      <c r="L699" s="325"/>
      <c r="M699" s="325"/>
    </row>
    <row r="700" spans="2:13">
      <c r="B700" s="523"/>
      <c r="C700" s="325"/>
      <c r="D700" s="325"/>
      <c r="E700" s="325"/>
      <c r="F700" s="325"/>
      <c r="G700" s="325"/>
      <c r="H700" s="325"/>
      <c r="I700" s="325"/>
      <c r="J700" s="325"/>
      <c r="K700" s="325"/>
      <c r="L700" s="325"/>
      <c r="M700" s="325"/>
    </row>
    <row r="701" spans="2:13">
      <c r="B701" s="523"/>
      <c r="C701" s="325"/>
      <c r="D701" s="325"/>
      <c r="E701" s="325"/>
      <c r="F701" s="325"/>
      <c r="G701" s="325"/>
      <c r="H701" s="325"/>
      <c r="I701" s="325"/>
      <c r="J701" s="325"/>
      <c r="K701" s="325"/>
      <c r="L701" s="325"/>
      <c r="M701" s="325"/>
    </row>
    <row r="702" spans="2:13">
      <c r="B702" s="523"/>
      <c r="C702" s="325"/>
      <c r="D702" s="325"/>
      <c r="E702" s="325"/>
      <c r="F702" s="325"/>
      <c r="G702" s="325"/>
      <c r="H702" s="325"/>
      <c r="I702" s="325"/>
      <c r="J702" s="325"/>
      <c r="K702" s="325"/>
      <c r="L702" s="325"/>
      <c r="M702" s="325"/>
    </row>
    <row r="703" spans="2:13">
      <c r="B703" s="523"/>
      <c r="C703" s="325"/>
      <c r="D703" s="325"/>
      <c r="E703" s="325"/>
      <c r="F703" s="325"/>
      <c r="G703" s="325"/>
      <c r="H703" s="325"/>
      <c r="I703" s="325"/>
      <c r="J703" s="325"/>
      <c r="K703" s="325"/>
      <c r="L703" s="325"/>
      <c r="M703" s="325"/>
    </row>
    <row r="704" spans="2:13">
      <c r="B704" s="523"/>
      <c r="C704" s="325"/>
      <c r="D704" s="325"/>
      <c r="E704" s="325"/>
      <c r="F704" s="325"/>
      <c r="G704" s="325"/>
      <c r="H704" s="325"/>
      <c r="I704" s="325"/>
      <c r="J704" s="325"/>
      <c r="K704" s="325"/>
      <c r="L704" s="325"/>
      <c r="M704" s="325"/>
    </row>
    <row r="705" spans="2:13">
      <c r="B705" s="523"/>
      <c r="C705" s="325"/>
      <c r="D705" s="325"/>
      <c r="E705" s="325"/>
      <c r="F705" s="325"/>
      <c r="G705" s="325"/>
      <c r="H705" s="325"/>
      <c r="I705" s="325"/>
      <c r="J705" s="325"/>
      <c r="K705" s="325"/>
      <c r="L705" s="325"/>
      <c r="M705" s="325"/>
    </row>
    <row r="706" spans="2:13">
      <c r="B706" s="523"/>
      <c r="C706" s="325"/>
      <c r="D706" s="325"/>
      <c r="E706" s="325"/>
      <c r="F706" s="325"/>
      <c r="G706" s="325"/>
      <c r="H706" s="325"/>
      <c r="I706" s="325"/>
      <c r="J706" s="325"/>
      <c r="K706" s="325"/>
      <c r="L706" s="325"/>
      <c r="M706" s="325"/>
    </row>
    <row r="707" spans="2:13">
      <c r="B707" s="523"/>
      <c r="C707" s="325"/>
      <c r="D707" s="325"/>
      <c r="E707" s="325"/>
      <c r="F707" s="325"/>
      <c r="G707" s="325"/>
      <c r="H707" s="325"/>
      <c r="I707" s="325"/>
      <c r="J707" s="325"/>
      <c r="K707" s="325"/>
      <c r="L707" s="325"/>
      <c r="M707" s="325"/>
    </row>
    <row r="708" spans="2:13">
      <c r="B708" s="523"/>
      <c r="C708" s="325"/>
      <c r="D708" s="325"/>
      <c r="E708" s="325"/>
      <c r="F708" s="325"/>
      <c r="G708" s="325"/>
      <c r="H708" s="325"/>
      <c r="I708" s="325"/>
      <c r="J708" s="325"/>
      <c r="K708" s="325"/>
      <c r="L708" s="325"/>
      <c r="M708" s="325"/>
    </row>
    <row r="709" spans="2:13">
      <c r="B709" s="523"/>
      <c r="C709" s="325"/>
      <c r="D709" s="325"/>
      <c r="E709" s="325"/>
      <c r="F709" s="325"/>
      <c r="G709" s="325"/>
      <c r="H709" s="325"/>
      <c r="I709" s="325"/>
      <c r="J709" s="325"/>
      <c r="K709" s="325"/>
      <c r="L709" s="325"/>
      <c r="M709" s="325"/>
    </row>
    <row r="710" spans="2:13">
      <c r="B710" s="523"/>
      <c r="C710" s="325"/>
      <c r="D710" s="325"/>
      <c r="E710" s="325"/>
      <c r="F710" s="325"/>
      <c r="G710" s="325"/>
      <c r="H710" s="325"/>
      <c r="I710" s="325"/>
      <c r="J710" s="325"/>
      <c r="K710" s="325"/>
      <c r="L710" s="325"/>
      <c r="M710" s="325"/>
    </row>
    <row r="711" spans="2:13">
      <c r="B711" s="523"/>
      <c r="C711" s="325"/>
      <c r="D711" s="325"/>
      <c r="E711" s="325"/>
      <c r="F711" s="325"/>
      <c r="G711" s="325"/>
      <c r="H711" s="325"/>
      <c r="I711" s="325"/>
      <c r="J711" s="325"/>
      <c r="K711" s="325"/>
      <c r="L711" s="325"/>
      <c r="M711" s="325"/>
    </row>
    <row r="712" spans="2:13">
      <c r="B712" s="523"/>
      <c r="C712" s="325"/>
      <c r="D712" s="325"/>
      <c r="E712" s="325"/>
      <c r="F712" s="325"/>
      <c r="G712" s="325"/>
      <c r="H712" s="325"/>
      <c r="I712" s="325"/>
      <c r="J712" s="325"/>
      <c r="K712" s="325"/>
      <c r="L712" s="325"/>
      <c r="M712" s="325"/>
    </row>
    <row r="713" spans="2:13">
      <c r="B713" s="523"/>
      <c r="C713" s="325"/>
      <c r="D713" s="325"/>
      <c r="E713" s="325"/>
      <c r="F713" s="325"/>
      <c r="G713" s="325"/>
      <c r="H713" s="325"/>
      <c r="I713" s="325"/>
      <c r="J713" s="325"/>
      <c r="K713" s="325"/>
      <c r="L713" s="325"/>
      <c r="M713" s="325"/>
    </row>
    <row r="714" spans="2:13">
      <c r="B714" s="523"/>
      <c r="C714" s="325"/>
      <c r="D714" s="325"/>
      <c r="E714" s="325"/>
      <c r="F714" s="325"/>
      <c r="G714" s="325"/>
      <c r="H714" s="325"/>
      <c r="I714" s="325"/>
      <c r="J714" s="325"/>
      <c r="K714" s="325"/>
      <c r="L714" s="325"/>
      <c r="M714" s="325"/>
    </row>
    <row r="715" spans="2:13">
      <c r="B715" s="523"/>
      <c r="C715" s="325"/>
      <c r="D715" s="325"/>
      <c r="E715" s="325"/>
      <c r="F715" s="325"/>
      <c r="G715" s="325"/>
      <c r="H715" s="325"/>
      <c r="I715" s="325"/>
      <c r="J715" s="325"/>
      <c r="K715" s="325"/>
      <c r="L715" s="325"/>
      <c r="M715" s="325"/>
    </row>
    <row r="716" spans="2:13">
      <c r="B716" s="523"/>
      <c r="C716" s="325"/>
      <c r="D716" s="325"/>
      <c r="E716" s="325"/>
      <c r="F716" s="325"/>
      <c r="G716" s="325"/>
      <c r="H716" s="325"/>
      <c r="I716" s="325"/>
      <c r="J716" s="325"/>
      <c r="K716" s="325"/>
      <c r="L716" s="325"/>
      <c r="M716" s="325"/>
    </row>
    <row r="717" spans="2:13">
      <c r="B717" s="523"/>
      <c r="C717" s="325"/>
      <c r="D717" s="325"/>
      <c r="E717" s="325"/>
      <c r="F717" s="325"/>
      <c r="G717" s="325"/>
      <c r="H717" s="325"/>
      <c r="I717" s="325"/>
      <c r="J717" s="325"/>
      <c r="K717" s="325"/>
      <c r="L717" s="325"/>
      <c r="M717" s="325"/>
    </row>
    <row r="718" spans="2:13">
      <c r="B718" s="523"/>
      <c r="C718" s="325"/>
      <c r="D718" s="325"/>
      <c r="E718" s="325"/>
      <c r="F718" s="325"/>
      <c r="G718" s="325"/>
      <c r="H718" s="325"/>
      <c r="I718" s="325"/>
      <c r="J718" s="325"/>
      <c r="K718" s="325"/>
      <c r="L718" s="325"/>
      <c r="M718" s="325"/>
    </row>
    <row r="719" spans="2:13">
      <c r="B719" s="523"/>
      <c r="C719" s="325"/>
      <c r="D719" s="325"/>
      <c r="E719" s="325"/>
      <c r="F719" s="325"/>
      <c r="G719" s="325"/>
      <c r="H719" s="325"/>
      <c r="I719" s="325"/>
      <c r="J719" s="325"/>
      <c r="K719" s="325"/>
      <c r="L719" s="325"/>
      <c r="M719" s="325"/>
    </row>
    <row r="720" spans="2:13">
      <c r="B720" s="523"/>
      <c r="C720" s="325"/>
      <c r="D720" s="325"/>
      <c r="E720" s="325"/>
      <c r="F720" s="325"/>
      <c r="G720" s="325"/>
      <c r="H720" s="325"/>
      <c r="I720" s="325"/>
      <c r="J720" s="325"/>
      <c r="K720" s="325"/>
      <c r="L720" s="325"/>
      <c r="M720" s="325"/>
    </row>
    <row r="721" spans="2:13">
      <c r="B721" s="523"/>
      <c r="C721" s="325"/>
      <c r="D721" s="325"/>
      <c r="E721" s="325"/>
      <c r="F721" s="325"/>
      <c r="G721" s="325"/>
      <c r="H721" s="325"/>
      <c r="I721" s="325"/>
      <c r="J721" s="325"/>
      <c r="K721" s="325"/>
      <c r="L721" s="325"/>
      <c r="M721" s="325"/>
    </row>
    <row r="722" spans="2:13">
      <c r="B722" s="523"/>
      <c r="C722" s="325"/>
      <c r="D722" s="325"/>
      <c r="E722" s="325"/>
      <c r="F722" s="325"/>
      <c r="G722" s="325"/>
      <c r="H722" s="325"/>
      <c r="I722" s="325"/>
      <c r="J722" s="325"/>
      <c r="K722" s="325"/>
      <c r="L722" s="325"/>
      <c r="M722" s="325"/>
    </row>
    <row r="723" spans="2:13">
      <c r="B723" s="523"/>
      <c r="C723" s="325"/>
      <c r="D723" s="325"/>
      <c r="E723" s="325"/>
      <c r="F723" s="325"/>
      <c r="G723" s="325"/>
      <c r="H723" s="325"/>
      <c r="I723" s="325"/>
      <c r="J723" s="325"/>
      <c r="K723" s="325"/>
      <c r="L723" s="325"/>
      <c r="M723" s="325"/>
    </row>
    <row r="724" spans="2:13">
      <c r="B724" s="523"/>
      <c r="C724" s="325"/>
      <c r="D724" s="325"/>
      <c r="E724" s="325"/>
      <c r="F724" s="325"/>
      <c r="G724" s="325"/>
      <c r="H724" s="325"/>
      <c r="I724" s="325"/>
      <c r="J724" s="325"/>
      <c r="K724" s="325"/>
      <c r="L724" s="325"/>
      <c r="M724" s="325"/>
    </row>
    <row r="725" spans="2:13">
      <c r="B725" s="523"/>
      <c r="C725" s="325"/>
      <c r="D725" s="325"/>
      <c r="E725" s="325"/>
      <c r="F725" s="325"/>
      <c r="G725" s="325"/>
      <c r="H725" s="325"/>
      <c r="I725" s="325"/>
      <c r="J725" s="325"/>
      <c r="K725" s="325"/>
      <c r="L725" s="325"/>
      <c r="M725" s="325"/>
    </row>
    <row r="726" spans="2:13">
      <c r="B726" s="523"/>
      <c r="C726" s="325"/>
      <c r="D726" s="325"/>
      <c r="E726" s="325"/>
      <c r="F726" s="325"/>
      <c r="G726" s="325"/>
      <c r="H726" s="325"/>
      <c r="I726" s="325"/>
      <c r="J726" s="325"/>
      <c r="K726" s="325"/>
      <c r="L726" s="325"/>
      <c r="M726" s="325"/>
    </row>
    <row r="727" spans="2:13">
      <c r="B727" s="523"/>
      <c r="C727" s="325"/>
      <c r="D727" s="325"/>
      <c r="E727" s="325"/>
      <c r="F727" s="325"/>
      <c r="G727" s="325"/>
      <c r="H727" s="325"/>
      <c r="I727" s="325"/>
      <c r="J727" s="325"/>
      <c r="K727" s="325"/>
      <c r="L727" s="325"/>
      <c r="M727" s="325"/>
    </row>
    <row r="728" spans="2:13">
      <c r="B728" s="523"/>
      <c r="C728" s="325"/>
      <c r="D728" s="325"/>
      <c r="E728" s="325"/>
      <c r="F728" s="325"/>
      <c r="G728" s="325"/>
      <c r="H728" s="325"/>
      <c r="I728" s="325"/>
      <c r="J728" s="325"/>
      <c r="K728" s="325"/>
      <c r="L728" s="325"/>
      <c r="M728" s="325"/>
    </row>
    <row r="729" spans="2:13">
      <c r="B729" s="523"/>
      <c r="C729" s="325"/>
      <c r="D729" s="325"/>
      <c r="E729" s="325"/>
      <c r="F729" s="325"/>
      <c r="G729" s="325"/>
      <c r="H729" s="325"/>
      <c r="I729" s="325"/>
      <c r="J729" s="325"/>
      <c r="K729" s="325"/>
      <c r="L729" s="325"/>
      <c r="M729" s="325"/>
    </row>
    <row r="730" spans="2:13">
      <c r="B730" s="523"/>
      <c r="C730" s="325"/>
      <c r="D730" s="325"/>
      <c r="E730" s="325"/>
      <c r="F730" s="325"/>
      <c r="G730" s="325"/>
      <c r="H730" s="325"/>
      <c r="I730" s="325"/>
      <c r="J730" s="325"/>
      <c r="K730" s="325"/>
      <c r="L730" s="325"/>
      <c r="M730" s="325"/>
    </row>
    <row r="731" spans="2:13">
      <c r="B731" s="523"/>
      <c r="C731" s="325"/>
      <c r="D731" s="325"/>
      <c r="E731" s="325"/>
      <c r="F731" s="325"/>
      <c r="G731" s="325"/>
      <c r="H731" s="325"/>
      <c r="I731" s="325"/>
      <c r="J731" s="325"/>
      <c r="K731" s="325"/>
      <c r="L731" s="325"/>
      <c r="M731" s="325"/>
    </row>
    <row r="732" spans="2:13">
      <c r="B732" s="523"/>
      <c r="C732" s="325"/>
      <c r="D732" s="325"/>
      <c r="E732" s="325"/>
      <c r="F732" s="325"/>
      <c r="G732" s="325"/>
      <c r="H732" s="325"/>
      <c r="I732" s="325"/>
      <c r="J732" s="325"/>
      <c r="K732" s="325"/>
      <c r="L732" s="325"/>
      <c r="M732" s="325"/>
    </row>
    <row r="733" spans="2:13">
      <c r="B733" s="523"/>
      <c r="C733" s="325"/>
      <c r="D733" s="325"/>
      <c r="E733" s="325"/>
      <c r="F733" s="325"/>
      <c r="G733" s="325"/>
      <c r="H733" s="325"/>
      <c r="I733" s="325"/>
      <c r="J733" s="325"/>
      <c r="K733" s="325"/>
      <c r="L733" s="325"/>
      <c r="M733" s="325"/>
    </row>
    <row r="734" spans="2:13">
      <c r="B734" s="523"/>
      <c r="C734" s="325"/>
      <c r="D734" s="325"/>
      <c r="E734" s="325"/>
      <c r="F734" s="325"/>
      <c r="G734" s="325"/>
      <c r="H734" s="325"/>
      <c r="I734" s="325"/>
      <c r="J734" s="325"/>
      <c r="K734" s="325"/>
      <c r="L734" s="325"/>
      <c r="M734" s="325"/>
    </row>
    <row r="735" spans="2:13">
      <c r="B735" s="523"/>
      <c r="C735" s="325"/>
      <c r="D735" s="325"/>
      <c r="E735" s="325"/>
      <c r="F735" s="325"/>
      <c r="G735" s="325"/>
      <c r="H735" s="325"/>
      <c r="I735" s="325"/>
      <c r="J735" s="325"/>
      <c r="K735" s="325"/>
      <c r="L735" s="325"/>
      <c r="M735" s="325"/>
    </row>
    <row r="736" spans="2:13">
      <c r="B736" s="523"/>
      <c r="C736" s="325"/>
      <c r="D736" s="325"/>
      <c r="E736" s="325"/>
      <c r="F736" s="325"/>
      <c r="G736" s="325"/>
      <c r="H736" s="325"/>
      <c r="I736" s="325"/>
      <c r="J736" s="325"/>
      <c r="K736" s="325"/>
      <c r="L736" s="325"/>
      <c r="M736" s="325"/>
    </row>
    <row r="737" spans="2:13">
      <c r="B737" s="523"/>
      <c r="C737" s="325"/>
      <c r="D737" s="325"/>
      <c r="E737" s="325"/>
      <c r="F737" s="325"/>
      <c r="G737" s="325"/>
      <c r="H737" s="325"/>
      <c r="I737" s="325"/>
      <c r="J737" s="325"/>
      <c r="K737" s="325"/>
      <c r="L737" s="325"/>
      <c r="M737" s="325"/>
    </row>
    <row r="738" spans="2:13">
      <c r="B738" s="523"/>
      <c r="C738" s="325"/>
      <c r="D738" s="325"/>
      <c r="E738" s="325"/>
      <c r="F738" s="325"/>
      <c r="G738" s="325"/>
      <c r="H738" s="325"/>
      <c r="I738" s="325"/>
      <c r="J738" s="325"/>
      <c r="K738" s="325"/>
      <c r="L738" s="325"/>
      <c r="M738" s="325"/>
    </row>
    <row r="739" spans="2:13">
      <c r="B739" s="523"/>
      <c r="C739" s="325"/>
      <c r="D739" s="325"/>
      <c r="E739" s="325"/>
      <c r="F739" s="325"/>
      <c r="G739" s="325"/>
      <c r="H739" s="325"/>
      <c r="I739" s="325"/>
      <c r="J739" s="325"/>
      <c r="K739" s="325"/>
      <c r="L739" s="325"/>
      <c r="M739" s="325"/>
    </row>
    <row r="740" spans="2:13">
      <c r="B740" s="523"/>
      <c r="C740" s="325"/>
      <c r="D740" s="325"/>
      <c r="E740" s="325"/>
      <c r="F740" s="325"/>
      <c r="G740" s="325"/>
      <c r="H740" s="325"/>
      <c r="I740" s="325"/>
      <c r="J740" s="325"/>
      <c r="K740" s="325"/>
      <c r="L740" s="325"/>
      <c r="M740" s="325"/>
    </row>
    <row r="741" spans="2:13">
      <c r="B741" s="523"/>
      <c r="C741" s="325"/>
      <c r="D741" s="325"/>
      <c r="E741" s="325"/>
      <c r="F741" s="325"/>
      <c r="G741" s="325"/>
      <c r="H741" s="325"/>
      <c r="I741" s="325"/>
      <c r="J741" s="325"/>
      <c r="K741" s="325"/>
      <c r="L741" s="325"/>
      <c r="M741" s="325"/>
    </row>
    <row r="742" spans="2:13">
      <c r="B742" s="523"/>
      <c r="C742" s="325"/>
      <c r="D742" s="325"/>
      <c r="E742" s="325"/>
      <c r="F742" s="325"/>
      <c r="G742" s="325"/>
      <c r="H742" s="325"/>
      <c r="I742" s="325"/>
      <c r="J742" s="325"/>
      <c r="K742" s="325"/>
      <c r="L742" s="325"/>
      <c r="M742" s="325"/>
    </row>
    <row r="743" spans="2:13">
      <c r="B743" s="523"/>
      <c r="C743" s="325"/>
      <c r="D743" s="325"/>
      <c r="E743" s="325"/>
      <c r="F743" s="325"/>
      <c r="G743" s="325"/>
      <c r="H743" s="325"/>
      <c r="I743" s="325"/>
      <c r="J743" s="325"/>
      <c r="K743" s="325"/>
      <c r="L743" s="325"/>
      <c r="M743" s="325"/>
    </row>
    <row r="744" spans="2:13">
      <c r="B744" s="523"/>
      <c r="C744" s="325"/>
      <c r="D744" s="325"/>
      <c r="E744" s="325"/>
      <c r="F744" s="325"/>
      <c r="G744" s="325"/>
      <c r="H744" s="325"/>
      <c r="I744" s="325"/>
      <c r="J744" s="325"/>
      <c r="K744" s="325"/>
      <c r="L744" s="325"/>
      <c r="M744" s="325"/>
    </row>
    <row r="745" spans="2:13">
      <c r="B745" s="523"/>
      <c r="C745" s="325"/>
      <c r="D745" s="325"/>
      <c r="E745" s="325"/>
      <c r="F745" s="325"/>
      <c r="G745" s="325"/>
      <c r="H745" s="325"/>
      <c r="I745" s="325"/>
      <c r="J745" s="325"/>
      <c r="K745" s="325"/>
      <c r="L745" s="325"/>
      <c r="M745" s="325"/>
    </row>
    <row r="746" spans="2:13">
      <c r="B746" s="523"/>
      <c r="C746" s="325"/>
      <c r="D746" s="325"/>
      <c r="E746" s="325"/>
      <c r="F746" s="325"/>
      <c r="G746" s="325"/>
      <c r="H746" s="325"/>
      <c r="I746" s="325"/>
      <c r="J746" s="325"/>
      <c r="K746" s="325"/>
      <c r="L746" s="325"/>
      <c r="M746" s="325"/>
    </row>
    <row r="747" spans="2:13">
      <c r="B747" s="523"/>
      <c r="C747" s="325"/>
      <c r="D747" s="325"/>
      <c r="E747" s="325"/>
      <c r="F747" s="325"/>
      <c r="G747" s="325"/>
      <c r="H747" s="325"/>
      <c r="I747" s="325"/>
      <c r="J747" s="325"/>
      <c r="K747" s="325"/>
      <c r="L747" s="325"/>
      <c r="M747" s="325"/>
    </row>
    <row r="748" spans="2:13">
      <c r="B748" s="523"/>
      <c r="C748" s="325"/>
      <c r="D748" s="325"/>
      <c r="E748" s="325"/>
      <c r="F748" s="325"/>
      <c r="G748" s="325"/>
      <c r="H748" s="325"/>
      <c r="I748" s="325"/>
      <c r="J748" s="325"/>
      <c r="K748" s="325"/>
      <c r="L748" s="325"/>
      <c r="M748" s="325"/>
    </row>
    <row r="749" spans="2:13">
      <c r="B749" s="523"/>
      <c r="C749" s="325"/>
      <c r="D749" s="325"/>
      <c r="E749" s="325"/>
      <c r="F749" s="325"/>
      <c r="G749" s="325"/>
      <c r="H749" s="325"/>
      <c r="I749" s="325"/>
      <c r="J749" s="325"/>
      <c r="K749" s="325"/>
      <c r="L749" s="325"/>
      <c r="M749" s="325"/>
    </row>
    <row r="750" spans="2:13">
      <c r="B750" s="523"/>
      <c r="C750" s="325"/>
      <c r="D750" s="325"/>
      <c r="E750" s="325"/>
      <c r="F750" s="325"/>
      <c r="G750" s="325"/>
      <c r="H750" s="325"/>
      <c r="I750" s="325"/>
      <c r="J750" s="325"/>
      <c r="K750" s="325"/>
      <c r="L750" s="325"/>
      <c r="M750" s="325"/>
    </row>
    <row r="751" spans="2:13">
      <c r="B751" s="523"/>
      <c r="C751" s="325"/>
      <c r="D751" s="325"/>
      <c r="E751" s="325"/>
      <c r="F751" s="325"/>
      <c r="G751" s="325"/>
      <c r="H751" s="325"/>
      <c r="I751" s="325"/>
      <c r="J751" s="325"/>
      <c r="K751" s="325"/>
      <c r="L751" s="325"/>
      <c r="M751" s="325"/>
    </row>
    <row r="752" spans="2:13">
      <c r="B752" s="523"/>
      <c r="C752" s="325"/>
      <c r="D752" s="325"/>
      <c r="E752" s="325"/>
      <c r="F752" s="325"/>
      <c r="G752" s="325"/>
      <c r="H752" s="325"/>
      <c r="I752" s="325"/>
      <c r="J752" s="325"/>
      <c r="K752" s="325"/>
      <c r="L752" s="325"/>
      <c r="M752" s="325"/>
    </row>
    <row r="753" spans="2:13">
      <c r="B753" s="523"/>
      <c r="C753" s="325"/>
      <c r="D753" s="325"/>
      <c r="E753" s="325"/>
      <c r="F753" s="325"/>
      <c r="G753" s="325"/>
      <c r="H753" s="325"/>
      <c r="I753" s="325"/>
      <c r="J753" s="325"/>
      <c r="K753" s="325"/>
      <c r="L753" s="325"/>
      <c r="M753" s="325"/>
    </row>
    <row r="754" spans="2:13">
      <c r="B754" s="523"/>
      <c r="C754" s="325"/>
      <c r="D754" s="325"/>
      <c r="E754" s="325"/>
      <c r="F754" s="325"/>
      <c r="G754" s="325"/>
      <c r="H754" s="325"/>
      <c r="I754" s="325"/>
      <c r="J754" s="325"/>
      <c r="K754" s="325"/>
      <c r="L754" s="325"/>
      <c r="M754" s="325"/>
    </row>
    <row r="755" spans="2:13">
      <c r="B755" s="523"/>
      <c r="C755" s="325"/>
      <c r="D755" s="325"/>
      <c r="E755" s="325"/>
      <c r="F755" s="325"/>
      <c r="G755" s="325"/>
      <c r="H755" s="325"/>
      <c r="I755" s="325"/>
      <c r="J755" s="325"/>
      <c r="K755" s="325"/>
      <c r="L755" s="325"/>
      <c r="M755" s="325"/>
    </row>
    <row r="756" spans="2:13">
      <c r="B756" s="523"/>
      <c r="C756" s="325"/>
      <c r="D756" s="325"/>
      <c r="E756" s="325"/>
      <c r="F756" s="325"/>
      <c r="G756" s="325"/>
      <c r="H756" s="325"/>
      <c r="I756" s="325"/>
      <c r="J756" s="325"/>
      <c r="K756" s="325"/>
      <c r="L756" s="325"/>
      <c r="M756" s="325"/>
    </row>
    <row r="757" spans="2:13">
      <c r="B757" s="523"/>
      <c r="C757" s="325"/>
      <c r="D757" s="325"/>
      <c r="E757" s="325"/>
      <c r="F757" s="325"/>
      <c r="G757" s="325"/>
      <c r="H757" s="325"/>
      <c r="I757" s="325"/>
      <c r="J757" s="325"/>
      <c r="K757" s="325"/>
      <c r="L757" s="325"/>
      <c r="M757" s="325"/>
    </row>
    <row r="758" spans="2:13">
      <c r="B758" s="523"/>
      <c r="C758" s="325"/>
      <c r="D758" s="325"/>
      <c r="E758" s="325"/>
      <c r="F758" s="325"/>
      <c r="G758" s="325"/>
      <c r="H758" s="325"/>
      <c r="I758" s="325"/>
      <c r="J758" s="325"/>
      <c r="K758" s="325"/>
      <c r="L758" s="325"/>
      <c r="M758" s="325"/>
    </row>
    <row r="759" spans="2:13">
      <c r="B759" s="523"/>
      <c r="C759" s="325"/>
      <c r="D759" s="325"/>
      <c r="E759" s="325"/>
      <c r="F759" s="325"/>
      <c r="G759" s="325"/>
      <c r="H759" s="325"/>
      <c r="I759" s="325"/>
      <c r="J759" s="325"/>
      <c r="K759" s="325"/>
      <c r="L759" s="325"/>
      <c r="M759" s="325"/>
    </row>
    <row r="760" spans="2:13">
      <c r="B760" s="523"/>
      <c r="C760" s="325"/>
      <c r="D760" s="325"/>
      <c r="E760" s="325"/>
      <c r="F760" s="325"/>
      <c r="G760" s="325"/>
      <c r="H760" s="325"/>
      <c r="I760" s="325"/>
      <c r="J760" s="325"/>
      <c r="K760" s="325"/>
      <c r="L760" s="325"/>
      <c r="M760" s="325"/>
    </row>
    <row r="761" spans="2:13">
      <c r="B761" s="523"/>
      <c r="C761" s="325"/>
      <c r="D761" s="325"/>
      <c r="E761" s="325"/>
      <c r="F761" s="325"/>
      <c r="G761" s="325"/>
      <c r="H761" s="325"/>
      <c r="I761" s="325"/>
      <c r="J761" s="325"/>
      <c r="K761" s="325"/>
      <c r="L761" s="325"/>
      <c r="M761" s="325"/>
    </row>
    <row r="762" spans="2:13">
      <c r="B762" s="523"/>
      <c r="C762" s="325"/>
      <c r="D762" s="325"/>
      <c r="E762" s="325"/>
      <c r="F762" s="325"/>
      <c r="G762" s="325"/>
      <c r="H762" s="325"/>
      <c r="I762" s="325"/>
      <c r="J762" s="325"/>
      <c r="K762" s="325"/>
      <c r="L762" s="325"/>
      <c r="M762" s="325"/>
    </row>
    <row r="763" spans="2:13">
      <c r="B763" s="523"/>
      <c r="C763" s="325"/>
      <c r="D763" s="325"/>
      <c r="E763" s="325"/>
      <c r="F763" s="325"/>
      <c r="G763" s="325"/>
      <c r="H763" s="325"/>
      <c r="I763" s="325"/>
      <c r="J763" s="325"/>
      <c r="K763" s="325"/>
      <c r="L763" s="325"/>
      <c r="M763" s="325"/>
    </row>
    <row r="764" spans="2:13">
      <c r="B764" s="523"/>
      <c r="C764" s="325"/>
      <c r="D764" s="325"/>
      <c r="E764" s="325"/>
      <c r="F764" s="325"/>
      <c r="G764" s="325"/>
      <c r="H764" s="325"/>
      <c r="I764" s="325"/>
      <c r="J764" s="325"/>
      <c r="K764" s="325"/>
      <c r="L764" s="325"/>
      <c r="M764" s="325"/>
    </row>
    <row r="765" spans="2:13">
      <c r="B765" s="523"/>
      <c r="C765" s="325"/>
      <c r="D765" s="325"/>
      <c r="E765" s="325"/>
      <c r="F765" s="325"/>
      <c r="G765" s="325"/>
      <c r="H765" s="325"/>
      <c r="I765" s="325"/>
      <c r="J765" s="325"/>
      <c r="K765" s="325"/>
      <c r="L765" s="325"/>
      <c r="M765" s="325"/>
    </row>
    <row r="766" spans="2:13">
      <c r="B766" s="523"/>
      <c r="C766" s="325"/>
      <c r="D766" s="325"/>
      <c r="E766" s="325"/>
      <c r="F766" s="325"/>
      <c r="G766" s="325"/>
      <c r="H766" s="325"/>
      <c r="I766" s="325"/>
      <c r="J766" s="325"/>
      <c r="K766" s="325"/>
      <c r="L766" s="325"/>
      <c r="M766" s="325"/>
    </row>
    <row r="767" spans="2:13">
      <c r="B767" s="523"/>
      <c r="C767" s="325"/>
      <c r="D767" s="325"/>
      <c r="E767" s="325"/>
      <c r="F767" s="325"/>
      <c r="G767" s="325"/>
      <c r="H767" s="325"/>
      <c r="I767" s="325"/>
      <c r="J767" s="325"/>
      <c r="K767" s="325"/>
      <c r="L767" s="325"/>
      <c r="M767" s="325"/>
    </row>
    <row r="768" spans="2:13">
      <c r="B768" s="523"/>
      <c r="C768" s="325"/>
      <c r="D768" s="325"/>
      <c r="E768" s="325"/>
      <c r="F768" s="325"/>
      <c r="G768" s="325"/>
      <c r="H768" s="325"/>
      <c r="I768" s="325"/>
      <c r="J768" s="325"/>
      <c r="K768" s="325"/>
      <c r="L768" s="325"/>
      <c r="M768" s="325"/>
    </row>
    <row r="769" spans="2:13">
      <c r="B769" s="523"/>
      <c r="C769" s="325"/>
      <c r="D769" s="325"/>
      <c r="E769" s="325"/>
      <c r="F769" s="325"/>
      <c r="G769" s="325"/>
      <c r="H769" s="325"/>
      <c r="I769" s="325"/>
      <c r="J769" s="325"/>
      <c r="K769" s="325"/>
      <c r="L769" s="325"/>
      <c r="M769" s="325"/>
    </row>
    <row r="770" spans="2:13">
      <c r="B770" s="523"/>
      <c r="C770" s="325"/>
      <c r="D770" s="325"/>
      <c r="E770" s="325"/>
      <c r="F770" s="325"/>
      <c r="G770" s="325"/>
      <c r="H770" s="325"/>
      <c r="I770" s="325"/>
      <c r="J770" s="325"/>
      <c r="K770" s="325"/>
      <c r="L770" s="325"/>
      <c r="M770" s="325"/>
    </row>
    <row r="771" spans="2:13">
      <c r="B771" s="523"/>
      <c r="C771" s="325"/>
      <c r="D771" s="325"/>
      <c r="E771" s="325"/>
      <c r="F771" s="325"/>
      <c r="G771" s="325"/>
      <c r="H771" s="325"/>
      <c r="I771" s="325"/>
      <c r="J771" s="325"/>
      <c r="K771" s="325"/>
      <c r="L771" s="325"/>
      <c r="M771" s="325"/>
    </row>
    <row r="772" spans="2:13">
      <c r="B772" s="523"/>
      <c r="C772" s="325"/>
      <c r="D772" s="325"/>
      <c r="E772" s="325"/>
      <c r="F772" s="325"/>
      <c r="G772" s="325"/>
      <c r="H772" s="325"/>
      <c r="I772" s="325"/>
      <c r="J772" s="325"/>
      <c r="K772" s="325"/>
      <c r="L772" s="325"/>
      <c r="M772" s="325"/>
    </row>
    <row r="773" spans="2:13">
      <c r="B773" s="523"/>
      <c r="C773" s="325"/>
      <c r="D773" s="325"/>
      <c r="E773" s="325"/>
      <c r="F773" s="325"/>
      <c r="G773" s="325"/>
      <c r="H773" s="325"/>
      <c r="I773" s="325"/>
      <c r="J773" s="325"/>
      <c r="K773" s="325"/>
      <c r="L773" s="325"/>
      <c r="M773" s="325"/>
    </row>
    <row r="774" spans="2:13">
      <c r="B774" s="523"/>
      <c r="C774" s="325"/>
      <c r="D774" s="325"/>
      <c r="E774" s="325"/>
      <c r="F774" s="325"/>
      <c r="G774" s="325"/>
      <c r="H774" s="325"/>
      <c r="I774" s="325"/>
      <c r="J774" s="325"/>
      <c r="K774" s="325"/>
      <c r="L774" s="325"/>
      <c r="M774" s="325"/>
    </row>
    <row r="775" spans="2:13">
      <c r="B775" s="523"/>
      <c r="C775" s="325"/>
      <c r="D775" s="325"/>
      <c r="E775" s="325"/>
      <c r="F775" s="325"/>
      <c r="G775" s="325"/>
      <c r="H775" s="325"/>
      <c r="I775" s="325"/>
      <c r="J775" s="325"/>
      <c r="K775" s="325"/>
      <c r="L775" s="325"/>
      <c r="M775" s="325"/>
    </row>
    <row r="776" spans="2:13">
      <c r="B776" s="523"/>
      <c r="C776" s="325"/>
      <c r="D776" s="325"/>
      <c r="E776" s="325"/>
      <c r="F776" s="325"/>
      <c r="G776" s="325"/>
      <c r="H776" s="325"/>
      <c r="I776" s="325"/>
      <c r="J776" s="325"/>
      <c r="K776" s="325"/>
      <c r="L776" s="325"/>
      <c r="M776" s="325"/>
    </row>
    <row r="777" spans="2:13">
      <c r="B777" s="523"/>
      <c r="C777" s="325"/>
      <c r="D777" s="325"/>
      <c r="E777" s="325"/>
      <c r="F777" s="325"/>
      <c r="G777" s="325"/>
      <c r="H777" s="325"/>
      <c r="I777" s="325"/>
      <c r="J777" s="325"/>
      <c r="K777" s="325"/>
      <c r="L777" s="325"/>
      <c r="M777" s="325"/>
    </row>
    <row r="778" spans="2:13">
      <c r="B778" s="523"/>
      <c r="C778" s="325"/>
      <c r="D778" s="325"/>
      <c r="E778" s="325"/>
      <c r="F778" s="325"/>
      <c r="G778" s="325"/>
      <c r="H778" s="325"/>
      <c r="I778" s="325"/>
      <c r="J778" s="325"/>
      <c r="K778" s="325"/>
      <c r="L778" s="325"/>
      <c r="M778" s="325"/>
    </row>
    <row r="779" spans="2:13">
      <c r="B779" s="523"/>
      <c r="C779" s="325"/>
      <c r="D779" s="325"/>
      <c r="E779" s="325"/>
      <c r="F779" s="325"/>
      <c r="G779" s="325"/>
      <c r="H779" s="325"/>
      <c r="I779" s="325"/>
      <c r="J779" s="325"/>
      <c r="K779" s="325"/>
      <c r="L779" s="325"/>
      <c r="M779" s="325"/>
    </row>
    <row r="780" spans="2:13">
      <c r="B780" s="523"/>
      <c r="C780" s="325"/>
      <c r="D780" s="325"/>
      <c r="E780" s="325"/>
      <c r="F780" s="325"/>
      <c r="G780" s="325"/>
      <c r="H780" s="325"/>
      <c r="I780" s="325"/>
      <c r="J780" s="325"/>
      <c r="K780" s="325"/>
      <c r="L780" s="325"/>
      <c r="M780" s="325"/>
    </row>
    <row r="781" spans="2:13">
      <c r="B781" s="523"/>
      <c r="C781" s="325"/>
      <c r="D781" s="325"/>
      <c r="E781" s="325"/>
      <c r="F781" s="325"/>
      <c r="G781" s="325"/>
      <c r="H781" s="325"/>
      <c r="I781" s="325"/>
      <c r="J781" s="325"/>
      <c r="K781" s="325"/>
      <c r="L781" s="325"/>
      <c r="M781" s="325"/>
    </row>
    <row r="782" spans="2:13">
      <c r="B782" s="523"/>
      <c r="C782" s="325"/>
      <c r="D782" s="325"/>
      <c r="E782" s="325"/>
      <c r="F782" s="325"/>
      <c r="G782" s="325"/>
      <c r="H782" s="325"/>
      <c r="I782" s="325"/>
      <c r="J782" s="325"/>
      <c r="K782" s="325"/>
      <c r="L782" s="325"/>
      <c r="M782" s="325"/>
    </row>
    <row r="783" spans="2:13">
      <c r="B783" s="523"/>
      <c r="C783" s="325"/>
      <c r="D783" s="325"/>
      <c r="E783" s="325"/>
      <c r="F783" s="325"/>
      <c r="G783" s="325"/>
      <c r="H783" s="325"/>
      <c r="I783" s="325"/>
      <c r="J783" s="325"/>
      <c r="K783" s="325"/>
      <c r="L783" s="325"/>
      <c r="M783" s="325"/>
    </row>
    <row r="784" spans="2:13">
      <c r="B784" s="523"/>
      <c r="C784" s="325"/>
      <c r="D784" s="325"/>
      <c r="E784" s="325"/>
      <c r="F784" s="325"/>
      <c r="G784" s="325"/>
      <c r="H784" s="325"/>
      <c r="I784" s="325"/>
      <c r="J784" s="325"/>
      <c r="K784" s="325"/>
      <c r="L784" s="325"/>
      <c r="M784" s="325"/>
    </row>
    <row r="785" spans="2:13">
      <c r="B785" s="523"/>
      <c r="C785" s="325"/>
      <c r="D785" s="325"/>
      <c r="E785" s="325"/>
      <c r="F785" s="325"/>
      <c r="G785" s="325"/>
      <c r="H785" s="325"/>
      <c r="I785" s="325"/>
      <c r="J785" s="325"/>
      <c r="K785" s="325"/>
      <c r="L785" s="325"/>
      <c r="M785" s="325"/>
    </row>
    <row r="786" spans="2:13">
      <c r="B786" s="523"/>
      <c r="C786" s="325"/>
      <c r="D786" s="325"/>
      <c r="E786" s="325"/>
      <c r="F786" s="325"/>
      <c r="G786" s="325"/>
      <c r="H786" s="325"/>
      <c r="I786" s="325"/>
      <c r="J786" s="325"/>
      <c r="K786" s="325"/>
      <c r="L786" s="325"/>
      <c r="M786" s="325"/>
    </row>
    <row r="787" spans="2:13">
      <c r="B787" s="523"/>
      <c r="C787" s="325"/>
      <c r="D787" s="325"/>
      <c r="E787" s="325"/>
      <c r="F787" s="325"/>
      <c r="G787" s="325"/>
      <c r="H787" s="325"/>
      <c r="I787" s="325"/>
      <c r="J787" s="325"/>
      <c r="K787" s="325"/>
      <c r="L787" s="325"/>
      <c r="M787" s="325"/>
    </row>
    <row r="788" spans="2:13">
      <c r="B788" s="523"/>
      <c r="C788" s="325"/>
      <c r="D788" s="325"/>
      <c r="E788" s="325"/>
      <c r="F788" s="325"/>
      <c r="G788" s="325"/>
      <c r="H788" s="325"/>
      <c r="I788" s="325"/>
      <c r="J788" s="325"/>
      <c r="K788" s="325"/>
      <c r="L788" s="325"/>
      <c r="M788" s="325"/>
    </row>
    <row r="789" spans="2:13">
      <c r="B789" s="523"/>
      <c r="C789" s="325"/>
      <c r="D789" s="325"/>
      <c r="E789" s="325"/>
      <c r="F789" s="325"/>
      <c r="G789" s="325"/>
      <c r="H789" s="325"/>
      <c r="I789" s="325"/>
      <c r="J789" s="325"/>
      <c r="K789" s="325"/>
      <c r="L789" s="325"/>
      <c r="M789" s="325"/>
    </row>
    <row r="790" spans="2:13">
      <c r="B790" s="523"/>
      <c r="C790" s="325"/>
      <c r="D790" s="325"/>
      <c r="E790" s="325"/>
      <c r="F790" s="325"/>
      <c r="G790" s="325"/>
      <c r="H790" s="325"/>
      <c r="I790" s="325"/>
      <c r="J790" s="325"/>
      <c r="K790" s="325"/>
      <c r="L790" s="325"/>
      <c r="M790" s="325"/>
    </row>
    <row r="791" spans="2:13">
      <c r="B791" s="523"/>
      <c r="C791" s="325"/>
      <c r="D791" s="325"/>
      <c r="E791" s="325"/>
      <c r="F791" s="325"/>
      <c r="G791" s="325"/>
      <c r="H791" s="325"/>
      <c r="I791" s="325"/>
      <c r="J791" s="325"/>
      <c r="K791" s="325"/>
      <c r="L791" s="325"/>
      <c r="M791" s="325"/>
    </row>
    <row r="792" spans="2:13">
      <c r="B792" s="523"/>
      <c r="C792" s="325"/>
      <c r="D792" s="325"/>
      <c r="E792" s="325"/>
      <c r="F792" s="325"/>
      <c r="G792" s="325"/>
      <c r="H792" s="325"/>
      <c r="I792" s="325"/>
      <c r="J792" s="325"/>
      <c r="K792" s="325"/>
      <c r="L792" s="325"/>
      <c r="M792" s="325"/>
    </row>
    <row r="793" spans="2:13">
      <c r="B793" s="523"/>
      <c r="C793" s="325"/>
      <c r="D793" s="325"/>
      <c r="E793" s="325"/>
      <c r="F793" s="325"/>
      <c r="G793" s="325"/>
      <c r="H793" s="325"/>
      <c r="I793" s="325"/>
      <c r="J793" s="325"/>
      <c r="K793" s="325"/>
      <c r="L793" s="325"/>
      <c r="M793" s="325"/>
    </row>
    <row r="794" spans="2:13">
      <c r="B794" s="523"/>
      <c r="C794" s="325"/>
      <c r="D794" s="325"/>
      <c r="E794" s="325"/>
      <c r="F794" s="325"/>
      <c r="G794" s="325"/>
      <c r="H794" s="325"/>
      <c r="I794" s="325"/>
      <c r="J794" s="325"/>
      <c r="K794" s="325"/>
      <c r="L794" s="325"/>
      <c r="M794" s="325"/>
    </row>
    <row r="795" spans="2:13">
      <c r="B795" s="523"/>
      <c r="C795" s="325"/>
      <c r="D795" s="325"/>
      <c r="E795" s="325"/>
      <c r="F795" s="325"/>
      <c r="G795" s="325"/>
      <c r="H795" s="325"/>
      <c r="I795" s="325"/>
      <c r="J795" s="325"/>
      <c r="K795" s="325"/>
      <c r="L795" s="325"/>
      <c r="M795" s="325"/>
    </row>
    <row r="796" spans="2:13">
      <c r="B796" s="523"/>
      <c r="C796" s="325"/>
      <c r="D796" s="325"/>
      <c r="E796" s="325"/>
      <c r="F796" s="325"/>
      <c r="G796" s="325"/>
      <c r="H796" s="325"/>
      <c r="I796" s="325"/>
      <c r="J796" s="325"/>
      <c r="K796" s="325"/>
      <c r="L796" s="325"/>
      <c r="M796" s="325"/>
    </row>
    <row r="797" spans="2:13">
      <c r="B797" s="523"/>
      <c r="C797" s="325"/>
      <c r="D797" s="325"/>
      <c r="E797" s="325"/>
      <c r="F797" s="325"/>
      <c r="G797" s="325"/>
      <c r="H797" s="325"/>
      <c r="I797" s="325"/>
      <c r="J797" s="325"/>
      <c r="K797" s="325"/>
      <c r="L797" s="325"/>
      <c r="M797" s="325"/>
    </row>
    <row r="798" spans="2:13">
      <c r="B798" s="523"/>
      <c r="C798" s="325"/>
      <c r="D798" s="325"/>
      <c r="E798" s="325"/>
      <c r="F798" s="325"/>
      <c r="G798" s="325"/>
      <c r="H798" s="325"/>
      <c r="I798" s="325"/>
      <c r="J798" s="325"/>
      <c r="K798" s="325"/>
      <c r="L798" s="325"/>
      <c r="M798" s="325"/>
    </row>
    <row r="799" spans="2:13">
      <c r="B799" s="523"/>
      <c r="C799" s="325"/>
      <c r="D799" s="325"/>
      <c r="E799" s="325"/>
      <c r="F799" s="325"/>
      <c r="G799" s="325"/>
      <c r="H799" s="325"/>
      <c r="I799" s="325"/>
      <c r="J799" s="325"/>
      <c r="K799" s="325"/>
      <c r="L799" s="325"/>
      <c r="M799" s="325"/>
    </row>
    <row r="800" spans="2:13">
      <c r="B800" s="523"/>
      <c r="C800" s="325"/>
      <c r="D800" s="325"/>
      <c r="E800" s="325"/>
      <c r="F800" s="325"/>
      <c r="G800" s="325"/>
      <c r="H800" s="325"/>
      <c r="I800" s="325"/>
      <c r="J800" s="325"/>
      <c r="K800" s="325"/>
      <c r="L800" s="325"/>
      <c r="M800" s="325"/>
    </row>
    <row r="801" spans="2:13">
      <c r="B801" s="523"/>
      <c r="C801" s="325"/>
      <c r="D801" s="325"/>
      <c r="E801" s="325"/>
      <c r="F801" s="325"/>
      <c r="G801" s="325"/>
      <c r="H801" s="325"/>
      <c r="I801" s="325"/>
      <c r="J801" s="325"/>
      <c r="K801" s="325"/>
      <c r="L801" s="325"/>
      <c r="M801" s="325"/>
    </row>
    <row r="802" spans="2:13">
      <c r="B802" s="523"/>
      <c r="C802" s="325"/>
      <c r="D802" s="325"/>
      <c r="E802" s="325"/>
      <c r="F802" s="325"/>
      <c r="G802" s="325"/>
      <c r="H802" s="325"/>
      <c r="I802" s="325"/>
      <c r="J802" s="325"/>
      <c r="K802" s="325"/>
      <c r="L802" s="325"/>
      <c r="M802" s="325"/>
    </row>
    <row r="803" spans="2:13">
      <c r="B803" s="523"/>
      <c r="C803" s="325"/>
      <c r="D803" s="325"/>
      <c r="E803" s="325"/>
      <c r="F803" s="325"/>
      <c r="G803" s="325"/>
      <c r="H803" s="325"/>
      <c r="I803" s="325"/>
      <c r="J803" s="325"/>
      <c r="K803" s="325"/>
      <c r="L803" s="325"/>
      <c r="M803" s="325"/>
    </row>
    <row r="804" spans="2:13">
      <c r="B804" s="523"/>
      <c r="C804" s="325"/>
      <c r="D804" s="325"/>
      <c r="E804" s="325"/>
      <c r="F804" s="325"/>
      <c r="G804" s="325"/>
      <c r="H804" s="325"/>
      <c r="I804" s="325"/>
      <c r="J804" s="325"/>
      <c r="K804" s="325"/>
      <c r="L804" s="325"/>
      <c r="M804" s="325"/>
    </row>
    <row r="805" spans="2:13">
      <c r="B805" s="523"/>
      <c r="C805" s="325"/>
      <c r="D805" s="325"/>
      <c r="E805" s="325"/>
      <c r="F805" s="325"/>
      <c r="G805" s="325"/>
      <c r="H805" s="325"/>
      <c r="I805" s="325"/>
      <c r="J805" s="325"/>
      <c r="K805" s="325"/>
      <c r="L805" s="325"/>
      <c r="M805" s="325"/>
    </row>
    <row r="806" spans="2:13">
      <c r="B806" s="523"/>
      <c r="C806" s="325"/>
      <c r="D806" s="325"/>
      <c r="E806" s="325"/>
      <c r="F806" s="325"/>
      <c r="G806" s="325"/>
      <c r="H806" s="325"/>
      <c r="I806" s="325"/>
      <c r="J806" s="325"/>
      <c r="K806" s="325"/>
      <c r="L806" s="325"/>
      <c r="M806" s="325"/>
    </row>
    <row r="807" spans="2:13">
      <c r="B807" s="523"/>
      <c r="C807" s="325"/>
      <c r="D807" s="325"/>
      <c r="E807" s="325"/>
      <c r="F807" s="325"/>
      <c r="G807" s="325"/>
      <c r="H807" s="325"/>
      <c r="I807" s="325"/>
      <c r="J807" s="325"/>
      <c r="K807" s="325"/>
      <c r="L807" s="325"/>
      <c r="M807" s="325"/>
    </row>
    <row r="808" spans="2:13">
      <c r="B808" s="523"/>
      <c r="C808" s="325"/>
      <c r="D808" s="325"/>
      <c r="E808" s="325"/>
      <c r="F808" s="325"/>
      <c r="G808" s="325"/>
      <c r="H808" s="325"/>
      <c r="I808" s="325"/>
      <c r="J808" s="325"/>
      <c r="K808" s="325"/>
      <c r="L808" s="325"/>
      <c r="M808" s="325"/>
    </row>
    <row r="809" spans="2:13">
      <c r="B809" s="523"/>
      <c r="C809" s="325"/>
      <c r="D809" s="325"/>
      <c r="E809" s="325"/>
      <c r="F809" s="325"/>
      <c r="G809" s="325"/>
      <c r="H809" s="325"/>
      <c r="I809" s="325"/>
      <c r="J809" s="325"/>
      <c r="K809" s="325"/>
      <c r="L809" s="325"/>
      <c r="M809" s="325"/>
    </row>
    <row r="810" spans="2:13">
      <c r="B810" s="523"/>
      <c r="C810" s="325"/>
      <c r="D810" s="325"/>
      <c r="E810" s="325"/>
      <c r="F810" s="325"/>
      <c r="G810" s="325"/>
      <c r="H810" s="325"/>
      <c r="I810" s="325"/>
      <c r="J810" s="325"/>
      <c r="K810" s="325"/>
      <c r="L810" s="325"/>
      <c r="M810" s="325"/>
    </row>
    <row r="811" spans="2:13">
      <c r="B811" s="523"/>
      <c r="C811" s="325"/>
      <c r="D811" s="325"/>
      <c r="E811" s="325"/>
      <c r="F811" s="325"/>
      <c r="G811" s="325"/>
      <c r="H811" s="325"/>
      <c r="I811" s="325"/>
      <c r="J811" s="325"/>
      <c r="K811" s="325"/>
      <c r="L811" s="325"/>
      <c r="M811" s="325"/>
    </row>
    <row r="812" spans="2:13">
      <c r="B812" s="523"/>
      <c r="C812" s="325"/>
      <c r="D812" s="325"/>
      <c r="E812" s="325"/>
      <c r="F812" s="325"/>
      <c r="G812" s="325"/>
      <c r="H812" s="325"/>
      <c r="I812" s="325"/>
      <c r="J812" s="325"/>
      <c r="K812" s="325"/>
      <c r="L812" s="325"/>
      <c r="M812" s="325"/>
    </row>
    <row r="813" spans="2:13">
      <c r="B813" s="523"/>
      <c r="C813" s="325"/>
      <c r="D813" s="325"/>
      <c r="E813" s="325"/>
      <c r="F813" s="325"/>
      <c r="G813" s="325"/>
      <c r="H813" s="325"/>
      <c r="I813" s="325"/>
      <c r="J813" s="325"/>
      <c r="K813" s="325"/>
      <c r="L813" s="325"/>
      <c r="M813" s="325"/>
    </row>
    <row r="814" spans="2:13">
      <c r="B814" s="523"/>
      <c r="C814" s="325"/>
      <c r="D814" s="325"/>
      <c r="E814" s="325"/>
      <c r="F814" s="325"/>
      <c r="G814" s="325"/>
      <c r="H814" s="325"/>
      <c r="I814" s="325"/>
      <c r="J814" s="325"/>
      <c r="K814" s="325"/>
      <c r="L814" s="325"/>
      <c r="M814" s="325"/>
    </row>
    <row r="815" spans="2:13">
      <c r="B815" s="523"/>
      <c r="C815" s="325"/>
      <c r="D815" s="325"/>
      <c r="E815" s="325"/>
      <c r="F815" s="325"/>
      <c r="G815" s="325"/>
      <c r="H815" s="325"/>
      <c r="I815" s="325"/>
      <c r="J815" s="325"/>
      <c r="K815" s="325"/>
      <c r="L815" s="325"/>
      <c r="M815" s="325"/>
    </row>
    <row r="816" spans="2:13">
      <c r="B816" s="523"/>
      <c r="C816" s="325"/>
      <c r="D816" s="325"/>
      <c r="E816" s="325"/>
      <c r="F816" s="325"/>
      <c r="G816" s="325"/>
      <c r="H816" s="325"/>
      <c r="I816" s="325"/>
      <c r="J816" s="325"/>
      <c r="K816" s="325"/>
      <c r="L816" s="325"/>
      <c r="M816" s="325"/>
    </row>
    <row r="817" spans="2:13">
      <c r="B817" s="523"/>
      <c r="C817" s="325"/>
      <c r="D817" s="325"/>
      <c r="E817" s="325"/>
      <c r="F817" s="325"/>
      <c r="G817" s="325"/>
      <c r="H817" s="325"/>
      <c r="I817" s="325"/>
      <c r="J817" s="325"/>
      <c r="K817" s="325"/>
      <c r="L817" s="325"/>
      <c r="M817" s="325"/>
    </row>
    <row r="818" spans="2:13">
      <c r="B818" s="523"/>
      <c r="C818" s="325"/>
      <c r="D818" s="325"/>
      <c r="E818" s="325"/>
      <c r="F818" s="325"/>
      <c r="G818" s="325"/>
      <c r="H818" s="325"/>
      <c r="I818" s="325"/>
      <c r="J818" s="325"/>
      <c r="K818" s="325"/>
      <c r="L818" s="325"/>
      <c r="M818" s="325"/>
    </row>
    <row r="819" spans="2:13">
      <c r="B819" s="523"/>
      <c r="C819" s="325"/>
      <c r="D819" s="325"/>
      <c r="E819" s="325"/>
      <c r="F819" s="325"/>
      <c r="G819" s="325"/>
      <c r="H819" s="325"/>
      <c r="I819" s="325"/>
      <c r="J819" s="325"/>
      <c r="K819" s="325"/>
      <c r="L819" s="325"/>
      <c r="M819" s="325"/>
    </row>
    <row r="820" spans="2:13">
      <c r="B820" s="523"/>
      <c r="C820" s="325"/>
      <c r="D820" s="325"/>
      <c r="E820" s="325"/>
      <c r="F820" s="325"/>
      <c r="G820" s="325"/>
      <c r="H820" s="325"/>
      <c r="I820" s="325"/>
      <c r="J820" s="325"/>
      <c r="K820" s="325"/>
      <c r="L820" s="325"/>
      <c r="M820" s="325"/>
    </row>
    <row r="821" spans="2:13">
      <c r="B821" s="523"/>
      <c r="C821" s="325"/>
      <c r="D821" s="325"/>
      <c r="E821" s="325"/>
      <c r="F821" s="325"/>
      <c r="G821" s="325"/>
      <c r="H821" s="325"/>
      <c r="I821" s="325"/>
      <c r="J821" s="325"/>
      <c r="K821" s="325"/>
      <c r="L821" s="325"/>
      <c r="M821" s="325"/>
    </row>
    <row r="822" spans="2:13">
      <c r="B822" s="523"/>
      <c r="C822" s="325"/>
      <c r="D822" s="325"/>
      <c r="E822" s="325"/>
      <c r="F822" s="325"/>
      <c r="G822" s="325"/>
      <c r="H822" s="325"/>
      <c r="I822" s="325"/>
      <c r="J822" s="325"/>
      <c r="K822" s="325"/>
      <c r="L822" s="325"/>
      <c r="M822" s="325"/>
    </row>
    <row r="823" spans="2:13">
      <c r="B823" s="523"/>
      <c r="C823" s="325"/>
      <c r="D823" s="325"/>
      <c r="E823" s="325"/>
      <c r="F823" s="325"/>
      <c r="G823" s="325"/>
      <c r="H823" s="325"/>
      <c r="I823" s="325"/>
      <c r="J823" s="325"/>
      <c r="K823" s="325"/>
      <c r="L823" s="325"/>
      <c r="M823" s="325"/>
    </row>
    <row r="824" spans="2:13">
      <c r="B824" s="523"/>
      <c r="C824" s="325"/>
      <c r="D824" s="325"/>
      <c r="E824" s="325"/>
      <c r="F824" s="325"/>
      <c r="G824" s="325"/>
      <c r="H824" s="325"/>
      <c r="I824" s="325"/>
      <c r="J824" s="325"/>
      <c r="K824" s="325"/>
      <c r="L824" s="325"/>
      <c r="M824" s="325"/>
    </row>
    <row r="825" spans="2:13">
      <c r="B825" s="523"/>
      <c r="C825" s="325"/>
      <c r="D825" s="325"/>
      <c r="E825" s="325"/>
      <c r="F825" s="325"/>
      <c r="G825" s="325"/>
      <c r="H825" s="325"/>
      <c r="I825" s="325"/>
      <c r="J825" s="325"/>
      <c r="K825" s="325"/>
      <c r="L825" s="325"/>
      <c r="M825" s="325"/>
    </row>
    <row r="826" spans="2:13">
      <c r="B826" s="523"/>
      <c r="C826" s="325"/>
      <c r="D826" s="325"/>
      <c r="E826" s="325"/>
      <c r="F826" s="325"/>
      <c r="G826" s="325"/>
      <c r="H826" s="325"/>
      <c r="I826" s="325"/>
      <c r="J826" s="325"/>
      <c r="K826" s="325"/>
      <c r="L826" s="325"/>
      <c r="M826" s="325"/>
    </row>
    <row r="827" spans="2:13">
      <c r="B827" s="523"/>
      <c r="C827" s="325"/>
      <c r="D827" s="325"/>
      <c r="E827" s="325"/>
      <c r="F827" s="325"/>
      <c r="G827" s="325"/>
      <c r="H827" s="325"/>
      <c r="I827" s="325"/>
      <c r="J827" s="325"/>
      <c r="K827" s="325"/>
      <c r="L827" s="325"/>
      <c r="M827" s="325"/>
    </row>
    <row r="828" spans="2:13">
      <c r="B828" s="523"/>
      <c r="C828" s="325"/>
      <c r="D828" s="325"/>
      <c r="E828" s="325"/>
      <c r="F828" s="325"/>
      <c r="G828" s="325"/>
      <c r="H828" s="325"/>
      <c r="I828" s="325"/>
      <c r="J828" s="325"/>
      <c r="K828" s="325"/>
      <c r="L828" s="325"/>
      <c r="M828" s="325"/>
    </row>
    <row r="829" spans="2:13">
      <c r="B829" s="523"/>
      <c r="C829" s="325"/>
      <c r="D829" s="325"/>
      <c r="E829" s="325"/>
      <c r="F829" s="325"/>
      <c r="G829" s="325"/>
      <c r="H829" s="325"/>
      <c r="I829" s="325"/>
      <c r="J829" s="325"/>
      <c r="K829" s="325"/>
      <c r="L829" s="325"/>
      <c r="M829" s="325"/>
    </row>
    <row r="830" spans="2:13">
      <c r="B830" s="523"/>
      <c r="C830" s="325"/>
      <c r="D830" s="325"/>
      <c r="E830" s="325"/>
      <c r="F830" s="325"/>
      <c r="G830" s="325"/>
      <c r="H830" s="325"/>
      <c r="I830" s="325"/>
      <c r="J830" s="325"/>
      <c r="K830" s="325"/>
      <c r="L830" s="325"/>
      <c r="M830" s="325"/>
    </row>
    <row r="831" spans="2:13">
      <c r="B831" s="523"/>
      <c r="C831" s="325"/>
      <c r="D831" s="325"/>
      <c r="E831" s="325"/>
      <c r="F831" s="325"/>
      <c r="G831" s="325"/>
      <c r="H831" s="325"/>
      <c r="I831" s="325"/>
      <c r="J831" s="325"/>
      <c r="K831" s="325"/>
      <c r="L831" s="325"/>
      <c r="M831" s="325"/>
    </row>
    <row r="832" spans="2:13">
      <c r="B832" s="523"/>
      <c r="C832" s="325"/>
      <c r="D832" s="325"/>
      <c r="E832" s="325"/>
      <c r="F832" s="325"/>
      <c r="G832" s="325"/>
      <c r="H832" s="325"/>
      <c r="I832" s="325"/>
      <c r="J832" s="325"/>
      <c r="K832" s="325"/>
      <c r="L832" s="325"/>
      <c r="M832" s="325"/>
    </row>
    <row r="833" spans="2:13">
      <c r="B833" s="523"/>
      <c r="C833" s="325"/>
      <c r="D833" s="325"/>
      <c r="E833" s="325"/>
      <c r="F833" s="325"/>
      <c r="G833" s="325"/>
      <c r="H833" s="325"/>
      <c r="I833" s="325"/>
      <c r="J833" s="325"/>
      <c r="K833" s="325"/>
      <c r="L833" s="325"/>
      <c r="M833" s="325"/>
    </row>
    <row r="834" spans="2:13">
      <c r="B834" s="523"/>
      <c r="C834" s="325"/>
      <c r="D834" s="325"/>
      <c r="E834" s="325"/>
      <c r="F834" s="325"/>
      <c r="G834" s="325"/>
      <c r="H834" s="325"/>
      <c r="I834" s="325"/>
      <c r="J834" s="325"/>
      <c r="K834" s="325"/>
      <c r="L834" s="325"/>
      <c r="M834" s="325"/>
    </row>
    <row r="835" spans="2:13">
      <c r="B835" s="523"/>
      <c r="C835" s="325"/>
      <c r="D835" s="325"/>
      <c r="E835" s="325"/>
      <c r="F835" s="325"/>
      <c r="G835" s="325"/>
      <c r="H835" s="325"/>
      <c r="I835" s="325"/>
      <c r="J835" s="325"/>
      <c r="K835" s="325"/>
      <c r="L835" s="325"/>
      <c r="M835" s="325"/>
    </row>
    <row r="836" spans="2:13">
      <c r="B836" s="523"/>
      <c r="C836" s="325"/>
      <c r="D836" s="325"/>
      <c r="E836" s="325"/>
      <c r="F836" s="325"/>
      <c r="G836" s="325"/>
      <c r="H836" s="325"/>
      <c r="I836" s="325"/>
      <c r="J836" s="325"/>
      <c r="K836" s="325"/>
      <c r="L836" s="325"/>
      <c r="M836" s="325"/>
    </row>
    <row r="837" spans="2:13">
      <c r="B837" s="523"/>
      <c r="C837" s="325"/>
      <c r="D837" s="325"/>
      <c r="E837" s="325"/>
      <c r="F837" s="325"/>
      <c r="G837" s="325"/>
      <c r="H837" s="325"/>
      <c r="I837" s="325"/>
      <c r="J837" s="325"/>
      <c r="K837" s="325"/>
      <c r="L837" s="325"/>
      <c r="M837" s="325"/>
    </row>
    <row r="838" spans="2:13">
      <c r="B838" s="523"/>
      <c r="C838" s="325"/>
      <c r="D838" s="325"/>
      <c r="E838" s="325"/>
      <c r="F838" s="325"/>
      <c r="G838" s="325"/>
      <c r="H838" s="325"/>
      <c r="I838" s="325"/>
      <c r="J838" s="325"/>
      <c r="K838" s="325"/>
      <c r="L838" s="325"/>
      <c r="M838" s="325"/>
    </row>
    <row r="839" spans="2:13">
      <c r="B839" s="523"/>
      <c r="C839" s="325"/>
      <c r="D839" s="325"/>
      <c r="E839" s="325"/>
      <c r="F839" s="325"/>
      <c r="G839" s="325"/>
      <c r="H839" s="325"/>
      <c r="I839" s="325"/>
      <c r="J839" s="325"/>
      <c r="K839" s="325"/>
      <c r="L839" s="325"/>
      <c r="M839" s="325"/>
    </row>
    <row r="840" spans="2:13">
      <c r="B840" s="523"/>
      <c r="C840" s="325"/>
      <c r="D840" s="325"/>
      <c r="E840" s="325"/>
      <c r="F840" s="325"/>
      <c r="G840" s="325"/>
      <c r="H840" s="325"/>
      <c r="I840" s="325"/>
      <c r="J840" s="325"/>
      <c r="K840" s="325"/>
      <c r="L840" s="325"/>
      <c r="M840" s="325"/>
    </row>
    <row r="841" spans="2:13">
      <c r="B841" s="523"/>
      <c r="C841" s="325"/>
      <c r="D841" s="325"/>
      <c r="E841" s="325"/>
      <c r="F841" s="325"/>
      <c r="G841" s="325"/>
      <c r="H841" s="325"/>
      <c r="I841" s="325"/>
      <c r="J841" s="325"/>
      <c r="K841" s="325"/>
      <c r="L841" s="325"/>
      <c r="M841" s="325"/>
    </row>
    <row r="842" spans="2:13">
      <c r="B842" s="523"/>
      <c r="C842" s="325"/>
      <c r="D842" s="325"/>
      <c r="E842" s="325"/>
      <c r="F842" s="325"/>
      <c r="G842" s="325"/>
      <c r="H842" s="325"/>
      <c r="I842" s="325"/>
      <c r="J842" s="325"/>
      <c r="K842" s="325"/>
      <c r="L842" s="325"/>
      <c r="M842" s="325"/>
    </row>
    <row r="843" spans="2:13">
      <c r="B843" s="523"/>
      <c r="C843" s="325"/>
      <c r="D843" s="325"/>
      <c r="E843" s="325"/>
      <c r="F843" s="325"/>
      <c r="G843" s="325"/>
      <c r="H843" s="325"/>
      <c r="I843" s="325"/>
      <c r="J843" s="325"/>
      <c r="K843" s="325"/>
      <c r="L843" s="325"/>
      <c r="M843" s="325"/>
    </row>
    <row r="844" spans="2:13">
      <c r="B844" s="523"/>
      <c r="C844" s="325"/>
      <c r="D844" s="325"/>
      <c r="E844" s="325"/>
      <c r="F844" s="325"/>
      <c r="G844" s="325"/>
      <c r="H844" s="325"/>
      <c r="I844" s="325"/>
      <c r="J844" s="325"/>
      <c r="K844" s="325"/>
      <c r="L844" s="325"/>
      <c r="M844" s="325"/>
    </row>
    <row r="845" spans="2:13">
      <c r="B845" s="523"/>
      <c r="C845" s="325"/>
      <c r="D845" s="325"/>
      <c r="E845" s="325"/>
      <c r="F845" s="325"/>
      <c r="G845" s="325"/>
      <c r="H845" s="325"/>
      <c r="I845" s="325"/>
      <c r="J845" s="325"/>
      <c r="K845" s="325"/>
      <c r="L845" s="325"/>
      <c r="M845" s="325"/>
    </row>
    <row r="846" spans="2:13">
      <c r="B846" s="523"/>
      <c r="C846" s="325"/>
      <c r="D846" s="325"/>
      <c r="E846" s="325"/>
      <c r="F846" s="325"/>
      <c r="G846" s="325"/>
      <c r="H846" s="325"/>
      <c r="I846" s="325"/>
      <c r="J846" s="325"/>
      <c r="K846" s="325"/>
      <c r="L846" s="325"/>
      <c r="M846" s="325"/>
    </row>
    <row r="847" spans="2:13">
      <c r="B847" s="523"/>
      <c r="C847" s="325"/>
      <c r="D847" s="325"/>
      <c r="E847" s="325"/>
      <c r="F847" s="325"/>
      <c r="G847" s="325"/>
      <c r="H847" s="325"/>
      <c r="I847" s="325"/>
      <c r="J847" s="325"/>
      <c r="K847" s="325"/>
      <c r="L847" s="325"/>
      <c r="M847" s="325"/>
    </row>
    <row r="848" spans="2:13">
      <c r="B848" s="523"/>
      <c r="C848" s="325"/>
      <c r="D848" s="325"/>
      <c r="E848" s="325"/>
      <c r="F848" s="325"/>
      <c r="G848" s="325"/>
      <c r="H848" s="325"/>
      <c r="I848" s="325"/>
      <c r="J848" s="325"/>
      <c r="K848" s="325"/>
      <c r="L848" s="325"/>
      <c r="M848" s="325"/>
    </row>
    <row r="849" spans="2:13">
      <c r="B849" s="523"/>
      <c r="C849" s="325"/>
      <c r="D849" s="325"/>
      <c r="E849" s="325"/>
      <c r="F849" s="325"/>
      <c r="G849" s="325"/>
      <c r="H849" s="325"/>
      <c r="I849" s="325"/>
      <c r="J849" s="325"/>
      <c r="K849" s="325"/>
      <c r="L849" s="325"/>
      <c r="M849" s="325"/>
    </row>
    <row r="850" spans="2:13">
      <c r="B850" s="523"/>
      <c r="C850" s="325"/>
      <c r="D850" s="325"/>
      <c r="E850" s="325"/>
      <c r="F850" s="325"/>
      <c r="G850" s="325"/>
      <c r="H850" s="325"/>
      <c r="I850" s="325"/>
      <c r="J850" s="325"/>
      <c r="K850" s="325"/>
      <c r="L850" s="325"/>
      <c r="M850" s="325"/>
    </row>
    <row r="851" spans="2:13">
      <c r="B851" s="523"/>
      <c r="C851" s="325"/>
      <c r="D851" s="325"/>
      <c r="E851" s="325"/>
      <c r="F851" s="325"/>
      <c r="G851" s="325"/>
      <c r="H851" s="325"/>
      <c r="I851" s="325"/>
      <c r="J851" s="325"/>
      <c r="K851" s="325"/>
      <c r="L851" s="325"/>
      <c r="M851" s="325"/>
    </row>
    <row r="852" spans="2:13">
      <c r="B852" s="523"/>
      <c r="C852" s="325"/>
      <c r="D852" s="325"/>
      <c r="E852" s="325"/>
      <c r="F852" s="325"/>
      <c r="G852" s="325"/>
      <c r="H852" s="325"/>
      <c r="I852" s="325"/>
      <c r="J852" s="325"/>
      <c r="K852" s="325"/>
      <c r="L852" s="325"/>
      <c r="M852" s="325"/>
    </row>
    <row r="853" spans="2:13">
      <c r="B853" s="523"/>
      <c r="C853" s="325"/>
      <c r="D853" s="325"/>
      <c r="E853" s="325"/>
      <c r="F853" s="325"/>
      <c r="G853" s="325"/>
      <c r="H853" s="325"/>
      <c r="I853" s="325"/>
      <c r="J853" s="325"/>
      <c r="K853" s="325"/>
      <c r="L853" s="325"/>
      <c r="M853" s="325"/>
    </row>
    <row r="854" spans="2:13">
      <c r="B854" s="523"/>
      <c r="C854" s="325"/>
      <c r="D854" s="325"/>
      <c r="E854" s="325"/>
      <c r="F854" s="325"/>
      <c r="G854" s="325"/>
      <c r="H854" s="325"/>
      <c r="I854" s="325"/>
      <c r="J854" s="325"/>
      <c r="K854" s="325"/>
      <c r="L854" s="325"/>
      <c r="M854" s="325"/>
    </row>
    <row r="855" spans="2:13">
      <c r="B855" s="523"/>
      <c r="C855" s="325"/>
      <c r="D855" s="325"/>
      <c r="E855" s="325"/>
      <c r="F855" s="325"/>
      <c r="G855" s="325"/>
      <c r="H855" s="325"/>
      <c r="I855" s="325"/>
      <c r="J855" s="325"/>
      <c r="K855" s="325"/>
      <c r="L855" s="325"/>
      <c r="M855" s="325"/>
    </row>
    <row r="856" spans="2:13">
      <c r="B856" s="523"/>
      <c r="C856" s="325"/>
      <c r="D856" s="325"/>
      <c r="E856" s="325"/>
      <c r="F856" s="325"/>
      <c r="G856" s="325"/>
      <c r="H856" s="325"/>
      <c r="I856" s="325"/>
      <c r="J856" s="325"/>
      <c r="K856" s="325"/>
      <c r="L856" s="325"/>
      <c r="M856" s="325"/>
    </row>
    <row r="857" spans="2:13">
      <c r="B857" s="523"/>
      <c r="C857" s="325"/>
      <c r="D857" s="325"/>
      <c r="E857" s="325"/>
      <c r="F857" s="325"/>
      <c r="G857" s="325"/>
      <c r="H857" s="325"/>
      <c r="I857" s="325"/>
      <c r="J857" s="325"/>
      <c r="K857" s="325"/>
      <c r="L857" s="325"/>
      <c r="M857" s="325"/>
    </row>
    <row r="858" spans="2:13">
      <c r="B858" s="523"/>
      <c r="C858" s="325"/>
      <c r="D858" s="325"/>
      <c r="E858" s="325"/>
      <c r="F858" s="325"/>
      <c r="G858" s="325"/>
      <c r="H858" s="325"/>
      <c r="I858" s="325"/>
      <c r="J858" s="325"/>
      <c r="K858" s="325"/>
      <c r="L858" s="325"/>
      <c r="M858" s="325"/>
    </row>
    <row r="859" spans="2:13">
      <c r="B859" s="523"/>
      <c r="C859" s="325"/>
      <c r="D859" s="325"/>
      <c r="E859" s="325"/>
      <c r="F859" s="325"/>
      <c r="G859" s="325"/>
      <c r="H859" s="325"/>
      <c r="I859" s="325"/>
      <c r="J859" s="325"/>
      <c r="K859" s="325"/>
      <c r="L859" s="325"/>
      <c r="M859" s="325"/>
    </row>
    <row r="860" spans="2:13">
      <c r="B860" s="523"/>
      <c r="C860" s="325"/>
      <c r="D860" s="325"/>
      <c r="E860" s="325"/>
      <c r="F860" s="325"/>
      <c r="G860" s="325"/>
      <c r="H860" s="325"/>
      <c r="I860" s="325"/>
      <c r="J860" s="325"/>
      <c r="K860" s="325"/>
      <c r="L860" s="325"/>
      <c r="M860" s="325"/>
    </row>
    <row r="861" spans="2:13">
      <c r="B861" s="523"/>
      <c r="C861" s="325"/>
      <c r="D861" s="325"/>
      <c r="E861" s="325"/>
      <c r="F861" s="325"/>
      <c r="G861" s="325"/>
      <c r="H861" s="325"/>
      <c r="I861" s="325"/>
      <c r="J861" s="325"/>
      <c r="K861" s="325"/>
      <c r="L861" s="325"/>
      <c r="M861" s="325"/>
    </row>
    <row r="862" spans="2:13">
      <c r="B862" s="523"/>
      <c r="C862" s="325"/>
      <c r="D862" s="325"/>
      <c r="E862" s="325"/>
      <c r="F862" s="325"/>
      <c r="G862" s="325"/>
      <c r="H862" s="325"/>
      <c r="I862" s="325"/>
      <c r="J862" s="325"/>
      <c r="K862" s="325"/>
      <c r="L862" s="325"/>
      <c r="M862" s="325"/>
    </row>
    <row r="863" spans="2:13">
      <c r="B863" s="523"/>
      <c r="C863" s="325"/>
      <c r="D863" s="325"/>
      <c r="E863" s="325"/>
      <c r="F863" s="325"/>
      <c r="G863" s="325"/>
      <c r="H863" s="325"/>
      <c r="I863" s="325"/>
      <c r="J863" s="325"/>
      <c r="K863" s="325"/>
      <c r="L863" s="325"/>
      <c r="M863" s="325"/>
    </row>
    <row r="864" spans="2:13">
      <c r="B864" s="523"/>
      <c r="C864" s="325"/>
      <c r="D864" s="325"/>
      <c r="E864" s="325"/>
      <c r="F864" s="325"/>
      <c r="G864" s="325"/>
      <c r="H864" s="325"/>
      <c r="I864" s="325"/>
      <c r="J864" s="325"/>
      <c r="K864" s="325"/>
      <c r="L864" s="325"/>
      <c r="M864" s="325"/>
    </row>
    <row r="865" spans="2:13">
      <c r="B865" s="523"/>
      <c r="C865" s="325"/>
      <c r="D865" s="325"/>
      <c r="E865" s="325"/>
      <c r="F865" s="325"/>
      <c r="G865" s="325"/>
      <c r="H865" s="325"/>
      <c r="I865" s="325"/>
      <c r="J865" s="325"/>
      <c r="K865" s="325"/>
      <c r="L865" s="325"/>
      <c r="M865" s="325"/>
    </row>
    <row r="866" spans="2:13">
      <c r="B866" s="523"/>
      <c r="C866" s="325"/>
      <c r="D866" s="325"/>
      <c r="E866" s="325"/>
      <c r="F866" s="325"/>
      <c r="G866" s="325"/>
      <c r="H866" s="325"/>
      <c r="I866" s="325"/>
      <c r="J866" s="325"/>
      <c r="K866" s="325"/>
      <c r="L866" s="325"/>
      <c r="M866" s="325"/>
    </row>
    <row r="867" spans="2:13">
      <c r="B867" s="523"/>
      <c r="C867" s="325"/>
      <c r="D867" s="325"/>
      <c r="E867" s="325"/>
      <c r="F867" s="325"/>
      <c r="G867" s="325"/>
      <c r="H867" s="325"/>
      <c r="I867" s="325"/>
      <c r="J867" s="325"/>
      <c r="K867" s="325"/>
      <c r="L867" s="325"/>
      <c r="M867" s="325"/>
    </row>
    <row r="868" spans="2:13">
      <c r="B868" s="523"/>
      <c r="C868" s="325"/>
      <c r="D868" s="325"/>
      <c r="E868" s="325"/>
      <c r="F868" s="325"/>
      <c r="G868" s="325"/>
      <c r="H868" s="325"/>
      <c r="I868" s="325"/>
      <c r="J868" s="325"/>
      <c r="K868" s="325"/>
      <c r="L868" s="325"/>
      <c r="M868" s="325"/>
    </row>
    <row r="869" spans="2:13">
      <c r="B869" s="523"/>
      <c r="C869" s="325"/>
      <c r="D869" s="325"/>
      <c r="E869" s="325"/>
      <c r="F869" s="325"/>
      <c r="G869" s="325"/>
      <c r="H869" s="325"/>
      <c r="I869" s="325"/>
      <c r="J869" s="325"/>
      <c r="K869" s="325"/>
      <c r="L869" s="325"/>
      <c r="M869" s="325"/>
    </row>
    <row r="870" spans="2:13">
      <c r="B870" s="523"/>
      <c r="C870" s="325"/>
      <c r="D870" s="325"/>
      <c r="E870" s="325"/>
      <c r="F870" s="325"/>
      <c r="G870" s="325"/>
      <c r="H870" s="325"/>
      <c r="I870" s="325"/>
      <c r="J870" s="325"/>
      <c r="K870" s="325"/>
      <c r="L870" s="325"/>
      <c r="M870" s="325"/>
    </row>
    <row r="871" spans="2:13">
      <c r="B871" s="523"/>
      <c r="C871" s="325"/>
      <c r="D871" s="325"/>
      <c r="E871" s="325"/>
      <c r="F871" s="325"/>
      <c r="G871" s="325"/>
      <c r="H871" s="325"/>
      <c r="I871" s="325"/>
      <c r="J871" s="325"/>
      <c r="K871" s="325"/>
      <c r="L871" s="325"/>
      <c r="M871" s="325"/>
    </row>
    <row r="872" spans="2:13">
      <c r="B872" s="523"/>
      <c r="C872" s="325"/>
      <c r="D872" s="325"/>
      <c r="E872" s="325"/>
      <c r="F872" s="325"/>
      <c r="G872" s="325"/>
      <c r="H872" s="325"/>
      <c r="I872" s="325"/>
      <c r="J872" s="325"/>
      <c r="K872" s="325"/>
      <c r="L872" s="325"/>
      <c r="M872" s="325"/>
    </row>
    <row r="873" spans="2:13">
      <c r="B873" s="523"/>
      <c r="C873" s="325"/>
      <c r="D873" s="325"/>
      <c r="E873" s="325"/>
      <c r="F873" s="325"/>
      <c r="G873" s="325"/>
      <c r="H873" s="325"/>
      <c r="I873" s="325"/>
      <c r="J873" s="325"/>
      <c r="K873" s="325"/>
      <c r="L873" s="325"/>
      <c r="M873" s="325"/>
    </row>
    <row r="874" spans="2:13">
      <c r="B874" s="523"/>
      <c r="C874" s="325"/>
      <c r="D874" s="325"/>
      <c r="E874" s="325"/>
      <c r="F874" s="325"/>
      <c r="G874" s="325"/>
      <c r="H874" s="325"/>
      <c r="I874" s="325"/>
      <c r="J874" s="325"/>
      <c r="K874" s="325"/>
      <c r="L874" s="325"/>
      <c r="M874" s="325"/>
    </row>
    <row r="875" spans="2:13">
      <c r="B875" s="523"/>
      <c r="C875" s="325"/>
      <c r="D875" s="325"/>
      <c r="E875" s="325"/>
      <c r="F875" s="325"/>
      <c r="G875" s="325"/>
      <c r="H875" s="325"/>
      <c r="I875" s="325"/>
      <c r="J875" s="325"/>
      <c r="K875" s="325"/>
      <c r="L875" s="325"/>
      <c r="M875" s="325"/>
    </row>
    <row r="876" spans="2:13">
      <c r="B876" s="523"/>
      <c r="C876" s="325"/>
      <c r="D876" s="325"/>
      <c r="E876" s="325"/>
      <c r="F876" s="325"/>
      <c r="G876" s="325"/>
      <c r="H876" s="325"/>
      <c r="I876" s="325"/>
      <c r="J876" s="325"/>
      <c r="K876" s="325"/>
      <c r="L876" s="325"/>
      <c r="M876" s="325"/>
    </row>
    <row r="877" spans="2:13">
      <c r="B877" s="523"/>
      <c r="C877" s="325"/>
      <c r="D877" s="325"/>
      <c r="E877" s="325"/>
      <c r="F877" s="325"/>
      <c r="G877" s="325"/>
      <c r="H877" s="325"/>
      <c r="I877" s="325"/>
      <c r="J877" s="325"/>
      <c r="K877" s="325"/>
      <c r="L877" s="325"/>
      <c r="M877" s="325"/>
    </row>
    <row r="878" spans="2:13">
      <c r="B878" s="523"/>
      <c r="C878" s="325"/>
      <c r="D878" s="325"/>
      <c r="E878" s="325"/>
      <c r="F878" s="325"/>
      <c r="G878" s="325"/>
      <c r="H878" s="325"/>
      <c r="I878" s="325"/>
      <c r="J878" s="325"/>
      <c r="K878" s="325"/>
      <c r="L878" s="325"/>
      <c r="M878" s="325"/>
    </row>
    <row r="879" spans="2:13">
      <c r="B879" s="523"/>
      <c r="C879" s="325"/>
      <c r="D879" s="325"/>
      <c r="E879" s="325"/>
      <c r="F879" s="325"/>
      <c r="G879" s="325"/>
      <c r="H879" s="325"/>
      <c r="I879" s="325"/>
      <c r="J879" s="325"/>
      <c r="K879" s="325"/>
      <c r="L879" s="325"/>
      <c r="M879" s="325"/>
    </row>
    <row r="880" spans="2:13">
      <c r="B880" s="523"/>
      <c r="C880" s="325"/>
      <c r="D880" s="325"/>
      <c r="E880" s="325"/>
      <c r="F880" s="325"/>
      <c r="G880" s="325"/>
      <c r="H880" s="325"/>
      <c r="I880" s="325"/>
      <c r="J880" s="325"/>
      <c r="K880" s="325"/>
      <c r="L880" s="325"/>
      <c r="M880" s="325"/>
    </row>
    <row r="881" spans="2:13">
      <c r="B881" s="523"/>
      <c r="C881" s="325"/>
      <c r="D881" s="325"/>
      <c r="E881" s="325"/>
      <c r="F881" s="325"/>
      <c r="G881" s="325"/>
      <c r="H881" s="325"/>
      <c r="I881" s="325"/>
      <c r="J881" s="325"/>
      <c r="K881" s="325"/>
      <c r="L881" s="325"/>
      <c r="M881" s="325"/>
    </row>
    <row r="882" spans="2:13">
      <c r="B882" s="523"/>
      <c r="C882" s="325"/>
      <c r="D882" s="325"/>
      <c r="E882" s="325"/>
      <c r="F882" s="325"/>
      <c r="G882" s="325"/>
      <c r="H882" s="325"/>
      <c r="I882" s="325"/>
      <c r="J882" s="325"/>
      <c r="K882" s="325"/>
      <c r="L882" s="325"/>
      <c r="M882" s="325"/>
    </row>
    <row r="883" spans="2:13">
      <c r="B883" s="523"/>
      <c r="C883" s="325"/>
      <c r="D883" s="325"/>
      <c r="E883" s="325"/>
      <c r="F883" s="325"/>
      <c r="G883" s="325"/>
      <c r="H883" s="325"/>
      <c r="I883" s="325"/>
      <c r="J883" s="325"/>
      <c r="K883" s="325"/>
      <c r="L883" s="325"/>
      <c r="M883" s="325"/>
    </row>
    <row r="884" spans="2:13">
      <c r="B884" s="523"/>
      <c r="C884" s="325"/>
      <c r="D884" s="325"/>
      <c r="E884" s="325"/>
      <c r="F884" s="325"/>
      <c r="G884" s="325"/>
      <c r="H884" s="325"/>
      <c r="I884" s="325"/>
      <c r="J884" s="325"/>
      <c r="K884" s="325"/>
      <c r="L884" s="325"/>
      <c r="M884" s="325"/>
    </row>
    <row r="885" spans="2:13">
      <c r="B885" s="523"/>
      <c r="C885" s="325"/>
      <c r="D885" s="325"/>
      <c r="E885" s="325"/>
      <c r="F885" s="325"/>
      <c r="G885" s="325"/>
      <c r="H885" s="325"/>
      <c r="I885" s="325"/>
      <c r="J885" s="325"/>
      <c r="K885" s="325"/>
      <c r="L885" s="325"/>
      <c r="M885" s="325"/>
    </row>
    <row r="886" spans="2:13">
      <c r="B886" s="523"/>
      <c r="C886" s="325"/>
      <c r="D886" s="325"/>
      <c r="E886" s="325"/>
      <c r="F886" s="325"/>
      <c r="G886" s="325"/>
      <c r="H886" s="325"/>
      <c r="I886" s="325"/>
      <c r="J886" s="325"/>
      <c r="K886" s="325"/>
      <c r="L886" s="325"/>
      <c r="M886" s="325"/>
    </row>
    <row r="887" spans="2:13">
      <c r="B887" s="523"/>
      <c r="C887" s="325"/>
      <c r="D887" s="325"/>
      <c r="E887" s="325"/>
      <c r="F887" s="325"/>
      <c r="G887" s="325"/>
      <c r="H887" s="325"/>
      <c r="I887" s="325"/>
      <c r="J887" s="325"/>
      <c r="K887" s="325"/>
      <c r="L887" s="325"/>
      <c r="M887" s="325"/>
    </row>
    <row r="888" spans="2:13">
      <c r="B888" s="523"/>
      <c r="C888" s="325"/>
      <c r="D888" s="325"/>
      <c r="E888" s="325"/>
      <c r="F888" s="325"/>
      <c r="G888" s="325"/>
      <c r="H888" s="325"/>
      <c r="I888" s="325"/>
      <c r="J888" s="325"/>
      <c r="K888" s="325"/>
      <c r="L888" s="325"/>
      <c r="M888" s="325"/>
    </row>
    <row r="889" spans="2:13">
      <c r="B889" s="523"/>
      <c r="C889" s="325"/>
      <c r="D889" s="325"/>
      <c r="E889" s="325"/>
      <c r="F889" s="325"/>
      <c r="G889" s="325"/>
      <c r="H889" s="325"/>
      <c r="I889" s="325"/>
      <c r="J889" s="325"/>
      <c r="K889" s="325"/>
      <c r="L889" s="325"/>
      <c r="M889" s="325"/>
    </row>
    <row r="890" spans="2:13">
      <c r="B890" s="523"/>
      <c r="C890" s="325"/>
      <c r="D890" s="325"/>
      <c r="E890" s="325"/>
      <c r="F890" s="325"/>
      <c r="G890" s="325"/>
      <c r="H890" s="325"/>
      <c r="I890" s="325"/>
      <c r="J890" s="325"/>
      <c r="K890" s="325"/>
      <c r="L890" s="325"/>
      <c r="M890" s="325"/>
    </row>
    <row r="891" spans="2:13">
      <c r="B891" s="523"/>
      <c r="C891" s="325"/>
      <c r="D891" s="325"/>
      <c r="E891" s="325"/>
      <c r="F891" s="325"/>
      <c r="G891" s="325"/>
      <c r="H891" s="325"/>
      <c r="I891" s="325"/>
      <c r="J891" s="325"/>
      <c r="K891" s="325"/>
      <c r="L891" s="325"/>
      <c r="M891" s="325"/>
    </row>
    <row r="892" spans="2:13">
      <c r="B892" s="523"/>
      <c r="C892" s="325"/>
      <c r="D892" s="325"/>
      <c r="E892" s="325"/>
      <c r="F892" s="325"/>
      <c r="G892" s="325"/>
      <c r="H892" s="325"/>
      <c r="I892" s="325"/>
      <c r="J892" s="325"/>
      <c r="K892" s="325"/>
      <c r="L892" s="325"/>
      <c r="M892" s="325"/>
    </row>
    <row r="893" spans="2:13">
      <c r="B893" s="523"/>
      <c r="C893" s="325"/>
      <c r="D893" s="325"/>
      <c r="E893" s="325"/>
      <c r="F893" s="325"/>
      <c r="G893" s="325"/>
      <c r="H893" s="325"/>
      <c r="I893" s="325"/>
      <c r="J893" s="325"/>
      <c r="K893" s="325"/>
      <c r="L893" s="325"/>
      <c r="M893" s="325"/>
    </row>
    <row r="894" spans="2:13">
      <c r="B894" s="523"/>
      <c r="C894" s="325"/>
      <c r="D894" s="325"/>
      <c r="E894" s="325"/>
      <c r="F894" s="325"/>
      <c r="G894" s="325"/>
      <c r="H894" s="325"/>
      <c r="I894" s="325"/>
      <c r="J894" s="325"/>
      <c r="K894" s="325"/>
      <c r="L894" s="325"/>
      <c r="M894" s="325"/>
    </row>
    <row r="895" spans="2:13">
      <c r="B895" s="523"/>
      <c r="C895" s="325"/>
      <c r="D895" s="325"/>
      <c r="E895" s="325"/>
      <c r="F895" s="325"/>
      <c r="G895" s="325"/>
      <c r="H895" s="325"/>
      <c r="I895" s="325"/>
      <c r="J895" s="325"/>
      <c r="K895" s="325"/>
      <c r="L895" s="325"/>
      <c r="M895" s="325"/>
    </row>
    <row r="896" spans="2:13">
      <c r="B896" s="523"/>
      <c r="C896" s="325"/>
      <c r="D896" s="325"/>
      <c r="E896" s="325"/>
      <c r="F896" s="325"/>
      <c r="G896" s="325"/>
      <c r="H896" s="325"/>
      <c r="I896" s="325"/>
      <c r="J896" s="325"/>
      <c r="K896" s="325"/>
      <c r="L896" s="325"/>
      <c r="M896" s="325"/>
    </row>
    <row r="897" spans="2:13">
      <c r="B897" s="523"/>
      <c r="C897" s="325"/>
      <c r="D897" s="325"/>
      <c r="E897" s="325"/>
      <c r="F897" s="325"/>
      <c r="G897" s="325"/>
      <c r="H897" s="325"/>
      <c r="I897" s="325"/>
      <c r="J897" s="325"/>
      <c r="K897" s="325"/>
      <c r="L897" s="325"/>
      <c r="M897" s="325"/>
    </row>
    <row r="898" spans="2:13">
      <c r="B898" s="523"/>
      <c r="C898" s="325"/>
      <c r="D898" s="325"/>
      <c r="E898" s="325"/>
      <c r="F898" s="325"/>
      <c r="G898" s="325"/>
      <c r="H898" s="325"/>
      <c r="I898" s="325"/>
      <c r="J898" s="325"/>
      <c r="K898" s="325"/>
      <c r="L898" s="325"/>
      <c r="M898" s="325"/>
    </row>
    <row r="899" spans="2:13">
      <c r="B899" s="523"/>
      <c r="C899" s="325"/>
      <c r="D899" s="325"/>
      <c r="E899" s="325"/>
      <c r="F899" s="325"/>
      <c r="G899" s="325"/>
      <c r="H899" s="325"/>
      <c r="I899" s="325"/>
      <c r="J899" s="325"/>
      <c r="K899" s="325"/>
      <c r="L899" s="325"/>
      <c r="M899" s="325"/>
    </row>
    <row r="900" spans="2:13">
      <c r="B900" s="523"/>
      <c r="C900" s="325"/>
      <c r="D900" s="325"/>
      <c r="E900" s="325"/>
      <c r="F900" s="325"/>
      <c r="G900" s="325"/>
      <c r="H900" s="325"/>
      <c r="I900" s="325"/>
      <c r="J900" s="325"/>
      <c r="K900" s="325"/>
      <c r="L900" s="325"/>
      <c r="M900" s="325"/>
    </row>
    <row r="901" spans="2:13">
      <c r="B901" s="523"/>
      <c r="C901" s="325"/>
      <c r="D901" s="325"/>
      <c r="E901" s="325"/>
      <c r="F901" s="325"/>
      <c r="G901" s="325"/>
      <c r="H901" s="325"/>
      <c r="I901" s="325"/>
      <c r="J901" s="325"/>
      <c r="K901" s="325"/>
      <c r="L901" s="325"/>
      <c r="M901" s="325"/>
    </row>
    <row r="902" spans="2:13">
      <c r="B902" s="523"/>
      <c r="C902" s="325"/>
      <c r="D902" s="325"/>
      <c r="E902" s="325"/>
      <c r="F902" s="325"/>
      <c r="G902" s="325"/>
      <c r="H902" s="325"/>
      <c r="I902" s="325"/>
      <c r="J902" s="325"/>
      <c r="K902" s="325"/>
      <c r="L902" s="325"/>
      <c r="M902" s="325"/>
    </row>
    <row r="903" spans="2:13">
      <c r="B903" s="523"/>
      <c r="C903" s="325"/>
      <c r="D903" s="325"/>
      <c r="E903" s="325"/>
      <c r="F903" s="325"/>
      <c r="G903" s="325"/>
      <c r="H903" s="325"/>
      <c r="I903" s="325"/>
      <c r="J903" s="325"/>
      <c r="K903" s="325"/>
      <c r="L903" s="325"/>
      <c r="M903" s="325"/>
    </row>
    <row r="904" spans="2:13">
      <c r="B904" s="523"/>
      <c r="C904" s="325"/>
      <c r="D904" s="325"/>
      <c r="E904" s="325"/>
      <c r="F904" s="325"/>
      <c r="G904" s="325"/>
      <c r="H904" s="325"/>
      <c r="I904" s="325"/>
      <c r="J904" s="325"/>
      <c r="K904" s="325"/>
      <c r="L904" s="325"/>
      <c r="M904" s="325"/>
    </row>
    <row r="905" spans="2:13">
      <c r="B905" s="523"/>
      <c r="C905" s="325"/>
      <c r="D905" s="325"/>
      <c r="E905" s="325"/>
      <c r="F905" s="325"/>
      <c r="G905" s="325"/>
      <c r="H905" s="325"/>
      <c r="I905" s="325"/>
      <c r="J905" s="325"/>
      <c r="K905" s="325"/>
      <c r="L905" s="325"/>
      <c r="M905" s="325"/>
    </row>
    <row r="906" spans="2:13">
      <c r="B906" s="523"/>
      <c r="C906" s="325"/>
      <c r="D906" s="325"/>
      <c r="E906" s="325"/>
      <c r="F906" s="325"/>
      <c r="G906" s="325"/>
      <c r="H906" s="325"/>
      <c r="I906" s="325"/>
      <c r="J906" s="325"/>
      <c r="K906" s="325"/>
      <c r="L906" s="325"/>
      <c r="M906" s="325"/>
    </row>
    <row r="907" spans="2:13">
      <c r="B907" s="523"/>
      <c r="C907" s="325"/>
      <c r="D907" s="325"/>
      <c r="E907" s="325"/>
      <c r="F907" s="325"/>
      <c r="G907" s="325"/>
      <c r="H907" s="325"/>
      <c r="I907" s="325"/>
      <c r="J907" s="325"/>
      <c r="K907" s="325"/>
      <c r="L907" s="325"/>
      <c r="M907" s="325"/>
    </row>
    <row r="908" spans="2:13">
      <c r="B908" s="523"/>
      <c r="C908" s="325"/>
      <c r="D908" s="325"/>
      <c r="E908" s="325"/>
      <c r="F908" s="325"/>
      <c r="G908" s="325"/>
      <c r="H908" s="325"/>
      <c r="I908" s="325"/>
      <c r="J908" s="325"/>
      <c r="K908" s="325"/>
      <c r="L908" s="325"/>
      <c r="M908" s="325"/>
    </row>
    <row r="909" spans="2:13">
      <c r="B909" s="523"/>
      <c r="C909" s="325"/>
      <c r="D909" s="325"/>
      <c r="E909" s="325"/>
      <c r="F909" s="325"/>
      <c r="G909" s="325"/>
      <c r="H909" s="325"/>
      <c r="I909" s="325"/>
      <c r="J909" s="325"/>
      <c r="K909" s="325"/>
      <c r="L909" s="325"/>
      <c r="M909" s="325"/>
    </row>
    <row r="910" spans="2:13">
      <c r="B910" s="523"/>
      <c r="C910" s="325"/>
      <c r="D910" s="325"/>
      <c r="E910" s="325"/>
      <c r="F910" s="325"/>
      <c r="G910" s="325"/>
      <c r="H910" s="325"/>
      <c r="I910" s="325"/>
      <c r="J910" s="325"/>
      <c r="K910" s="325"/>
      <c r="L910" s="325"/>
      <c r="M910" s="325"/>
    </row>
    <row r="911" spans="2:13">
      <c r="B911" s="523"/>
      <c r="C911" s="325"/>
      <c r="D911" s="325"/>
      <c r="E911" s="325"/>
      <c r="F911" s="325"/>
      <c r="G911" s="325"/>
      <c r="H911" s="325"/>
      <c r="I911" s="325"/>
      <c r="J911" s="325"/>
      <c r="K911" s="325"/>
      <c r="L911" s="325"/>
      <c r="M911" s="325"/>
    </row>
    <row r="912" spans="2:13">
      <c r="B912" s="523"/>
      <c r="C912" s="325"/>
      <c r="D912" s="325"/>
      <c r="E912" s="325"/>
      <c r="F912" s="325"/>
      <c r="G912" s="325"/>
      <c r="H912" s="325"/>
      <c r="I912" s="325"/>
      <c r="J912" s="325"/>
      <c r="K912" s="325"/>
      <c r="L912" s="325"/>
      <c r="M912" s="325"/>
    </row>
    <row r="913" spans="2:13">
      <c r="B913" s="523"/>
      <c r="C913" s="325"/>
      <c r="D913" s="325"/>
      <c r="E913" s="325"/>
      <c r="F913" s="325"/>
      <c r="G913" s="325"/>
      <c r="H913" s="325"/>
      <c r="I913" s="325"/>
      <c r="J913" s="325"/>
      <c r="K913" s="325"/>
      <c r="L913" s="325"/>
      <c r="M913" s="325"/>
    </row>
    <row r="914" spans="2:13">
      <c r="B914" s="523"/>
      <c r="C914" s="325"/>
      <c r="D914" s="325"/>
      <c r="E914" s="325"/>
      <c r="F914" s="325"/>
      <c r="G914" s="325"/>
      <c r="H914" s="325"/>
      <c r="I914" s="325"/>
      <c r="J914" s="325"/>
      <c r="K914" s="325"/>
      <c r="L914" s="325"/>
      <c r="M914" s="325"/>
    </row>
    <row r="915" spans="2:13">
      <c r="B915" s="523"/>
      <c r="C915" s="325"/>
      <c r="D915" s="325"/>
      <c r="E915" s="325"/>
      <c r="F915" s="325"/>
      <c r="G915" s="325"/>
      <c r="H915" s="325"/>
      <c r="I915" s="325"/>
      <c r="J915" s="325"/>
      <c r="K915" s="325"/>
      <c r="L915" s="325"/>
      <c r="M915" s="325"/>
    </row>
    <row r="916" spans="2:13">
      <c r="B916" s="523"/>
      <c r="C916" s="325"/>
      <c r="D916" s="325"/>
      <c r="E916" s="325"/>
      <c r="F916" s="325"/>
      <c r="G916" s="325"/>
      <c r="H916" s="325"/>
      <c r="I916" s="325"/>
      <c r="J916" s="325"/>
      <c r="K916" s="325"/>
      <c r="L916" s="325"/>
      <c r="M916" s="325"/>
    </row>
    <row r="917" spans="2:13">
      <c r="B917" s="523"/>
      <c r="C917" s="325"/>
      <c r="D917" s="325"/>
      <c r="E917" s="325"/>
      <c r="F917" s="325"/>
      <c r="G917" s="325"/>
      <c r="H917" s="325"/>
      <c r="I917" s="325"/>
      <c r="J917" s="325"/>
      <c r="K917" s="325"/>
      <c r="L917" s="325"/>
      <c r="M917" s="325"/>
    </row>
    <row r="918" spans="2:13">
      <c r="B918" s="523"/>
      <c r="C918" s="325"/>
      <c r="D918" s="325"/>
      <c r="E918" s="325"/>
      <c r="F918" s="325"/>
      <c r="G918" s="325"/>
      <c r="H918" s="325"/>
      <c r="I918" s="325"/>
      <c r="J918" s="325"/>
      <c r="K918" s="325"/>
      <c r="L918" s="325"/>
      <c r="M918" s="325"/>
    </row>
    <row r="919" spans="2:13">
      <c r="B919" s="523"/>
      <c r="C919" s="325"/>
      <c r="D919" s="325"/>
      <c r="E919" s="325"/>
      <c r="F919" s="325"/>
      <c r="G919" s="325"/>
      <c r="H919" s="325"/>
      <c r="I919" s="325"/>
      <c r="J919" s="325"/>
      <c r="K919" s="325"/>
      <c r="L919" s="325"/>
      <c r="M919" s="325"/>
    </row>
    <row r="920" spans="2:13">
      <c r="B920" s="523"/>
      <c r="C920" s="325"/>
      <c r="D920" s="325"/>
      <c r="E920" s="325"/>
      <c r="F920" s="325"/>
      <c r="G920" s="325"/>
      <c r="H920" s="325"/>
      <c r="I920" s="325"/>
      <c r="J920" s="325"/>
      <c r="K920" s="325"/>
      <c r="L920" s="325"/>
      <c r="M920" s="325"/>
    </row>
    <row r="921" spans="2:13">
      <c r="B921" s="523"/>
      <c r="C921" s="325"/>
      <c r="D921" s="325"/>
      <c r="E921" s="325"/>
      <c r="F921" s="325"/>
      <c r="G921" s="325"/>
      <c r="H921" s="325"/>
      <c r="I921" s="325"/>
      <c r="J921" s="325"/>
      <c r="K921" s="325"/>
      <c r="L921" s="325"/>
      <c r="M921" s="325"/>
    </row>
    <row r="922" spans="2:13">
      <c r="B922" s="523"/>
      <c r="C922" s="325"/>
      <c r="D922" s="325"/>
      <c r="E922" s="325"/>
      <c r="F922" s="325"/>
      <c r="G922" s="325"/>
      <c r="H922" s="325"/>
      <c r="I922" s="325"/>
      <c r="J922" s="325"/>
      <c r="K922" s="325"/>
      <c r="L922" s="325"/>
      <c r="M922" s="325"/>
    </row>
    <row r="923" spans="2:13">
      <c r="B923" s="523"/>
      <c r="C923" s="325"/>
      <c r="D923" s="325"/>
      <c r="E923" s="325"/>
      <c r="F923" s="325"/>
      <c r="G923" s="325"/>
      <c r="H923" s="325"/>
      <c r="I923" s="325"/>
      <c r="J923" s="325"/>
      <c r="K923" s="325"/>
      <c r="L923" s="325"/>
      <c r="M923" s="325"/>
    </row>
    <row r="924" spans="2:13">
      <c r="B924" s="523"/>
      <c r="C924" s="325"/>
      <c r="D924" s="325"/>
      <c r="E924" s="325"/>
      <c r="F924" s="325"/>
      <c r="G924" s="325"/>
      <c r="H924" s="325"/>
      <c r="I924" s="325"/>
      <c r="J924" s="325"/>
      <c r="K924" s="325"/>
      <c r="L924" s="325"/>
      <c r="M924" s="325"/>
    </row>
    <row r="925" spans="2:13">
      <c r="B925" s="523"/>
      <c r="C925" s="325"/>
      <c r="D925" s="325"/>
      <c r="E925" s="325"/>
      <c r="F925" s="325"/>
      <c r="G925" s="325"/>
      <c r="H925" s="325"/>
      <c r="I925" s="325"/>
      <c r="J925" s="325"/>
      <c r="K925" s="325"/>
      <c r="L925" s="325"/>
      <c r="M925" s="325"/>
    </row>
    <row r="926" spans="2:13">
      <c r="B926" s="523"/>
      <c r="C926" s="325"/>
      <c r="D926" s="325"/>
      <c r="E926" s="325"/>
      <c r="F926" s="325"/>
      <c r="G926" s="325"/>
      <c r="H926" s="325"/>
      <c r="I926" s="325"/>
      <c r="J926" s="325"/>
      <c r="K926" s="325"/>
      <c r="L926" s="325"/>
      <c r="M926" s="325"/>
    </row>
    <row r="927" spans="2:13">
      <c r="B927" s="523"/>
      <c r="C927" s="325"/>
      <c r="D927" s="325"/>
      <c r="E927" s="325"/>
      <c r="F927" s="325"/>
      <c r="G927" s="325"/>
      <c r="H927" s="325"/>
      <c r="I927" s="325"/>
      <c r="J927" s="325"/>
      <c r="K927" s="325"/>
      <c r="L927" s="325"/>
      <c r="M927" s="325"/>
    </row>
    <row r="928" spans="2:13">
      <c r="B928" s="523"/>
      <c r="C928" s="325"/>
      <c r="D928" s="325"/>
      <c r="E928" s="325"/>
      <c r="F928" s="325"/>
      <c r="G928" s="325"/>
      <c r="H928" s="325"/>
      <c r="I928" s="325"/>
      <c r="J928" s="325"/>
      <c r="K928" s="325"/>
      <c r="L928" s="325"/>
      <c r="M928" s="325"/>
    </row>
    <row r="929" spans="2:13">
      <c r="B929" s="523"/>
      <c r="C929" s="325"/>
      <c r="D929" s="325"/>
      <c r="E929" s="325"/>
      <c r="F929" s="325"/>
      <c r="G929" s="325"/>
      <c r="H929" s="325"/>
      <c r="I929" s="325"/>
      <c r="J929" s="325"/>
      <c r="K929" s="325"/>
      <c r="L929" s="325"/>
      <c r="M929" s="325"/>
    </row>
    <row r="930" spans="2:13">
      <c r="B930" s="523"/>
      <c r="C930" s="325"/>
      <c r="D930" s="325"/>
      <c r="E930" s="325"/>
      <c r="F930" s="325"/>
      <c r="G930" s="325"/>
      <c r="H930" s="325"/>
      <c r="I930" s="325"/>
      <c r="J930" s="325"/>
      <c r="K930" s="325"/>
      <c r="L930" s="325"/>
      <c r="M930" s="325"/>
    </row>
    <row r="931" spans="2:13">
      <c r="B931" s="523"/>
      <c r="C931" s="325"/>
      <c r="D931" s="325"/>
      <c r="E931" s="325"/>
      <c r="F931" s="325"/>
      <c r="G931" s="325"/>
      <c r="H931" s="325"/>
      <c r="I931" s="325"/>
      <c r="J931" s="325"/>
      <c r="K931" s="325"/>
      <c r="L931" s="325"/>
      <c r="M931" s="325"/>
    </row>
    <row r="932" spans="2:13">
      <c r="B932" s="523"/>
      <c r="C932" s="325"/>
      <c r="D932" s="325"/>
      <c r="E932" s="325"/>
      <c r="F932" s="325"/>
      <c r="G932" s="325"/>
      <c r="H932" s="325"/>
      <c r="I932" s="325"/>
      <c r="J932" s="325"/>
      <c r="K932" s="325"/>
      <c r="L932" s="325"/>
      <c r="M932" s="325"/>
    </row>
    <row r="933" spans="2:13">
      <c r="B933" s="523"/>
      <c r="C933" s="325"/>
      <c r="D933" s="325"/>
      <c r="E933" s="325"/>
      <c r="F933" s="325"/>
      <c r="G933" s="325"/>
      <c r="H933" s="325"/>
      <c r="I933" s="325"/>
      <c r="J933" s="325"/>
      <c r="K933" s="325"/>
      <c r="L933" s="325"/>
      <c r="M933" s="325"/>
    </row>
    <row r="934" spans="2:13">
      <c r="B934" s="523"/>
      <c r="C934" s="325"/>
      <c r="D934" s="325"/>
      <c r="E934" s="325"/>
      <c r="F934" s="325"/>
      <c r="G934" s="325"/>
      <c r="H934" s="325"/>
      <c r="I934" s="325"/>
      <c r="J934" s="325"/>
      <c r="K934" s="325"/>
      <c r="L934" s="325"/>
      <c r="M934" s="325"/>
    </row>
    <row r="935" spans="2:13">
      <c r="B935" s="523"/>
      <c r="C935" s="325"/>
      <c r="D935" s="325"/>
      <c r="E935" s="325"/>
      <c r="F935" s="325"/>
      <c r="G935" s="325"/>
      <c r="H935" s="325"/>
      <c r="I935" s="325"/>
      <c r="J935" s="325"/>
      <c r="K935" s="325"/>
      <c r="L935" s="325"/>
      <c r="M935" s="325"/>
    </row>
    <row r="936" spans="2:13">
      <c r="B936" s="523"/>
      <c r="C936" s="325"/>
      <c r="D936" s="325"/>
      <c r="E936" s="325"/>
      <c r="F936" s="325"/>
      <c r="G936" s="325"/>
      <c r="H936" s="325"/>
      <c r="I936" s="325"/>
      <c r="J936" s="325"/>
      <c r="K936" s="325"/>
      <c r="L936" s="325"/>
      <c r="M936" s="325"/>
    </row>
    <row r="937" spans="2:13">
      <c r="B937" s="523"/>
      <c r="C937" s="325"/>
      <c r="D937" s="325"/>
      <c r="E937" s="325"/>
      <c r="F937" s="325"/>
      <c r="G937" s="325"/>
      <c r="H937" s="325"/>
      <c r="I937" s="325"/>
      <c r="J937" s="325"/>
      <c r="K937" s="325"/>
      <c r="L937" s="325"/>
      <c r="M937" s="325"/>
    </row>
    <row r="938" spans="2:13">
      <c r="B938" s="523"/>
      <c r="C938" s="325"/>
      <c r="D938" s="325"/>
      <c r="E938" s="325"/>
      <c r="F938" s="325"/>
      <c r="G938" s="325"/>
      <c r="H938" s="325"/>
      <c r="I938" s="325"/>
      <c r="J938" s="325"/>
      <c r="K938" s="325"/>
      <c r="L938" s="325"/>
      <c r="M938" s="325"/>
    </row>
    <row r="939" spans="2:13">
      <c r="B939" s="523"/>
      <c r="C939" s="325"/>
      <c r="D939" s="325"/>
      <c r="E939" s="325"/>
      <c r="F939" s="325"/>
      <c r="G939" s="325"/>
      <c r="H939" s="325"/>
      <c r="I939" s="325"/>
      <c r="J939" s="325"/>
      <c r="K939" s="325"/>
      <c r="L939" s="325"/>
      <c r="M939" s="325"/>
    </row>
    <row r="940" spans="2:13">
      <c r="B940" s="523"/>
      <c r="C940" s="325"/>
      <c r="D940" s="325"/>
      <c r="E940" s="325"/>
      <c r="F940" s="325"/>
      <c r="G940" s="325"/>
      <c r="H940" s="325"/>
      <c r="I940" s="325"/>
      <c r="J940" s="325"/>
      <c r="K940" s="325"/>
      <c r="L940" s="325"/>
      <c r="M940" s="325"/>
    </row>
    <row r="941" spans="2:13">
      <c r="B941" s="523"/>
      <c r="C941" s="325"/>
      <c r="D941" s="325"/>
      <c r="E941" s="325"/>
      <c r="F941" s="325"/>
      <c r="G941" s="325"/>
      <c r="H941" s="325"/>
      <c r="I941" s="325"/>
      <c r="J941" s="325"/>
      <c r="K941" s="325"/>
      <c r="L941" s="325"/>
      <c r="M941" s="325"/>
    </row>
    <row r="942" spans="2:13">
      <c r="B942" s="523"/>
      <c r="C942" s="325"/>
      <c r="D942" s="325"/>
      <c r="E942" s="325"/>
      <c r="F942" s="325"/>
      <c r="G942" s="325"/>
      <c r="H942" s="325"/>
      <c r="I942" s="325"/>
      <c r="J942" s="325"/>
      <c r="K942" s="325"/>
      <c r="L942" s="325"/>
      <c r="M942" s="325"/>
    </row>
    <row r="943" spans="2:13">
      <c r="B943" s="523"/>
      <c r="C943" s="325"/>
      <c r="D943" s="325"/>
      <c r="E943" s="325"/>
      <c r="F943" s="325"/>
      <c r="G943" s="325"/>
      <c r="H943" s="325"/>
      <c r="I943" s="325"/>
      <c r="J943" s="325"/>
      <c r="K943" s="325"/>
      <c r="L943" s="325"/>
      <c r="M943" s="325"/>
    </row>
    <row r="944" spans="2:13">
      <c r="B944" s="523"/>
      <c r="C944" s="325"/>
      <c r="D944" s="325"/>
      <c r="E944" s="325"/>
      <c r="F944" s="325"/>
      <c r="G944" s="325"/>
      <c r="H944" s="325"/>
      <c r="I944" s="325"/>
      <c r="J944" s="325"/>
      <c r="K944" s="325"/>
      <c r="L944" s="325"/>
      <c r="M944" s="325"/>
    </row>
    <row r="945" spans="2:13">
      <c r="B945" s="523"/>
      <c r="C945" s="325"/>
      <c r="D945" s="325"/>
      <c r="E945" s="325"/>
      <c r="F945" s="325"/>
      <c r="G945" s="325"/>
      <c r="H945" s="325"/>
      <c r="I945" s="325"/>
      <c r="J945" s="325"/>
      <c r="K945" s="325"/>
      <c r="L945" s="325"/>
      <c r="M945" s="325"/>
    </row>
    <row r="946" spans="2:13">
      <c r="B946" s="523"/>
      <c r="C946" s="325"/>
      <c r="D946" s="325"/>
      <c r="E946" s="325"/>
      <c r="F946" s="325"/>
      <c r="G946" s="325"/>
      <c r="H946" s="325"/>
      <c r="I946" s="325"/>
      <c r="J946" s="325"/>
      <c r="K946" s="325"/>
      <c r="L946" s="325"/>
      <c r="M946" s="325"/>
    </row>
    <row r="947" spans="2:13">
      <c r="B947" s="523"/>
      <c r="C947" s="325"/>
      <c r="D947" s="325"/>
      <c r="E947" s="325"/>
      <c r="F947" s="325"/>
      <c r="G947" s="325"/>
      <c r="H947" s="325"/>
      <c r="I947" s="325"/>
      <c r="J947" s="325"/>
      <c r="K947" s="325"/>
      <c r="L947" s="325"/>
      <c r="M947" s="325"/>
    </row>
    <row r="948" spans="2:13">
      <c r="B948" s="523"/>
      <c r="C948" s="325"/>
      <c r="D948" s="325"/>
      <c r="E948" s="325"/>
      <c r="F948" s="325"/>
      <c r="G948" s="325"/>
      <c r="H948" s="325"/>
      <c r="I948" s="325"/>
      <c r="J948" s="325"/>
      <c r="K948" s="325"/>
      <c r="L948" s="325"/>
      <c r="M948" s="325"/>
    </row>
    <row r="949" spans="2:13">
      <c r="B949" s="523"/>
      <c r="C949" s="325"/>
      <c r="D949" s="325"/>
      <c r="E949" s="325"/>
      <c r="F949" s="325"/>
      <c r="G949" s="325"/>
      <c r="H949" s="325"/>
      <c r="I949" s="325"/>
      <c r="J949" s="325"/>
      <c r="K949" s="325"/>
      <c r="L949" s="325"/>
      <c r="M949" s="325"/>
    </row>
    <row r="950" spans="2:13">
      <c r="B950" s="523"/>
      <c r="C950" s="325"/>
      <c r="D950" s="325"/>
      <c r="E950" s="325"/>
      <c r="F950" s="325"/>
      <c r="G950" s="325"/>
      <c r="H950" s="325"/>
      <c r="I950" s="325"/>
      <c r="J950" s="325"/>
      <c r="K950" s="325"/>
      <c r="L950" s="325"/>
      <c r="M950" s="325"/>
    </row>
    <row r="951" spans="2:13">
      <c r="B951" s="523"/>
      <c r="C951" s="325"/>
      <c r="D951" s="325"/>
      <c r="E951" s="325"/>
      <c r="F951" s="325"/>
      <c r="G951" s="325"/>
      <c r="H951" s="325"/>
      <c r="I951" s="325"/>
      <c r="J951" s="325"/>
      <c r="K951" s="325"/>
      <c r="L951" s="325"/>
      <c r="M951" s="325"/>
    </row>
    <row r="952" spans="2:13">
      <c r="B952" s="523"/>
      <c r="C952" s="325"/>
      <c r="D952" s="325"/>
      <c r="E952" s="325"/>
      <c r="F952" s="325"/>
      <c r="G952" s="325"/>
      <c r="H952" s="325"/>
      <c r="I952" s="325"/>
      <c r="J952" s="325"/>
      <c r="K952" s="325"/>
      <c r="L952" s="325"/>
      <c r="M952" s="325"/>
    </row>
    <row r="953" spans="2:13">
      <c r="B953" s="523"/>
      <c r="C953" s="325"/>
      <c r="D953" s="325"/>
      <c r="E953" s="325"/>
      <c r="F953" s="325"/>
      <c r="G953" s="325"/>
      <c r="H953" s="325"/>
      <c r="I953" s="325"/>
      <c r="J953" s="325"/>
      <c r="K953" s="325"/>
      <c r="L953" s="325"/>
      <c r="M953" s="325"/>
    </row>
    <row r="954" spans="2:13">
      <c r="B954" s="523"/>
      <c r="C954" s="325"/>
      <c r="D954" s="325"/>
      <c r="E954" s="325"/>
      <c r="F954" s="325"/>
      <c r="G954" s="325"/>
      <c r="H954" s="325"/>
      <c r="I954" s="325"/>
      <c r="J954" s="325"/>
      <c r="K954" s="325"/>
      <c r="L954" s="325"/>
      <c r="M954" s="325"/>
    </row>
    <row r="955" spans="2:13">
      <c r="B955" s="523"/>
      <c r="C955" s="325"/>
      <c r="D955" s="325"/>
      <c r="E955" s="325"/>
      <c r="F955" s="325"/>
      <c r="G955" s="325"/>
      <c r="H955" s="325"/>
      <c r="I955" s="325"/>
      <c r="J955" s="325"/>
      <c r="K955" s="325"/>
      <c r="L955" s="325"/>
      <c r="M955" s="325"/>
    </row>
    <row r="956" spans="2:13">
      <c r="B956" s="523"/>
      <c r="C956" s="325"/>
      <c r="D956" s="325"/>
      <c r="E956" s="325"/>
      <c r="F956" s="325"/>
      <c r="G956" s="325"/>
      <c r="H956" s="325"/>
      <c r="I956" s="325"/>
      <c r="J956" s="325"/>
      <c r="K956" s="325"/>
      <c r="L956" s="325"/>
      <c r="M956" s="325"/>
    </row>
    <row r="957" spans="2:13">
      <c r="B957" s="523"/>
      <c r="C957" s="325"/>
      <c r="D957" s="325"/>
      <c r="E957" s="325"/>
      <c r="F957" s="325"/>
      <c r="G957" s="325"/>
      <c r="H957" s="325"/>
      <c r="I957" s="325"/>
      <c r="J957" s="325"/>
      <c r="K957" s="325"/>
      <c r="L957" s="325"/>
      <c r="M957" s="325"/>
    </row>
    <row r="958" spans="2:13">
      <c r="B958" s="523"/>
      <c r="C958" s="325"/>
      <c r="D958" s="325"/>
      <c r="E958" s="325"/>
      <c r="F958" s="325"/>
      <c r="G958" s="325"/>
      <c r="H958" s="325"/>
      <c r="I958" s="325"/>
      <c r="J958" s="325"/>
      <c r="K958" s="325"/>
      <c r="L958" s="325"/>
      <c r="M958" s="325"/>
    </row>
    <row r="959" spans="2:13">
      <c r="B959" s="523"/>
      <c r="C959" s="325"/>
      <c r="D959" s="325"/>
      <c r="E959" s="325"/>
      <c r="F959" s="325"/>
      <c r="G959" s="325"/>
      <c r="H959" s="325"/>
      <c r="I959" s="325"/>
      <c r="J959" s="325"/>
      <c r="K959" s="325"/>
      <c r="L959" s="325"/>
      <c r="M959" s="325"/>
    </row>
    <row r="960" spans="2:13">
      <c r="B960" s="523"/>
      <c r="C960" s="325"/>
      <c r="D960" s="325"/>
      <c r="E960" s="325"/>
      <c r="F960" s="325"/>
      <c r="G960" s="325"/>
      <c r="H960" s="325"/>
      <c r="I960" s="325"/>
      <c r="J960" s="325"/>
      <c r="K960" s="325"/>
      <c r="L960" s="325"/>
      <c r="M960" s="325"/>
    </row>
    <row r="961" spans="2:13">
      <c r="B961" s="523"/>
      <c r="C961" s="325"/>
      <c r="D961" s="325"/>
      <c r="E961" s="325"/>
      <c r="F961" s="325"/>
      <c r="G961" s="325"/>
      <c r="H961" s="325"/>
      <c r="I961" s="325"/>
      <c r="J961" s="325"/>
      <c r="K961" s="325"/>
      <c r="L961" s="325"/>
      <c r="M961" s="325"/>
    </row>
    <row r="962" spans="2:13">
      <c r="B962" s="523"/>
      <c r="C962" s="325"/>
      <c r="D962" s="325"/>
      <c r="E962" s="325"/>
      <c r="F962" s="325"/>
      <c r="G962" s="325"/>
      <c r="H962" s="325"/>
      <c r="I962" s="325"/>
      <c r="J962" s="325"/>
      <c r="K962" s="325"/>
      <c r="L962" s="325"/>
      <c r="M962" s="325"/>
    </row>
    <row r="963" spans="2:13">
      <c r="B963" s="523"/>
      <c r="C963" s="325"/>
      <c r="D963" s="325"/>
      <c r="E963" s="325"/>
      <c r="F963" s="325"/>
      <c r="G963" s="325"/>
      <c r="H963" s="325"/>
      <c r="I963" s="325"/>
      <c r="J963" s="325"/>
      <c r="K963" s="325"/>
      <c r="L963" s="325"/>
      <c r="M963" s="325"/>
    </row>
    <row r="964" spans="2:13">
      <c r="B964" s="523"/>
      <c r="C964" s="325"/>
      <c r="D964" s="325"/>
      <c r="E964" s="325"/>
      <c r="F964" s="325"/>
      <c r="G964" s="325"/>
      <c r="H964" s="325"/>
      <c r="I964" s="325"/>
      <c r="J964" s="325"/>
      <c r="K964" s="325"/>
      <c r="L964" s="325"/>
      <c r="M964" s="325"/>
    </row>
    <row r="965" spans="2:13">
      <c r="B965" s="523"/>
      <c r="C965" s="325"/>
      <c r="D965" s="325"/>
      <c r="E965" s="325"/>
      <c r="F965" s="325"/>
      <c r="G965" s="325"/>
      <c r="H965" s="325"/>
      <c r="I965" s="325"/>
      <c r="J965" s="325"/>
      <c r="K965" s="325"/>
      <c r="L965" s="325"/>
      <c r="M965" s="325"/>
    </row>
    <row r="966" spans="2:13">
      <c r="B966" s="523"/>
      <c r="C966" s="325"/>
      <c r="D966" s="325"/>
      <c r="E966" s="325"/>
      <c r="F966" s="325"/>
      <c r="G966" s="325"/>
      <c r="H966" s="325"/>
      <c r="I966" s="325"/>
      <c r="J966" s="325"/>
      <c r="K966" s="325"/>
      <c r="L966" s="325"/>
      <c r="M966" s="325"/>
    </row>
    <row r="967" spans="2:13">
      <c r="B967" s="523"/>
      <c r="C967" s="325"/>
      <c r="D967" s="325"/>
      <c r="E967" s="325"/>
      <c r="F967" s="325"/>
      <c r="G967" s="325"/>
      <c r="H967" s="325"/>
      <c r="I967" s="325"/>
      <c r="J967" s="325"/>
      <c r="K967" s="325"/>
      <c r="L967" s="325"/>
      <c r="M967" s="325"/>
    </row>
    <row r="968" spans="2:13">
      <c r="B968" s="523"/>
      <c r="C968" s="325"/>
      <c r="D968" s="325"/>
      <c r="E968" s="325"/>
      <c r="F968" s="325"/>
      <c r="G968" s="325"/>
      <c r="H968" s="325"/>
      <c r="I968" s="325"/>
      <c r="J968" s="325"/>
      <c r="K968" s="325"/>
      <c r="L968" s="325"/>
      <c r="M968" s="325"/>
    </row>
    <row r="969" spans="2:13">
      <c r="B969" s="523"/>
      <c r="C969" s="325"/>
      <c r="D969" s="325"/>
      <c r="E969" s="325"/>
      <c r="F969" s="325"/>
      <c r="G969" s="325"/>
      <c r="H969" s="325"/>
      <c r="I969" s="325"/>
      <c r="J969" s="325"/>
      <c r="K969" s="325"/>
      <c r="L969" s="325"/>
      <c r="M969" s="325"/>
    </row>
    <row r="970" spans="2:13">
      <c r="B970" s="523"/>
      <c r="C970" s="325"/>
      <c r="D970" s="325"/>
      <c r="E970" s="325"/>
      <c r="F970" s="325"/>
      <c r="G970" s="325"/>
      <c r="H970" s="325"/>
      <c r="I970" s="325"/>
      <c r="J970" s="325"/>
      <c r="K970" s="325"/>
      <c r="L970" s="325"/>
      <c r="M970" s="325"/>
    </row>
    <row r="971" spans="2:13">
      <c r="B971" s="523"/>
      <c r="C971" s="325"/>
      <c r="D971" s="325"/>
      <c r="E971" s="325"/>
      <c r="F971" s="325"/>
      <c r="G971" s="325"/>
      <c r="H971" s="325"/>
      <c r="I971" s="325"/>
      <c r="J971" s="325"/>
      <c r="K971" s="325"/>
      <c r="L971" s="325"/>
      <c r="M971" s="325"/>
    </row>
    <row r="972" spans="2:13">
      <c r="B972" s="523"/>
      <c r="C972" s="325"/>
      <c r="D972" s="325"/>
      <c r="E972" s="325"/>
      <c r="F972" s="325"/>
      <c r="G972" s="325"/>
      <c r="H972" s="325"/>
      <c r="I972" s="325"/>
      <c r="J972" s="325"/>
      <c r="K972" s="325"/>
      <c r="L972" s="325"/>
      <c r="M972" s="325"/>
    </row>
    <row r="973" spans="2:13">
      <c r="B973" s="523"/>
      <c r="C973" s="325"/>
      <c r="D973" s="325"/>
      <c r="E973" s="325"/>
      <c r="F973" s="325"/>
      <c r="G973" s="325"/>
      <c r="H973" s="325"/>
      <c r="I973" s="325"/>
      <c r="J973" s="325"/>
      <c r="K973" s="325"/>
      <c r="L973" s="325"/>
      <c r="M973" s="325"/>
    </row>
    <row r="974" spans="2:13">
      <c r="B974" s="523"/>
      <c r="C974" s="325"/>
      <c r="D974" s="325"/>
      <c r="E974" s="325"/>
      <c r="F974" s="325"/>
      <c r="G974" s="325"/>
      <c r="H974" s="325"/>
      <c r="I974" s="325"/>
      <c r="J974" s="325"/>
      <c r="K974" s="325"/>
      <c r="L974" s="325"/>
      <c r="M974" s="325"/>
    </row>
    <row r="975" spans="2:13">
      <c r="B975" s="523"/>
      <c r="C975" s="325"/>
      <c r="D975" s="325"/>
      <c r="E975" s="325"/>
      <c r="F975" s="325"/>
      <c r="G975" s="325"/>
      <c r="H975" s="325"/>
      <c r="I975" s="325"/>
      <c r="J975" s="325"/>
      <c r="K975" s="325"/>
      <c r="L975" s="325"/>
      <c r="M975" s="325"/>
    </row>
    <row r="976" spans="2:13">
      <c r="B976" s="523"/>
      <c r="C976" s="325"/>
      <c r="D976" s="325"/>
      <c r="E976" s="325"/>
      <c r="F976" s="325"/>
      <c r="G976" s="325"/>
      <c r="H976" s="325"/>
      <c r="I976" s="325"/>
      <c r="J976" s="325"/>
      <c r="K976" s="325"/>
      <c r="L976" s="325"/>
      <c r="M976" s="325"/>
    </row>
    <row r="977" spans="2:13">
      <c r="B977" s="523"/>
      <c r="C977" s="325"/>
      <c r="D977" s="325"/>
      <c r="E977" s="325"/>
      <c r="F977" s="325"/>
      <c r="G977" s="325"/>
      <c r="H977" s="325"/>
      <c r="I977" s="325"/>
      <c r="J977" s="325"/>
      <c r="K977" s="325"/>
      <c r="L977" s="325"/>
      <c r="M977" s="325"/>
    </row>
    <row r="978" spans="2:13">
      <c r="B978" s="523"/>
      <c r="C978" s="325"/>
      <c r="D978" s="325"/>
      <c r="E978" s="325"/>
      <c r="F978" s="325"/>
      <c r="G978" s="325"/>
      <c r="H978" s="325"/>
      <c r="I978" s="325"/>
      <c r="J978" s="325"/>
      <c r="K978" s="325"/>
      <c r="L978" s="325"/>
      <c r="M978" s="325"/>
    </row>
    <row r="979" spans="2:13">
      <c r="B979" s="523"/>
      <c r="C979" s="325"/>
      <c r="D979" s="325"/>
      <c r="E979" s="325"/>
      <c r="F979" s="325"/>
      <c r="G979" s="325"/>
      <c r="H979" s="325"/>
      <c r="I979" s="325"/>
      <c r="J979" s="325"/>
      <c r="K979" s="325"/>
      <c r="L979" s="325"/>
      <c r="M979" s="325"/>
    </row>
    <row r="980" spans="2:13">
      <c r="B980" s="523"/>
      <c r="C980" s="325"/>
      <c r="D980" s="325"/>
      <c r="E980" s="325"/>
      <c r="F980" s="325"/>
      <c r="G980" s="325"/>
      <c r="H980" s="325"/>
      <c r="I980" s="325"/>
      <c r="J980" s="325"/>
      <c r="K980" s="325"/>
      <c r="L980" s="325"/>
      <c r="M980" s="325"/>
    </row>
    <row r="981" spans="2:13">
      <c r="B981" s="523"/>
      <c r="C981" s="325"/>
      <c r="D981" s="325"/>
      <c r="E981" s="325"/>
      <c r="F981" s="325"/>
      <c r="G981" s="325"/>
      <c r="H981" s="325"/>
      <c r="I981" s="325"/>
      <c r="J981" s="325"/>
      <c r="K981" s="325"/>
      <c r="L981" s="325"/>
      <c r="M981" s="325"/>
    </row>
    <row r="982" spans="2:13">
      <c r="B982" s="523"/>
      <c r="C982" s="325"/>
      <c r="D982" s="325"/>
      <c r="E982" s="325"/>
      <c r="F982" s="325"/>
      <c r="G982" s="325"/>
      <c r="H982" s="325"/>
      <c r="I982" s="325"/>
      <c r="J982" s="325"/>
      <c r="K982" s="325"/>
      <c r="L982" s="325"/>
      <c r="M982" s="325"/>
    </row>
    <row r="983" spans="2:13">
      <c r="B983" s="523"/>
      <c r="C983" s="325"/>
      <c r="D983" s="325"/>
      <c r="E983" s="325"/>
      <c r="F983" s="325"/>
      <c r="G983" s="325"/>
      <c r="H983" s="325"/>
      <c r="I983" s="325"/>
      <c r="J983" s="325"/>
      <c r="K983" s="325"/>
      <c r="L983" s="325"/>
      <c r="M983" s="325"/>
    </row>
    <row r="984" spans="2:13">
      <c r="B984" s="523"/>
      <c r="C984" s="325"/>
      <c r="D984" s="325"/>
      <c r="E984" s="325"/>
      <c r="F984" s="325"/>
      <c r="G984" s="325"/>
      <c r="H984" s="325"/>
      <c r="I984" s="325"/>
      <c r="J984" s="325"/>
      <c r="K984" s="325"/>
      <c r="L984" s="325"/>
      <c r="M984" s="325"/>
    </row>
    <row r="985" spans="2:13">
      <c r="B985" s="523"/>
      <c r="C985" s="325"/>
      <c r="D985" s="325"/>
      <c r="E985" s="325"/>
      <c r="F985" s="325"/>
      <c r="G985" s="325"/>
      <c r="H985" s="325"/>
      <c r="I985" s="325"/>
      <c r="J985" s="325"/>
      <c r="K985" s="325"/>
      <c r="L985" s="325"/>
      <c r="M985" s="325"/>
    </row>
    <row r="986" spans="2:13">
      <c r="B986" s="523"/>
      <c r="C986" s="325"/>
      <c r="D986" s="325"/>
      <c r="E986" s="325"/>
      <c r="F986" s="325"/>
      <c r="G986" s="325"/>
      <c r="H986" s="325"/>
      <c r="I986" s="325"/>
      <c r="J986" s="325"/>
      <c r="K986" s="325"/>
      <c r="L986" s="325"/>
      <c r="M986" s="325"/>
    </row>
    <row r="987" spans="2:13">
      <c r="B987" s="523"/>
      <c r="C987" s="325"/>
      <c r="D987" s="325"/>
      <c r="E987" s="325"/>
      <c r="F987" s="325"/>
      <c r="G987" s="325"/>
      <c r="H987" s="325"/>
      <c r="I987" s="325"/>
      <c r="J987" s="325"/>
      <c r="K987" s="325"/>
      <c r="L987" s="325"/>
      <c r="M987" s="325"/>
    </row>
    <row r="988" spans="2:13">
      <c r="B988" s="523"/>
      <c r="C988" s="325"/>
      <c r="D988" s="325"/>
      <c r="E988" s="325"/>
      <c r="F988" s="325"/>
      <c r="G988" s="325"/>
      <c r="H988" s="325"/>
      <c r="I988" s="325"/>
      <c r="J988" s="325"/>
      <c r="K988" s="325"/>
      <c r="L988" s="325"/>
      <c r="M988" s="325"/>
    </row>
    <row r="989" spans="2:13">
      <c r="B989" s="523"/>
      <c r="C989" s="325"/>
      <c r="D989" s="325"/>
      <c r="E989" s="325"/>
      <c r="F989" s="325"/>
      <c r="G989" s="325"/>
      <c r="H989" s="325"/>
      <c r="I989" s="325"/>
      <c r="J989" s="325"/>
      <c r="K989" s="325"/>
      <c r="L989" s="325"/>
      <c r="M989" s="325"/>
    </row>
    <row r="990" spans="2:13">
      <c r="B990" s="523"/>
      <c r="C990" s="325"/>
      <c r="D990" s="325"/>
      <c r="E990" s="325"/>
      <c r="F990" s="325"/>
      <c r="G990" s="325"/>
      <c r="H990" s="325"/>
      <c r="I990" s="325"/>
      <c r="J990" s="325"/>
      <c r="K990" s="325"/>
      <c r="L990" s="325"/>
      <c r="M990" s="325"/>
    </row>
    <row r="991" spans="2:13">
      <c r="B991" s="523"/>
      <c r="C991" s="325"/>
      <c r="D991" s="325"/>
      <c r="E991" s="325"/>
      <c r="F991" s="325"/>
      <c r="G991" s="325"/>
      <c r="H991" s="325"/>
      <c r="I991" s="325"/>
      <c r="J991" s="325"/>
      <c r="K991" s="325"/>
      <c r="L991" s="325"/>
      <c r="M991" s="325"/>
    </row>
    <row r="992" spans="2:13">
      <c r="B992" s="523"/>
      <c r="C992" s="325"/>
      <c r="D992" s="325"/>
      <c r="E992" s="325"/>
      <c r="F992" s="325"/>
      <c r="G992" s="325"/>
      <c r="H992" s="325"/>
      <c r="I992" s="325"/>
      <c r="J992" s="325"/>
      <c r="K992" s="325"/>
      <c r="L992" s="325"/>
      <c r="M992" s="325"/>
    </row>
    <row r="993" spans="2:13">
      <c r="B993" s="523"/>
      <c r="C993" s="325"/>
      <c r="D993" s="325"/>
      <c r="E993" s="325"/>
      <c r="F993" s="325"/>
      <c r="G993" s="325"/>
      <c r="H993" s="325"/>
      <c r="I993" s="325"/>
      <c r="J993" s="325"/>
      <c r="K993" s="325"/>
      <c r="L993" s="325"/>
      <c r="M993" s="325"/>
    </row>
    <row r="994" spans="2:13">
      <c r="B994" s="523"/>
      <c r="C994" s="325"/>
      <c r="D994" s="325"/>
      <c r="E994" s="325"/>
      <c r="F994" s="325"/>
      <c r="G994" s="325"/>
      <c r="H994" s="325"/>
      <c r="I994" s="325"/>
      <c r="J994" s="325"/>
      <c r="K994" s="325"/>
      <c r="L994" s="325"/>
      <c r="M994" s="325"/>
    </row>
    <row r="995" spans="2:13">
      <c r="B995" s="523"/>
      <c r="C995" s="325"/>
      <c r="D995" s="325"/>
      <c r="E995" s="325"/>
      <c r="F995" s="325"/>
      <c r="G995" s="325"/>
      <c r="H995" s="325"/>
      <c r="I995" s="325"/>
      <c r="J995" s="325"/>
      <c r="K995" s="325"/>
      <c r="L995" s="325"/>
      <c r="M995" s="325"/>
    </row>
    <row r="996" spans="2:13">
      <c r="B996" s="523"/>
      <c r="C996" s="325"/>
      <c r="D996" s="325"/>
      <c r="E996" s="325"/>
      <c r="F996" s="325"/>
      <c r="G996" s="325"/>
      <c r="H996" s="325"/>
      <c r="I996" s="325"/>
      <c r="J996" s="325"/>
      <c r="K996" s="325"/>
      <c r="L996" s="325"/>
      <c r="M996" s="325"/>
    </row>
    <row r="997" spans="2:13">
      <c r="B997" s="523"/>
      <c r="C997" s="325"/>
      <c r="D997" s="325"/>
      <c r="E997" s="325"/>
      <c r="F997" s="325"/>
      <c r="G997" s="325"/>
      <c r="H997" s="325"/>
      <c r="I997" s="325"/>
      <c r="J997" s="325"/>
      <c r="K997" s="325"/>
      <c r="L997" s="325"/>
      <c r="M997" s="325"/>
    </row>
    <row r="998" spans="2:13">
      <c r="B998" s="523"/>
      <c r="C998" s="325"/>
      <c r="D998" s="325"/>
      <c r="E998" s="325"/>
      <c r="F998" s="325"/>
      <c r="G998" s="325"/>
      <c r="H998" s="325"/>
      <c r="I998" s="325"/>
      <c r="J998" s="325"/>
      <c r="K998" s="325"/>
      <c r="L998" s="325"/>
      <c r="M998" s="325"/>
    </row>
    <row r="999" spans="2:13">
      <c r="B999" s="523"/>
      <c r="C999" s="325"/>
      <c r="D999" s="325"/>
      <c r="E999" s="325"/>
      <c r="F999" s="325"/>
      <c r="G999" s="325"/>
      <c r="H999" s="325"/>
      <c r="I999" s="325"/>
      <c r="J999" s="325"/>
      <c r="K999" s="325"/>
      <c r="L999" s="325"/>
      <c r="M999" s="325"/>
    </row>
    <row r="1000" spans="2:13">
      <c r="B1000" s="523"/>
      <c r="C1000" s="325"/>
      <c r="D1000" s="325"/>
      <c r="E1000" s="325"/>
      <c r="F1000" s="325"/>
      <c r="G1000" s="325"/>
      <c r="H1000" s="325"/>
      <c r="I1000" s="325"/>
      <c r="J1000" s="325"/>
      <c r="K1000" s="325"/>
      <c r="L1000" s="325"/>
      <c r="M1000" s="325"/>
    </row>
    <row r="1001" spans="2:13">
      <c r="B1001" s="523"/>
      <c r="C1001" s="325"/>
      <c r="D1001" s="325"/>
      <c r="E1001" s="325"/>
      <c r="F1001" s="325"/>
      <c r="G1001" s="325"/>
      <c r="H1001" s="325"/>
      <c r="I1001" s="325"/>
      <c r="J1001" s="325"/>
      <c r="K1001" s="325"/>
      <c r="L1001" s="325"/>
      <c r="M1001" s="325"/>
    </row>
    <row r="1002" spans="2:13">
      <c r="B1002" s="523"/>
      <c r="C1002" s="325"/>
      <c r="D1002" s="325"/>
      <c r="E1002" s="325"/>
      <c r="F1002" s="325"/>
      <c r="G1002" s="325"/>
      <c r="H1002" s="325"/>
      <c r="I1002" s="325"/>
      <c r="J1002" s="325"/>
      <c r="K1002" s="325"/>
      <c r="L1002" s="325"/>
      <c r="M1002" s="325"/>
    </row>
    <row r="1003" spans="2:13">
      <c r="B1003" s="523"/>
      <c r="C1003" s="325"/>
      <c r="D1003" s="325"/>
      <c r="E1003" s="325"/>
      <c r="F1003" s="325"/>
      <c r="G1003" s="325"/>
      <c r="H1003" s="325"/>
      <c r="I1003" s="325"/>
      <c r="J1003" s="325"/>
      <c r="K1003" s="325"/>
      <c r="L1003" s="325"/>
      <c r="M1003" s="325"/>
    </row>
    <row r="1004" spans="2:13">
      <c r="B1004" s="523"/>
      <c r="C1004" s="325"/>
      <c r="D1004" s="325"/>
      <c r="E1004" s="325"/>
      <c r="F1004" s="325"/>
      <c r="G1004" s="325"/>
      <c r="H1004" s="325"/>
      <c r="I1004" s="325"/>
      <c r="J1004" s="325"/>
      <c r="K1004" s="325"/>
      <c r="L1004" s="325"/>
      <c r="M1004" s="325"/>
    </row>
    <row r="1005" spans="2:13">
      <c r="B1005" s="523"/>
      <c r="C1005" s="325"/>
      <c r="D1005" s="325"/>
      <c r="E1005" s="325"/>
      <c r="F1005" s="325"/>
      <c r="G1005" s="325"/>
      <c r="H1005" s="325"/>
      <c r="I1005" s="325"/>
      <c r="J1005" s="325"/>
      <c r="K1005" s="325"/>
      <c r="L1005" s="325"/>
      <c r="M1005" s="325"/>
    </row>
    <row r="1006" spans="2:13">
      <c r="B1006" s="523"/>
      <c r="C1006" s="325"/>
      <c r="D1006" s="325"/>
      <c r="E1006" s="325"/>
      <c r="F1006" s="325"/>
      <c r="G1006" s="325"/>
      <c r="H1006" s="325"/>
      <c r="I1006" s="325"/>
      <c r="J1006" s="325"/>
      <c r="K1006" s="325"/>
      <c r="L1006" s="325"/>
      <c r="M1006" s="325"/>
    </row>
    <row r="1007" spans="2:13">
      <c r="B1007" s="523"/>
      <c r="C1007" s="325"/>
      <c r="D1007" s="325"/>
      <c r="E1007" s="325"/>
      <c r="F1007" s="325"/>
      <c r="G1007" s="325"/>
      <c r="H1007" s="325"/>
      <c r="I1007" s="325"/>
      <c r="J1007" s="325"/>
      <c r="K1007" s="325"/>
      <c r="L1007" s="325"/>
      <c r="M1007" s="325"/>
    </row>
    <row r="1008" spans="2:13">
      <c r="B1008" s="523"/>
      <c r="C1008" s="325"/>
      <c r="D1008" s="325"/>
      <c r="E1008" s="325"/>
      <c r="F1008" s="325"/>
      <c r="G1008" s="325"/>
      <c r="H1008" s="325"/>
      <c r="I1008" s="325"/>
      <c r="J1008" s="325"/>
      <c r="K1008" s="325"/>
      <c r="L1008" s="325"/>
      <c r="M1008" s="325"/>
    </row>
    <row r="1009" spans="2:13">
      <c r="B1009" s="523"/>
      <c r="C1009" s="325"/>
      <c r="D1009" s="325"/>
      <c r="E1009" s="325"/>
      <c r="F1009" s="325"/>
      <c r="G1009" s="325"/>
      <c r="H1009" s="325"/>
      <c r="I1009" s="325"/>
      <c r="J1009" s="325"/>
      <c r="K1009" s="325"/>
      <c r="L1009" s="325"/>
      <c r="M1009" s="325"/>
    </row>
    <row r="1010" spans="2:13">
      <c r="B1010" s="523"/>
      <c r="C1010" s="325"/>
      <c r="D1010" s="325"/>
      <c r="E1010" s="325"/>
      <c r="F1010" s="325"/>
      <c r="G1010" s="325"/>
      <c r="H1010" s="325"/>
      <c r="I1010" s="325"/>
      <c r="J1010" s="325"/>
      <c r="K1010" s="325"/>
      <c r="L1010" s="325"/>
      <c r="M1010" s="325"/>
    </row>
    <row r="1011" spans="2:13">
      <c r="B1011" s="523"/>
      <c r="C1011" s="325"/>
      <c r="D1011" s="325"/>
      <c r="E1011" s="325"/>
      <c r="F1011" s="325"/>
      <c r="G1011" s="325"/>
      <c r="H1011" s="325"/>
      <c r="I1011" s="325"/>
      <c r="J1011" s="325"/>
      <c r="K1011" s="325"/>
      <c r="L1011" s="325"/>
      <c r="M1011" s="325"/>
    </row>
    <row r="1012" spans="2:13">
      <c r="B1012" s="523"/>
      <c r="C1012" s="325"/>
      <c r="D1012" s="325"/>
      <c r="E1012" s="325"/>
      <c r="F1012" s="325"/>
      <c r="G1012" s="325"/>
      <c r="H1012" s="325"/>
      <c r="I1012" s="325"/>
      <c r="J1012" s="325"/>
      <c r="K1012" s="325"/>
      <c r="L1012" s="325"/>
      <c r="M1012" s="325"/>
    </row>
    <row r="1013" spans="2:13">
      <c r="B1013" s="523"/>
      <c r="C1013" s="325"/>
      <c r="D1013" s="325"/>
      <c r="E1013" s="325"/>
      <c r="F1013" s="325"/>
      <c r="G1013" s="325"/>
      <c r="H1013" s="325"/>
      <c r="I1013" s="325"/>
      <c r="J1013" s="325"/>
      <c r="K1013" s="325"/>
      <c r="L1013" s="325"/>
      <c r="M1013" s="325"/>
    </row>
    <row r="1014" spans="2:13">
      <c r="B1014" s="523"/>
      <c r="C1014" s="325"/>
      <c r="D1014" s="325"/>
      <c r="E1014" s="325"/>
      <c r="F1014" s="325"/>
      <c r="G1014" s="325"/>
      <c r="H1014" s="325"/>
      <c r="I1014" s="325"/>
      <c r="J1014" s="325"/>
      <c r="K1014" s="325"/>
      <c r="L1014" s="325"/>
      <c r="M1014" s="325"/>
    </row>
    <row r="1015" spans="2:13">
      <c r="B1015" s="523"/>
      <c r="C1015" s="325"/>
      <c r="D1015" s="325"/>
      <c r="E1015" s="325"/>
      <c r="F1015" s="325"/>
      <c r="G1015" s="325"/>
      <c r="H1015" s="325"/>
      <c r="I1015" s="325"/>
      <c r="J1015" s="325"/>
      <c r="K1015" s="325"/>
      <c r="L1015" s="325"/>
      <c r="M1015" s="325"/>
    </row>
    <row r="1016" spans="2:13">
      <c r="B1016" s="523"/>
      <c r="C1016" s="325"/>
      <c r="D1016" s="325"/>
      <c r="E1016" s="325"/>
      <c r="F1016" s="325"/>
      <c r="G1016" s="325"/>
      <c r="H1016" s="325"/>
      <c r="I1016" s="325"/>
      <c r="J1016" s="325"/>
      <c r="K1016" s="325"/>
      <c r="L1016" s="325"/>
      <c r="M1016" s="325"/>
    </row>
    <row r="1017" spans="2:13">
      <c r="B1017" s="523"/>
      <c r="C1017" s="325"/>
      <c r="D1017" s="325"/>
      <c r="E1017" s="325"/>
      <c r="F1017" s="325"/>
      <c r="G1017" s="325"/>
      <c r="H1017" s="325"/>
      <c r="I1017" s="325"/>
      <c r="J1017" s="325"/>
      <c r="K1017" s="325"/>
      <c r="L1017" s="325"/>
      <c r="M1017" s="325"/>
    </row>
    <row r="1018" spans="2:13">
      <c r="B1018" s="523"/>
      <c r="C1018" s="325"/>
      <c r="D1018" s="325"/>
      <c r="E1018" s="325"/>
      <c r="F1018" s="325"/>
      <c r="G1018" s="325"/>
      <c r="H1018" s="325"/>
      <c r="I1018" s="325"/>
      <c r="J1018" s="325"/>
      <c r="K1018" s="325"/>
      <c r="L1018" s="325"/>
      <c r="M1018" s="325"/>
    </row>
    <row r="1019" spans="2:13">
      <c r="B1019" s="523"/>
      <c r="C1019" s="325"/>
      <c r="D1019" s="325"/>
      <c r="E1019" s="325"/>
      <c r="F1019" s="325"/>
      <c r="G1019" s="325"/>
      <c r="H1019" s="325"/>
      <c r="I1019" s="325"/>
      <c r="J1019" s="325"/>
      <c r="K1019" s="325"/>
      <c r="L1019" s="325"/>
      <c r="M1019" s="325"/>
    </row>
    <row r="1020" spans="2:13">
      <c r="B1020" s="523"/>
      <c r="C1020" s="325"/>
      <c r="D1020" s="325"/>
      <c r="E1020" s="325"/>
      <c r="F1020" s="325"/>
      <c r="G1020" s="325"/>
      <c r="H1020" s="325"/>
      <c r="I1020" s="325"/>
      <c r="J1020" s="325"/>
      <c r="K1020" s="325"/>
      <c r="L1020" s="325"/>
      <c r="M1020" s="325"/>
    </row>
    <row r="1021" spans="2:13">
      <c r="B1021" s="523"/>
      <c r="C1021" s="325"/>
      <c r="D1021" s="325"/>
      <c r="E1021" s="325"/>
      <c r="F1021" s="325"/>
      <c r="G1021" s="325"/>
      <c r="H1021" s="325"/>
      <c r="I1021" s="325"/>
      <c r="J1021" s="325"/>
      <c r="K1021" s="325"/>
      <c r="L1021" s="325"/>
      <c r="M1021" s="325"/>
    </row>
    <row r="1022" spans="2:13">
      <c r="B1022" s="523"/>
      <c r="C1022" s="325"/>
      <c r="D1022" s="325"/>
      <c r="E1022" s="325"/>
      <c r="F1022" s="325"/>
      <c r="G1022" s="325"/>
      <c r="H1022" s="325"/>
      <c r="I1022" s="325"/>
      <c r="J1022" s="325"/>
      <c r="K1022" s="325"/>
      <c r="L1022" s="325"/>
      <c r="M1022" s="325"/>
    </row>
    <row r="1023" spans="2:13">
      <c r="B1023" s="523"/>
      <c r="C1023" s="325"/>
      <c r="D1023" s="325"/>
      <c r="E1023" s="325"/>
      <c r="F1023" s="325"/>
      <c r="G1023" s="325"/>
      <c r="H1023" s="325"/>
      <c r="I1023" s="325"/>
      <c r="J1023" s="325"/>
      <c r="K1023" s="325"/>
      <c r="L1023" s="325"/>
      <c r="M1023" s="325"/>
    </row>
    <row r="1024" spans="2:13">
      <c r="B1024" s="523"/>
      <c r="C1024" s="325"/>
      <c r="D1024" s="325"/>
      <c r="E1024" s="325"/>
      <c r="F1024" s="325"/>
      <c r="G1024" s="325"/>
      <c r="H1024" s="325"/>
      <c r="I1024" s="325"/>
      <c r="J1024" s="325"/>
      <c r="K1024" s="325"/>
      <c r="L1024" s="325"/>
      <c r="M1024" s="325"/>
    </row>
    <row r="1025" spans="2:13">
      <c r="B1025" s="523"/>
      <c r="C1025" s="325"/>
      <c r="D1025" s="325"/>
      <c r="E1025" s="325"/>
      <c r="F1025" s="325"/>
      <c r="G1025" s="325"/>
      <c r="H1025" s="325"/>
      <c r="I1025" s="325"/>
      <c r="J1025" s="325"/>
      <c r="K1025" s="325"/>
      <c r="L1025" s="325"/>
      <c r="M1025" s="325"/>
    </row>
    <row r="1026" spans="2:13">
      <c r="B1026" s="523"/>
      <c r="C1026" s="325"/>
      <c r="D1026" s="325"/>
      <c r="E1026" s="325"/>
      <c r="F1026" s="325"/>
      <c r="G1026" s="325"/>
      <c r="H1026" s="325"/>
      <c r="I1026" s="325"/>
      <c r="J1026" s="325"/>
      <c r="K1026" s="325"/>
      <c r="L1026" s="325"/>
      <c r="M1026" s="325"/>
    </row>
    <row r="1027" spans="2:13">
      <c r="B1027" s="523"/>
      <c r="C1027" s="325"/>
      <c r="D1027" s="325"/>
      <c r="E1027" s="325"/>
      <c r="F1027" s="325"/>
      <c r="G1027" s="325"/>
      <c r="H1027" s="325"/>
      <c r="I1027" s="325"/>
      <c r="J1027" s="325"/>
      <c r="K1027" s="325"/>
      <c r="L1027" s="325"/>
      <c r="M1027" s="325"/>
    </row>
    <row r="1028" spans="2:13">
      <c r="B1028" s="523"/>
      <c r="C1028" s="325"/>
      <c r="D1028" s="325"/>
      <c r="E1028" s="325"/>
      <c r="F1028" s="325"/>
      <c r="G1028" s="325"/>
      <c r="H1028" s="325"/>
      <c r="I1028" s="325"/>
      <c r="J1028" s="325"/>
      <c r="K1028" s="325"/>
      <c r="L1028" s="325"/>
      <c r="M1028" s="325"/>
    </row>
    <row r="1029" spans="2:13">
      <c r="B1029" s="523"/>
      <c r="C1029" s="325"/>
      <c r="D1029" s="325"/>
      <c r="E1029" s="325"/>
      <c r="F1029" s="325"/>
      <c r="G1029" s="325"/>
      <c r="H1029" s="325"/>
      <c r="I1029" s="325"/>
      <c r="J1029" s="325"/>
      <c r="K1029" s="325"/>
      <c r="L1029" s="325"/>
      <c r="M1029" s="325"/>
    </row>
    <row r="1030" spans="2:13">
      <c r="B1030" s="523"/>
      <c r="C1030" s="325"/>
      <c r="D1030" s="325"/>
      <c r="E1030" s="325"/>
      <c r="F1030" s="325"/>
      <c r="G1030" s="325"/>
      <c r="H1030" s="325"/>
      <c r="I1030" s="325"/>
      <c r="J1030" s="325"/>
      <c r="K1030" s="325"/>
      <c r="L1030" s="325"/>
      <c r="M1030" s="325"/>
    </row>
    <row r="1031" spans="2:13">
      <c r="B1031" s="523"/>
      <c r="C1031" s="325"/>
      <c r="D1031" s="325"/>
      <c r="E1031" s="325"/>
      <c r="F1031" s="325"/>
      <c r="G1031" s="325"/>
      <c r="H1031" s="325"/>
      <c r="I1031" s="325"/>
      <c r="J1031" s="325"/>
      <c r="K1031" s="325"/>
      <c r="L1031" s="325"/>
      <c r="M1031" s="325"/>
    </row>
    <row r="1032" spans="2:13">
      <c r="B1032" s="523"/>
      <c r="C1032" s="325"/>
      <c r="D1032" s="325"/>
      <c r="E1032" s="325"/>
      <c r="F1032" s="325"/>
      <c r="G1032" s="325"/>
      <c r="H1032" s="325"/>
      <c r="I1032" s="325"/>
      <c r="J1032" s="325"/>
      <c r="K1032" s="325"/>
      <c r="L1032" s="325"/>
      <c r="M1032" s="325"/>
    </row>
    <row r="1033" spans="2:13">
      <c r="B1033" s="523"/>
      <c r="C1033" s="325"/>
      <c r="D1033" s="325"/>
      <c r="E1033" s="325"/>
      <c r="F1033" s="325"/>
      <c r="G1033" s="325"/>
      <c r="H1033" s="325"/>
      <c r="I1033" s="325"/>
      <c r="J1033" s="325"/>
      <c r="K1033" s="325"/>
      <c r="L1033" s="325"/>
      <c r="M1033" s="325"/>
    </row>
    <row r="1034" spans="2:13">
      <c r="B1034" s="523"/>
      <c r="C1034" s="325"/>
      <c r="D1034" s="325"/>
      <c r="E1034" s="325"/>
      <c r="F1034" s="325"/>
      <c r="G1034" s="325"/>
      <c r="H1034" s="325"/>
      <c r="I1034" s="325"/>
      <c r="J1034" s="325"/>
      <c r="K1034" s="325"/>
      <c r="L1034" s="325"/>
      <c r="M1034" s="325"/>
    </row>
    <row r="1035" spans="2:13">
      <c r="B1035" s="523"/>
      <c r="C1035" s="325"/>
      <c r="D1035" s="325"/>
      <c r="E1035" s="325"/>
      <c r="F1035" s="325"/>
      <c r="G1035" s="325"/>
      <c r="H1035" s="325"/>
      <c r="I1035" s="325"/>
      <c r="J1035" s="325"/>
      <c r="K1035" s="325"/>
      <c r="L1035" s="325"/>
      <c r="M1035" s="325"/>
    </row>
    <row r="1036" spans="2:13">
      <c r="B1036" s="523"/>
      <c r="C1036" s="325"/>
      <c r="D1036" s="325"/>
      <c r="E1036" s="325"/>
      <c r="F1036" s="325"/>
      <c r="G1036" s="325"/>
      <c r="H1036" s="325"/>
      <c r="I1036" s="325"/>
      <c r="J1036" s="325"/>
      <c r="K1036" s="325"/>
      <c r="L1036" s="325"/>
      <c r="M1036" s="325"/>
    </row>
    <row r="1037" spans="2:13">
      <c r="B1037" s="523"/>
      <c r="C1037" s="325"/>
      <c r="D1037" s="325"/>
      <c r="E1037" s="325"/>
      <c r="F1037" s="325"/>
      <c r="G1037" s="325"/>
      <c r="H1037" s="325"/>
      <c r="I1037" s="325"/>
      <c r="J1037" s="325"/>
      <c r="K1037" s="325"/>
      <c r="L1037" s="325"/>
      <c r="M1037" s="325"/>
    </row>
    <row r="1038" spans="2:13">
      <c r="B1038" s="523"/>
      <c r="C1038" s="325"/>
      <c r="D1038" s="325"/>
      <c r="E1038" s="325"/>
      <c r="F1038" s="325"/>
      <c r="G1038" s="325"/>
      <c r="H1038" s="325"/>
      <c r="I1038" s="325"/>
      <c r="J1038" s="325"/>
      <c r="K1038" s="325"/>
      <c r="L1038" s="325"/>
      <c r="M1038" s="325"/>
    </row>
    <row r="1039" spans="2:13">
      <c r="B1039" s="523"/>
      <c r="C1039" s="325"/>
      <c r="D1039" s="325"/>
      <c r="E1039" s="325"/>
      <c r="F1039" s="325"/>
      <c r="G1039" s="325"/>
      <c r="H1039" s="325"/>
      <c r="I1039" s="325"/>
      <c r="J1039" s="325"/>
      <c r="K1039" s="325"/>
      <c r="L1039" s="325"/>
      <c r="M1039" s="325"/>
    </row>
    <row r="1040" spans="2:13">
      <c r="B1040" s="523"/>
      <c r="C1040" s="325"/>
      <c r="D1040" s="325"/>
      <c r="E1040" s="325"/>
      <c r="F1040" s="325"/>
      <c r="G1040" s="325"/>
      <c r="H1040" s="325"/>
      <c r="I1040" s="325"/>
      <c r="J1040" s="325"/>
      <c r="K1040" s="325"/>
      <c r="L1040" s="325"/>
      <c r="M1040" s="325"/>
    </row>
    <row r="1041" spans="2:13">
      <c r="B1041" s="523"/>
      <c r="C1041" s="325"/>
      <c r="D1041" s="325"/>
      <c r="E1041" s="325"/>
      <c r="F1041" s="325"/>
      <c r="G1041" s="325"/>
      <c r="H1041" s="325"/>
      <c r="I1041" s="325"/>
      <c r="J1041" s="325"/>
      <c r="K1041" s="325"/>
      <c r="L1041" s="325"/>
      <c r="M1041" s="325"/>
    </row>
    <row r="1042" spans="2:13">
      <c r="B1042" s="523"/>
      <c r="C1042" s="325"/>
      <c r="D1042" s="325"/>
      <c r="E1042" s="325"/>
      <c r="F1042" s="325"/>
      <c r="G1042" s="325"/>
      <c r="H1042" s="325"/>
      <c r="I1042" s="325"/>
      <c r="J1042" s="325"/>
      <c r="K1042" s="325"/>
      <c r="L1042" s="325"/>
      <c r="M1042" s="325"/>
    </row>
    <row r="1043" spans="2:13">
      <c r="B1043" s="523"/>
      <c r="C1043" s="325"/>
      <c r="D1043" s="325"/>
      <c r="E1043" s="325"/>
      <c r="F1043" s="325"/>
      <c r="G1043" s="325"/>
      <c r="H1043" s="325"/>
      <c r="I1043" s="325"/>
      <c r="J1043" s="325"/>
      <c r="K1043" s="325"/>
      <c r="L1043" s="325"/>
      <c r="M1043" s="325"/>
    </row>
    <row r="1044" spans="2:13">
      <c r="B1044" s="523"/>
      <c r="C1044" s="325"/>
      <c r="D1044" s="325"/>
      <c r="E1044" s="325"/>
      <c r="F1044" s="325"/>
      <c r="G1044" s="325"/>
      <c r="H1044" s="325"/>
      <c r="I1044" s="325"/>
      <c r="J1044" s="325"/>
      <c r="K1044" s="325"/>
      <c r="L1044" s="325"/>
      <c r="M1044" s="325"/>
    </row>
    <row r="1045" spans="2:13">
      <c r="B1045" s="523"/>
      <c r="C1045" s="325"/>
      <c r="D1045" s="325"/>
      <c r="E1045" s="325"/>
      <c r="F1045" s="325"/>
      <c r="G1045" s="325"/>
      <c r="H1045" s="325"/>
      <c r="I1045" s="325"/>
      <c r="J1045" s="325"/>
      <c r="K1045" s="325"/>
      <c r="L1045" s="325"/>
      <c r="M1045" s="325"/>
    </row>
    <row r="1046" spans="2:13">
      <c r="B1046" s="523"/>
      <c r="C1046" s="325"/>
      <c r="D1046" s="325"/>
      <c r="E1046" s="325"/>
      <c r="F1046" s="325"/>
      <c r="G1046" s="325"/>
      <c r="H1046" s="325"/>
      <c r="I1046" s="325"/>
      <c r="J1046" s="325"/>
      <c r="K1046" s="325"/>
      <c r="L1046" s="325"/>
      <c r="M1046" s="325"/>
    </row>
    <row r="1047" spans="2:13">
      <c r="B1047" s="523"/>
      <c r="C1047" s="325"/>
      <c r="D1047" s="325"/>
      <c r="E1047" s="325"/>
      <c r="F1047" s="325"/>
      <c r="G1047" s="325"/>
      <c r="H1047" s="325"/>
      <c r="I1047" s="325"/>
      <c r="J1047" s="325"/>
      <c r="K1047" s="325"/>
      <c r="L1047" s="325"/>
      <c r="M1047" s="325"/>
    </row>
    <row r="1048" spans="2:13">
      <c r="B1048" s="523"/>
      <c r="C1048" s="325"/>
      <c r="D1048" s="325"/>
      <c r="E1048" s="325"/>
      <c r="F1048" s="325"/>
      <c r="G1048" s="325"/>
      <c r="H1048" s="325"/>
      <c r="I1048" s="325"/>
      <c r="J1048" s="325"/>
      <c r="K1048" s="325"/>
      <c r="L1048" s="325"/>
      <c r="M1048" s="325"/>
    </row>
    <row r="1049" spans="2:13">
      <c r="B1049" s="523"/>
      <c r="C1049" s="325"/>
      <c r="D1049" s="325"/>
      <c r="E1049" s="325"/>
      <c r="F1049" s="325"/>
      <c r="G1049" s="325"/>
      <c r="H1049" s="325"/>
      <c r="I1049" s="325"/>
      <c r="J1049" s="325"/>
      <c r="K1049" s="325"/>
      <c r="L1049" s="325"/>
      <c r="M1049" s="325"/>
    </row>
    <row r="1050" spans="2:13">
      <c r="B1050" s="523"/>
      <c r="C1050" s="325"/>
      <c r="D1050" s="325"/>
      <c r="E1050" s="325"/>
      <c r="F1050" s="325"/>
      <c r="G1050" s="325"/>
      <c r="H1050" s="325"/>
      <c r="I1050" s="325"/>
      <c r="J1050" s="325"/>
      <c r="K1050" s="325"/>
      <c r="L1050" s="325"/>
      <c r="M1050" s="325"/>
    </row>
    <row r="1051" spans="2:13">
      <c r="B1051" s="523"/>
      <c r="C1051" s="325"/>
      <c r="D1051" s="325"/>
      <c r="E1051" s="325"/>
      <c r="F1051" s="325"/>
      <c r="G1051" s="325"/>
      <c r="H1051" s="325"/>
      <c r="I1051" s="325"/>
      <c r="J1051" s="325"/>
      <c r="K1051" s="325"/>
      <c r="L1051" s="325"/>
      <c r="M1051" s="325"/>
    </row>
    <row r="1052" spans="2:13">
      <c r="B1052" s="523"/>
      <c r="C1052" s="325"/>
      <c r="D1052" s="325"/>
      <c r="E1052" s="325"/>
      <c r="F1052" s="325"/>
      <c r="G1052" s="325"/>
      <c r="H1052" s="325"/>
      <c r="I1052" s="325"/>
      <c r="J1052" s="325"/>
      <c r="K1052" s="325"/>
      <c r="L1052" s="325"/>
      <c r="M1052" s="325"/>
    </row>
    <row r="1053" spans="2:13">
      <c r="B1053" s="523"/>
      <c r="C1053" s="325"/>
      <c r="D1053" s="325"/>
      <c r="E1053" s="325"/>
      <c r="F1053" s="325"/>
      <c r="G1053" s="325"/>
      <c r="H1053" s="325"/>
      <c r="I1053" s="325"/>
      <c r="J1053" s="325"/>
      <c r="K1053" s="325"/>
      <c r="L1053" s="325"/>
      <c r="M1053" s="325"/>
    </row>
    <row r="1054" spans="2:13">
      <c r="B1054" s="523"/>
      <c r="C1054" s="325"/>
      <c r="D1054" s="325"/>
      <c r="E1054" s="325"/>
      <c r="F1054" s="325"/>
      <c r="G1054" s="325"/>
      <c r="H1054" s="325"/>
      <c r="I1054" s="325"/>
      <c r="J1054" s="325"/>
      <c r="K1054" s="325"/>
      <c r="L1054" s="325"/>
      <c r="M1054" s="325"/>
    </row>
    <row r="1055" spans="2:13">
      <c r="B1055" s="523"/>
      <c r="C1055" s="325"/>
      <c r="D1055" s="325"/>
      <c r="E1055" s="325"/>
      <c r="F1055" s="325"/>
      <c r="G1055" s="325"/>
      <c r="H1055" s="325"/>
      <c r="I1055" s="325"/>
      <c r="J1055" s="325"/>
      <c r="K1055" s="325"/>
      <c r="L1055" s="325"/>
      <c r="M1055" s="325"/>
    </row>
    <row r="1056" spans="2:13">
      <c r="B1056" s="523"/>
      <c r="C1056" s="325"/>
      <c r="D1056" s="325"/>
      <c r="E1056" s="325"/>
      <c r="F1056" s="325"/>
      <c r="G1056" s="325"/>
      <c r="H1056" s="325"/>
      <c r="I1056" s="325"/>
      <c r="J1056" s="325"/>
      <c r="K1056" s="325"/>
      <c r="L1056" s="325"/>
      <c r="M1056" s="325"/>
    </row>
    <row r="1057" spans="2:13">
      <c r="B1057" s="523"/>
      <c r="C1057" s="325"/>
      <c r="D1057" s="325"/>
      <c r="E1057" s="325"/>
      <c r="F1057" s="325"/>
      <c r="G1057" s="325"/>
      <c r="H1057" s="325"/>
      <c r="I1057" s="325"/>
      <c r="J1057" s="325"/>
      <c r="K1057" s="325"/>
      <c r="L1057" s="325"/>
      <c r="M1057" s="325"/>
    </row>
    <row r="1058" spans="2:13">
      <c r="B1058" s="523"/>
      <c r="C1058" s="325"/>
      <c r="D1058" s="325"/>
      <c r="E1058" s="325"/>
      <c r="F1058" s="325"/>
      <c r="G1058" s="325"/>
      <c r="H1058" s="325"/>
      <c r="I1058" s="325"/>
      <c r="J1058" s="325"/>
      <c r="K1058" s="325"/>
      <c r="L1058" s="325"/>
      <c r="M1058" s="325"/>
    </row>
    <row r="1059" spans="2:13">
      <c r="B1059" s="523"/>
      <c r="C1059" s="325"/>
      <c r="D1059" s="325"/>
      <c r="E1059" s="325"/>
      <c r="F1059" s="325"/>
      <c r="G1059" s="325"/>
      <c r="H1059" s="325"/>
      <c r="I1059" s="325"/>
      <c r="J1059" s="325"/>
      <c r="K1059" s="325"/>
      <c r="L1059" s="325"/>
      <c r="M1059" s="325"/>
    </row>
    <row r="1060" spans="2:13">
      <c r="B1060" s="523"/>
      <c r="C1060" s="325"/>
      <c r="D1060" s="325"/>
      <c r="E1060" s="325"/>
      <c r="F1060" s="325"/>
      <c r="G1060" s="325"/>
      <c r="H1060" s="325"/>
      <c r="I1060" s="325"/>
      <c r="J1060" s="325"/>
      <c r="K1060" s="325"/>
      <c r="L1060" s="325"/>
      <c r="M1060" s="325"/>
    </row>
    <row r="1061" spans="2:13">
      <c r="B1061" s="523"/>
      <c r="C1061" s="325"/>
      <c r="D1061" s="325"/>
      <c r="E1061" s="325"/>
      <c r="F1061" s="325"/>
      <c r="G1061" s="325"/>
      <c r="H1061" s="325"/>
      <c r="I1061" s="325"/>
      <c r="J1061" s="325"/>
      <c r="K1061" s="325"/>
      <c r="L1061" s="325"/>
      <c r="M1061" s="325"/>
    </row>
    <row r="1062" spans="2:13">
      <c r="B1062" s="523"/>
      <c r="C1062" s="325"/>
      <c r="D1062" s="325"/>
      <c r="E1062" s="325"/>
      <c r="F1062" s="325"/>
      <c r="G1062" s="325"/>
      <c r="H1062" s="325"/>
      <c r="I1062" s="325"/>
      <c r="J1062" s="325"/>
      <c r="K1062" s="325"/>
      <c r="L1062" s="325"/>
      <c r="M1062" s="325"/>
    </row>
    <row r="1063" spans="2:13">
      <c r="B1063" s="523"/>
      <c r="C1063" s="325"/>
      <c r="D1063" s="325"/>
      <c r="E1063" s="325"/>
      <c r="F1063" s="325"/>
      <c r="G1063" s="325"/>
      <c r="H1063" s="325"/>
      <c r="I1063" s="325"/>
      <c r="J1063" s="325"/>
      <c r="K1063" s="325"/>
      <c r="L1063" s="325"/>
      <c r="M1063" s="325"/>
    </row>
    <row r="1064" spans="2:13">
      <c r="B1064" s="523"/>
      <c r="C1064" s="325"/>
      <c r="D1064" s="325"/>
      <c r="E1064" s="325"/>
      <c r="F1064" s="325"/>
      <c r="G1064" s="325"/>
      <c r="H1064" s="325"/>
      <c r="I1064" s="325"/>
      <c r="J1064" s="325"/>
      <c r="K1064" s="325"/>
      <c r="L1064" s="325"/>
      <c r="M1064" s="325"/>
    </row>
    <row r="1065" spans="2:13">
      <c r="B1065" s="523"/>
      <c r="C1065" s="325"/>
      <c r="D1065" s="325"/>
      <c r="E1065" s="325"/>
      <c r="F1065" s="325"/>
      <c r="G1065" s="325"/>
      <c r="H1065" s="325"/>
      <c r="I1065" s="325"/>
      <c r="J1065" s="325"/>
      <c r="K1065" s="325"/>
      <c r="L1065" s="325"/>
      <c r="M1065" s="325"/>
    </row>
    <row r="1066" spans="2:13">
      <c r="B1066" s="523"/>
      <c r="C1066" s="325"/>
      <c r="D1066" s="325"/>
      <c r="E1066" s="325"/>
      <c r="F1066" s="325"/>
      <c r="G1066" s="325"/>
      <c r="H1066" s="325"/>
      <c r="I1066" s="325"/>
      <c r="J1066" s="325"/>
      <c r="K1066" s="325"/>
      <c r="L1066" s="325"/>
      <c r="M1066" s="325"/>
    </row>
    <row r="1067" spans="2:13">
      <c r="B1067" s="523"/>
      <c r="C1067" s="325"/>
      <c r="D1067" s="325"/>
      <c r="E1067" s="325"/>
      <c r="F1067" s="325"/>
      <c r="G1067" s="325"/>
      <c r="H1067" s="325"/>
      <c r="I1067" s="325"/>
      <c r="J1067" s="325"/>
      <c r="K1067" s="325"/>
      <c r="L1067" s="325"/>
      <c r="M1067" s="325"/>
    </row>
    <row r="1068" spans="2:13">
      <c r="B1068" s="523"/>
      <c r="C1068" s="325"/>
      <c r="D1068" s="325"/>
      <c r="E1068" s="325"/>
      <c r="F1068" s="325"/>
      <c r="G1068" s="325"/>
      <c r="H1068" s="325"/>
      <c r="I1068" s="325"/>
      <c r="J1068" s="325"/>
      <c r="K1068" s="325"/>
      <c r="L1068" s="325"/>
      <c r="M1068" s="325"/>
    </row>
    <row r="1069" spans="2:13">
      <c r="B1069" s="523"/>
      <c r="C1069" s="325"/>
      <c r="D1069" s="325"/>
      <c r="E1069" s="325"/>
      <c r="F1069" s="325"/>
      <c r="G1069" s="325"/>
      <c r="H1069" s="325"/>
      <c r="I1069" s="325"/>
      <c r="J1069" s="325"/>
      <c r="K1069" s="325"/>
      <c r="L1069" s="325"/>
      <c r="M1069" s="325"/>
    </row>
    <row r="1070" spans="2:13">
      <c r="B1070" s="523"/>
      <c r="C1070" s="325"/>
      <c r="D1070" s="325"/>
      <c r="E1070" s="325"/>
      <c r="F1070" s="325"/>
      <c r="G1070" s="325"/>
      <c r="H1070" s="325"/>
      <c r="I1070" s="325"/>
      <c r="J1070" s="325"/>
      <c r="K1070" s="325"/>
      <c r="L1070" s="325"/>
      <c r="M1070" s="325"/>
    </row>
    <row r="1071" spans="2:13">
      <c r="B1071" s="523"/>
      <c r="C1071" s="325"/>
      <c r="D1071" s="325"/>
      <c r="E1071" s="325"/>
      <c r="F1071" s="325"/>
      <c r="G1071" s="325"/>
      <c r="H1071" s="325"/>
      <c r="I1071" s="325"/>
      <c r="J1071" s="325"/>
      <c r="K1071" s="325"/>
      <c r="L1071" s="325"/>
      <c r="M1071" s="325"/>
    </row>
    <row r="1072" spans="2:13">
      <c r="B1072" s="523"/>
      <c r="C1072" s="325"/>
      <c r="D1072" s="325"/>
      <c r="E1072" s="325"/>
      <c r="F1072" s="325"/>
      <c r="G1072" s="325"/>
      <c r="H1072" s="325"/>
      <c r="I1072" s="325"/>
      <c r="J1072" s="325"/>
      <c r="K1072" s="325"/>
      <c r="L1072" s="325"/>
      <c r="M1072" s="325"/>
    </row>
    <row r="1073" spans="2:13">
      <c r="B1073" s="523"/>
      <c r="C1073" s="325"/>
      <c r="D1073" s="325"/>
      <c r="E1073" s="325"/>
      <c r="F1073" s="325"/>
      <c r="G1073" s="325"/>
      <c r="H1073" s="325"/>
      <c r="I1073" s="325"/>
      <c r="J1073" s="325"/>
      <c r="K1073" s="325"/>
      <c r="L1073" s="325"/>
      <c r="M1073" s="325"/>
    </row>
    <row r="1074" spans="2:13">
      <c r="B1074" s="523"/>
      <c r="C1074" s="325"/>
      <c r="D1074" s="325"/>
      <c r="E1074" s="325"/>
      <c r="F1074" s="325"/>
      <c r="G1074" s="325"/>
      <c r="H1074" s="325"/>
      <c r="I1074" s="325"/>
      <c r="J1074" s="325"/>
      <c r="K1074" s="325"/>
      <c r="L1074" s="325"/>
      <c r="M1074" s="325"/>
    </row>
    <row r="1075" spans="2:13">
      <c r="B1075" s="523"/>
      <c r="C1075" s="325"/>
      <c r="D1075" s="325"/>
      <c r="E1075" s="325"/>
      <c r="F1075" s="325"/>
      <c r="G1075" s="325"/>
      <c r="H1075" s="325"/>
      <c r="I1075" s="325"/>
      <c r="J1075" s="325"/>
      <c r="K1075" s="325"/>
      <c r="L1075" s="325"/>
      <c r="M1075" s="325"/>
    </row>
    <row r="1076" spans="2:13">
      <c r="B1076" s="523"/>
      <c r="C1076" s="325"/>
      <c r="D1076" s="325"/>
      <c r="E1076" s="325"/>
      <c r="F1076" s="325"/>
      <c r="G1076" s="325"/>
      <c r="H1076" s="325"/>
      <c r="I1076" s="325"/>
      <c r="J1076" s="325"/>
      <c r="K1076" s="325"/>
      <c r="L1076" s="325"/>
      <c r="M1076" s="325"/>
    </row>
    <row r="1077" spans="2:13">
      <c r="B1077" s="523"/>
      <c r="C1077" s="325"/>
      <c r="D1077" s="325"/>
      <c r="E1077" s="325"/>
      <c r="F1077" s="325"/>
      <c r="G1077" s="325"/>
      <c r="H1077" s="325"/>
      <c r="I1077" s="325"/>
      <c r="J1077" s="325"/>
      <c r="K1077" s="325"/>
      <c r="L1077" s="325"/>
      <c r="M1077" s="325"/>
    </row>
    <row r="1078" spans="2:13">
      <c r="B1078" s="523"/>
      <c r="C1078" s="325"/>
      <c r="D1078" s="325"/>
      <c r="E1078" s="325"/>
      <c r="F1078" s="325"/>
      <c r="G1078" s="325"/>
      <c r="H1078" s="325"/>
      <c r="I1078" s="325"/>
      <c r="J1078" s="325"/>
      <c r="K1078" s="325"/>
      <c r="L1078" s="325"/>
      <c r="M1078" s="325"/>
    </row>
    <row r="1079" spans="2:13">
      <c r="B1079" s="523"/>
      <c r="C1079" s="325"/>
      <c r="D1079" s="325"/>
      <c r="E1079" s="325"/>
      <c r="F1079" s="325"/>
      <c r="G1079" s="325"/>
      <c r="H1079" s="325"/>
      <c r="I1079" s="325"/>
      <c r="J1079" s="325"/>
      <c r="K1079" s="325"/>
      <c r="L1079" s="325"/>
      <c r="M1079" s="325"/>
    </row>
    <row r="1080" spans="2:13">
      <c r="B1080" s="523"/>
      <c r="C1080" s="325"/>
      <c r="D1080" s="325"/>
      <c r="E1080" s="325"/>
      <c r="F1080" s="325"/>
      <c r="G1080" s="325"/>
      <c r="H1080" s="325"/>
      <c r="I1080" s="325"/>
      <c r="J1080" s="325"/>
      <c r="K1080" s="325"/>
      <c r="L1080" s="325"/>
      <c r="M1080" s="325"/>
    </row>
    <row r="1081" spans="2:13">
      <c r="B1081" s="523"/>
      <c r="C1081" s="325"/>
      <c r="D1081" s="325"/>
      <c r="E1081" s="325"/>
      <c r="F1081" s="325"/>
      <c r="G1081" s="325"/>
      <c r="H1081" s="325"/>
      <c r="I1081" s="325"/>
      <c r="J1081" s="325"/>
      <c r="K1081" s="325"/>
      <c r="L1081" s="325"/>
      <c r="M1081" s="325"/>
    </row>
    <row r="1082" spans="2:13">
      <c r="B1082" s="523"/>
      <c r="C1082" s="325"/>
      <c r="D1082" s="325"/>
      <c r="E1082" s="325"/>
      <c r="F1082" s="325"/>
      <c r="G1082" s="325"/>
      <c r="H1082" s="325"/>
      <c r="I1082" s="325"/>
      <c r="J1082" s="325"/>
      <c r="K1082" s="325"/>
      <c r="L1082" s="325"/>
      <c r="M1082" s="325"/>
    </row>
    <row r="1083" spans="2:13">
      <c r="B1083" s="523"/>
      <c r="C1083" s="325"/>
      <c r="D1083" s="325"/>
      <c r="E1083" s="325"/>
      <c r="F1083" s="325"/>
      <c r="G1083" s="325"/>
      <c r="H1083" s="325"/>
      <c r="I1083" s="325"/>
      <c r="J1083" s="325"/>
      <c r="K1083" s="325"/>
      <c r="L1083" s="325"/>
      <c r="M1083" s="325"/>
    </row>
    <row r="1084" spans="2:13">
      <c r="B1084" s="523"/>
      <c r="C1084" s="325"/>
      <c r="D1084" s="325"/>
      <c r="E1084" s="325"/>
      <c r="F1084" s="325"/>
      <c r="G1084" s="325"/>
      <c r="H1084" s="325"/>
      <c r="I1084" s="325"/>
      <c r="J1084" s="325"/>
      <c r="K1084" s="325"/>
      <c r="L1084" s="325"/>
      <c r="M1084" s="325"/>
    </row>
    <row r="1085" spans="2:13">
      <c r="B1085" s="523"/>
      <c r="C1085" s="325"/>
      <c r="D1085" s="325"/>
      <c r="E1085" s="325"/>
      <c r="F1085" s="325"/>
      <c r="G1085" s="325"/>
      <c r="H1085" s="325"/>
      <c r="I1085" s="325"/>
      <c r="J1085" s="325"/>
      <c r="K1085" s="325"/>
      <c r="L1085" s="325"/>
      <c r="M1085" s="325"/>
    </row>
    <row r="1086" spans="2:13">
      <c r="B1086" s="523"/>
      <c r="C1086" s="325"/>
      <c r="D1086" s="325"/>
      <c r="E1086" s="325"/>
      <c r="F1086" s="325"/>
      <c r="G1086" s="325"/>
      <c r="H1086" s="325"/>
      <c r="I1086" s="325"/>
      <c r="J1086" s="325"/>
      <c r="K1086" s="325"/>
      <c r="L1086" s="325"/>
      <c r="M1086" s="325"/>
    </row>
    <row r="1087" spans="2:13">
      <c r="B1087" s="523"/>
      <c r="C1087" s="325"/>
      <c r="D1087" s="325"/>
      <c r="E1087" s="325"/>
      <c r="F1087" s="325"/>
      <c r="G1087" s="325"/>
      <c r="H1087" s="325"/>
      <c r="I1087" s="325"/>
      <c r="J1087" s="325"/>
      <c r="K1087" s="325"/>
      <c r="L1087" s="325"/>
      <c r="M1087" s="325"/>
    </row>
    <row r="1088" spans="2:13">
      <c r="B1088" s="523"/>
      <c r="C1088" s="325"/>
      <c r="D1088" s="325"/>
      <c r="E1088" s="325"/>
      <c r="F1088" s="325"/>
      <c r="G1088" s="325"/>
      <c r="H1088" s="325"/>
      <c r="I1088" s="325"/>
      <c r="J1088" s="325"/>
      <c r="K1088" s="325"/>
      <c r="L1088" s="325"/>
      <c r="M1088" s="325"/>
    </row>
    <row r="1089" spans="2:13">
      <c r="B1089" s="523"/>
      <c r="C1089" s="325"/>
      <c r="D1089" s="325"/>
      <c r="E1089" s="325"/>
      <c r="F1089" s="325"/>
      <c r="G1089" s="325"/>
      <c r="H1089" s="325"/>
      <c r="I1089" s="325"/>
      <c r="J1089" s="325"/>
      <c r="K1089" s="325"/>
      <c r="L1089" s="325"/>
      <c r="M1089" s="325"/>
    </row>
    <row r="1090" spans="2:13">
      <c r="B1090" s="523"/>
      <c r="C1090" s="325"/>
      <c r="D1090" s="325"/>
      <c r="E1090" s="325"/>
      <c r="F1090" s="325"/>
      <c r="G1090" s="325"/>
      <c r="H1090" s="325"/>
      <c r="I1090" s="325"/>
      <c r="J1090" s="325"/>
      <c r="K1090" s="325"/>
      <c r="L1090" s="325"/>
      <c r="M1090" s="325"/>
    </row>
    <row r="1091" spans="2:13">
      <c r="B1091" s="523"/>
      <c r="C1091" s="325"/>
      <c r="D1091" s="325"/>
      <c r="E1091" s="325"/>
      <c r="F1091" s="325"/>
      <c r="G1091" s="325"/>
      <c r="H1091" s="325"/>
      <c r="I1091" s="325"/>
      <c r="J1091" s="325"/>
      <c r="K1091" s="325"/>
      <c r="L1091" s="325"/>
      <c r="M1091" s="325"/>
    </row>
    <row r="1092" spans="2:13">
      <c r="B1092" s="523"/>
      <c r="C1092" s="325"/>
      <c r="D1092" s="325"/>
      <c r="E1092" s="325"/>
      <c r="F1092" s="325"/>
      <c r="G1092" s="325"/>
      <c r="H1092" s="325"/>
      <c r="I1092" s="325"/>
      <c r="J1092" s="325"/>
      <c r="K1092" s="325"/>
      <c r="L1092" s="325"/>
      <c r="M1092" s="325"/>
    </row>
    <row r="1093" spans="2:13">
      <c r="B1093" s="523"/>
      <c r="C1093" s="325"/>
      <c r="D1093" s="325"/>
      <c r="E1093" s="325"/>
      <c r="F1093" s="325"/>
      <c r="G1093" s="325"/>
      <c r="H1093" s="325"/>
      <c r="I1093" s="325"/>
      <c r="J1093" s="325"/>
      <c r="K1093" s="325"/>
      <c r="L1093" s="325"/>
      <c r="M1093" s="325"/>
    </row>
    <row r="1094" spans="2:13">
      <c r="B1094" s="523"/>
      <c r="C1094" s="325"/>
      <c r="D1094" s="325"/>
      <c r="E1094" s="325"/>
      <c r="F1094" s="325"/>
      <c r="G1094" s="325"/>
      <c r="H1094" s="325"/>
      <c r="I1094" s="325"/>
      <c r="J1094" s="325"/>
      <c r="K1094" s="325"/>
      <c r="L1094" s="325"/>
      <c r="M1094" s="325"/>
    </row>
    <row r="1095" spans="2:13">
      <c r="B1095" s="523"/>
      <c r="C1095" s="325"/>
      <c r="D1095" s="325"/>
      <c r="E1095" s="325"/>
      <c r="F1095" s="325"/>
      <c r="G1095" s="325"/>
      <c r="H1095" s="325"/>
      <c r="I1095" s="325"/>
      <c r="J1095" s="325"/>
      <c r="K1095" s="325"/>
      <c r="L1095" s="325"/>
      <c r="M1095" s="325"/>
    </row>
    <row r="1096" spans="2:13">
      <c r="B1096" s="523"/>
      <c r="C1096" s="325"/>
      <c r="D1096" s="325"/>
      <c r="E1096" s="325"/>
      <c r="F1096" s="325"/>
      <c r="G1096" s="325"/>
      <c r="H1096" s="325"/>
      <c r="I1096" s="325"/>
      <c r="J1096" s="325"/>
      <c r="K1096" s="325"/>
      <c r="L1096" s="325"/>
      <c r="M1096" s="325"/>
    </row>
    <row r="1097" spans="2:13">
      <c r="B1097" s="523"/>
      <c r="C1097" s="325"/>
      <c r="D1097" s="325"/>
      <c r="E1097" s="325"/>
      <c r="F1097" s="325"/>
      <c r="G1097" s="325"/>
      <c r="H1097" s="325"/>
      <c r="I1097" s="325"/>
      <c r="J1097" s="325"/>
      <c r="K1097" s="325"/>
      <c r="L1097" s="325"/>
      <c r="M1097" s="325"/>
    </row>
    <row r="1098" spans="2:13">
      <c r="B1098" s="523"/>
      <c r="C1098" s="325"/>
      <c r="D1098" s="325"/>
      <c r="E1098" s="325"/>
      <c r="F1098" s="325"/>
      <c r="G1098" s="325"/>
      <c r="H1098" s="325"/>
      <c r="I1098" s="325"/>
      <c r="J1098" s="325"/>
      <c r="K1098" s="325"/>
      <c r="L1098" s="325"/>
      <c r="M1098" s="325"/>
    </row>
    <row r="1099" spans="2:13">
      <c r="B1099" s="523"/>
      <c r="C1099" s="325"/>
      <c r="D1099" s="325"/>
      <c r="E1099" s="325"/>
      <c r="F1099" s="325"/>
      <c r="G1099" s="325"/>
      <c r="H1099" s="325"/>
      <c r="I1099" s="325"/>
      <c r="J1099" s="325"/>
      <c r="K1099" s="325"/>
      <c r="L1099" s="325"/>
      <c r="M1099" s="325"/>
    </row>
    <row r="1100" spans="2:13">
      <c r="B1100" s="523"/>
      <c r="C1100" s="325"/>
      <c r="D1100" s="325"/>
      <c r="E1100" s="325"/>
      <c r="F1100" s="325"/>
      <c r="G1100" s="325"/>
      <c r="H1100" s="325"/>
      <c r="I1100" s="325"/>
      <c r="J1100" s="325"/>
      <c r="K1100" s="325"/>
      <c r="L1100" s="325"/>
      <c r="M1100" s="325"/>
    </row>
    <row r="1101" spans="2:13">
      <c r="B1101" s="523"/>
      <c r="C1101" s="325"/>
      <c r="D1101" s="325"/>
      <c r="E1101" s="325"/>
      <c r="F1101" s="325"/>
      <c r="G1101" s="325"/>
      <c r="H1101" s="325"/>
      <c r="I1101" s="325"/>
      <c r="J1101" s="325"/>
      <c r="K1101" s="325"/>
      <c r="L1101" s="325"/>
      <c r="M1101" s="325"/>
    </row>
    <row r="1102" spans="2:13">
      <c r="B1102" s="523"/>
      <c r="C1102" s="325"/>
      <c r="D1102" s="325"/>
      <c r="E1102" s="325"/>
      <c r="F1102" s="325"/>
      <c r="G1102" s="325"/>
      <c r="H1102" s="325"/>
      <c r="I1102" s="325"/>
      <c r="J1102" s="325"/>
      <c r="K1102" s="325"/>
      <c r="L1102" s="325"/>
      <c r="M1102" s="325"/>
    </row>
    <row r="1103" spans="2:13">
      <c r="B1103" s="523"/>
      <c r="C1103" s="325"/>
      <c r="D1103" s="325"/>
      <c r="E1103" s="325"/>
      <c r="F1103" s="325"/>
      <c r="G1103" s="325"/>
      <c r="H1103" s="325"/>
      <c r="I1103" s="325"/>
      <c r="J1103" s="325"/>
      <c r="K1103" s="325"/>
      <c r="L1103" s="325"/>
      <c r="M1103" s="325"/>
    </row>
    <row r="1104" spans="2:13">
      <c r="B1104" s="523"/>
      <c r="C1104" s="325"/>
      <c r="D1104" s="325"/>
      <c r="E1104" s="325"/>
      <c r="F1104" s="325"/>
      <c r="G1104" s="325"/>
      <c r="H1104" s="325"/>
      <c r="I1104" s="325"/>
      <c r="J1104" s="325"/>
      <c r="K1104" s="325"/>
      <c r="L1104" s="325"/>
      <c r="M1104" s="325"/>
    </row>
    <row r="1105" spans="2:13">
      <c r="B1105" s="523"/>
      <c r="C1105" s="325"/>
      <c r="D1105" s="325"/>
      <c r="E1105" s="325"/>
      <c r="F1105" s="325"/>
      <c r="G1105" s="325"/>
      <c r="H1105" s="325"/>
      <c r="I1105" s="325"/>
      <c r="J1105" s="325"/>
      <c r="K1105" s="325"/>
      <c r="L1105" s="325"/>
      <c r="M1105" s="325"/>
    </row>
    <row r="1106" spans="2:13">
      <c r="B1106" s="523"/>
      <c r="C1106" s="325"/>
      <c r="D1106" s="325"/>
      <c r="E1106" s="325"/>
      <c r="F1106" s="325"/>
      <c r="G1106" s="325"/>
      <c r="H1106" s="325"/>
      <c r="I1106" s="325"/>
      <c r="J1106" s="325"/>
      <c r="K1106" s="325"/>
      <c r="L1106" s="325"/>
      <c r="M1106" s="325"/>
    </row>
    <row r="1107" spans="2:13">
      <c r="B1107" s="523"/>
      <c r="C1107" s="325"/>
      <c r="D1107" s="325"/>
      <c r="E1107" s="325"/>
      <c r="F1107" s="325"/>
      <c r="G1107" s="325"/>
      <c r="H1107" s="325"/>
      <c r="I1107" s="325"/>
      <c r="J1107" s="325"/>
      <c r="K1107" s="325"/>
      <c r="L1107" s="325"/>
      <c r="M1107" s="325"/>
    </row>
    <row r="1108" spans="2:13">
      <c r="B1108" s="523"/>
      <c r="C1108" s="325"/>
      <c r="D1108" s="325"/>
      <c r="E1108" s="325"/>
      <c r="F1108" s="325"/>
      <c r="G1108" s="325"/>
      <c r="H1108" s="325"/>
      <c r="I1108" s="325"/>
      <c r="J1108" s="325"/>
      <c r="K1108" s="325"/>
      <c r="L1108" s="325"/>
      <c r="M1108" s="325"/>
    </row>
    <row r="1109" spans="2:13">
      <c r="B1109" s="523"/>
      <c r="C1109" s="325"/>
      <c r="D1109" s="325"/>
      <c r="E1109" s="325"/>
      <c r="F1109" s="325"/>
      <c r="G1109" s="325"/>
      <c r="H1109" s="325"/>
      <c r="I1109" s="325"/>
      <c r="J1109" s="325"/>
      <c r="K1109" s="325"/>
      <c r="L1109" s="325"/>
      <c r="M1109" s="325"/>
    </row>
    <row r="1110" spans="2:13">
      <c r="B1110" s="523"/>
      <c r="C1110" s="325"/>
      <c r="D1110" s="325"/>
      <c r="E1110" s="325"/>
      <c r="F1110" s="325"/>
      <c r="G1110" s="325"/>
      <c r="H1110" s="325"/>
      <c r="I1110" s="325"/>
      <c r="J1110" s="325"/>
      <c r="K1110" s="325"/>
      <c r="L1110" s="325"/>
      <c r="M1110" s="325"/>
    </row>
    <row r="1111" spans="2:13">
      <c r="B1111" s="523"/>
      <c r="C1111" s="325"/>
      <c r="D1111" s="325"/>
      <c r="E1111" s="325"/>
      <c r="F1111" s="325"/>
      <c r="G1111" s="325"/>
      <c r="H1111" s="325"/>
      <c r="I1111" s="325"/>
      <c r="J1111" s="325"/>
      <c r="K1111" s="325"/>
      <c r="L1111" s="325"/>
      <c r="M1111" s="325"/>
    </row>
    <row r="1112" spans="2:13">
      <c r="B1112" s="523"/>
      <c r="C1112" s="325"/>
      <c r="D1112" s="325"/>
      <c r="E1112" s="325"/>
      <c r="F1112" s="325"/>
      <c r="G1112" s="325"/>
      <c r="H1112" s="325"/>
      <c r="I1112" s="325"/>
      <c r="J1112" s="325"/>
      <c r="K1112" s="325"/>
      <c r="L1112" s="325"/>
      <c r="M1112" s="325"/>
    </row>
    <row r="1113" spans="2:13">
      <c r="B1113" s="523"/>
      <c r="C1113" s="325"/>
      <c r="D1113" s="325"/>
      <c r="E1113" s="325"/>
      <c r="F1113" s="325"/>
      <c r="G1113" s="325"/>
      <c r="H1113" s="325"/>
      <c r="I1113" s="325"/>
      <c r="J1113" s="325"/>
      <c r="K1113" s="325"/>
      <c r="L1113" s="325"/>
      <c r="M1113" s="325"/>
    </row>
    <row r="1114" spans="2:13">
      <c r="B1114" s="523"/>
      <c r="C1114" s="325"/>
      <c r="D1114" s="325"/>
      <c r="E1114" s="325"/>
      <c r="F1114" s="325"/>
      <c r="G1114" s="325"/>
      <c r="H1114" s="325"/>
      <c r="I1114" s="325"/>
      <c r="J1114" s="325"/>
      <c r="K1114" s="325"/>
      <c r="L1114" s="325"/>
      <c r="M1114" s="325"/>
    </row>
    <row r="1115" spans="2:13">
      <c r="B1115" s="523"/>
      <c r="C1115" s="325"/>
      <c r="D1115" s="325"/>
      <c r="E1115" s="325"/>
      <c r="F1115" s="325"/>
      <c r="G1115" s="325"/>
      <c r="H1115" s="325"/>
      <c r="I1115" s="325"/>
      <c r="J1115" s="325"/>
      <c r="K1115" s="325"/>
      <c r="L1115" s="325"/>
      <c r="M1115" s="325"/>
    </row>
    <row r="1116" spans="2:13">
      <c r="B1116" s="523"/>
      <c r="C1116" s="325"/>
      <c r="D1116" s="325"/>
      <c r="E1116" s="325"/>
      <c r="F1116" s="325"/>
      <c r="G1116" s="325"/>
      <c r="H1116" s="325"/>
      <c r="I1116" s="325"/>
      <c r="J1116" s="325"/>
      <c r="K1116" s="325"/>
      <c r="L1116" s="325"/>
      <c r="M1116" s="325"/>
    </row>
    <row r="1117" spans="2:13">
      <c r="B1117" s="523"/>
      <c r="C1117" s="325"/>
      <c r="D1117" s="325"/>
      <c r="E1117" s="325"/>
      <c r="F1117" s="325"/>
      <c r="G1117" s="325"/>
      <c r="H1117" s="325"/>
      <c r="I1117" s="325"/>
      <c r="J1117" s="325"/>
      <c r="K1117" s="325"/>
      <c r="L1117" s="325"/>
      <c r="M1117" s="325"/>
    </row>
    <row r="1118" spans="2:13">
      <c r="B1118" s="523"/>
      <c r="C1118" s="325"/>
      <c r="D1118" s="325"/>
      <c r="E1118" s="325"/>
      <c r="F1118" s="325"/>
      <c r="G1118" s="325"/>
      <c r="H1118" s="325"/>
      <c r="I1118" s="325"/>
      <c r="J1118" s="325"/>
      <c r="K1118" s="325"/>
      <c r="L1118" s="325"/>
      <c r="M1118" s="325"/>
    </row>
    <row r="1119" spans="2:13">
      <c r="B1119" s="523"/>
      <c r="C1119" s="325"/>
      <c r="D1119" s="325"/>
      <c r="E1119" s="325"/>
      <c r="F1119" s="325"/>
      <c r="G1119" s="325"/>
      <c r="H1119" s="325"/>
      <c r="I1119" s="325"/>
      <c r="J1119" s="325"/>
      <c r="K1119" s="325"/>
      <c r="L1119" s="325"/>
      <c r="M1119" s="325"/>
    </row>
    <row r="1120" spans="2:13">
      <c r="B1120" s="523"/>
      <c r="C1120" s="325"/>
      <c r="D1120" s="325"/>
      <c r="E1120" s="325"/>
      <c r="F1120" s="325"/>
      <c r="G1120" s="325"/>
      <c r="H1120" s="325"/>
      <c r="I1120" s="325"/>
      <c r="J1120" s="325"/>
      <c r="K1120" s="325"/>
      <c r="L1120" s="325"/>
      <c r="M1120" s="325"/>
    </row>
    <row r="1121" spans="2:13">
      <c r="B1121" s="523"/>
      <c r="C1121" s="325"/>
      <c r="D1121" s="325"/>
      <c r="E1121" s="325"/>
      <c r="F1121" s="325"/>
      <c r="G1121" s="325"/>
      <c r="H1121" s="325"/>
      <c r="I1121" s="325"/>
      <c r="J1121" s="325"/>
      <c r="K1121" s="325"/>
      <c r="L1121" s="325"/>
      <c r="M1121" s="325"/>
    </row>
    <row r="1122" spans="2:13">
      <c r="B1122" s="523"/>
      <c r="C1122" s="325"/>
      <c r="D1122" s="325"/>
      <c r="E1122" s="325"/>
      <c r="F1122" s="325"/>
      <c r="G1122" s="325"/>
      <c r="H1122" s="325"/>
      <c r="I1122" s="325"/>
      <c r="J1122" s="325"/>
      <c r="K1122" s="325"/>
      <c r="L1122" s="325"/>
      <c r="M1122" s="325"/>
    </row>
    <row r="1123" spans="2:13">
      <c r="B1123" s="523"/>
      <c r="C1123" s="325"/>
      <c r="D1123" s="325"/>
      <c r="E1123" s="325"/>
      <c r="F1123" s="325"/>
      <c r="G1123" s="325"/>
      <c r="H1123" s="325"/>
      <c r="I1123" s="325"/>
      <c r="J1123" s="325"/>
      <c r="K1123" s="325"/>
      <c r="L1123" s="325"/>
      <c r="M1123" s="325"/>
    </row>
    <row r="1124" spans="2:13">
      <c r="B1124" s="523"/>
      <c r="C1124" s="325"/>
      <c r="D1124" s="325"/>
      <c r="E1124" s="325"/>
      <c r="F1124" s="325"/>
      <c r="G1124" s="325"/>
      <c r="H1124" s="325"/>
      <c r="I1124" s="325"/>
      <c r="J1124" s="325"/>
      <c r="K1124" s="325"/>
      <c r="L1124" s="325"/>
      <c r="M1124" s="325"/>
    </row>
    <row r="1125" spans="2:13">
      <c r="B1125" s="523"/>
      <c r="C1125" s="325"/>
      <c r="D1125" s="325"/>
      <c r="E1125" s="325"/>
      <c r="F1125" s="325"/>
      <c r="G1125" s="325"/>
      <c r="H1125" s="325"/>
      <c r="I1125" s="325"/>
      <c r="J1125" s="325"/>
      <c r="K1125" s="325"/>
      <c r="L1125" s="325"/>
      <c r="M1125" s="325"/>
    </row>
    <row r="1126" spans="2:13">
      <c r="B1126" s="523"/>
      <c r="C1126" s="325"/>
      <c r="D1126" s="325"/>
      <c r="E1126" s="325"/>
      <c r="F1126" s="325"/>
      <c r="G1126" s="325"/>
      <c r="H1126" s="325"/>
      <c r="I1126" s="325"/>
      <c r="J1126" s="325"/>
      <c r="K1126" s="325"/>
      <c r="L1126" s="325"/>
      <c r="M1126" s="325"/>
    </row>
    <row r="1127" spans="2:13">
      <c r="B1127" s="523"/>
      <c r="C1127" s="325"/>
      <c r="D1127" s="325"/>
      <c r="E1127" s="325"/>
      <c r="F1127" s="325"/>
      <c r="G1127" s="325"/>
      <c r="H1127" s="325"/>
      <c r="I1127" s="325"/>
      <c r="J1127" s="325"/>
      <c r="K1127" s="325"/>
      <c r="L1127" s="325"/>
      <c r="M1127" s="325"/>
    </row>
    <row r="1128" spans="2:13">
      <c r="B1128" s="523"/>
      <c r="C1128" s="325"/>
      <c r="D1128" s="325"/>
      <c r="E1128" s="325"/>
      <c r="F1128" s="325"/>
      <c r="G1128" s="325"/>
      <c r="H1128" s="325"/>
      <c r="I1128" s="325"/>
      <c r="J1128" s="325"/>
      <c r="K1128" s="325"/>
      <c r="L1128" s="325"/>
      <c r="M1128" s="325"/>
    </row>
    <row r="1129" spans="2:13">
      <c r="B1129" s="523"/>
      <c r="C1129" s="325"/>
      <c r="D1129" s="325"/>
      <c r="E1129" s="325"/>
      <c r="F1129" s="325"/>
      <c r="G1129" s="325"/>
      <c r="H1129" s="325"/>
      <c r="I1129" s="325"/>
      <c r="J1129" s="325"/>
      <c r="K1129" s="325"/>
      <c r="L1129" s="325"/>
      <c r="M1129" s="325"/>
    </row>
    <row r="1130" spans="2:13">
      <c r="B1130" s="523"/>
      <c r="C1130" s="325"/>
      <c r="D1130" s="325"/>
      <c r="E1130" s="325"/>
      <c r="F1130" s="325"/>
      <c r="G1130" s="325"/>
      <c r="H1130" s="325"/>
      <c r="I1130" s="325"/>
      <c r="J1130" s="325"/>
      <c r="K1130" s="325"/>
      <c r="L1130" s="325"/>
      <c r="M1130" s="325"/>
    </row>
    <row r="1131" spans="2:13">
      <c r="B1131" s="523"/>
      <c r="C1131" s="325"/>
      <c r="D1131" s="325"/>
      <c r="E1131" s="325"/>
      <c r="F1131" s="325"/>
      <c r="G1131" s="325"/>
      <c r="H1131" s="325"/>
      <c r="I1131" s="325"/>
      <c r="J1131" s="325"/>
      <c r="K1131" s="325"/>
      <c r="L1131" s="325"/>
      <c r="M1131" s="325"/>
    </row>
    <row r="1132" spans="2:13">
      <c r="B1132" s="523"/>
      <c r="C1132" s="325"/>
      <c r="D1132" s="325"/>
      <c r="E1132" s="325"/>
      <c r="F1132" s="325"/>
      <c r="G1132" s="325"/>
      <c r="H1132" s="325"/>
      <c r="I1132" s="325"/>
      <c r="J1132" s="325"/>
      <c r="K1132" s="325"/>
      <c r="L1132" s="325"/>
      <c r="M1132" s="325"/>
    </row>
    <row r="1133" spans="2:13">
      <c r="B1133" s="523"/>
      <c r="C1133" s="325"/>
      <c r="D1133" s="325"/>
      <c r="E1133" s="325"/>
      <c r="F1133" s="325"/>
      <c r="G1133" s="325"/>
      <c r="H1133" s="325"/>
      <c r="I1133" s="325"/>
      <c r="J1133" s="325"/>
      <c r="K1133" s="325"/>
      <c r="L1133" s="325"/>
      <c r="M1133" s="325"/>
    </row>
    <row r="1134" spans="2:13">
      <c r="B1134" s="523"/>
      <c r="C1134" s="325"/>
      <c r="D1134" s="325"/>
      <c r="E1134" s="325"/>
      <c r="F1134" s="325"/>
      <c r="G1134" s="325"/>
      <c r="H1134" s="325"/>
      <c r="I1134" s="325"/>
      <c r="J1134" s="325"/>
      <c r="K1134" s="325"/>
      <c r="L1134" s="325"/>
      <c r="M1134" s="325"/>
    </row>
    <row r="1135" spans="2:13">
      <c r="B1135" s="523"/>
      <c r="C1135" s="325"/>
      <c r="D1135" s="325"/>
      <c r="E1135" s="325"/>
      <c r="F1135" s="325"/>
      <c r="G1135" s="325"/>
      <c r="H1135" s="325"/>
      <c r="I1135" s="325"/>
      <c r="J1135" s="325"/>
      <c r="K1135" s="325"/>
      <c r="L1135" s="325"/>
      <c r="M1135" s="325"/>
    </row>
    <row r="1136" spans="2:13">
      <c r="B1136" s="523"/>
      <c r="C1136" s="325"/>
      <c r="D1136" s="325"/>
      <c r="E1136" s="325"/>
      <c r="F1136" s="325"/>
      <c r="G1136" s="325"/>
      <c r="H1136" s="325"/>
      <c r="I1136" s="325"/>
      <c r="J1136" s="325"/>
      <c r="K1136" s="325"/>
      <c r="L1136" s="325"/>
      <c r="M1136" s="325"/>
    </row>
    <row r="1137" spans="2:13">
      <c r="B1137" s="523"/>
      <c r="C1137" s="325"/>
      <c r="D1137" s="325"/>
      <c r="E1137" s="325"/>
      <c r="F1137" s="325"/>
      <c r="G1137" s="325"/>
      <c r="H1137" s="325"/>
      <c r="I1137" s="325"/>
      <c r="J1137" s="325"/>
      <c r="K1137" s="325"/>
      <c r="L1137" s="325"/>
      <c r="M1137" s="325"/>
    </row>
    <row r="1138" spans="2:13">
      <c r="B1138" s="523"/>
      <c r="C1138" s="325"/>
      <c r="D1138" s="325"/>
      <c r="E1138" s="325"/>
      <c r="F1138" s="325"/>
      <c r="G1138" s="325"/>
      <c r="H1138" s="325"/>
      <c r="I1138" s="325"/>
      <c r="J1138" s="325"/>
      <c r="K1138" s="325"/>
      <c r="L1138" s="325"/>
      <c r="M1138" s="325"/>
    </row>
    <row r="1139" spans="2:13">
      <c r="B1139" s="523"/>
      <c r="C1139" s="325"/>
      <c r="D1139" s="325"/>
      <c r="E1139" s="325"/>
      <c r="F1139" s="325"/>
      <c r="G1139" s="325"/>
      <c r="H1139" s="325"/>
      <c r="I1139" s="325"/>
      <c r="J1139" s="325"/>
      <c r="K1139" s="325"/>
      <c r="L1139" s="325"/>
      <c r="M1139" s="325"/>
    </row>
    <row r="1140" spans="2:13">
      <c r="B1140" s="523"/>
      <c r="C1140" s="325"/>
      <c r="D1140" s="325"/>
      <c r="E1140" s="325"/>
      <c r="F1140" s="325"/>
      <c r="G1140" s="325"/>
      <c r="H1140" s="325"/>
      <c r="I1140" s="325"/>
      <c r="J1140" s="325"/>
      <c r="K1140" s="325"/>
      <c r="L1140" s="325"/>
      <c r="M1140" s="325"/>
    </row>
    <row r="1141" spans="2:13">
      <c r="B1141" s="523"/>
      <c r="C1141" s="325"/>
      <c r="D1141" s="325"/>
      <c r="E1141" s="325"/>
      <c r="F1141" s="325"/>
      <c r="G1141" s="325"/>
      <c r="H1141" s="325"/>
      <c r="I1141" s="325"/>
      <c r="J1141" s="325"/>
      <c r="K1141" s="325"/>
      <c r="L1141" s="325"/>
      <c r="M1141" s="325"/>
    </row>
    <row r="1142" spans="2:13">
      <c r="B1142" s="523"/>
      <c r="C1142" s="325"/>
      <c r="D1142" s="325"/>
      <c r="E1142" s="325"/>
      <c r="F1142" s="325"/>
      <c r="G1142" s="325"/>
      <c r="H1142" s="325"/>
      <c r="I1142" s="325"/>
      <c r="J1142" s="325"/>
      <c r="K1142" s="325"/>
      <c r="L1142" s="325"/>
      <c r="M1142" s="325"/>
    </row>
    <row r="1143" spans="2:13">
      <c r="B1143" s="523"/>
      <c r="C1143" s="325"/>
      <c r="D1143" s="325"/>
      <c r="E1143" s="325"/>
      <c r="F1143" s="325"/>
      <c r="G1143" s="325"/>
      <c r="H1143" s="325"/>
      <c r="I1143" s="325"/>
      <c r="J1143" s="325"/>
      <c r="K1143" s="325"/>
      <c r="L1143" s="325"/>
      <c r="M1143" s="325"/>
    </row>
    <row r="1144" spans="2:13">
      <c r="B1144" s="523"/>
      <c r="C1144" s="325"/>
      <c r="D1144" s="325"/>
      <c r="E1144" s="325"/>
      <c r="F1144" s="325"/>
      <c r="G1144" s="325"/>
      <c r="H1144" s="325"/>
      <c r="I1144" s="325"/>
      <c r="J1144" s="325"/>
      <c r="K1144" s="325"/>
      <c r="L1144" s="325"/>
      <c r="M1144" s="325"/>
    </row>
    <row r="1145" spans="2:13">
      <c r="B1145" s="523"/>
      <c r="C1145" s="325"/>
      <c r="D1145" s="325"/>
      <c r="E1145" s="325"/>
      <c r="F1145" s="325"/>
      <c r="G1145" s="325"/>
      <c r="H1145" s="325"/>
      <c r="I1145" s="325"/>
      <c r="J1145" s="325"/>
      <c r="K1145" s="325"/>
      <c r="L1145" s="325"/>
      <c r="M1145" s="325"/>
    </row>
    <row r="1146" spans="2:13">
      <c r="B1146" s="523"/>
      <c r="C1146" s="325"/>
      <c r="D1146" s="325"/>
      <c r="E1146" s="325"/>
      <c r="F1146" s="325"/>
      <c r="G1146" s="325"/>
      <c r="H1146" s="325"/>
      <c r="I1146" s="325"/>
      <c r="J1146" s="325"/>
      <c r="K1146" s="325"/>
      <c r="L1146" s="325"/>
      <c r="M1146" s="325"/>
    </row>
    <row r="1147" spans="2:13">
      <c r="B1147" s="523"/>
      <c r="C1147" s="325"/>
      <c r="D1147" s="325"/>
      <c r="E1147" s="325"/>
      <c r="F1147" s="325"/>
      <c r="G1147" s="325"/>
      <c r="H1147" s="325"/>
      <c r="I1147" s="325"/>
      <c r="J1147" s="325"/>
      <c r="K1147" s="325"/>
      <c r="L1147" s="325"/>
      <c r="M1147" s="325"/>
    </row>
    <row r="1148" spans="2:13">
      <c r="B1148" s="523"/>
      <c r="C1148" s="325"/>
      <c r="D1148" s="325"/>
      <c r="E1148" s="325"/>
      <c r="F1148" s="325"/>
      <c r="G1148" s="325"/>
      <c r="H1148" s="325"/>
      <c r="I1148" s="325"/>
      <c r="J1148" s="325"/>
      <c r="K1148" s="325"/>
      <c r="L1148" s="325"/>
      <c r="M1148" s="325"/>
    </row>
    <row r="1149" spans="2:13">
      <c r="B1149" s="523"/>
      <c r="C1149" s="325"/>
      <c r="D1149" s="325"/>
      <c r="E1149" s="325"/>
      <c r="F1149" s="325"/>
      <c r="G1149" s="325"/>
      <c r="H1149" s="325"/>
      <c r="I1149" s="325"/>
      <c r="J1149" s="325"/>
      <c r="K1149" s="325"/>
      <c r="L1149" s="325"/>
      <c r="M1149" s="325"/>
    </row>
    <row r="1150" spans="2:13">
      <c r="B1150" s="523"/>
      <c r="C1150" s="325"/>
      <c r="D1150" s="325"/>
      <c r="E1150" s="325"/>
      <c r="F1150" s="325"/>
      <c r="G1150" s="325"/>
      <c r="H1150" s="325"/>
      <c r="I1150" s="325"/>
      <c r="J1150" s="325"/>
      <c r="K1150" s="325"/>
      <c r="L1150" s="325"/>
      <c r="M1150" s="325"/>
    </row>
    <row r="1151" spans="2:13">
      <c r="B1151" s="523"/>
      <c r="C1151" s="325"/>
      <c r="D1151" s="325"/>
      <c r="E1151" s="325"/>
      <c r="F1151" s="325"/>
      <c r="G1151" s="325"/>
      <c r="H1151" s="325"/>
      <c r="I1151" s="325"/>
      <c r="J1151" s="325"/>
      <c r="K1151" s="325"/>
      <c r="L1151" s="325"/>
      <c r="M1151" s="325"/>
    </row>
    <row r="1152" spans="2:13">
      <c r="B1152" s="523"/>
      <c r="C1152" s="325"/>
      <c r="D1152" s="325"/>
      <c r="E1152" s="325"/>
      <c r="F1152" s="325"/>
      <c r="G1152" s="325"/>
      <c r="H1152" s="325"/>
      <c r="I1152" s="325"/>
      <c r="J1152" s="325"/>
      <c r="K1152" s="325"/>
      <c r="L1152" s="325"/>
      <c r="M1152" s="325"/>
    </row>
    <row r="1153" spans="2:13">
      <c r="B1153" s="523"/>
      <c r="C1153" s="325"/>
      <c r="D1153" s="325"/>
      <c r="E1153" s="325"/>
      <c r="F1153" s="325"/>
      <c r="G1153" s="325"/>
      <c r="H1153" s="325"/>
      <c r="I1153" s="325"/>
      <c r="J1153" s="325"/>
      <c r="K1153" s="325"/>
      <c r="L1153" s="325"/>
      <c r="M1153" s="325"/>
    </row>
    <row r="1154" spans="2:13">
      <c r="B1154" s="523"/>
      <c r="C1154" s="325"/>
      <c r="D1154" s="325"/>
      <c r="E1154" s="325"/>
      <c r="F1154" s="325"/>
      <c r="G1154" s="325"/>
      <c r="H1154" s="325"/>
      <c r="I1154" s="325"/>
      <c r="J1154" s="325"/>
      <c r="K1154" s="325"/>
      <c r="L1154" s="325"/>
      <c r="M1154" s="325"/>
    </row>
    <row r="1155" spans="2:13">
      <c r="B1155" s="523"/>
      <c r="C1155" s="325"/>
      <c r="D1155" s="325"/>
      <c r="E1155" s="325"/>
      <c r="F1155" s="325"/>
      <c r="G1155" s="325"/>
      <c r="H1155" s="325"/>
      <c r="I1155" s="325"/>
      <c r="J1155" s="325"/>
      <c r="K1155" s="325"/>
      <c r="L1155" s="325"/>
      <c r="M1155" s="325"/>
    </row>
    <row r="1156" spans="2:13">
      <c r="B1156" s="523"/>
      <c r="C1156" s="325"/>
      <c r="D1156" s="325"/>
      <c r="E1156" s="325"/>
      <c r="F1156" s="325"/>
      <c r="G1156" s="325"/>
      <c r="H1156" s="325"/>
      <c r="I1156" s="325"/>
      <c r="J1156" s="325"/>
      <c r="K1156" s="325"/>
      <c r="L1156" s="325"/>
      <c r="M1156" s="325"/>
    </row>
    <row r="1157" spans="2:13">
      <c r="B1157" s="523"/>
      <c r="C1157" s="325"/>
      <c r="D1157" s="325"/>
      <c r="E1157" s="325"/>
      <c r="F1157" s="325"/>
      <c r="G1157" s="325"/>
      <c r="H1157" s="325"/>
      <c r="I1157" s="325"/>
      <c r="J1157" s="325"/>
      <c r="K1157" s="325"/>
      <c r="L1157" s="325"/>
      <c r="M1157" s="325"/>
    </row>
    <row r="1158" spans="2:13">
      <c r="B1158" s="523"/>
      <c r="C1158" s="325"/>
      <c r="D1158" s="325"/>
      <c r="E1158" s="325"/>
      <c r="F1158" s="325"/>
      <c r="G1158" s="325"/>
      <c r="H1158" s="325"/>
      <c r="I1158" s="325"/>
      <c r="J1158" s="325"/>
      <c r="K1158" s="325"/>
      <c r="L1158" s="325"/>
      <c r="M1158" s="325"/>
    </row>
    <row r="1159" spans="2:13">
      <c r="B1159" s="523"/>
      <c r="C1159" s="325"/>
      <c r="D1159" s="325"/>
      <c r="E1159" s="325"/>
      <c r="F1159" s="325"/>
      <c r="G1159" s="325"/>
      <c r="H1159" s="325"/>
      <c r="I1159" s="325"/>
      <c r="J1159" s="325"/>
      <c r="K1159" s="325"/>
      <c r="L1159" s="325"/>
      <c r="M1159" s="325"/>
    </row>
    <row r="1160" spans="2:13">
      <c r="B1160" s="523"/>
      <c r="C1160" s="325"/>
      <c r="D1160" s="325"/>
      <c r="E1160" s="325"/>
      <c r="F1160" s="325"/>
      <c r="G1160" s="325"/>
      <c r="H1160" s="325"/>
      <c r="I1160" s="325"/>
      <c r="J1160" s="325"/>
      <c r="K1160" s="325"/>
      <c r="L1160" s="325"/>
      <c r="M1160" s="325"/>
    </row>
    <row r="1161" spans="2:13">
      <c r="B1161" s="523"/>
      <c r="C1161" s="325"/>
      <c r="D1161" s="325"/>
      <c r="E1161" s="325"/>
      <c r="F1161" s="325"/>
      <c r="G1161" s="325"/>
      <c r="H1161" s="325"/>
      <c r="I1161" s="325"/>
      <c r="J1161" s="325"/>
      <c r="K1161" s="325"/>
      <c r="L1161" s="325"/>
      <c r="M1161" s="325"/>
    </row>
    <row r="1162" spans="2:13">
      <c r="B1162" s="523"/>
      <c r="C1162" s="325"/>
      <c r="D1162" s="325"/>
      <c r="E1162" s="325"/>
      <c r="F1162" s="325"/>
      <c r="G1162" s="325"/>
      <c r="H1162" s="325"/>
      <c r="I1162" s="325"/>
      <c r="J1162" s="325"/>
      <c r="K1162" s="325"/>
      <c r="L1162" s="325"/>
      <c r="M1162" s="325"/>
    </row>
    <row r="1163" spans="2:13">
      <c r="B1163" s="523"/>
      <c r="C1163" s="325"/>
      <c r="D1163" s="325"/>
      <c r="E1163" s="325"/>
      <c r="F1163" s="325"/>
      <c r="G1163" s="325"/>
      <c r="H1163" s="325"/>
      <c r="I1163" s="325"/>
      <c r="J1163" s="325"/>
      <c r="K1163" s="325"/>
      <c r="L1163" s="325"/>
      <c r="M1163" s="325"/>
    </row>
    <row r="1164" spans="2:13">
      <c r="B1164" s="523"/>
      <c r="C1164" s="325"/>
      <c r="D1164" s="325"/>
      <c r="E1164" s="325"/>
      <c r="F1164" s="325"/>
      <c r="G1164" s="325"/>
      <c r="H1164" s="325"/>
      <c r="I1164" s="325"/>
      <c r="J1164" s="325"/>
      <c r="K1164" s="325"/>
      <c r="L1164" s="325"/>
      <c r="M1164" s="325"/>
    </row>
    <row r="1165" spans="2:13">
      <c r="B1165" s="523"/>
      <c r="C1165" s="325"/>
      <c r="D1165" s="325"/>
      <c r="E1165" s="325"/>
      <c r="F1165" s="325"/>
      <c r="G1165" s="325"/>
      <c r="H1165" s="325"/>
      <c r="I1165" s="325"/>
      <c r="J1165" s="325"/>
      <c r="K1165" s="325"/>
      <c r="L1165" s="325"/>
      <c r="M1165" s="325"/>
    </row>
    <row r="1166" spans="2:13">
      <c r="B1166" s="523"/>
      <c r="C1166" s="325"/>
      <c r="D1166" s="325"/>
      <c r="E1166" s="325"/>
      <c r="F1166" s="325"/>
      <c r="G1166" s="325"/>
      <c r="H1166" s="325"/>
      <c r="I1166" s="325"/>
      <c r="J1166" s="325"/>
      <c r="K1166" s="325"/>
      <c r="L1166" s="325"/>
      <c r="M1166" s="325"/>
    </row>
    <row r="1167" spans="2:13">
      <c r="B1167" s="523"/>
      <c r="C1167" s="325"/>
      <c r="D1167" s="325"/>
      <c r="E1167" s="325"/>
      <c r="F1167" s="325"/>
      <c r="G1167" s="325"/>
      <c r="H1167" s="325"/>
      <c r="I1167" s="325"/>
      <c r="J1167" s="325"/>
      <c r="K1167" s="325"/>
      <c r="L1167" s="325"/>
      <c r="M1167" s="325"/>
    </row>
    <row r="1168" spans="2:13">
      <c r="B1168" s="523"/>
      <c r="C1168" s="325"/>
      <c r="D1168" s="325"/>
      <c r="E1168" s="325"/>
      <c r="F1168" s="325"/>
      <c r="G1168" s="325"/>
      <c r="H1168" s="325"/>
      <c r="I1168" s="325"/>
      <c r="J1168" s="325"/>
      <c r="K1168" s="325"/>
      <c r="L1168" s="325"/>
      <c r="M1168" s="325"/>
    </row>
    <row r="1169" spans="2:13">
      <c r="B1169" s="523"/>
      <c r="C1169" s="325"/>
      <c r="D1169" s="325"/>
      <c r="E1169" s="325"/>
      <c r="F1169" s="325"/>
      <c r="G1169" s="325"/>
      <c r="H1169" s="325"/>
      <c r="I1169" s="325"/>
      <c r="J1169" s="325"/>
      <c r="K1169" s="325"/>
      <c r="L1169" s="325"/>
      <c r="M1169" s="325"/>
    </row>
    <row r="1170" spans="2:13">
      <c r="B1170" s="523"/>
      <c r="C1170" s="325"/>
      <c r="D1170" s="325"/>
      <c r="E1170" s="325"/>
      <c r="F1170" s="325"/>
      <c r="G1170" s="325"/>
      <c r="H1170" s="325"/>
      <c r="I1170" s="325"/>
      <c r="J1170" s="325"/>
      <c r="K1170" s="325"/>
      <c r="L1170" s="325"/>
      <c r="M1170" s="325"/>
    </row>
    <row r="1171" spans="2:13">
      <c r="B1171" s="523"/>
      <c r="C1171" s="325"/>
      <c r="D1171" s="325"/>
      <c r="E1171" s="325"/>
      <c r="F1171" s="325"/>
      <c r="G1171" s="325"/>
      <c r="H1171" s="325"/>
      <c r="I1171" s="325"/>
      <c r="J1171" s="325"/>
      <c r="K1171" s="325"/>
      <c r="L1171" s="325"/>
      <c r="M1171" s="325"/>
    </row>
    <row r="1172" spans="2:13">
      <c r="B1172" s="523"/>
      <c r="C1172" s="325"/>
      <c r="D1172" s="325"/>
      <c r="E1172" s="325"/>
      <c r="F1172" s="325"/>
      <c r="G1172" s="325"/>
      <c r="H1172" s="325"/>
      <c r="I1172" s="325"/>
      <c r="J1172" s="325"/>
      <c r="K1172" s="325"/>
      <c r="L1172" s="325"/>
      <c r="M1172" s="325"/>
    </row>
    <row r="1173" spans="2:13">
      <c r="B1173" s="523"/>
      <c r="C1173" s="325"/>
      <c r="D1173" s="325"/>
      <c r="E1173" s="325"/>
      <c r="F1173" s="325"/>
      <c r="G1173" s="325"/>
      <c r="H1173" s="325"/>
      <c r="I1173" s="325"/>
      <c r="J1173" s="325"/>
      <c r="K1173" s="325"/>
      <c r="L1173" s="325"/>
      <c r="M1173" s="325"/>
    </row>
    <row r="1174" spans="2:13">
      <c r="B1174" s="523"/>
      <c r="C1174" s="325"/>
      <c r="D1174" s="325"/>
      <c r="E1174" s="325"/>
      <c r="F1174" s="325"/>
      <c r="G1174" s="325"/>
      <c r="H1174" s="325"/>
      <c r="I1174" s="325"/>
      <c r="J1174" s="325"/>
      <c r="K1174" s="325"/>
      <c r="L1174" s="325"/>
      <c r="M1174" s="325"/>
    </row>
    <row r="1175" spans="2:13">
      <c r="B1175" s="523"/>
      <c r="C1175" s="325"/>
      <c r="D1175" s="325"/>
      <c r="E1175" s="325"/>
      <c r="F1175" s="325"/>
      <c r="G1175" s="325"/>
      <c r="H1175" s="325"/>
      <c r="I1175" s="325"/>
      <c r="J1175" s="325"/>
      <c r="K1175" s="325"/>
      <c r="L1175" s="325"/>
      <c r="M1175" s="325"/>
    </row>
    <row r="1176" spans="2:13">
      <c r="B1176" s="523"/>
      <c r="C1176" s="325"/>
      <c r="D1176" s="325"/>
      <c r="E1176" s="325"/>
      <c r="F1176" s="325"/>
      <c r="G1176" s="325"/>
      <c r="H1176" s="325"/>
      <c r="I1176" s="325"/>
      <c r="J1176" s="325"/>
      <c r="K1176" s="325"/>
      <c r="L1176" s="325"/>
      <c r="M1176" s="325"/>
    </row>
    <row r="1177" spans="2:13">
      <c r="B1177" s="523"/>
      <c r="C1177" s="325"/>
      <c r="D1177" s="325"/>
      <c r="E1177" s="325"/>
      <c r="F1177" s="325"/>
      <c r="G1177" s="325"/>
      <c r="H1177" s="325"/>
      <c r="I1177" s="325"/>
      <c r="J1177" s="325"/>
      <c r="K1177" s="325"/>
      <c r="L1177" s="325"/>
      <c r="M1177" s="325"/>
    </row>
    <row r="1178" spans="2:13">
      <c r="B1178" s="523"/>
      <c r="C1178" s="325"/>
      <c r="D1178" s="325"/>
      <c r="E1178" s="325"/>
      <c r="F1178" s="325"/>
      <c r="G1178" s="325"/>
      <c r="H1178" s="325"/>
      <c r="I1178" s="325"/>
      <c r="J1178" s="325"/>
      <c r="K1178" s="325"/>
      <c r="L1178" s="325"/>
      <c r="M1178" s="325"/>
    </row>
    <row r="1179" spans="2:13">
      <c r="B1179" s="523"/>
      <c r="C1179" s="325"/>
      <c r="D1179" s="325"/>
      <c r="E1179" s="325"/>
      <c r="F1179" s="325"/>
      <c r="G1179" s="325"/>
      <c r="H1179" s="325"/>
      <c r="I1179" s="325"/>
      <c r="J1179" s="325"/>
      <c r="K1179" s="325"/>
      <c r="L1179" s="325"/>
      <c r="M1179" s="325"/>
    </row>
    <row r="1180" spans="2:13">
      <c r="B1180" s="523"/>
      <c r="C1180" s="325"/>
      <c r="D1180" s="325"/>
      <c r="E1180" s="325"/>
      <c r="F1180" s="325"/>
      <c r="G1180" s="325"/>
      <c r="H1180" s="325"/>
      <c r="I1180" s="325"/>
      <c r="J1180" s="325"/>
      <c r="K1180" s="325"/>
      <c r="L1180" s="325"/>
      <c r="M1180" s="325"/>
    </row>
    <row r="1181" spans="2:13">
      <c r="B1181" s="523"/>
      <c r="C1181" s="325"/>
      <c r="D1181" s="325"/>
      <c r="E1181" s="325"/>
      <c r="F1181" s="325"/>
      <c r="G1181" s="325"/>
      <c r="H1181" s="325"/>
      <c r="I1181" s="325"/>
      <c r="J1181" s="325"/>
      <c r="K1181" s="325"/>
      <c r="L1181" s="325"/>
      <c r="M1181" s="325"/>
    </row>
    <row r="1182" spans="2:13">
      <c r="B1182" s="523"/>
      <c r="C1182" s="325"/>
      <c r="D1182" s="325"/>
      <c r="E1182" s="325"/>
      <c r="F1182" s="325"/>
      <c r="G1182" s="325"/>
      <c r="H1182" s="325"/>
      <c r="I1182" s="325"/>
      <c r="J1182" s="325"/>
      <c r="K1182" s="325"/>
      <c r="L1182" s="325"/>
      <c r="M1182" s="325"/>
    </row>
    <row r="1183" spans="2:13">
      <c r="B1183" s="523"/>
      <c r="C1183" s="325"/>
      <c r="D1183" s="325"/>
      <c r="E1183" s="325"/>
      <c r="F1183" s="325"/>
      <c r="G1183" s="325"/>
      <c r="H1183" s="325"/>
      <c r="I1183" s="325"/>
      <c r="J1183" s="325"/>
      <c r="K1183" s="325"/>
      <c r="L1183" s="325"/>
      <c r="M1183" s="325"/>
    </row>
    <row r="1184" spans="2:13">
      <c r="B1184" s="523"/>
      <c r="C1184" s="325"/>
      <c r="D1184" s="325"/>
      <c r="E1184" s="325"/>
      <c r="F1184" s="325"/>
      <c r="G1184" s="325"/>
      <c r="H1184" s="325"/>
      <c r="I1184" s="325"/>
      <c r="J1184" s="325"/>
      <c r="K1184" s="325"/>
      <c r="L1184" s="325"/>
      <c r="M1184" s="325"/>
    </row>
    <row r="1185" spans="2:13">
      <c r="B1185" s="523"/>
      <c r="C1185" s="325"/>
      <c r="D1185" s="325"/>
      <c r="E1185" s="325"/>
      <c r="F1185" s="325"/>
      <c r="G1185" s="325"/>
      <c r="H1185" s="325"/>
      <c r="I1185" s="325"/>
      <c r="J1185" s="325"/>
      <c r="K1185" s="325"/>
      <c r="L1185" s="325"/>
      <c r="M1185" s="325"/>
    </row>
    <row r="1186" spans="2:13">
      <c r="B1186" s="523"/>
      <c r="C1186" s="325"/>
      <c r="D1186" s="325"/>
      <c r="E1186" s="325"/>
      <c r="F1186" s="325"/>
      <c r="G1186" s="325"/>
      <c r="H1186" s="325"/>
      <c r="I1186" s="325"/>
      <c r="J1186" s="325"/>
      <c r="K1186" s="325"/>
      <c r="L1186" s="325"/>
      <c r="M1186" s="325"/>
    </row>
    <row r="1187" spans="2:13">
      <c r="B1187" s="523"/>
      <c r="C1187" s="325"/>
      <c r="D1187" s="325"/>
      <c r="E1187" s="325"/>
      <c r="F1187" s="325"/>
      <c r="G1187" s="325"/>
      <c r="H1187" s="325"/>
      <c r="I1187" s="325"/>
      <c r="J1187" s="325"/>
      <c r="K1187" s="325"/>
      <c r="L1187" s="325"/>
      <c r="M1187" s="325"/>
    </row>
    <row r="1188" spans="2:13">
      <c r="B1188" s="523"/>
      <c r="C1188" s="325"/>
      <c r="D1188" s="325"/>
      <c r="E1188" s="325"/>
      <c r="F1188" s="325"/>
      <c r="G1188" s="325"/>
      <c r="H1188" s="325"/>
      <c r="I1188" s="325"/>
      <c r="J1188" s="325"/>
      <c r="K1188" s="325"/>
      <c r="L1188" s="325"/>
      <c r="M1188" s="325"/>
    </row>
    <row r="1189" spans="2:13">
      <c r="B1189" s="523"/>
      <c r="C1189" s="325"/>
      <c r="D1189" s="325"/>
      <c r="E1189" s="325"/>
      <c r="F1189" s="325"/>
      <c r="G1189" s="325"/>
      <c r="H1189" s="325"/>
      <c r="I1189" s="325"/>
      <c r="J1189" s="325"/>
      <c r="K1189" s="325"/>
      <c r="L1189" s="325"/>
      <c r="M1189" s="325"/>
    </row>
    <row r="1190" spans="2:13">
      <c r="B1190" s="523"/>
      <c r="C1190" s="325"/>
      <c r="D1190" s="325"/>
      <c r="E1190" s="325"/>
      <c r="F1190" s="325"/>
      <c r="G1190" s="325"/>
      <c r="H1190" s="325"/>
      <c r="I1190" s="325"/>
      <c r="J1190" s="325"/>
      <c r="K1190" s="325"/>
      <c r="L1190" s="325"/>
      <c r="M1190" s="325"/>
    </row>
    <row r="1191" spans="2:13">
      <c r="B1191" s="523"/>
      <c r="C1191" s="325"/>
      <c r="D1191" s="325"/>
      <c r="E1191" s="325"/>
      <c r="F1191" s="325"/>
      <c r="G1191" s="325"/>
      <c r="H1191" s="325"/>
      <c r="I1191" s="325"/>
      <c r="J1191" s="325"/>
      <c r="K1191" s="325"/>
      <c r="L1191" s="325"/>
      <c r="M1191" s="325"/>
    </row>
    <row r="1192" spans="2:13">
      <c r="B1192" s="523"/>
      <c r="C1192" s="325"/>
      <c r="D1192" s="325"/>
      <c r="E1192" s="325"/>
      <c r="F1192" s="325"/>
      <c r="G1192" s="325"/>
      <c r="H1192" s="325"/>
      <c r="I1192" s="325"/>
      <c r="J1192" s="325"/>
      <c r="K1192" s="325"/>
      <c r="L1192" s="325"/>
      <c r="M1192" s="325"/>
    </row>
    <row r="1193" spans="2:13">
      <c r="B1193" s="523"/>
      <c r="C1193" s="325"/>
      <c r="D1193" s="325"/>
      <c r="E1193" s="325"/>
      <c r="F1193" s="325"/>
      <c r="G1193" s="325"/>
      <c r="H1193" s="325"/>
      <c r="I1193" s="325"/>
      <c r="J1193" s="325"/>
      <c r="K1193" s="325"/>
      <c r="L1193" s="325"/>
      <c r="M1193" s="325"/>
    </row>
    <row r="1194" spans="2:13">
      <c r="B1194" s="523"/>
      <c r="C1194" s="325"/>
      <c r="D1194" s="325"/>
      <c r="E1194" s="325"/>
      <c r="F1194" s="325"/>
      <c r="G1194" s="325"/>
      <c r="H1194" s="325"/>
      <c r="I1194" s="325"/>
      <c r="J1194" s="325"/>
      <c r="K1194" s="325"/>
      <c r="L1194" s="325"/>
      <c r="M1194" s="325"/>
    </row>
    <row r="1195" spans="2:13">
      <c r="B1195" s="523"/>
      <c r="C1195" s="325"/>
      <c r="D1195" s="325"/>
      <c r="E1195" s="325"/>
      <c r="F1195" s="325"/>
      <c r="G1195" s="325"/>
      <c r="H1195" s="325"/>
      <c r="I1195" s="325"/>
      <c r="J1195" s="325"/>
      <c r="K1195" s="325"/>
      <c r="L1195" s="325"/>
      <c r="M1195" s="325"/>
    </row>
    <row r="1196" spans="2:13">
      <c r="B1196" s="523"/>
      <c r="C1196" s="325"/>
      <c r="D1196" s="325"/>
      <c r="E1196" s="325"/>
      <c r="F1196" s="325"/>
      <c r="G1196" s="325"/>
      <c r="H1196" s="325"/>
      <c r="I1196" s="325"/>
      <c r="J1196" s="325"/>
      <c r="K1196" s="325"/>
      <c r="L1196" s="325"/>
      <c r="M1196" s="325"/>
    </row>
    <row r="1197" spans="2:13">
      <c r="B1197" s="523"/>
      <c r="C1197" s="325"/>
      <c r="D1197" s="325"/>
      <c r="E1197" s="325"/>
      <c r="F1197" s="325"/>
      <c r="G1197" s="325"/>
      <c r="H1197" s="325"/>
      <c r="I1197" s="325"/>
      <c r="J1197" s="325"/>
      <c r="K1197" s="325"/>
      <c r="L1197" s="325"/>
      <c r="M1197" s="325"/>
    </row>
    <row r="1198" spans="2:13">
      <c r="B1198" s="523"/>
      <c r="C1198" s="325"/>
      <c r="D1198" s="325"/>
      <c r="E1198" s="325"/>
      <c r="F1198" s="325"/>
      <c r="G1198" s="325"/>
      <c r="H1198" s="325"/>
      <c r="I1198" s="325"/>
      <c r="J1198" s="325"/>
      <c r="K1198" s="325"/>
      <c r="L1198" s="325"/>
      <c r="M1198" s="325"/>
    </row>
    <row r="1199" spans="2:13">
      <c r="B1199" s="523"/>
      <c r="C1199" s="325"/>
      <c r="D1199" s="325"/>
      <c r="E1199" s="325"/>
      <c r="F1199" s="325"/>
      <c r="G1199" s="325"/>
      <c r="H1199" s="325"/>
      <c r="I1199" s="325"/>
      <c r="J1199" s="325"/>
      <c r="K1199" s="325"/>
      <c r="L1199" s="325"/>
      <c r="M1199" s="325"/>
    </row>
    <row r="1200" spans="2:13">
      <c r="B1200" s="523"/>
      <c r="C1200" s="325"/>
      <c r="D1200" s="325"/>
      <c r="E1200" s="325"/>
      <c r="F1200" s="325"/>
      <c r="G1200" s="325"/>
      <c r="H1200" s="325"/>
      <c r="I1200" s="325"/>
      <c r="J1200" s="325"/>
      <c r="K1200" s="325"/>
      <c r="L1200" s="325"/>
      <c r="M1200" s="325"/>
    </row>
    <row r="1201" spans="2:13">
      <c r="B1201" s="523"/>
      <c r="C1201" s="325"/>
      <c r="D1201" s="325"/>
      <c r="E1201" s="325"/>
      <c r="F1201" s="325"/>
      <c r="G1201" s="325"/>
      <c r="H1201" s="325"/>
      <c r="I1201" s="325"/>
      <c r="J1201" s="325"/>
      <c r="K1201" s="325"/>
      <c r="L1201" s="325"/>
      <c r="M1201" s="325"/>
    </row>
    <row r="1202" spans="2:13">
      <c r="B1202" s="523"/>
      <c r="C1202" s="325"/>
      <c r="D1202" s="325"/>
      <c r="E1202" s="325"/>
      <c r="F1202" s="325"/>
      <c r="G1202" s="325"/>
      <c r="H1202" s="325"/>
      <c r="I1202" s="325"/>
      <c r="J1202" s="325"/>
      <c r="K1202" s="325"/>
      <c r="L1202" s="325"/>
      <c r="M1202" s="325"/>
    </row>
    <row r="1203" spans="2:13">
      <c r="B1203" s="523"/>
      <c r="C1203" s="325"/>
      <c r="D1203" s="325"/>
      <c r="E1203" s="325"/>
      <c r="F1203" s="325"/>
      <c r="G1203" s="325"/>
      <c r="H1203" s="325"/>
      <c r="I1203" s="325"/>
      <c r="J1203" s="325"/>
      <c r="K1203" s="325"/>
      <c r="L1203" s="325"/>
      <c r="M1203" s="325"/>
    </row>
    <row r="1204" spans="2:13">
      <c r="B1204" s="523"/>
      <c r="C1204" s="325"/>
      <c r="D1204" s="325"/>
      <c r="E1204" s="325"/>
      <c r="F1204" s="325"/>
      <c r="G1204" s="325"/>
      <c r="H1204" s="325"/>
      <c r="I1204" s="325"/>
      <c r="J1204" s="325"/>
      <c r="K1204" s="325"/>
      <c r="L1204" s="325"/>
      <c r="M1204" s="325"/>
    </row>
    <row r="1205" spans="2:13">
      <c r="B1205" s="523"/>
      <c r="C1205" s="325"/>
      <c r="D1205" s="325"/>
      <c r="E1205" s="325"/>
      <c r="F1205" s="325"/>
      <c r="G1205" s="325"/>
      <c r="H1205" s="325"/>
      <c r="I1205" s="325"/>
      <c r="J1205" s="325"/>
      <c r="K1205" s="325"/>
      <c r="L1205" s="325"/>
      <c r="M1205" s="325"/>
    </row>
    <row r="1206" spans="2:13">
      <c r="B1206" s="523"/>
      <c r="C1206" s="325"/>
      <c r="D1206" s="325"/>
      <c r="E1206" s="325"/>
      <c r="F1206" s="325"/>
      <c r="G1206" s="325"/>
      <c r="H1206" s="325"/>
      <c r="I1206" s="325"/>
      <c r="J1206" s="325"/>
      <c r="K1206" s="325"/>
      <c r="L1206" s="325"/>
      <c r="M1206" s="325"/>
    </row>
    <row r="1207" spans="2:13">
      <c r="B1207" s="523"/>
      <c r="C1207" s="325"/>
      <c r="D1207" s="325"/>
      <c r="E1207" s="325"/>
      <c r="F1207" s="325"/>
      <c r="G1207" s="325"/>
      <c r="H1207" s="325"/>
      <c r="I1207" s="325"/>
      <c r="J1207" s="325"/>
      <c r="K1207" s="325"/>
      <c r="L1207" s="325"/>
      <c r="M1207" s="325"/>
    </row>
    <row r="1208" spans="2:13">
      <c r="B1208" s="523"/>
      <c r="C1208" s="325"/>
      <c r="D1208" s="325"/>
      <c r="E1208" s="325"/>
      <c r="F1208" s="325"/>
      <c r="G1208" s="325"/>
      <c r="H1208" s="325"/>
      <c r="I1208" s="325"/>
      <c r="J1208" s="325"/>
      <c r="K1208" s="325"/>
      <c r="L1208" s="325"/>
      <c r="M1208" s="325"/>
    </row>
    <row r="1209" spans="2:13">
      <c r="B1209" s="523"/>
      <c r="C1209" s="325"/>
      <c r="D1209" s="325"/>
      <c r="E1209" s="325"/>
      <c r="F1209" s="325"/>
      <c r="G1209" s="325"/>
      <c r="H1209" s="325"/>
      <c r="I1209" s="325"/>
      <c r="J1209" s="325"/>
      <c r="K1209" s="325"/>
      <c r="L1209" s="325"/>
      <c r="M1209" s="325"/>
    </row>
    <row r="1210" spans="2:13">
      <c r="B1210" s="523"/>
      <c r="C1210" s="325"/>
      <c r="D1210" s="325"/>
      <c r="E1210" s="325"/>
      <c r="F1210" s="325"/>
      <c r="G1210" s="325"/>
      <c r="H1210" s="325"/>
      <c r="I1210" s="325"/>
      <c r="J1210" s="325"/>
      <c r="K1210" s="325"/>
      <c r="L1210" s="325"/>
      <c r="M1210" s="325"/>
    </row>
    <row r="1211" spans="2:13">
      <c r="B1211" s="523"/>
      <c r="C1211" s="325"/>
      <c r="D1211" s="325"/>
      <c r="E1211" s="325"/>
      <c r="F1211" s="325"/>
      <c r="G1211" s="325"/>
      <c r="H1211" s="325"/>
      <c r="I1211" s="325"/>
      <c r="J1211" s="325"/>
      <c r="K1211" s="325"/>
      <c r="L1211" s="325"/>
      <c r="M1211" s="325"/>
    </row>
    <row r="1212" spans="2:13">
      <c r="B1212" s="523"/>
      <c r="C1212" s="325"/>
      <c r="D1212" s="325"/>
      <c r="E1212" s="325"/>
      <c r="F1212" s="325"/>
      <c r="G1212" s="325"/>
      <c r="H1212" s="325"/>
      <c r="I1212" s="325"/>
      <c r="J1212" s="325"/>
      <c r="K1212" s="325"/>
      <c r="L1212" s="325"/>
      <c r="M1212" s="325"/>
    </row>
    <row r="1213" spans="2:13">
      <c r="B1213" s="523"/>
      <c r="C1213" s="325"/>
      <c r="D1213" s="325"/>
      <c r="E1213" s="325"/>
      <c r="F1213" s="325"/>
      <c r="G1213" s="325"/>
      <c r="H1213" s="325"/>
      <c r="I1213" s="325"/>
      <c r="J1213" s="325"/>
      <c r="K1213" s="325"/>
      <c r="L1213" s="325"/>
      <c r="M1213" s="325"/>
    </row>
    <row r="1214" spans="2:13">
      <c r="B1214" s="523"/>
      <c r="C1214" s="325"/>
      <c r="D1214" s="325"/>
      <c r="E1214" s="325"/>
      <c r="F1214" s="325"/>
      <c r="G1214" s="325"/>
      <c r="H1214" s="325"/>
      <c r="I1214" s="325"/>
      <c r="J1214" s="325"/>
      <c r="K1214" s="325"/>
      <c r="L1214" s="325"/>
      <c r="M1214" s="325"/>
    </row>
    <row r="1215" spans="2:13">
      <c r="B1215" s="523"/>
      <c r="C1215" s="325"/>
      <c r="D1215" s="325"/>
      <c r="E1215" s="325"/>
      <c r="F1215" s="325"/>
      <c r="G1215" s="325"/>
      <c r="H1215" s="325"/>
      <c r="I1215" s="325"/>
      <c r="J1215" s="325"/>
      <c r="K1215" s="325"/>
      <c r="L1215" s="325"/>
      <c r="M1215" s="325"/>
    </row>
    <row r="1216" spans="2:13">
      <c r="B1216" s="523"/>
      <c r="C1216" s="325"/>
      <c r="D1216" s="325"/>
      <c r="E1216" s="325"/>
      <c r="F1216" s="325"/>
      <c r="G1216" s="325"/>
      <c r="H1216" s="325"/>
      <c r="I1216" s="325"/>
      <c r="J1216" s="325"/>
      <c r="K1216" s="325"/>
      <c r="L1216" s="325"/>
      <c r="M1216" s="325"/>
    </row>
    <row r="1217" spans="2:13">
      <c r="B1217" s="523"/>
      <c r="C1217" s="325"/>
      <c r="D1217" s="325"/>
      <c r="E1217" s="325"/>
      <c r="F1217" s="325"/>
      <c r="G1217" s="325"/>
      <c r="H1217" s="325"/>
      <c r="I1217" s="325"/>
      <c r="J1217" s="325"/>
      <c r="K1217" s="325"/>
      <c r="L1217" s="325"/>
      <c r="M1217" s="325"/>
    </row>
    <row r="1218" spans="2:13">
      <c r="B1218" s="523"/>
      <c r="C1218" s="325"/>
      <c r="D1218" s="325"/>
      <c r="E1218" s="325"/>
      <c r="F1218" s="325"/>
      <c r="G1218" s="325"/>
      <c r="H1218" s="325"/>
      <c r="I1218" s="325"/>
      <c r="J1218" s="325"/>
      <c r="K1218" s="325"/>
      <c r="L1218" s="325"/>
      <c r="M1218" s="325"/>
    </row>
    <row r="1219" spans="2:13">
      <c r="B1219" s="523"/>
      <c r="C1219" s="325"/>
      <c r="D1219" s="325"/>
      <c r="E1219" s="325"/>
      <c r="F1219" s="325"/>
      <c r="G1219" s="325"/>
      <c r="H1219" s="325"/>
      <c r="I1219" s="325"/>
      <c r="J1219" s="325"/>
      <c r="K1219" s="325"/>
      <c r="L1219" s="325"/>
      <c r="M1219" s="325"/>
    </row>
    <row r="1220" spans="2:13">
      <c r="B1220" s="523"/>
      <c r="C1220" s="325"/>
      <c r="D1220" s="325"/>
      <c r="E1220" s="325"/>
      <c r="F1220" s="325"/>
      <c r="G1220" s="325"/>
      <c r="H1220" s="325"/>
      <c r="I1220" s="325"/>
      <c r="J1220" s="325"/>
      <c r="K1220" s="325"/>
      <c r="L1220" s="325"/>
      <c r="M1220" s="325"/>
    </row>
    <row r="1221" spans="2:13">
      <c r="B1221" s="523"/>
      <c r="C1221" s="325"/>
      <c r="D1221" s="325"/>
      <c r="E1221" s="325"/>
      <c r="F1221" s="325"/>
      <c r="G1221" s="325"/>
      <c r="H1221" s="325"/>
      <c r="I1221" s="325"/>
      <c r="J1221" s="325"/>
      <c r="K1221" s="325"/>
      <c r="L1221" s="325"/>
      <c r="M1221" s="325"/>
    </row>
    <row r="1222" spans="2:13">
      <c r="B1222" s="523"/>
      <c r="C1222" s="325"/>
      <c r="D1222" s="325"/>
      <c r="E1222" s="325"/>
      <c r="F1222" s="325"/>
      <c r="G1222" s="325"/>
      <c r="H1222" s="325"/>
      <c r="I1222" s="325"/>
      <c r="J1222" s="325"/>
      <c r="K1222" s="325"/>
      <c r="L1222" s="325"/>
      <c r="M1222" s="325"/>
    </row>
    <row r="1223" spans="2:13">
      <c r="B1223" s="523"/>
      <c r="C1223" s="325"/>
      <c r="D1223" s="325"/>
      <c r="E1223" s="325"/>
      <c r="F1223" s="325"/>
      <c r="G1223" s="325"/>
      <c r="H1223" s="325"/>
      <c r="I1223" s="325"/>
      <c r="J1223" s="325"/>
      <c r="K1223" s="325"/>
      <c r="L1223" s="325"/>
      <c r="M1223" s="325"/>
    </row>
    <row r="1224" spans="2:13">
      <c r="B1224" s="523"/>
      <c r="C1224" s="325"/>
      <c r="D1224" s="325"/>
      <c r="E1224" s="325"/>
      <c r="F1224" s="325"/>
      <c r="G1224" s="325"/>
      <c r="H1224" s="325"/>
      <c r="I1224" s="325"/>
      <c r="J1224" s="325"/>
      <c r="K1224" s="325"/>
      <c r="L1224" s="325"/>
      <c r="M1224" s="325"/>
    </row>
    <row r="1225" spans="2:13">
      <c r="B1225" s="523"/>
      <c r="C1225" s="325"/>
      <c r="D1225" s="325"/>
      <c r="E1225" s="325"/>
      <c r="F1225" s="325"/>
      <c r="G1225" s="325"/>
      <c r="H1225" s="325"/>
      <c r="I1225" s="325"/>
      <c r="J1225" s="325"/>
      <c r="K1225" s="325"/>
      <c r="L1225" s="325"/>
      <c r="M1225" s="325"/>
    </row>
    <row r="1226" spans="2:13">
      <c r="B1226" s="523"/>
      <c r="C1226" s="325"/>
      <c r="D1226" s="325"/>
      <c r="E1226" s="325"/>
      <c r="F1226" s="325"/>
      <c r="G1226" s="325"/>
      <c r="H1226" s="325"/>
      <c r="I1226" s="325"/>
      <c r="J1226" s="325"/>
      <c r="K1226" s="325"/>
      <c r="L1226" s="325"/>
      <c r="M1226" s="325"/>
    </row>
    <row r="1227" spans="2:13">
      <c r="B1227" s="523"/>
      <c r="C1227" s="325"/>
      <c r="D1227" s="325"/>
      <c r="E1227" s="325"/>
      <c r="F1227" s="325"/>
      <c r="G1227" s="325"/>
      <c r="H1227" s="325"/>
      <c r="I1227" s="325"/>
      <c r="J1227" s="325"/>
      <c r="K1227" s="325"/>
      <c r="L1227" s="325"/>
      <c r="M1227" s="325"/>
    </row>
    <row r="1228" spans="2:13">
      <c r="B1228" s="523"/>
      <c r="C1228" s="325"/>
      <c r="D1228" s="325"/>
      <c r="E1228" s="325"/>
      <c r="F1228" s="325"/>
      <c r="G1228" s="325"/>
      <c r="H1228" s="325"/>
      <c r="I1228" s="325"/>
      <c r="J1228" s="325"/>
      <c r="K1228" s="325"/>
      <c r="L1228" s="325"/>
      <c r="M1228" s="325"/>
    </row>
    <row r="1229" spans="2:13">
      <c r="B1229" s="523"/>
      <c r="C1229" s="325"/>
      <c r="D1229" s="325"/>
      <c r="E1229" s="325"/>
      <c r="F1229" s="325"/>
      <c r="G1229" s="325"/>
      <c r="H1229" s="325"/>
      <c r="I1229" s="325"/>
      <c r="J1229" s="325"/>
      <c r="K1229" s="325"/>
      <c r="L1229" s="325"/>
      <c r="M1229" s="325"/>
    </row>
    <row r="1230" spans="2:13">
      <c r="B1230" s="523"/>
      <c r="C1230" s="325"/>
      <c r="D1230" s="325"/>
      <c r="E1230" s="325"/>
      <c r="F1230" s="325"/>
      <c r="G1230" s="325"/>
      <c r="H1230" s="325"/>
      <c r="I1230" s="325"/>
      <c r="J1230" s="325"/>
      <c r="K1230" s="325"/>
      <c r="L1230" s="325"/>
      <c r="M1230" s="325"/>
    </row>
    <row r="1231" spans="2:13">
      <c r="B1231" s="523"/>
      <c r="C1231" s="325"/>
      <c r="D1231" s="325"/>
      <c r="E1231" s="325"/>
      <c r="F1231" s="325"/>
      <c r="G1231" s="325"/>
      <c r="H1231" s="325"/>
      <c r="I1231" s="325"/>
      <c r="J1231" s="325"/>
      <c r="K1231" s="325"/>
      <c r="L1231" s="325"/>
      <c r="M1231" s="325"/>
    </row>
    <row r="1232" spans="2:13">
      <c r="B1232" s="523"/>
      <c r="C1232" s="325"/>
      <c r="D1232" s="325"/>
      <c r="E1232" s="325"/>
      <c r="F1232" s="325"/>
      <c r="G1232" s="325"/>
      <c r="H1232" s="325"/>
      <c r="I1232" s="325"/>
      <c r="J1232" s="325"/>
      <c r="K1232" s="325"/>
      <c r="L1232" s="325"/>
      <c r="M1232" s="325"/>
    </row>
    <row r="1233" spans="9:10">
      <c r="I1233" s="325"/>
      <c r="J1233" s="325"/>
    </row>
  </sheetData>
  <mergeCells count="26">
    <mergeCell ref="D328:L330"/>
    <mergeCell ref="D316:J318"/>
    <mergeCell ref="D303:K305"/>
    <mergeCell ref="E177:E178"/>
    <mergeCell ref="B24:I25"/>
    <mergeCell ref="I60:J60"/>
    <mergeCell ref="I63:J63"/>
    <mergeCell ref="I134:J134"/>
    <mergeCell ref="I137:J137"/>
    <mergeCell ref="D42:L42"/>
    <mergeCell ref="D373:L374"/>
    <mergeCell ref="G253:I253"/>
    <mergeCell ref="D368:L370"/>
    <mergeCell ref="D280:L280"/>
    <mergeCell ref="D292:L292"/>
    <mergeCell ref="D288:L289"/>
    <mergeCell ref="D323:L326"/>
    <mergeCell ref="D352:L357"/>
    <mergeCell ref="D360:L362"/>
    <mergeCell ref="D307:K309"/>
    <mergeCell ref="D363:L364"/>
    <mergeCell ref="D365:L366"/>
    <mergeCell ref="D367:L367"/>
    <mergeCell ref="D283:K284"/>
    <mergeCell ref="D320:K321"/>
    <mergeCell ref="D310:J311"/>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2" man="1"/>
    <brk id="126" max="12" man="1"/>
    <brk id="214" max="12" man="1"/>
    <brk id="26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6"/>
  <sheetViews>
    <sheetView topLeftCell="A32" zoomScale="85" zoomScaleNormal="85" zoomScaleSheetLayoutView="85" workbookViewId="0">
      <selection activeCell="E69" sqref="E69:F69"/>
    </sheetView>
  </sheetViews>
  <sheetFormatPr defaultColWidth="9.1796875" defaultRowHeight="15.5"/>
  <cols>
    <col min="1" max="1" width="10.453125" style="59" customWidth="1"/>
    <col min="2" max="2" width="15.1796875" style="28" customWidth="1"/>
    <col min="3" max="3" width="59.1796875" style="9" customWidth="1"/>
    <col min="4" max="4" width="15.54296875" style="9" customWidth="1"/>
    <col min="5" max="5" width="22" style="9" customWidth="1"/>
    <col min="6" max="6" width="17.453125" style="9" customWidth="1"/>
    <col min="7" max="7" width="47.54296875" style="9" customWidth="1"/>
    <col min="8" max="8" width="13.81640625" style="9" customWidth="1"/>
    <col min="9" max="9" width="9.1796875" style="9"/>
    <col min="10" max="10" width="12.453125" style="9" bestFit="1" customWidth="1"/>
    <col min="11" max="11" width="13.453125" style="9" customWidth="1"/>
    <col min="12" max="16384" width="9.1796875" style="9"/>
  </cols>
  <sheetData>
    <row r="1" spans="1:11">
      <c r="A1" s="911" t="s">
        <v>115</v>
      </c>
    </row>
    <row r="2" spans="1:11">
      <c r="A2" s="911" t="s">
        <v>115</v>
      </c>
    </row>
    <row r="3" spans="1:11">
      <c r="A3" s="1499" t="s">
        <v>388</v>
      </c>
      <c r="B3" s="1499"/>
      <c r="C3" s="1499"/>
      <c r="D3" s="1499"/>
      <c r="E3" s="1499"/>
      <c r="F3" s="1499"/>
      <c r="G3" s="1499"/>
      <c r="H3" s="40"/>
    </row>
    <row r="4" spans="1:11" ht="17.25" customHeight="1">
      <c r="A4" s="1500" t="str">
        <f>"Cost of Service Formula Rate Using Actual/Projected FF1 Balances"</f>
        <v>Cost of Service Formula Rate Using Actual/Projected FF1 Balances</v>
      </c>
      <c r="B4" s="1500"/>
      <c r="C4" s="1500"/>
      <c r="D4" s="1500"/>
      <c r="E4" s="1500"/>
      <c r="F4" s="1500"/>
      <c r="G4" s="1500"/>
      <c r="H4" s="98"/>
      <c r="I4" s="98"/>
      <c r="J4" s="98"/>
      <c r="K4" s="98"/>
    </row>
    <row r="5" spans="1:11" ht="18" customHeight="1">
      <c r="A5" s="1500" t="s">
        <v>489</v>
      </c>
      <c r="B5" s="1500"/>
      <c r="C5" s="1500"/>
      <c r="D5" s="1500"/>
      <c r="E5" s="1500"/>
      <c r="F5" s="1500"/>
      <c r="G5" s="1500"/>
    </row>
    <row r="6" spans="1:11" ht="19.5" customHeight="1">
      <c r="A6" s="1511" t="str">
        <f>TCOS!F9</f>
        <v xml:space="preserve">Indiana Michigan Power Company </v>
      </c>
      <c r="B6" s="1511"/>
      <c r="C6" s="1511"/>
      <c r="D6" s="1511"/>
      <c r="E6" s="1511"/>
      <c r="F6" s="1511"/>
      <c r="G6" s="1511"/>
    </row>
    <row r="7" spans="1:11" ht="12.75" customHeight="1">
      <c r="A7" s="1499"/>
      <c r="B7" s="1499"/>
      <c r="C7" s="1499"/>
      <c r="D7" s="1499"/>
      <c r="E7" s="1499"/>
      <c r="F7" s="1499"/>
      <c r="G7" s="47"/>
    </row>
    <row r="8" spans="1:11" ht="18">
      <c r="A8" s="1539"/>
      <c r="B8" s="1539"/>
      <c r="C8" s="1539"/>
      <c r="D8" s="1539"/>
      <c r="E8" s="1539"/>
      <c r="F8" s="1539"/>
      <c r="G8" s="1539"/>
    </row>
    <row r="9" spans="1:11" ht="18">
      <c r="A9" s="163"/>
      <c r="B9" s="163"/>
      <c r="C9" s="163"/>
      <c r="D9" s="163"/>
      <c r="E9" s="163"/>
      <c r="F9" s="163"/>
      <c r="G9" s="163"/>
    </row>
    <row r="10" spans="1:11">
      <c r="B10" s="37" t="s">
        <v>163</v>
      </c>
      <c r="C10" s="37" t="s">
        <v>164</v>
      </c>
      <c r="D10" s="37" t="s">
        <v>165</v>
      </c>
      <c r="E10" s="37" t="s">
        <v>166</v>
      </c>
      <c r="F10" s="37" t="s">
        <v>85</v>
      </c>
      <c r="G10" s="37" t="s">
        <v>86</v>
      </c>
    </row>
    <row r="11" spans="1:11">
      <c r="B11" s="51"/>
      <c r="C11" s="47"/>
      <c r="D11" s="202"/>
      <c r="E11" s="203"/>
      <c r="F11" s="204" t="s">
        <v>88</v>
      </c>
      <c r="G11" s="37"/>
    </row>
    <row r="12" spans="1:11">
      <c r="A12" s="54" t="s">
        <v>170</v>
      </c>
      <c r="B12" s="51"/>
      <c r="C12" s="60"/>
      <c r="D12" s="54">
        <f>+TCOS!L4</f>
        <v>2019</v>
      </c>
      <c r="E12" s="204" t="s">
        <v>88</v>
      </c>
      <c r="F12" s="54" t="s">
        <v>116</v>
      </c>
      <c r="G12" s="37"/>
    </row>
    <row r="13" spans="1:11">
      <c r="A13" s="54" t="s">
        <v>107</v>
      </c>
      <c r="B13" s="54" t="s">
        <v>37</v>
      </c>
      <c r="C13" s="54" t="s">
        <v>168</v>
      </c>
      <c r="D13" s="54" t="s">
        <v>38</v>
      </c>
      <c r="E13" s="54" t="s">
        <v>90</v>
      </c>
      <c r="F13" s="54" t="s">
        <v>39</v>
      </c>
      <c r="G13" s="54" t="s">
        <v>40</v>
      </c>
    </row>
    <row r="14" spans="1:11">
      <c r="B14" s="54"/>
      <c r="C14" s="54"/>
      <c r="D14" s="54"/>
      <c r="E14" s="54"/>
      <c r="F14" s="54"/>
      <c r="G14" s="54"/>
    </row>
    <row r="15" spans="1:11">
      <c r="B15" s="54"/>
      <c r="C15" s="54"/>
      <c r="D15" s="54"/>
      <c r="E15" s="54"/>
      <c r="F15" s="54"/>
      <c r="G15" s="54"/>
    </row>
    <row r="16" spans="1:11">
      <c r="B16" s="54"/>
      <c r="D16" s="54"/>
      <c r="E16" s="54"/>
      <c r="F16" s="54"/>
      <c r="G16" s="54"/>
    </row>
    <row r="17" spans="1:7">
      <c r="B17" s="54"/>
      <c r="C17" s="54" t="s">
        <v>497</v>
      </c>
      <c r="D17" s="45"/>
      <c r="E17" s="45"/>
      <c r="F17" s="45"/>
      <c r="G17" s="91"/>
    </row>
    <row r="18" spans="1:7">
      <c r="A18" s="59">
        <v>1</v>
      </c>
      <c r="B18" s="866"/>
      <c r="C18" s="867"/>
      <c r="D18" s="868"/>
      <c r="E18" s="68"/>
      <c r="F18" s="68"/>
      <c r="G18" s="897"/>
    </row>
    <row r="19" spans="1:7">
      <c r="A19" s="59">
        <v>2</v>
      </c>
      <c r="B19" s="866"/>
      <c r="C19" s="867"/>
      <c r="D19" s="868"/>
      <c r="E19" s="68"/>
      <c r="F19" s="68"/>
      <c r="G19" s="44"/>
    </row>
    <row r="20" spans="1:7">
      <c r="A20" s="59">
        <v>3</v>
      </c>
      <c r="B20" s="866"/>
      <c r="C20" s="867"/>
      <c r="D20" s="868"/>
      <c r="E20" s="68"/>
      <c r="F20" s="68"/>
      <c r="G20" s="44"/>
    </row>
    <row r="21" spans="1:7">
      <c r="A21" s="59">
        <v>4</v>
      </c>
      <c r="B21" s="54"/>
      <c r="C21" s="229" t="s">
        <v>119</v>
      </c>
      <c r="D21" s="299">
        <f>SUM(D18:D19)</f>
        <v>0</v>
      </c>
      <c r="E21" s="68"/>
      <c r="F21" s="68"/>
      <c r="G21" s="54"/>
    </row>
    <row r="22" spans="1:7">
      <c r="B22" s="54"/>
      <c r="C22" s="229"/>
      <c r="D22" s="244"/>
      <c r="E22" s="45"/>
      <c r="F22" s="45"/>
      <c r="G22" s="54"/>
    </row>
    <row r="23" spans="1:7">
      <c r="A23" s="9"/>
      <c r="B23" s="54"/>
      <c r="C23" s="54" t="s">
        <v>50</v>
      </c>
      <c r="D23" s="293"/>
      <c r="E23" s="45"/>
      <c r="F23" s="45"/>
      <c r="G23" s="54"/>
    </row>
    <row r="24" spans="1:7">
      <c r="A24" s="53">
        <f>+A21+1</f>
        <v>5</v>
      </c>
      <c r="B24" s="296"/>
      <c r="C24" s="294"/>
      <c r="D24" s="1144"/>
      <c r="E24" s="45"/>
      <c r="F24" s="45"/>
      <c r="G24" s="54"/>
    </row>
    <row r="25" spans="1:7">
      <c r="A25" s="295">
        <f>+A24+1</f>
        <v>6</v>
      </c>
      <c r="B25" s="296" t="s">
        <v>51</v>
      </c>
      <c r="C25" s="296" t="s">
        <v>52</v>
      </c>
      <c r="D25" s="869">
        <v>0</v>
      </c>
      <c r="E25" s="45"/>
      <c r="F25" s="45"/>
      <c r="G25" s="54"/>
    </row>
    <row r="26" spans="1:7">
      <c r="A26" s="53">
        <f>+A25+1</f>
        <v>7</v>
      </c>
      <c r="B26" s="294" t="s">
        <v>53</v>
      </c>
      <c r="C26" s="294" t="s">
        <v>54</v>
      </c>
      <c r="D26" s="869">
        <v>339321.28</v>
      </c>
      <c r="E26" s="45"/>
      <c r="F26" s="45"/>
      <c r="G26" s="54"/>
    </row>
    <row r="27" spans="1:7">
      <c r="A27" s="295">
        <f t="shared" ref="A27:A32" si="0">+A26+1</f>
        <v>8</v>
      </c>
      <c r="B27" s="296" t="s">
        <v>55</v>
      </c>
      <c r="C27" s="296" t="s">
        <v>56</v>
      </c>
      <c r="D27" s="870"/>
      <c r="E27" s="45"/>
      <c r="F27" s="45"/>
      <c r="G27" s="54"/>
    </row>
    <row r="28" spans="1:7">
      <c r="A28" s="53">
        <f t="shared" si="0"/>
        <v>9</v>
      </c>
      <c r="B28" s="294" t="s">
        <v>57</v>
      </c>
      <c r="C28" s="294" t="s">
        <v>58</v>
      </c>
      <c r="D28" s="869">
        <v>4884653.22</v>
      </c>
      <c r="E28" s="45"/>
      <c r="F28" s="45"/>
      <c r="G28" s="54"/>
    </row>
    <row r="29" spans="1:7">
      <c r="A29" s="295">
        <f t="shared" si="0"/>
        <v>10</v>
      </c>
      <c r="B29" s="296" t="s">
        <v>59</v>
      </c>
      <c r="C29" s="296" t="s">
        <v>60</v>
      </c>
      <c r="D29" s="869">
        <v>205360.72</v>
      </c>
      <c r="E29" s="45"/>
      <c r="F29" s="45"/>
      <c r="G29" s="54"/>
    </row>
    <row r="30" spans="1:7">
      <c r="A30" s="53">
        <f t="shared" si="0"/>
        <v>11</v>
      </c>
      <c r="B30" s="294" t="s">
        <v>61</v>
      </c>
      <c r="C30" s="294" t="s">
        <v>62</v>
      </c>
      <c r="D30" s="869">
        <v>0</v>
      </c>
      <c r="E30" s="45"/>
      <c r="F30" s="45"/>
      <c r="G30" s="54"/>
    </row>
    <row r="31" spans="1:7">
      <c r="A31" s="295">
        <f t="shared" si="0"/>
        <v>12</v>
      </c>
      <c r="B31" s="296" t="s">
        <v>63</v>
      </c>
      <c r="C31" s="296" t="s">
        <v>64</v>
      </c>
      <c r="D31" s="869"/>
      <c r="E31" s="45"/>
      <c r="F31" s="45"/>
      <c r="G31" s="54"/>
    </row>
    <row r="32" spans="1:7">
      <c r="A32" s="53">
        <f t="shared" si="0"/>
        <v>13</v>
      </c>
      <c r="B32" s="294" t="s">
        <v>65</v>
      </c>
      <c r="C32" s="294" t="s">
        <v>66</v>
      </c>
      <c r="D32" s="869">
        <v>1241651.55</v>
      </c>
      <c r="E32" s="45"/>
      <c r="F32" s="45"/>
      <c r="G32" s="54"/>
    </row>
    <row r="33" spans="1:19">
      <c r="A33" s="59">
        <f>+A32+1</f>
        <v>14</v>
      </c>
      <c r="B33" s="269"/>
      <c r="C33" s="37" t="s">
        <v>67</v>
      </c>
      <c r="D33" s="270">
        <f>SUM(D24:D32)</f>
        <v>6670986.7699999996</v>
      </c>
      <c r="E33" s="45"/>
      <c r="F33" s="45"/>
      <c r="G33" s="54"/>
    </row>
    <row r="34" spans="1:19">
      <c r="A34" s="225"/>
      <c r="B34" s="67"/>
      <c r="C34" s="54"/>
      <c r="D34" s="54"/>
      <c r="E34" s="54"/>
      <c r="F34" s="54"/>
      <c r="G34" s="54"/>
    </row>
    <row r="35" spans="1:19">
      <c r="A35" s="225"/>
      <c r="B35" s="53"/>
      <c r="C35" s="102" t="s">
        <v>213</v>
      </c>
      <c r="D35" s="47"/>
      <c r="E35" s="47"/>
      <c r="F35" s="47"/>
      <c r="G35" s="47"/>
    </row>
    <row r="36" spans="1:19">
      <c r="A36" s="59">
        <f>+A33+1</f>
        <v>15</v>
      </c>
      <c r="B36" s="1266" t="s">
        <v>911</v>
      </c>
      <c r="C36" s="867" t="s">
        <v>912</v>
      </c>
      <c r="D36" s="1267">
        <v>763.67</v>
      </c>
      <c r="E36" s="45">
        <f>D36</f>
        <v>763.67</v>
      </c>
      <c r="F36" s="45">
        <v>0</v>
      </c>
      <c r="G36" s="44" t="s">
        <v>115</v>
      </c>
    </row>
    <row r="37" spans="1:19">
      <c r="A37" s="59">
        <f>+A36+1</f>
        <v>16</v>
      </c>
      <c r="B37" s="1266" t="s">
        <v>913</v>
      </c>
      <c r="C37" s="867" t="s">
        <v>914</v>
      </c>
      <c r="D37" s="1267">
        <v>11748907.210000001</v>
      </c>
      <c r="E37" s="45">
        <f>D37</f>
        <v>11748907.210000001</v>
      </c>
      <c r="F37" s="45">
        <v>0</v>
      </c>
      <c r="G37" s="44" t="s">
        <v>115</v>
      </c>
    </row>
    <row r="38" spans="1:19">
      <c r="A38" s="59">
        <f>+A37+1</f>
        <v>17</v>
      </c>
      <c r="B38" s="1266" t="s">
        <v>915</v>
      </c>
      <c r="C38" s="867" t="s">
        <v>916</v>
      </c>
      <c r="D38" s="1267">
        <v>5103040.3600000003</v>
      </c>
      <c r="E38" s="45">
        <f>D38</f>
        <v>5103040.3600000003</v>
      </c>
      <c r="F38" s="45">
        <v>0</v>
      </c>
      <c r="G38" s="44" t="s">
        <v>115</v>
      </c>
    </row>
    <row r="39" spans="1:19">
      <c r="A39" s="59">
        <f>+A38+1</f>
        <v>18</v>
      </c>
      <c r="B39" s="1266" t="s">
        <v>1002</v>
      </c>
      <c r="C39" s="867" t="s">
        <v>1001</v>
      </c>
      <c r="D39" s="1267">
        <v>42326.770000000004</v>
      </c>
      <c r="E39" s="45">
        <v>0</v>
      </c>
      <c r="F39" s="45">
        <f>D39</f>
        <v>42326.770000000004</v>
      </c>
      <c r="G39" s="44" t="s">
        <v>115</v>
      </c>
    </row>
    <row r="40" spans="1:19" ht="12.75" customHeight="1">
      <c r="A40" s="59">
        <f>+A39+1</f>
        <v>19</v>
      </c>
      <c r="B40" s="866"/>
      <c r="C40" s="867"/>
      <c r="D40" s="867"/>
      <c r="E40" s="48"/>
      <c r="F40" s="49"/>
      <c r="G40" s="47"/>
    </row>
    <row r="41" spans="1:19" ht="15.75" customHeight="1">
      <c r="A41" s="59">
        <f>+A40+1</f>
        <v>20</v>
      </c>
      <c r="B41" s="51"/>
      <c r="C41" s="1145" t="s">
        <v>631</v>
      </c>
      <c r="D41" s="62">
        <f>SUM(D36:D39)</f>
        <v>16895038.010000002</v>
      </c>
      <c r="E41" s="62">
        <f>SUM(E36:E39)</f>
        <v>16852711.240000002</v>
      </c>
      <c r="F41" s="62">
        <f>SUM(F36:F39)</f>
        <v>42326.770000000004</v>
      </c>
      <c r="G41" s="30"/>
    </row>
    <row r="42" spans="1:19" ht="12.75" customHeight="1">
      <c r="B42" s="51"/>
      <c r="C42" s="52"/>
      <c r="D42" s="66"/>
      <c r="E42" s="33"/>
      <c r="F42" s="33"/>
      <c r="G42" s="47"/>
    </row>
    <row r="43" spans="1:19">
      <c r="B43" s="53"/>
      <c r="C43" s="102" t="s">
        <v>212</v>
      </c>
      <c r="D43" s="33"/>
      <c r="E43" s="33"/>
      <c r="F43" s="33"/>
      <c r="G43" s="47"/>
    </row>
    <row r="44" spans="1:19">
      <c r="A44" s="59">
        <f>+A41+1</f>
        <v>21</v>
      </c>
      <c r="B44" s="1266" t="s">
        <v>917</v>
      </c>
      <c r="C44" s="867" t="s">
        <v>918</v>
      </c>
      <c r="D44" s="1267">
        <v>2372.13</v>
      </c>
      <c r="E44" s="45">
        <f>+D44</f>
        <v>2372.13</v>
      </c>
      <c r="F44" s="45">
        <v>0</v>
      </c>
      <c r="G44"/>
      <c r="M44" s="29"/>
      <c r="N44" s="64"/>
      <c r="O44" s="65"/>
      <c r="P44" s="65"/>
      <c r="Q44" s="65"/>
      <c r="R44" s="65"/>
      <c r="S44" s="31"/>
    </row>
    <row r="45" spans="1:19">
      <c r="A45" s="59">
        <f>+A44+1</f>
        <v>22</v>
      </c>
      <c r="B45" s="1266" t="s">
        <v>919</v>
      </c>
      <c r="C45" s="867" t="s">
        <v>920</v>
      </c>
      <c r="D45" s="1267">
        <v>31830.720000000001</v>
      </c>
      <c r="E45" s="45">
        <f t="shared" ref="E45:E57" si="1">+D45</f>
        <v>31830.720000000001</v>
      </c>
      <c r="F45" s="45">
        <v>0</v>
      </c>
      <c r="G45"/>
      <c r="M45" s="29"/>
      <c r="N45" s="64"/>
      <c r="O45" s="65"/>
      <c r="P45" s="65"/>
      <c r="Q45" s="65"/>
      <c r="R45" s="65"/>
      <c r="S45" s="31"/>
    </row>
    <row r="46" spans="1:19">
      <c r="A46" s="59">
        <f t="shared" ref="A46:A59" si="2">+A45+1</f>
        <v>23</v>
      </c>
      <c r="B46" s="1266" t="s">
        <v>921</v>
      </c>
      <c r="C46" s="867" t="s">
        <v>922</v>
      </c>
      <c r="D46" s="1267">
        <v>2500</v>
      </c>
      <c r="E46" s="45">
        <f t="shared" si="1"/>
        <v>2500</v>
      </c>
      <c r="F46" s="45">
        <v>0</v>
      </c>
      <c r="G46"/>
      <c r="M46" s="29"/>
      <c r="N46" s="64"/>
      <c r="O46" s="65"/>
      <c r="P46" s="65"/>
      <c r="Q46" s="65"/>
      <c r="R46" s="65"/>
      <c r="S46" s="31"/>
    </row>
    <row r="47" spans="1:19">
      <c r="A47" s="59">
        <f t="shared" si="2"/>
        <v>24</v>
      </c>
      <c r="B47" s="1266" t="s">
        <v>923</v>
      </c>
      <c r="C47" s="867" t="s">
        <v>924</v>
      </c>
      <c r="D47" s="1267">
        <v>0</v>
      </c>
      <c r="E47" s="45">
        <f t="shared" si="1"/>
        <v>0</v>
      </c>
      <c r="F47" s="45">
        <v>0</v>
      </c>
      <c r="G47"/>
      <c r="M47" s="29"/>
      <c r="N47" s="64"/>
      <c r="O47" s="65"/>
      <c r="P47" s="65"/>
      <c r="Q47" s="65"/>
      <c r="R47" s="65"/>
      <c r="S47" s="31"/>
    </row>
    <row r="48" spans="1:19">
      <c r="A48" s="59">
        <f>+A47+1</f>
        <v>25</v>
      </c>
      <c r="B48" s="1266" t="s">
        <v>925</v>
      </c>
      <c r="C48" s="867" t="s">
        <v>926</v>
      </c>
      <c r="D48" s="1267">
        <v>392.25</v>
      </c>
      <c r="E48" s="45">
        <f t="shared" si="1"/>
        <v>392.25</v>
      </c>
      <c r="F48" s="45">
        <v>0</v>
      </c>
      <c r="G48"/>
      <c r="M48" s="29"/>
      <c r="N48" s="64"/>
      <c r="O48" s="65"/>
      <c r="P48" s="65"/>
      <c r="Q48" s="65"/>
      <c r="R48" s="65"/>
      <c r="S48" s="31"/>
    </row>
    <row r="49" spans="1:19">
      <c r="A49" s="59">
        <f t="shared" si="2"/>
        <v>26</v>
      </c>
      <c r="B49" s="1266" t="s">
        <v>927</v>
      </c>
      <c r="C49" s="867" t="s">
        <v>928</v>
      </c>
      <c r="D49" s="1267">
        <v>0</v>
      </c>
      <c r="E49" s="45">
        <f t="shared" si="1"/>
        <v>0</v>
      </c>
      <c r="F49" s="45">
        <v>0</v>
      </c>
      <c r="G49"/>
      <c r="M49" s="29"/>
      <c r="N49" s="64"/>
      <c r="O49" s="65"/>
      <c r="P49" s="65"/>
      <c r="Q49" s="65"/>
      <c r="R49" s="65"/>
      <c r="S49" s="31"/>
    </row>
    <row r="50" spans="1:19">
      <c r="A50" s="59">
        <f t="shared" si="2"/>
        <v>27</v>
      </c>
      <c r="B50" s="1266" t="s">
        <v>929</v>
      </c>
      <c r="C50" s="867" t="s">
        <v>930</v>
      </c>
      <c r="D50" s="1267">
        <v>0</v>
      </c>
      <c r="E50" s="45">
        <f t="shared" si="1"/>
        <v>0</v>
      </c>
      <c r="F50" s="45">
        <v>0</v>
      </c>
      <c r="G50"/>
      <c r="M50" s="29"/>
      <c r="N50" s="64"/>
      <c r="O50" s="65"/>
      <c r="P50" s="65"/>
      <c r="Q50" s="65"/>
      <c r="R50" s="65"/>
      <c r="S50" s="31"/>
    </row>
    <row r="51" spans="1:19">
      <c r="A51" s="59">
        <f t="shared" si="2"/>
        <v>28</v>
      </c>
      <c r="B51" s="1266" t="s">
        <v>931</v>
      </c>
      <c r="C51" s="867" t="s">
        <v>932</v>
      </c>
      <c r="D51" s="1267">
        <v>0</v>
      </c>
      <c r="E51" s="45">
        <f t="shared" si="1"/>
        <v>0</v>
      </c>
      <c r="F51" s="45">
        <v>0</v>
      </c>
      <c r="G51"/>
      <c r="M51" s="29"/>
      <c r="N51" s="64"/>
      <c r="O51" s="65"/>
      <c r="P51" s="65"/>
      <c r="Q51" s="65"/>
      <c r="R51" s="65"/>
      <c r="S51" s="31"/>
    </row>
    <row r="52" spans="1:19">
      <c r="A52" s="59">
        <f>A51+1</f>
        <v>29</v>
      </c>
      <c r="B52" s="1266" t="s">
        <v>933</v>
      </c>
      <c r="C52" s="867" t="s">
        <v>934</v>
      </c>
      <c r="D52" s="1267">
        <v>1876.76</v>
      </c>
      <c r="E52" s="45">
        <f t="shared" si="1"/>
        <v>1876.76</v>
      </c>
      <c r="F52" s="45">
        <v>0</v>
      </c>
      <c r="G52"/>
      <c r="M52" s="29"/>
      <c r="N52" s="64"/>
      <c r="O52" s="65"/>
      <c r="P52" s="65"/>
      <c r="Q52" s="65"/>
      <c r="R52" s="65"/>
      <c r="S52" s="31"/>
    </row>
    <row r="53" spans="1:19">
      <c r="A53" s="59">
        <f>A52+1</f>
        <v>30</v>
      </c>
      <c r="B53" s="1266" t="s">
        <v>935</v>
      </c>
      <c r="C53" s="867" t="s">
        <v>936</v>
      </c>
      <c r="D53" s="1267">
        <v>0</v>
      </c>
      <c r="E53" s="45">
        <f t="shared" si="1"/>
        <v>0</v>
      </c>
      <c r="F53" s="45">
        <v>0</v>
      </c>
      <c r="G53"/>
      <c r="M53" s="29"/>
      <c r="N53" s="64"/>
      <c r="O53" s="65"/>
      <c r="P53" s="65"/>
      <c r="Q53" s="65"/>
      <c r="R53" s="65"/>
      <c r="S53" s="31"/>
    </row>
    <row r="54" spans="1:19">
      <c r="A54" s="59">
        <f>A53+1</f>
        <v>31</v>
      </c>
      <c r="B54" s="1266" t="s">
        <v>937</v>
      </c>
      <c r="C54" s="867" t="s">
        <v>938</v>
      </c>
      <c r="D54" s="1267">
        <v>119500.89</v>
      </c>
      <c r="E54" s="45">
        <f t="shared" si="1"/>
        <v>119500.89</v>
      </c>
      <c r="F54" s="45">
        <v>0</v>
      </c>
      <c r="G54"/>
      <c r="M54" s="29"/>
      <c r="N54" s="64"/>
      <c r="O54" s="65"/>
      <c r="P54" s="65"/>
      <c r="Q54" s="65"/>
      <c r="R54" s="65"/>
      <c r="S54" s="31"/>
    </row>
    <row r="55" spans="1:19">
      <c r="A55" s="59">
        <f>A54+1</f>
        <v>32</v>
      </c>
      <c r="B55" s="1266" t="s">
        <v>939</v>
      </c>
      <c r="C55" s="867" t="s">
        <v>940</v>
      </c>
      <c r="D55" s="1267">
        <v>0</v>
      </c>
      <c r="E55" s="45">
        <f t="shared" si="1"/>
        <v>0</v>
      </c>
      <c r="F55" s="45">
        <v>0</v>
      </c>
      <c r="G55"/>
      <c r="M55" s="29"/>
      <c r="N55" s="64"/>
      <c r="O55" s="65"/>
      <c r="P55" s="65"/>
      <c r="Q55" s="65"/>
      <c r="R55" s="65"/>
      <c r="S55" s="31"/>
    </row>
    <row r="56" spans="1:19">
      <c r="A56" s="59">
        <f t="shared" si="2"/>
        <v>33</v>
      </c>
      <c r="B56" s="1266" t="s">
        <v>941</v>
      </c>
      <c r="C56" s="867" t="s">
        <v>942</v>
      </c>
      <c r="D56" s="1267">
        <v>0</v>
      </c>
      <c r="E56" s="45">
        <f t="shared" si="1"/>
        <v>0</v>
      </c>
      <c r="F56" s="45">
        <v>0</v>
      </c>
      <c r="G56"/>
    </row>
    <row r="57" spans="1:19">
      <c r="A57" s="59">
        <f t="shared" si="2"/>
        <v>34</v>
      </c>
      <c r="B57" s="1266" t="s">
        <v>943</v>
      </c>
      <c r="C57" s="867" t="s">
        <v>944</v>
      </c>
      <c r="D57" s="1267">
        <v>44793.41</v>
      </c>
      <c r="E57" s="45">
        <f t="shared" si="1"/>
        <v>44793.41</v>
      </c>
      <c r="F57" s="45">
        <v>0</v>
      </c>
      <c r="G57" s="47"/>
    </row>
    <row r="58" spans="1:19">
      <c r="A58" s="59">
        <f t="shared" si="2"/>
        <v>35</v>
      </c>
      <c r="B58" s="866"/>
      <c r="C58" s="867"/>
      <c r="D58" s="868"/>
      <c r="E58" s="45"/>
      <c r="F58" s="50"/>
      <c r="G58" s="47"/>
    </row>
    <row r="59" spans="1:19">
      <c r="A59" s="59">
        <f t="shared" si="2"/>
        <v>36</v>
      </c>
      <c r="B59" s="866"/>
      <c r="C59" s="867"/>
      <c r="D59" s="868"/>
      <c r="E59" s="45"/>
      <c r="F59" s="50"/>
      <c r="G59" s="47"/>
    </row>
    <row r="60" spans="1:19">
      <c r="B60" s="46"/>
      <c r="C60" s="47"/>
      <c r="D60" s="55"/>
      <c r="E60" s="56"/>
      <c r="F60" s="55"/>
      <c r="G60" s="47"/>
    </row>
    <row r="61" spans="1:19">
      <c r="A61" s="59">
        <f>A59+1</f>
        <v>37</v>
      </c>
      <c r="B61" s="51"/>
      <c r="C61" s="1145" t="s">
        <v>632</v>
      </c>
      <c r="D61" s="57">
        <f>SUM(D44:D60)</f>
        <v>203266.16</v>
      </c>
      <c r="E61" s="57">
        <f>SUM(E44:E60)</f>
        <v>203266.16</v>
      </c>
      <c r="F61" s="57">
        <f>SUM(F44:F57)</f>
        <v>0</v>
      </c>
      <c r="G61" s="30"/>
    </row>
    <row r="62" spans="1:19" ht="12.75" customHeight="1">
      <c r="B62" s="39"/>
      <c r="C62" s="39"/>
      <c r="D62" s="39"/>
      <c r="E62" s="39"/>
      <c r="F62" s="39"/>
      <c r="G62" s="39"/>
    </row>
    <row r="63" spans="1:19">
      <c r="B63" s="37"/>
      <c r="C63" s="102" t="s">
        <v>211</v>
      </c>
      <c r="D63" s="58"/>
      <c r="E63" s="58"/>
      <c r="F63" s="58"/>
      <c r="G63" s="37"/>
    </row>
    <row r="64" spans="1:19">
      <c r="A64" s="59">
        <f>+A61+1</f>
        <v>38</v>
      </c>
      <c r="B64" s="1266" t="s">
        <v>945</v>
      </c>
      <c r="C64" s="867" t="s">
        <v>946</v>
      </c>
      <c r="D64" s="1267">
        <v>4087831.21</v>
      </c>
      <c r="E64" s="45">
        <f>+D64</f>
        <v>4087831.21</v>
      </c>
      <c r="F64" s="50">
        <v>0</v>
      </c>
      <c r="G64" s="29"/>
      <c r="H64" s="29"/>
      <c r="J64" s="31"/>
      <c r="K64" s="31"/>
    </row>
    <row r="65" spans="1:11">
      <c r="A65" s="59">
        <f>+A64+1</f>
        <v>39</v>
      </c>
      <c r="B65" s="1266" t="s">
        <v>947</v>
      </c>
      <c r="C65" s="867" t="s">
        <v>948</v>
      </c>
      <c r="D65" s="1267">
        <v>132402.71900000001</v>
      </c>
      <c r="E65" s="45">
        <f>+D65</f>
        <v>132402.71900000001</v>
      </c>
      <c r="F65" s="50">
        <v>0</v>
      </c>
      <c r="G65" s="29"/>
      <c r="H65" s="29"/>
      <c r="J65" s="31"/>
      <c r="K65" s="31"/>
    </row>
    <row r="66" spans="1:11">
      <c r="A66" s="59">
        <f>+A65+1</f>
        <v>40</v>
      </c>
      <c r="B66" s="1266" t="s">
        <v>949</v>
      </c>
      <c r="C66" s="867" t="s">
        <v>950</v>
      </c>
      <c r="D66" s="1267">
        <v>489.92</v>
      </c>
      <c r="E66" s="45">
        <f>+D66</f>
        <v>489.92</v>
      </c>
      <c r="F66" s="50">
        <v>0</v>
      </c>
      <c r="G66" s="29"/>
      <c r="H66" s="29"/>
      <c r="J66" s="31"/>
      <c r="K66" s="31"/>
    </row>
    <row r="67" spans="1:11">
      <c r="A67" s="59">
        <f>A66+1</f>
        <v>41</v>
      </c>
      <c r="B67" s="1266" t="s">
        <v>951</v>
      </c>
      <c r="C67" s="867" t="s">
        <v>952</v>
      </c>
      <c r="D67" s="1267">
        <v>0</v>
      </c>
      <c r="E67" s="45">
        <f>D67</f>
        <v>0</v>
      </c>
      <c r="F67" s="50">
        <v>0</v>
      </c>
      <c r="G67" s="29"/>
      <c r="H67" s="29"/>
      <c r="J67" s="31"/>
      <c r="K67" s="31"/>
    </row>
    <row r="68" spans="1:11">
      <c r="A68" s="59">
        <f>+A67+1</f>
        <v>42</v>
      </c>
      <c r="B68" s="1266" t="s">
        <v>953</v>
      </c>
      <c r="C68" s="867" t="s">
        <v>954</v>
      </c>
      <c r="D68" s="1267">
        <v>90821.91</v>
      </c>
      <c r="E68" s="45">
        <f>D68-F68</f>
        <v>90821.91</v>
      </c>
      <c r="F68" s="50">
        <v>0</v>
      </c>
      <c r="G68" s="39"/>
    </row>
    <row r="69" spans="1:11">
      <c r="A69" s="59">
        <f>A68+1</f>
        <v>43</v>
      </c>
      <c r="B69" s="1266" t="s">
        <v>955</v>
      </c>
      <c r="C69" s="867" t="s">
        <v>956</v>
      </c>
      <c r="D69" s="1267">
        <v>458677.85000000003</v>
      </c>
      <c r="E69" s="45">
        <f>D69-F69</f>
        <v>213910.85000000003</v>
      </c>
      <c r="F69" s="50">
        <v>244767</v>
      </c>
      <c r="G69" s="39"/>
    </row>
    <row r="70" spans="1:11">
      <c r="A70" s="59">
        <f>A69+1</f>
        <v>44</v>
      </c>
      <c r="B70" s="1266">
        <v>9302458</v>
      </c>
      <c r="C70" s="867" t="s">
        <v>957</v>
      </c>
      <c r="D70" s="1267">
        <v>0</v>
      </c>
      <c r="E70" s="45">
        <v>0</v>
      </c>
      <c r="F70" s="50">
        <v>0</v>
      </c>
      <c r="G70" s="39"/>
    </row>
    <row r="71" spans="1:11" ht="16" thickBot="1">
      <c r="B71" s="866"/>
      <c r="C71" s="867"/>
      <c r="D71" s="1268"/>
      <c r="E71" s="1269"/>
      <c r="F71" s="1270"/>
      <c r="G71" s="39"/>
    </row>
    <row r="72" spans="1:11">
      <c r="B72" s="300"/>
      <c r="C72" s="303"/>
      <c r="D72" s="304"/>
      <c r="E72" s="301"/>
      <c r="F72" s="301"/>
      <c r="G72" s="39"/>
    </row>
    <row r="73" spans="1:11">
      <c r="A73" s="59">
        <f>+A70+1</f>
        <v>45</v>
      </c>
      <c r="B73" s="39"/>
      <c r="C73" s="1145" t="s">
        <v>633</v>
      </c>
      <c r="D73" s="302">
        <f>SUM(D64:D70)</f>
        <v>4770223.6089999992</v>
      </c>
      <c r="E73" s="302">
        <f>SUM(E64:E70)</f>
        <v>4525456.6089999992</v>
      </c>
      <c r="F73" s="302">
        <f>SUM(F64:F70)</f>
        <v>244767</v>
      </c>
      <c r="G73" s="30"/>
    </row>
    <row r="74" spans="1:11">
      <c r="B74" s="90"/>
      <c r="C74" s="21"/>
      <c r="D74" s="298"/>
      <c r="E74" s="21"/>
      <c r="F74" s="21"/>
      <c r="G74" s="21"/>
    </row>
    <row r="75" spans="1:11" ht="13">
      <c r="A75"/>
      <c r="B75"/>
      <c r="C75"/>
      <c r="D75"/>
      <c r="E75"/>
      <c r="F75"/>
    </row>
    <row r="76" spans="1:11" ht="13">
      <c r="A76"/>
      <c r="B76"/>
      <c r="C76"/>
      <c r="D76"/>
      <c r="E76"/>
      <c r="F76"/>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249"/>
  <sheetViews>
    <sheetView view="pageBreakPreview" topLeftCell="A4" zoomScaleNormal="100" zoomScaleSheetLayoutView="100" workbookViewId="0">
      <selection activeCell="E11" sqref="E11"/>
    </sheetView>
  </sheetViews>
  <sheetFormatPr defaultRowHeight="12.5"/>
  <cols>
    <col min="2" max="2" width="32.54296875" customWidth="1"/>
    <col min="5" max="5" width="15" customWidth="1"/>
    <col min="6" max="6" width="12.81640625" bestFit="1" customWidth="1"/>
    <col min="7" max="7" width="10.81640625" customWidth="1"/>
    <col min="8" max="8" width="2.81640625" customWidth="1"/>
    <col min="9" max="9" width="16.54296875" bestFit="1" customWidth="1"/>
    <col min="10" max="10" width="2.1796875" customWidth="1"/>
    <col min="11" max="11" width="14.54296875" bestFit="1" customWidth="1"/>
    <col min="12" max="12" width="4.81640625" customWidth="1"/>
    <col min="13" max="13" width="16" bestFit="1" customWidth="1"/>
    <col min="14" max="14" width="2.1796875" customWidth="1"/>
    <col min="15" max="15" width="14.453125" bestFit="1" customWidth="1"/>
  </cols>
  <sheetData>
    <row r="1" spans="1:15" ht="15.5">
      <c r="A1" s="911" t="s">
        <v>115</v>
      </c>
    </row>
    <row r="2" spans="1:15" ht="15.5">
      <c r="A2" s="911" t="s">
        <v>115</v>
      </c>
    </row>
    <row r="3" spans="1:15" ht="15.5">
      <c r="A3" s="1499" t="s">
        <v>388</v>
      </c>
      <c r="B3" s="1499"/>
      <c r="C3" s="1499"/>
      <c r="D3" s="1499"/>
      <c r="E3" s="1499"/>
      <c r="F3" s="1499"/>
      <c r="G3" s="1499"/>
      <c r="H3" s="1499"/>
    </row>
    <row r="4" spans="1:15" ht="15.5">
      <c r="A4" s="1500" t="str">
        <f>"Cost of Service Formula Rate Using Actual/Projected FF1 Balances"</f>
        <v>Cost of Service Formula Rate Using Actual/Projected FF1 Balances</v>
      </c>
      <c r="B4" s="1500"/>
      <c r="C4" s="1500"/>
      <c r="D4" s="1500"/>
      <c r="E4" s="1500"/>
      <c r="F4" s="1500"/>
      <c r="G4" s="1500"/>
      <c r="H4" s="1500"/>
    </row>
    <row r="5" spans="1:15" ht="15.5">
      <c r="A5" s="1500" t="s">
        <v>529</v>
      </c>
      <c r="B5" s="1500"/>
      <c r="C5" s="1500"/>
      <c r="D5" s="1500"/>
      <c r="E5" s="1500"/>
      <c r="F5" s="1500"/>
      <c r="G5" s="1500"/>
      <c r="H5" s="1500"/>
    </row>
    <row r="6" spans="1:15" ht="15.5">
      <c r="A6" s="1511" t="str">
        <f>TCOS!F9</f>
        <v xml:space="preserve">Indiana Michigan Power Company </v>
      </c>
      <c r="B6" s="1511"/>
      <c r="C6" s="1511"/>
      <c r="D6" s="1511"/>
      <c r="E6" s="1511"/>
      <c r="F6" s="1511"/>
      <c r="G6" s="1511"/>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958</v>
      </c>
      <c r="C9" s="38"/>
      <c r="D9" s="41"/>
      <c r="E9" s="871">
        <v>5.8749999999999997E-2</v>
      </c>
      <c r="F9" s="2"/>
      <c r="G9" s="23"/>
      <c r="H9" s="23"/>
      <c r="L9" s="22"/>
    </row>
    <row r="10" spans="1:15" ht="15.5">
      <c r="A10" s="22"/>
      <c r="B10" s="17" t="s">
        <v>959</v>
      </c>
      <c r="C10" s="38"/>
      <c r="D10" s="38"/>
      <c r="E10" s="872">
        <v>0.69740000000000002</v>
      </c>
      <c r="F10" s="2"/>
      <c r="G10" s="23"/>
      <c r="H10" s="23"/>
      <c r="L10" s="22"/>
    </row>
    <row r="11" spans="1:15" ht="15.5">
      <c r="A11" s="22"/>
      <c r="B11" s="17" t="s">
        <v>449</v>
      </c>
      <c r="C11" s="38"/>
      <c r="D11" s="38"/>
      <c r="E11" s="310"/>
      <c r="F11" s="42">
        <f>ROUND(E9*E10,4)</f>
        <v>4.1000000000000002E-2</v>
      </c>
      <c r="G11" s="23"/>
      <c r="L11" s="22"/>
    </row>
    <row r="12" spans="1:15" ht="15.5">
      <c r="A12" s="22"/>
      <c r="B12" s="17"/>
      <c r="C12" s="38"/>
      <c r="D12" s="38"/>
      <c r="E12" s="310"/>
      <c r="F12" s="42"/>
      <c r="G12" s="23"/>
      <c r="L12" s="22"/>
    </row>
    <row r="13" spans="1:15" ht="15.5">
      <c r="A13" s="22"/>
      <c r="B13" s="17" t="s">
        <v>960</v>
      </c>
      <c r="C13" s="38"/>
      <c r="D13" s="41"/>
      <c r="E13" s="871">
        <v>0.06</v>
      </c>
      <c r="F13" s="2"/>
      <c r="G13" s="23"/>
      <c r="L13" s="22"/>
    </row>
    <row r="14" spans="1:15" ht="15.5">
      <c r="A14" s="22"/>
      <c r="B14" s="17" t="s">
        <v>959</v>
      </c>
      <c r="C14" s="38"/>
      <c r="D14" s="38"/>
      <c r="E14" s="872">
        <v>0.14750199999999999</v>
      </c>
      <c r="F14" s="2"/>
      <c r="G14" s="23"/>
      <c r="L14" s="22"/>
    </row>
    <row r="15" spans="1:15" ht="15.5">
      <c r="A15" s="22"/>
      <c r="B15" s="17" t="s">
        <v>449</v>
      </c>
      <c r="C15" s="38"/>
      <c r="D15" s="38"/>
      <c r="E15" s="310"/>
      <c r="F15" s="42">
        <f>ROUND(E13*E14,4)</f>
        <v>8.8999999999999999E-3</v>
      </c>
      <c r="G15" s="23"/>
      <c r="L15" s="22"/>
    </row>
    <row r="16" spans="1:15" ht="15.5">
      <c r="A16" s="22"/>
      <c r="B16" s="17"/>
      <c r="C16" s="38"/>
      <c r="D16" s="38"/>
      <c r="E16" s="310"/>
      <c r="F16" s="42"/>
      <c r="G16" s="23"/>
      <c r="L16" s="22"/>
    </row>
    <row r="17" spans="1:12" ht="15.5">
      <c r="A17" s="22"/>
      <c r="B17" s="17" t="s">
        <v>961</v>
      </c>
      <c r="C17" s="38"/>
      <c r="D17" s="41"/>
      <c r="E17" s="871">
        <v>6.5000000000000002E-2</v>
      </c>
      <c r="F17" s="2"/>
      <c r="G17" s="23"/>
      <c r="L17" s="22"/>
    </row>
    <row r="18" spans="1:12" ht="15.5">
      <c r="A18" s="22"/>
      <c r="B18" s="17" t="s">
        <v>959</v>
      </c>
      <c r="C18" s="38"/>
      <c r="D18" s="38"/>
      <c r="E18" s="872">
        <v>2.1454999999999998E-2</v>
      </c>
      <c r="F18" s="2"/>
      <c r="G18" s="23"/>
      <c r="L18" s="22"/>
    </row>
    <row r="19" spans="1:12" ht="15.5">
      <c r="A19" s="22"/>
      <c r="B19" s="17" t="s">
        <v>449</v>
      </c>
      <c r="C19" s="38"/>
      <c r="D19" s="38"/>
      <c r="E19" s="310"/>
      <c r="F19" s="42">
        <f>ROUND(E17*E18,4)</f>
        <v>1.4E-3</v>
      </c>
      <c r="G19" s="23"/>
      <c r="L19" s="22"/>
    </row>
    <row r="20" spans="1:12" ht="15.5">
      <c r="A20" s="22"/>
      <c r="B20" s="17"/>
      <c r="C20" s="38"/>
      <c r="D20" s="38"/>
      <c r="E20" s="310"/>
      <c r="F20" s="42"/>
      <c r="G20" s="23"/>
      <c r="L20" s="22"/>
    </row>
    <row r="21" spans="1:12" ht="15.5">
      <c r="A21" s="22"/>
      <c r="B21" s="17" t="s">
        <v>962</v>
      </c>
      <c r="C21" s="38"/>
      <c r="D21" s="41"/>
      <c r="E21" s="871">
        <v>0</v>
      </c>
      <c r="F21" s="43"/>
      <c r="G21" s="23"/>
      <c r="L21" s="22"/>
    </row>
    <row r="22" spans="1:12" ht="15.5">
      <c r="A22" s="22"/>
      <c r="B22" s="17" t="s">
        <v>963</v>
      </c>
      <c r="C22" s="38"/>
      <c r="D22" s="38"/>
      <c r="E22" s="871">
        <v>0</v>
      </c>
      <c r="F22" s="43"/>
      <c r="G22" s="23"/>
      <c r="L22" s="22"/>
    </row>
    <row r="23" spans="1:12" ht="15.5">
      <c r="A23" s="22"/>
      <c r="B23" s="17" t="s">
        <v>959</v>
      </c>
      <c r="C23" s="38"/>
      <c r="D23" s="38"/>
      <c r="E23" s="872">
        <v>0</v>
      </c>
      <c r="G23" s="23"/>
      <c r="L23" s="22"/>
    </row>
    <row r="24" spans="1:12" ht="15.5">
      <c r="A24" s="22"/>
      <c r="B24" s="17" t="s">
        <v>449</v>
      </c>
      <c r="C24" s="38"/>
      <c r="D24" s="38"/>
      <c r="E24" s="310"/>
      <c r="F24" s="42">
        <f>ROUND(E21*E22,4)</f>
        <v>0</v>
      </c>
      <c r="G24" s="23"/>
      <c r="L24" s="22"/>
    </row>
    <row r="25" spans="1:12" ht="15.5">
      <c r="A25" s="22"/>
      <c r="B25" s="17"/>
      <c r="C25" s="38"/>
      <c r="D25" s="41"/>
      <c r="G25" s="23"/>
      <c r="L25" s="22"/>
    </row>
    <row r="26" spans="1:12" ht="15.5">
      <c r="A26" s="22"/>
      <c r="B26" s="17" t="s">
        <v>964</v>
      </c>
      <c r="C26" s="38"/>
      <c r="D26" s="38"/>
      <c r="E26" s="871">
        <v>0.05</v>
      </c>
      <c r="F26" s="2"/>
      <c r="G26" s="23"/>
      <c r="L26" s="22"/>
    </row>
    <row r="27" spans="1:12" ht="15.5">
      <c r="A27" s="22"/>
      <c r="B27" s="17" t="s">
        <v>959</v>
      </c>
      <c r="C27" s="38"/>
      <c r="D27" s="38"/>
      <c r="E27" s="872">
        <v>1.1320999999999999E-2</v>
      </c>
      <c r="F27" s="2"/>
      <c r="G27" s="23"/>
      <c r="L27" s="22"/>
    </row>
    <row r="28" spans="1:12" ht="15.5">
      <c r="A28" s="22"/>
      <c r="B28" s="17" t="s">
        <v>449</v>
      </c>
      <c r="C28" s="38"/>
      <c r="D28" s="38"/>
      <c r="E28" s="310"/>
      <c r="F28" s="42">
        <f>ROUND(E26*E27,4)</f>
        <v>5.9999999999999995E-4</v>
      </c>
      <c r="G28" s="23"/>
      <c r="L28" s="22"/>
    </row>
    <row r="29" spans="1:12" ht="15.5">
      <c r="A29" s="22"/>
      <c r="B29" s="17"/>
      <c r="C29" s="38"/>
      <c r="D29" s="41"/>
      <c r="E29" s="310"/>
      <c r="F29" s="42"/>
      <c r="G29" s="23"/>
      <c r="L29" s="22"/>
    </row>
    <row r="30" spans="1:12" ht="15.5">
      <c r="A30" s="22"/>
      <c r="B30" s="17" t="s">
        <v>965</v>
      </c>
      <c r="C30" s="38"/>
      <c r="D30" s="38"/>
      <c r="E30" s="871">
        <v>6.25E-2</v>
      </c>
      <c r="F30" s="2"/>
      <c r="G30" s="23"/>
      <c r="L30" s="22"/>
    </row>
    <row r="31" spans="1:12" ht="15.5">
      <c r="A31" s="22"/>
      <c r="B31" s="17" t="s">
        <v>959</v>
      </c>
      <c r="C31" s="38"/>
      <c r="D31" s="38"/>
      <c r="E31" s="872">
        <v>5.0000000000000002E-5</v>
      </c>
      <c r="F31" s="2"/>
      <c r="G31" s="23"/>
      <c r="L31" s="22"/>
    </row>
    <row r="32" spans="1:12" ht="15.5">
      <c r="B32" s="17" t="s">
        <v>449</v>
      </c>
      <c r="E32" s="20"/>
      <c r="F32" s="42">
        <f>ROUND(E30*E31,4)</f>
        <v>0</v>
      </c>
    </row>
    <row r="33" spans="1:12" ht="15.5">
      <c r="A33" s="22"/>
      <c r="B33" s="17"/>
      <c r="C33" s="38"/>
      <c r="D33" s="38"/>
      <c r="E33" s="38"/>
      <c r="F33" s="43"/>
      <c r="G33" s="23"/>
      <c r="L33" s="22"/>
    </row>
    <row r="34" spans="1:12" ht="15.5">
      <c r="A34" s="22"/>
      <c r="B34" s="17" t="s">
        <v>966</v>
      </c>
      <c r="C34" s="20"/>
      <c r="D34" s="20"/>
      <c r="E34" s="871">
        <v>9.5000000000000001E-2</v>
      </c>
      <c r="F34" s="2"/>
      <c r="G34" s="23"/>
      <c r="L34" s="22"/>
    </row>
    <row r="35" spans="1:12" ht="15.5">
      <c r="A35" s="22"/>
      <c r="B35" s="17" t="s">
        <v>959</v>
      </c>
      <c r="E35" s="872">
        <v>1.6479000000000001E-2</v>
      </c>
      <c r="F35" s="2"/>
      <c r="G35" s="21"/>
      <c r="L35" s="22"/>
    </row>
    <row r="36" spans="1:12" ht="15.5">
      <c r="A36" s="22"/>
      <c r="B36" s="17" t="s">
        <v>449</v>
      </c>
      <c r="E36" s="20"/>
      <c r="F36" s="42">
        <f>ROUND(E34*E35,4)</f>
        <v>1.6000000000000001E-3</v>
      </c>
      <c r="G36" s="21"/>
      <c r="H36" s="21"/>
      <c r="L36" s="22"/>
    </row>
    <row r="37" spans="1:12">
      <c r="A37" s="22"/>
      <c r="G37" s="21"/>
      <c r="H37" s="21"/>
      <c r="L37" s="22"/>
    </row>
    <row r="38" spans="1:12" ht="21.75" customHeight="1" thickBot="1">
      <c r="A38" s="22"/>
      <c r="B38" s="20" t="s">
        <v>204</v>
      </c>
      <c r="C38" s="20"/>
      <c r="D38" s="20"/>
      <c r="E38" s="20"/>
      <c r="F38" s="136">
        <f>ROUND(SUM(F10:F37),4)</f>
        <v>5.3499999999999999E-2</v>
      </c>
      <c r="G38" s="21"/>
      <c r="H38" s="21"/>
      <c r="L38" s="22"/>
    </row>
    <row r="39" spans="1:12" ht="21.75" customHeight="1" thickTop="1">
      <c r="A39" s="2"/>
      <c r="B39" s="1540" t="s">
        <v>115</v>
      </c>
      <c r="C39" s="1540"/>
      <c r="D39" s="1540"/>
      <c r="E39" s="1540"/>
      <c r="F39" s="1540"/>
      <c r="G39" s="1540"/>
      <c r="H39" s="21"/>
      <c r="I39" s="19"/>
      <c r="L39" s="21"/>
    </row>
    <row r="40" spans="1:12" ht="12.75" customHeight="1">
      <c r="A40" s="21"/>
      <c r="B40" s="1540"/>
      <c r="C40" s="1540"/>
      <c r="D40" s="1540"/>
      <c r="E40" s="1540"/>
      <c r="F40" s="1540"/>
      <c r="G40" s="1540"/>
      <c r="H40" s="21"/>
      <c r="L40" s="21"/>
    </row>
    <row r="41" spans="1:12" ht="17.25" customHeight="1">
      <c r="A41" s="21"/>
      <c r="B41" s="1540"/>
      <c r="C41" s="1540"/>
      <c r="D41" s="1540"/>
      <c r="E41" s="1540"/>
      <c r="F41" s="1540"/>
      <c r="G41" s="1540"/>
      <c r="H41" s="21"/>
      <c r="I41" s="21"/>
      <c r="L41" s="21"/>
    </row>
    <row r="42" spans="1:12" ht="18" customHeight="1">
      <c r="A42" s="5" t="s">
        <v>500</v>
      </c>
      <c r="B42" s="5" t="s">
        <v>76</v>
      </c>
      <c r="C42" s="5"/>
      <c r="D42" s="5"/>
      <c r="E42" s="5"/>
      <c r="F42" s="5"/>
      <c r="G42" s="5"/>
      <c r="H42" s="21"/>
      <c r="I42" s="21"/>
      <c r="L42" s="21"/>
    </row>
    <row r="249" spans="2:2">
      <c r="B249" t="s">
        <v>115</v>
      </c>
    </row>
  </sheetData>
  <mergeCells count="5">
    <mergeCell ref="B39:G41"/>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76"/>
  <sheetViews>
    <sheetView view="pageBreakPreview" zoomScale="60" zoomScaleNormal="55" workbookViewId="0">
      <selection activeCell="A71" sqref="A71:XFD71"/>
    </sheetView>
  </sheetViews>
  <sheetFormatPr defaultColWidth="9.1796875" defaultRowHeight="15.5"/>
  <cols>
    <col min="1" max="1" width="7.453125" style="128" customWidth="1"/>
    <col min="2" max="2" width="1.54296875" style="129" customWidth="1"/>
    <col min="3" max="3" width="62.453125" style="129" customWidth="1"/>
    <col min="4" max="4" width="19.1796875" style="129" customWidth="1"/>
    <col min="5" max="5" width="22.54296875" style="123" bestFit="1" customWidth="1"/>
    <col min="6" max="6" width="1.54296875" style="114" customWidth="1"/>
    <col min="7" max="7" width="21.81640625" style="114" customWidth="1"/>
    <col min="8" max="8" width="1.54296875" style="114" customWidth="1"/>
    <col min="9" max="9" width="21.453125" style="114" customWidth="1"/>
    <col min="10" max="10" width="1.54296875" style="114" customWidth="1"/>
    <col min="11" max="11" width="19.453125" style="114" bestFit="1" customWidth="1"/>
    <col min="12" max="12" width="3.453125" style="114" customWidth="1"/>
    <col min="13" max="13" width="22.54296875" style="114" customWidth="1"/>
    <col min="14" max="14" width="1.453125" style="114" customWidth="1"/>
    <col min="15" max="15" width="22.1796875" style="221" customWidth="1"/>
    <col min="16" max="16384" width="9.1796875" style="114"/>
  </cols>
  <sheetData>
    <row r="1" spans="1:29">
      <c r="A1" s="911" t="s">
        <v>115</v>
      </c>
    </row>
    <row r="2" spans="1:29">
      <c r="A2" s="911" t="s">
        <v>115</v>
      </c>
    </row>
    <row r="3" spans="1:29" ht="18.75" customHeight="1">
      <c r="A3" s="1499" t="s">
        <v>388</v>
      </c>
      <c r="B3" s="1499"/>
      <c r="C3" s="1499"/>
      <c r="D3" s="1499"/>
      <c r="E3" s="1499"/>
      <c r="F3" s="1499"/>
      <c r="G3" s="1499"/>
      <c r="H3" s="1499"/>
      <c r="I3" s="1499"/>
      <c r="J3" s="1499"/>
      <c r="K3" s="1499"/>
      <c r="L3" s="1499"/>
      <c r="M3" s="1499"/>
    </row>
    <row r="4" spans="1:29" ht="18.75" customHeight="1">
      <c r="A4" s="1500" t="str">
        <f>"Cost of Service Formula Rate Using Actual/Projected FF1 Balances"</f>
        <v>Cost of Service Formula Rate Using Actual/Projected FF1 Balances</v>
      </c>
      <c r="B4" s="1500"/>
      <c r="C4" s="1500"/>
      <c r="D4" s="1500"/>
      <c r="E4" s="1500"/>
      <c r="F4" s="1500"/>
      <c r="G4" s="1500"/>
      <c r="H4" s="1500"/>
      <c r="I4" s="1500"/>
      <c r="J4" s="1500"/>
      <c r="K4" s="1500"/>
      <c r="L4" s="1500"/>
      <c r="M4" s="1500"/>
    </row>
    <row r="5" spans="1:29" ht="18.75" customHeight="1">
      <c r="A5" s="1500" t="s">
        <v>239</v>
      </c>
      <c r="B5" s="1500"/>
      <c r="C5" s="1500"/>
      <c r="D5" s="1500"/>
      <c r="E5" s="1500"/>
      <c r="F5" s="1500"/>
      <c r="G5" s="1500"/>
      <c r="H5" s="1500"/>
      <c r="I5" s="1500"/>
      <c r="J5" s="1500"/>
      <c r="K5" s="1500"/>
      <c r="L5" s="1500"/>
      <c r="M5" s="1500"/>
    </row>
    <row r="6" spans="1:29" ht="18.75" customHeight="1">
      <c r="A6" s="1507" t="str">
        <f>+TCOS!F9</f>
        <v xml:space="preserve">Indiana Michigan Power Company </v>
      </c>
      <c r="B6" s="1507"/>
      <c r="C6" s="1507"/>
      <c r="D6" s="1507"/>
      <c r="E6" s="1507"/>
      <c r="F6" s="1507"/>
      <c r="G6" s="1507"/>
      <c r="H6" s="1507"/>
      <c r="I6" s="1507"/>
      <c r="J6" s="1507"/>
      <c r="K6" s="1507"/>
      <c r="L6" s="1507"/>
      <c r="M6" s="1507"/>
    </row>
    <row r="7" spans="1:29" ht="18" customHeight="1">
      <c r="A7" s="1511"/>
      <c r="B7" s="1511"/>
      <c r="C7" s="1511"/>
      <c r="D7" s="1511"/>
      <c r="E7" s="1511"/>
      <c r="F7" s="1511"/>
      <c r="G7" s="1511"/>
      <c r="H7" s="1511"/>
      <c r="I7" s="1511"/>
      <c r="J7" s="1511"/>
      <c r="K7" s="1511"/>
      <c r="L7" s="1511"/>
      <c r="M7" s="1511"/>
    </row>
    <row r="8" spans="1:29" ht="18" customHeight="1">
      <c r="A8" s="1539"/>
      <c r="B8" s="1539"/>
      <c r="C8" s="1539"/>
      <c r="D8" s="1539"/>
      <c r="E8" s="1539"/>
      <c r="F8" s="1539"/>
      <c r="G8" s="1539"/>
      <c r="H8" s="1539"/>
      <c r="I8" s="1539"/>
      <c r="J8" s="1539"/>
      <c r="K8" s="1539"/>
      <c r="L8" s="1539"/>
      <c r="M8" s="1539"/>
    </row>
    <row r="9" spans="1:29" ht="18" customHeight="1">
      <c r="A9" s="163"/>
      <c r="B9" s="163"/>
      <c r="C9" s="163"/>
      <c r="D9" s="163"/>
      <c r="E9" s="163"/>
      <c r="F9" s="163"/>
      <c r="G9" s="163"/>
      <c r="H9" s="163"/>
      <c r="I9" s="163"/>
      <c r="J9" s="163"/>
      <c r="K9" s="163"/>
      <c r="L9" s="163"/>
      <c r="M9" s="163"/>
    </row>
    <row r="10" spans="1:29" ht="19.5" customHeight="1">
      <c r="A10" s="116"/>
      <c r="B10" s="117"/>
      <c r="C10" s="37" t="s">
        <v>163</v>
      </c>
      <c r="E10" s="37" t="s">
        <v>164</v>
      </c>
      <c r="G10" s="37" t="s">
        <v>165</v>
      </c>
      <c r="I10" s="37" t="s">
        <v>166</v>
      </c>
      <c r="K10" s="37" t="s">
        <v>85</v>
      </c>
      <c r="M10" s="37" t="s">
        <v>86</v>
      </c>
    </row>
    <row r="11" spans="1:29" ht="18">
      <c r="A11" s="205"/>
      <c r="B11" s="206"/>
      <c r="C11" s="206"/>
      <c r="D11" s="206"/>
      <c r="E11"/>
      <c r="F11"/>
      <c r="G11"/>
      <c r="H11"/>
      <c r="I11"/>
      <c r="J11"/>
      <c r="K11"/>
      <c r="L11"/>
      <c r="M11"/>
      <c r="Q11" s="40"/>
      <c r="R11" s="40"/>
      <c r="S11" s="40"/>
      <c r="T11" s="40"/>
      <c r="U11" s="40"/>
      <c r="V11" s="40"/>
      <c r="W11" s="40"/>
      <c r="X11" s="40"/>
      <c r="Y11" s="40"/>
      <c r="Z11" s="40"/>
      <c r="AA11" s="40"/>
      <c r="AB11" s="40"/>
      <c r="AC11" s="40"/>
    </row>
    <row r="12" spans="1:29" ht="18">
      <c r="A12" s="205" t="s">
        <v>170</v>
      </c>
      <c r="B12" s="206"/>
      <c r="C12" s="206"/>
      <c r="D12" s="206"/>
      <c r="E12" s="207" t="s">
        <v>119</v>
      </c>
      <c r="F12" s="205"/>
      <c r="G12" s="205"/>
      <c r="H12" s="205"/>
      <c r="I12" s="205"/>
      <c r="J12" s="205"/>
      <c r="K12" s="122"/>
      <c r="L12" s="122"/>
      <c r="M12" s="208"/>
    </row>
    <row r="13" spans="1:29" ht="18">
      <c r="A13" s="209" t="s">
        <v>118</v>
      </c>
      <c r="B13" s="206"/>
      <c r="C13" s="209" t="s">
        <v>307</v>
      </c>
      <c r="D13" s="206"/>
      <c r="E13" s="210" t="s">
        <v>184</v>
      </c>
      <c r="F13" s="205"/>
      <c r="G13" s="209" t="s">
        <v>310</v>
      </c>
      <c r="H13" s="205"/>
      <c r="I13" s="209" t="s">
        <v>162</v>
      </c>
      <c r="J13" s="205"/>
      <c r="K13" s="211" t="s">
        <v>182</v>
      </c>
      <c r="L13" s="212"/>
      <c r="M13" s="211" t="s">
        <v>311</v>
      </c>
    </row>
    <row r="14" spans="1:29" ht="17.5">
      <c r="A14" s="118"/>
      <c r="B14" s="117"/>
      <c r="C14" s="113"/>
      <c r="D14" s="113"/>
      <c r="E14" s="113" t="s">
        <v>69</v>
      </c>
      <c r="F14" s="113"/>
      <c r="G14" s="113"/>
      <c r="H14" s="113"/>
      <c r="I14" s="113"/>
      <c r="J14" s="113"/>
      <c r="K14" s="112"/>
      <c r="L14" s="112"/>
    </row>
    <row r="15" spans="1:29" ht="17.5">
      <c r="A15" s="116"/>
      <c r="B15" s="117"/>
      <c r="C15" s="117"/>
      <c r="D15" s="117"/>
      <c r="E15" s="119"/>
      <c r="F15" s="115"/>
      <c r="G15" s="115"/>
      <c r="H15" s="115"/>
      <c r="I15" s="111"/>
      <c r="J15" s="115"/>
      <c r="K15" s="112"/>
      <c r="L15" s="112"/>
    </row>
    <row r="16" spans="1:29" ht="17.5">
      <c r="A16" s="116">
        <v>1</v>
      </c>
      <c r="B16" s="117"/>
      <c r="C16" s="120" t="s">
        <v>324</v>
      </c>
      <c r="D16" s="117"/>
      <c r="E16" s="112"/>
      <c r="F16" s="112"/>
      <c r="G16" s="135"/>
      <c r="H16" s="135"/>
      <c r="I16" s="135"/>
      <c r="J16" s="135"/>
      <c r="K16" s="135"/>
      <c r="L16" s="135"/>
      <c r="M16" s="121"/>
    </row>
    <row r="17" spans="1:15" ht="17.5">
      <c r="A17" s="116">
        <f>+A16+1</f>
        <v>2</v>
      </c>
      <c r="B17" s="117"/>
      <c r="C17" s="115" t="s">
        <v>308</v>
      </c>
      <c r="D17" s="117"/>
      <c r="E17" s="1337">
        <f>'WS H-1-Detail of Tax Amts'!E15</f>
        <v>21159024</v>
      </c>
      <c r="F17" s="115"/>
      <c r="G17" s="1338"/>
      <c r="H17" s="1338"/>
      <c r="I17" s="1338"/>
      <c r="J17" s="1338"/>
      <c r="K17" s="1338"/>
      <c r="L17" s="1338"/>
      <c r="M17" s="1100">
        <f>+E17</f>
        <v>21159024</v>
      </c>
    </row>
    <row r="18" spans="1:15" ht="18">
      <c r="A18" s="116"/>
      <c r="B18" s="117"/>
      <c r="C18" s="1339"/>
      <c r="D18" s="117"/>
      <c r="E18" s="1340"/>
      <c r="F18" s="115"/>
      <c r="G18" s="1338"/>
      <c r="H18" s="1338"/>
      <c r="I18" s="1338"/>
      <c r="J18" s="1338"/>
      <c r="K18" s="1338"/>
      <c r="L18" s="1338"/>
      <c r="M18" s="1100"/>
    </row>
    <row r="19" spans="1:15" ht="18">
      <c r="A19" s="1107">
        <f>+A17+1</f>
        <v>3</v>
      </c>
      <c r="B19" s="1108"/>
      <c r="C19" s="1341" t="s">
        <v>325</v>
      </c>
      <c r="D19" s="117"/>
      <c r="E19" s="1340"/>
      <c r="F19" s="115"/>
      <c r="G19" s="1338"/>
      <c r="H19" s="1342"/>
      <c r="I19" s="1342"/>
      <c r="J19" s="1342"/>
      <c r="K19" s="1342"/>
      <c r="L19" s="1342"/>
      <c r="M19" s="1343"/>
    </row>
    <row r="20" spans="1:15" ht="17.5">
      <c r="A20" s="1107">
        <f>+A19+1</f>
        <v>4</v>
      </c>
      <c r="B20" s="1108"/>
      <c r="C20" s="115" t="s">
        <v>969</v>
      </c>
      <c r="D20" s="115"/>
      <c r="E20" s="1337">
        <f>'WS H-1-Detail of Tax Amts'!E28</f>
        <v>46562994</v>
      </c>
      <c r="F20" s="115"/>
      <c r="G20" s="1338">
        <f>+E20</f>
        <v>46562994</v>
      </c>
      <c r="H20" s="1342"/>
      <c r="I20" s="1342"/>
      <c r="J20" s="1342"/>
      <c r="K20" s="1342"/>
      <c r="L20" s="1342"/>
      <c r="M20" s="1343"/>
      <c r="O20"/>
    </row>
    <row r="21" spans="1:15" ht="17.5">
      <c r="A21" s="1107">
        <f>+A20+1</f>
        <v>5</v>
      </c>
      <c r="B21" s="1108"/>
      <c r="C21" s="115" t="s">
        <v>970</v>
      </c>
      <c r="D21" s="115"/>
      <c r="E21" s="1337">
        <f>'WS H-1-Detail of Tax Amts'!E38</f>
        <v>19071046</v>
      </c>
      <c r="F21" s="115"/>
      <c r="G21" s="1338">
        <f>+E21</f>
        <v>19071046</v>
      </c>
      <c r="H21" s="1342"/>
      <c r="I21" s="1342"/>
      <c r="J21" s="1342"/>
      <c r="K21" s="1342"/>
      <c r="L21" s="1342"/>
      <c r="M21" s="1343"/>
      <c r="O21"/>
    </row>
    <row r="22" spans="1:15" ht="17.5">
      <c r="A22" s="1107">
        <f>+A21+1</f>
        <v>6</v>
      </c>
      <c r="B22" s="1108"/>
      <c r="C22" s="115" t="s">
        <v>464</v>
      </c>
      <c r="D22" s="1337"/>
      <c r="E22" s="1337">
        <f>'WS H-1-Detail of Tax Amts'!E49</f>
        <v>23092</v>
      </c>
      <c r="F22" s="115"/>
      <c r="G22" s="1338">
        <f>+E22</f>
        <v>23092</v>
      </c>
      <c r="H22" s="1342"/>
      <c r="I22" s="1342"/>
      <c r="J22" s="1342"/>
      <c r="K22" s="1342"/>
      <c r="L22" s="1342"/>
      <c r="M22" s="1343"/>
      <c r="O22"/>
    </row>
    <row r="23" spans="1:15" ht="18">
      <c r="A23" s="116"/>
      <c r="B23" s="117"/>
      <c r="C23" s="1339"/>
      <c r="D23" s="117"/>
      <c r="E23" s="1340"/>
      <c r="F23" s="115"/>
      <c r="G23" s="1338"/>
      <c r="H23" s="1338"/>
      <c r="I23" s="1338"/>
      <c r="J23" s="1338"/>
      <c r="K23" s="1338"/>
      <c r="L23" s="1338"/>
      <c r="M23" s="1100"/>
      <c r="O23" s="222"/>
    </row>
    <row r="24" spans="1:15" ht="18">
      <c r="A24" s="116">
        <f>A22+1</f>
        <v>7</v>
      </c>
      <c r="B24" s="117"/>
      <c r="C24" s="1341" t="s">
        <v>326</v>
      </c>
      <c r="D24" s="117"/>
      <c r="E24" s="1340"/>
      <c r="F24" s="115"/>
      <c r="G24" s="1338"/>
      <c r="H24" s="1338"/>
      <c r="I24" s="1338"/>
      <c r="J24" s="1338"/>
      <c r="K24" s="1338"/>
      <c r="L24" s="1338"/>
      <c r="M24" s="1100"/>
      <c r="O24" s="222"/>
    </row>
    <row r="25" spans="1:15" ht="17.5">
      <c r="A25" s="116">
        <f>+A24+1</f>
        <v>8</v>
      </c>
      <c r="B25" s="117"/>
      <c r="C25" s="115" t="s">
        <v>322</v>
      </c>
      <c r="D25" s="117"/>
      <c r="E25" s="1337">
        <f>'WS H-1-Detail of Tax Amts'!E67</f>
        <v>12814839</v>
      </c>
      <c r="F25" s="115"/>
      <c r="G25" s="1338"/>
      <c r="H25" s="1338"/>
      <c r="I25" s="1338">
        <f>+E25</f>
        <v>12814839</v>
      </c>
      <c r="J25" s="1338"/>
      <c r="K25" s="1338"/>
      <c r="L25" s="1338"/>
      <c r="M25" s="1100"/>
      <c r="O25" s="222"/>
    </row>
    <row r="26" spans="1:15" ht="17.5">
      <c r="A26" s="116">
        <f>+A25+1</f>
        <v>9</v>
      </c>
      <c r="B26" s="117"/>
      <c r="C26" s="115" t="s">
        <v>315</v>
      </c>
      <c r="D26" s="117"/>
      <c r="E26" s="1337">
        <f>'WS H-1-Detail of Tax Amts'!E69</f>
        <v>72338</v>
      </c>
      <c r="F26" s="115"/>
      <c r="G26" s="115"/>
      <c r="H26" s="115"/>
      <c r="I26" s="1100">
        <f>+E26</f>
        <v>72338</v>
      </c>
      <c r="J26" s="115"/>
      <c r="K26" s="115"/>
      <c r="L26" s="115"/>
      <c r="M26" s="1100"/>
    </row>
    <row r="27" spans="1:15" ht="17.5">
      <c r="A27" s="116">
        <f>+A26+1</f>
        <v>10</v>
      </c>
      <c r="B27" s="117"/>
      <c r="C27" s="115" t="s">
        <v>316</v>
      </c>
      <c r="D27" s="117"/>
      <c r="E27" s="1337">
        <f>'WS H-1-Detail of Tax Amts'!E71</f>
        <v>389086</v>
      </c>
      <c r="F27" s="115"/>
      <c r="G27" s="115"/>
      <c r="H27" s="115"/>
      <c r="I27" s="1100">
        <f>+E27</f>
        <v>389086</v>
      </c>
      <c r="J27" s="119"/>
      <c r="K27" s="115"/>
      <c r="L27" s="115"/>
      <c r="M27" s="1100"/>
    </row>
    <row r="28" spans="1:15" ht="17.5">
      <c r="A28" s="116" t="s">
        <v>115</v>
      </c>
      <c r="B28" s="117"/>
      <c r="C28" s="115"/>
      <c r="D28" s="117"/>
      <c r="E28" s="1340"/>
      <c r="F28" s="115"/>
      <c r="G28" s="115"/>
      <c r="H28" s="115"/>
      <c r="I28" s="222"/>
      <c r="J28" s="130"/>
      <c r="K28" s="132"/>
      <c r="L28" s="132"/>
      <c r="M28" s="1100"/>
    </row>
    <row r="29" spans="1:15" ht="18">
      <c r="A29" s="116">
        <f>A27+1</f>
        <v>11</v>
      </c>
      <c r="B29" s="117"/>
      <c r="C29" s="1341" t="s">
        <v>441</v>
      </c>
      <c r="D29" s="117"/>
      <c r="E29" s="1340"/>
      <c r="F29" s="115"/>
      <c r="G29" s="115"/>
      <c r="H29" s="115"/>
      <c r="I29" s="222"/>
      <c r="J29" s="130"/>
      <c r="K29" s="132"/>
      <c r="L29" s="132"/>
      <c r="M29" s="1100"/>
    </row>
    <row r="30" spans="1:15" ht="17.5">
      <c r="A30" s="116">
        <f>A29+1</f>
        <v>12</v>
      </c>
      <c r="B30" s="117"/>
      <c r="C30" s="263" t="s">
        <v>442</v>
      </c>
      <c r="D30" s="1344"/>
      <c r="E30" s="1337">
        <f>'WS H-1-Detail of Tax Amts'!E77</f>
        <v>0</v>
      </c>
      <c r="F30" s="263"/>
      <c r="G30" s="115"/>
      <c r="H30" s="115"/>
      <c r="I30" s="222"/>
      <c r="J30" s="130"/>
      <c r="K30" s="132"/>
      <c r="L30" s="132"/>
      <c r="M30" s="1100">
        <f>E30</f>
        <v>0</v>
      </c>
    </row>
    <row r="31" spans="1:15" ht="17.5">
      <c r="A31" s="116"/>
      <c r="B31" s="117"/>
      <c r="C31" s="115"/>
      <c r="D31" s="117"/>
      <c r="E31" s="1340"/>
      <c r="F31" s="115"/>
      <c r="G31" s="115"/>
      <c r="H31" s="115"/>
      <c r="I31" s="222"/>
      <c r="J31" s="130"/>
      <c r="K31" s="132"/>
      <c r="L31" s="132"/>
      <c r="M31" s="1100"/>
    </row>
    <row r="32" spans="1:15" ht="18">
      <c r="A32" s="124">
        <f>+A30+1</f>
        <v>13</v>
      </c>
      <c r="B32" s="125"/>
      <c r="C32" s="1341" t="s">
        <v>323</v>
      </c>
      <c r="D32" s="1345"/>
      <c r="E32" s="1340"/>
      <c r="F32" s="115"/>
      <c r="G32" s="1100"/>
      <c r="H32" s="1100"/>
      <c r="I32" s="1100"/>
      <c r="J32" s="1100"/>
      <c r="K32" s="1100"/>
      <c r="L32" s="1100"/>
      <c r="M32" s="1100"/>
    </row>
    <row r="33" spans="1:13" ht="17.5">
      <c r="A33" s="124">
        <f>A32+1</f>
        <v>14</v>
      </c>
      <c r="B33" s="125"/>
      <c r="C33" s="115" t="s">
        <v>440</v>
      </c>
      <c r="D33" s="1345"/>
      <c r="E33" s="1337">
        <f>'WS H-1-Detail of Tax Amts'!E81</f>
        <v>0</v>
      </c>
      <c r="F33" s="263"/>
      <c r="G33" s="1100"/>
      <c r="H33" s="1100"/>
      <c r="I33" s="1100"/>
      <c r="J33" s="1100"/>
      <c r="K33" s="1100"/>
      <c r="L33" s="1100"/>
      <c r="M33" s="1100">
        <f>E33</f>
        <v>0</v>
      </c>
    </row>
    <row r="34" spans="1:13" ht="17.5">
      <c r="A34" s="116">
        <f>A33+1</f>
        <v>15</v>
      </c>
      <c r="B34" s="117"/>
      <c r="C34" s="115" t="s">
        <v>990</v>
      </c>
      <c r="D34" s="117"/>
      <c r="E34" s="1346">
        <f>'WS H-1-Detail of Tax Amts'!E85</f>
        <v>2553155</v>
      </c>
      <c r="F34" s="115"/>
      <c r="G34" s="1100"/>
      <c r="H34" s="1100"/>
      <c r="I34" s="1100"/>
      <c r="J34" s="1100"/>
      <c r="K34" s="1100">
        <f>+E34</f>
        <v>2553155</v>
      </c>
      <c r="L34" s="1100"/>
      <c r="M34" s="1100"/>
    </row>
    <row r="35" spans="1:13" ht="17.5">
      <c r="A35" s="116">
        <f t="shared" ref="A35:A41" si="0">+A34+1</f>
        <v>16</v>
      </c>
      <c r="B35" s="117"/>
      <c r="C35" s="115" t="s">
        <v>991</v>
      </c>
      <c r="D35" s="245"/>
      <c r="E35" s="1346">
        <f>'WS H-1-Detail of Tax Amts'!E90</f>
        <v>26789</v>
      </c>
      <c r="F35" s="115"/>
      <c r="G35" s="1346"/>
      <c r="H35" s="1346"/>
      <c r="I35" s="1346"/>
      <c r="J35" s="1346"/>
      <c r="K35" s="1100">
        <f>+E35</f>
        <v>26789</v>
      </c>
      <c r="L35" s="1346"/>
      <c r="M35" s="1100"/>
    </row>
    <row r="36" spans="1:13" ht="17.5">
      <c r="A36" s="116">
        <f>+A35+1</f>
        <v>17</v>
      </c>
      <c r="B36" s="117"/>
      <c r="C36" s="115" t="s">
        <v>992</v>
      </c>
      <c r="D36" s="245"/>
      <c r="E36" s="1346">
        <f>'WS H-1-Detail of Tax Amts'!E100</f>
        <v>423</v>
      </c>
      <c r="F36" s="115"/>
      <c r="G36" s="1100"/>
      <c r="H36" s="1100"/>
      <c r="I36" s="1100"/>
      <c r="J36" s="1100"/>
      <c r="K36" s="1100">
        <f>+E36</f>
        <v>423</v>
      </c>
      <c r="L36" s="1100"/>
      <c r="M36" s="1100"/>
    </row>
    <row r="37" spans="1:13" ht="17.5">
      <c r="A37" s="116">
        <f t="shared" si="0"/>
        <v>18</v>
      </c>
      <c r="B37" s="117"/>
      <c r="C37" s="115" t="s">
        <v>993</v>
      </c>
      <c r="D37" s="117"/>
      <c r="E37" s="1346">
        <f>'WS H-1-Detail of Tax Amts'!E107</f>
        <v>-13882</v>
      </c>
      <c r="F37" s="115"/>
      <c r="G37" s="1100"/>
      <c r="H37" s="1100"/>
      <c r="I37" s="1100"/>
      <c r="J37" s="1100"/>
      <c r="K37" s="1100">
        <f>+E37</f>
        <v>-13882</v>
      </c>
      <c r="L37" s="1100"/>
      <c r="M37" s="1100"/>
    </row>
    <row r="38" spans="1:13" ht="17.5">
      <c r="A38" s="116">
        <f t="shared" si="0"/>
        <v>19</v>
      </c>
      <c r="B38" s="117"/>
      <c r="C38" s="115" t="s">
        <v>994</v>
      </c>
      <c r="D38" s="117"/>
      <c r="E38" s="1346">
        <f>'WS H-1-Detail of Tax Amts'!E110</f>
        <v>136859</v>
      </c>
      <c r="F38" s="263"/>
      <c r="G38" s="1100"/>
      <c r="H38" s="1100"/>
      <c r="I38" s="1100"/>
      <c r="J38" s="1100"/>
      <c r="K38" s="1100"/>
      <c r="L38" s="1100"/>
      <c r="M38" s="1100">
        <f>+E38</f>
        <v>136859</v>
      </c>
    </row>
    <row r="39" spans="1:13" ht="17.5">
      <c r="A39" s="116">
        <f t="shared" si="0"/>
        <v>20</v>
      </c>
      <c r="B39" s="112"/>
      <c r="C39" s="115" t="s">
        <v>309</v>
      </c>
      <c r="D39" s="115"/>
      <c r="E39" s="1346">
        <f>'WS H-1-Detail of Tax Amts'!E116</f>
        <v>2445</v>
      </c>
      <c r="F39" s="115"/>
      <c r="G39" s="1100"/>
      <c r="H39" s="1100"/>
      <c r="I39" s="1100"/>
      <c r="J39" s="1100"/>
      <c r="K39" s="1100"/>
      <c r="L39" s="1100"/>
      <c r="M39" s="1100">
        <f>+E39</f>
        <v>2445</v>
      </c>
    </row>
    <row r="40" spans="1:13" ht="17.5">
      <c r="A40" s="116">
        <f t="shared" si="0"/>
        <v>21</v>
      </c>
      <c r="B40" s="112"/>
      <c r="C40" s="24" t="s">
        <v>1474</v>
      </c>
      <c r="D40" s="263"/>
      <c r="E40" s="1346">
        <f>'WS H-1-Detail of Tax Amts'!E119</f>
        <v>-239325</v>
      </c>
      <c r="F40" s="263"/>
      <c r="G40" s="1100"/>
      <c r="H40" s="1100"/>
      <c r="I40" s="1100"/>
      <c r="J40" s="1100"/>
      <c r="K40" s="1100"/>
      <c r="L40" s="1100"/>
      <c r="M40" s="1100">
        <f>+E40</f>
        <v>-239325</v>
      </c>
    </row>
    <row r="41" spans="1:13" ht="17.5">
      <c r="A41" s="116">
        <f t="shared" si="0"/>
        <v>22</v>
      </c>
      <c r="B41" s="112"/>
      <c r="C41" s="24"/>
      <c r="D41" s="263"/>
      <c r="E41" s="1346"/>
      <c r="F41" s="263"/>
      <c r="G41" s="1100"/>
      <c r="H41" s="1100"/>
      <c r="I41" s="1100"/>
      <c r="J41" s="1100"/>
      <c r="K41" s="1100"/>
      <c r="L41" s="1100"/>
      <c r="M41" s="1100"/>
    </row>
    <row r="42" spans="1:13" ht="18" thickBot="1">
      <c r="A42" s="116">
        <f>A41+1</f>
        <v>23</v>
      </c>
      <c r="B42" s="233"/>
      <c r="C42" s="115" t="s">
        <v>312</v>
      </c>
      <c r="D42" s="245"/>
      <c r="E42" s="1347">
        <f>SUM(E17:E40)</f>
        <v>102558883</v>
      </c>
      <c r="F42" s="115"/>
      <c r="G42" s="1347">
        <f>SUM(G17:G40)</f>
        <v>65657132</v>
      </c>
      <c r="H42" s="1348"/>
      <c r="I42" s="1347">
        <f>SUM(I17:I40)</f>
        <v>13276263</v>
      </c>
      <c r="J42" s="131"/>
      <c r="K42" s="1347">
        <f>SUM(K17:K40)</f>
        <v>2566485</v>
      </c>
      <c r="L42" s="132"/>
      <c r="M42" s="1347">
        <f>SUM(M17:M40)</f>
        <v>21059003</v>
      </c>
    </row>
    <row r="43" spans="1:13" ht="18" thickTop="1">
      <c r="A43" s="6"/>
      <c r="B43" s="233"/>
      <c r="C43" s="115" t="s">
        <v>382</v>
      </c>
      <c r="D43" s="245"/>
      <c r="E43" s="245"/>
      <c r="F43" s="115"/>
      <c r="G43" s="1348"/>
      <c r="H43" s="1348"/>
      <c r="I43" s="131"/>
      <c r="J43" s="131"/>
      <c r="K43" s="132"/>
      <c r="L43" s="132"/>
      <c r="M43" s="132"/>
    </row>
    <row r="44" spans="1:13" ht="17.5">
      <c r="A44" s="6"/>
      <c r="B44" s="233"/>
      <c r="C44" s="263" t="s">
        <v>80</v>
      </c>
      <c r="D44" s="245"/>
      <c r="E44" s="245"/>
      <c r="F44" s="115"/>
      <c r="G44" s="1348"/>
      <c r="H44" s="1348"/>
      <c r="I44" s="131"/>
      <c r="J44" s="131"/>
      <c r="K44" s="132"/>
      <c r="L44" s="132"/>
      <c r="M44" s="132"/>
    </row>
    <row r="45" spans="1:13" ht="18">
      <c r="A45" s="6"/>
      <c r="B45" s="233"/>
      <c r="C45" s="1541" t="s">
        <v>463</v>
      </c>
      <c r="D45" s="1541"/>
      <c r="E45" s="1541"/>
      <c r="F45" s="1541"/>
      <c r="G45" s="1541"/>
      <c r="H45" s="1541"/>
      <c r="I45" s="1541"/>
      <c r="J45" s="1541"/>
      <c r="K45" s="1541"/>
      <c r="L45" s="1541"/>
      <c r="M45" s="1541"/>
    </row>
    <row r="46" spans="1:13" ht="17.5">
      <c r="A46" s="116"/>
      <c r="C46" s="115"/>
      <c r="D46" s="115"/>
      <c r="E46" s="1349" t="s">
        <v>230</v>
      </c>
      <c r="F46" s="1350"/>
      <c r="G46" s="1349" t="s">
        <v>334</v>
      </c>
      <c r="H46" s="1349"/>
      <c r="I46" s="1349" t="s">
        <v>439</v>
      </c>
      <c r="J46" s="1349"/>
      <c r="K46" s="1349" t="s">
        <v>335</v>
      </c>
      <c r="L46" s="1349"/>
      <c r="M46" s="1349" t="s">
        <v>119</v>
      </c>
    </row>
    <row r="47" spans="1:13" ht="17.5">
      <c r="A47" s="159">
        <f>+A42+1</f>
        <v>24</v>
      </c>
      <c r="B47" s="160"/>
      <c r="C47" s="1351" t="str">
        <f>"Functionalized Net Plant (TCOS, Lns "&amp;TCOS!B90&amp;" thru "&amp;TCOS!B95&amp;")"</f>
        <v>Functionalized Net Plant (TCOS, Lns 41 thru 46)</v>
      </c>
      <c r="D47" s="263"/>
      <c r="E47" s="1352">
        <f>+TCOS!G90</f>
        <v>2792093316.6799989</v>
      </c>
      <c r="F47" s="1351"/>
      <c r="G47" s="1352">
        <f>+TCOS!G91</f>
        <v>1114031366.5415385</v>
      </c>
      <c r="H47" s="1351"/>
      <c r="I47" s="1352">
        <f>+TCOS!G92</f>
        <v>1680272790.9192307</v>
      </c>
      <c r="J47" s="1351"/>
      <c r="K47" s="1353">
        <f>+TCOS!G93</f>
        <v>125918406.19615382</v>
      </c>
      <c r="L47" s="263"/>
      <c r="M47" s="1354">
        <f>SUM(E47:K47)</f>
        <v>5712315880.3369217</v>
      </c>
    </row>
    <row r="48" spans="1:13" ht="18">
      <c r="A48" s="159"/>
      <c r="B48" s="160"/>
      <c r="C48" s="1339" t="s">
        <v>967</v>
      </c>
      <c r="D48" s="263"/>
      <c r="E48" s="1354"/>
      <c r="F48" s="263"/>
      <c r="G48" s="1355"/>
      <c r="H48" s="263"/>
      <c r="I48" s="1354"/>
      <c r="J48" s="263"/>
      <c r="K48" s="1356"/>
      <c r="L48" s="263"/>
      <c r="M48" s="1357"/>
    </row>
    <row r="49" spans="1:21" ht="17.5">
      <c r="A49" s="159">
        <f>+A47+1</f>
        <v>25</v>
      </c>
      <c r="B49" s="160"/>
      <c r="C49" s="263" t="str">
        <f>"Percentage of Plant in "&amp;C48&amp;""</f>
        <v>Percentage of Plant in MICHIGAN JURISDICTION</v>
      </c>
      <c r="D49" s="263"/>
      <c r="E49" s="1358">
        <v>0.82709999999999995</v>
      </c>
      <c r="F49" s="1359"/>
      <c r="G49" s="1358">
        <v>0.1636</v>
      </c>
      <c r="H49" s="1359"/>
      <c r="I49" s="1358">
        <v>0.18490000000000001</v>
      </c>
      <c r="J49" s="1355"/>
      <c r="K49" s="1358">
        <v>0.14990000000000001</v>
      </c>
      <c r="L49" s="263"/>
      <c r="M49" s="1357"/>
    </row>
    <row r="50" spans="1:21" ht="17.5">
      <c r="A50" s="159">
        <f t="shared" ref="A50:A56" si="1">+A49+1</f>
        <v>26</v>
      </c>
      <c r="B50" s="160"/>
      <c r="C50" s="1351" t="str">
        <f>"Net Plant in "&amp;C48&amp;" (Ln "&amp;A47&amp;" * Ln "&amp;A49&amp;")"</f>
        <v>Net Plant in MICHIGAN JURISDICTION (Ln 24 * Ln 25)</v>
      </c>
      <c r="D50" s="263"/>
      <c r="E50" s="1354">
        <f>+E47*E49</f>
        <v>2309340382.226027</v>
      </c>
      <c r="F50" s="263"/>
      <c r="G50" s="1354">
        <f>+G47*G49</f>
        <v>182255531.5661957</v>
      </c>
      <c r="H50" s="263"/>
      <c r="I50" s="1354">
        <f>+I47*I49</f>
        <v>310682439.0409658</v>
      </c>
      <c r="J50" s="263"/>
      <c r="K50" s="1354">
        <f>+K47*K49</f>
        <v>18875169.088803459</v>
      </c>
      <c r="L50" s="263"/>
      <c r="M50" s="1354">
        <f>SUM(E50:K50)</f>
        <v>2821153521.9219913</v>
      </c>
      <c r="O50"/>
    </row>
    <row r="51" spans="1:21" ht="17.5">
      <c r="A51" s="159">
        <f t="shared" si="1"/>
        <v>27</v>
      </c>
      <c r="B51" s="160"/>
      <c r="C51" s="1351" t="s">
        <v>226</v>
      </c>
      <c r="D51" s="263"/>
      <c r="E51" s="1360">
        <v>448826670</v>
      </c>
      <c r="F51" s="263"/>
      <c r="G51" s="1361"/>
      <c r="H51" s="263"/>
      <c r="I51" s="1361"/>
      <c r="J51" s="263"/>
      <c r="K51" s="1362"/>
      <c r="L51" s="263"/>
      <c r="M51" s="1354"/>
      <c r="O51"/>
    </row>
    <row r="52" spans="1:21" ht="17.5">
      <c r="A52" s="159">
        <f t="shared" si="1"/>
        <v>28</v>
      </c>
      <c r="B52" s="160"/>
      <c r="C52" s="263" t="str">
        <f>"Taxable Property Basis (Ln "&amp;A50&amp;" - Ln "&amp;A51&amp;")"</f>
        <v>Taxable Property Basis (Ln 26 - Ln 27)</v>
      </c>
      <c r="D52" s="263"/>
      <c r="E52" s="1354">
        <f>+E50-E51</f>
        <v>1860513712.226027</v>
      </c>
      <c r="F52" s="263"/>
      <c r="G52" s="1354">
        <f>+G50-G51</f>
        <v>182255531.5661957</v>
      </c>
      <c r="H52" s="263"/>
      <c r="I52" s="1354">
        <f>+I50-I51</f>
        <v>310682439.0409658</v>
      </c>
      <c r="J52" s="263"/>
      <c r="K52" s="1354">
        <f>+K50-K51</f>
        <v>18875169.088803459</v>
      </c>
      <c r="L52" s="263"/>
      <c r="M52" s="1354">
        <f>SUM(E52:K52)</f>
        <v>2372326851.9219918</v>
      </c>
      <c r="O52"/>
    </row>
    <row r="53" spans="1:21" ht="17.5">
      <c r="A53" s="159">
        <f t="shared" si="1"/>
        <v>29</v>
      </c>
      <c r="B53" s="160"/>
      <c r="C53" s="1346" t="s">
        <v>462</v>
      </c>
      <c r="D53" s="263"/>
      <c r="E53" s="1358">
        <v>1</v>
      </c>
      <c r="F53" s="1359"/>
      <c r="G53" s="1358">
        <v>1</v>
      </c>
      <c r="H53" s="1359"/>
      <c r="I53" s="1358">
        <v>1</v>
      </c>
      <c r="J53" s="1355"/>
      <c r="K53" s="1358">
        <v>1</v>
      </c>
      <c r="L53" s="263"/>
      <c r="M53" s="1363">
        <f>SUM(E53:K53)</f>
        <v>4</v>
      </c>
      <c r="O53"/>
    </row>
    <row r="54" spans="1:21" ht="17.5">
      <c r="A54" s="159">
        <f t="shared" si="1"/>
        <v>30</v>
      </c>
      <c r="B54" s="160"/>
      <c r="C54" s="1351" t="str">
        <f>"Weighted Net Plant (Ln "&amp;A52&amp;" * Ln "&amp;A53&amp;")"</f>
        <v>Weighted Net Plant (Ln 28 * Ln 29)</v>
      </c>
      <c r="D54" s="263"/>
      <c r="E54" s="1354">
        <f>+E52*E53</f>
        <v>1860513712.226027</v>
      </c>
      <c r="F54" s="263"/>
      <c r="G54" s="1354">
        <f>+G52*G53</f>
        <v>182255531.5661957</v>
      </c>
      <c r="H54" s="263"/>
      <c r="I54" s="1354">
        <f>+I52*I53</f>
        <v>310682439.0409658</v>
      </c>
      <c r="J54" s="263"/>
      <c r="K54" s="1354">
        <f>+K52*K53</f>
        <v>18875169.088803459</v>
      </c>
      <c r="L54" s="263"/>
      <c r="M54" s="1354"/>
      <c r="O54"/>
      <c r="P54"/>
      <c r="Q54"/>
      <c r="R54"/>
      <c r="S54"/>
      <c r="T54"/>
      <c r="U54"/>
    </row>
    <row r="55" spans="1:21" ht="17.5">
      <c r="A55" s="159">
        <f t="shared" si="1"/>
        <v>31</v>
      </c>
      <c r="B55" s="160"/>
      <c r="C55" s="263" t="str">
        <f>+"General Plant Allocator (Ln "&amp;A54&amp;" / (Total - General Plant))"</f>
        <v>General Plant Allocator (Ln 30 / (Total - General Plant))</v>
      </c>
      <c r="D55" s="263"/>
      <c r="E55" s="1364">
        <f>IF(E53=0,0,+E54/($E54+$G54+$I54))</f>
        <v>0.79054680654682441</v>
      </c>
      <c r="F55" s="263"/>
      <c r="G55" s="1364">
        <f>IF(G53=0,0,+G54/($E54+$G54+$I54))</f>
        <v>7.7441798739963291E-2</v>
      </c>
      <c r="H55" s="263"/>
      <c r="I55" s="1364">
        <f>IF(I53=0,0,+I54/($E54+$G54+$I54))</f>
        <v>0.1320113947132123</v>
      </c>
      <c r="J55" s="263"/>
      <c r="K55" s="1364">
        <v>-1</v>
      </c>
      <c r="L55" s="263"/>
      <c r="M55" s="263"/>
      <c r="O55"/>
      <c r="P55"/>
      <c r="Q55"/>
      <c r="R55"/>
      <c r="S55"/>
      <c r="T55"/>
      <c r="U55"/>
    </row>
    <row r="56" spans="1:21" ht="17.5">
      <c r="A56" s="159">
        <f t="shared" si="1"/>
        <v>32</v>
      </c>
      <c r="B56" s="160"/>
      <c r="C56" s="263" t="str">
        <f>"Functionalized General Plant (Ln "&amp;A55&amp;" * General Plant)"</f>
        <v>Functionalized General Plant (Ln 31 * General Plant)</v>
      </c>
      <c r="D56" s="263"/>
      <c r="E56" s="1365">
        <f>ROUND($K54*E55,0)</f>
        <v>14921705</v>
      </c>
      <c r="F56" s="263"/>
      <c r="G56" s="1365">
        <f>+G55*K54</f>
        <v>1461727.0457578937</v>
      </c>
      <c r="H56" s="263"/>
      <c r="I56" s="1365">
        <f>ROUND($K54*I55,0)</f>
        <v>2491737</v>
      </c>
      <c r="J56" s="263"/>
      <c r="K56" s="1365">
        <f>ROUND($K54*K55,0)</f>
        <v>-18875169</v>
      </c>
      <c r="L56" s="263"/>
      <c r="M56" s="1354">
        <f>IF(SUM(E56:K56)&lt;&gt;0,0,0)</f>
        <v>0</v>
      </c>
      <c r="O56"/>
      <c r="P56"/>
      <c r="Q56"/>
      <c r="R56"/>
      <c r="S56"/>
      <c r="T56"/>
      <c r="U56"/>
    </row>
    <row r="57" spans="1:21" ht="17.5">
      <c r="A57" s="159">
        <f>+A56+1</f>
        <v>33</v>
      </c>
      <c r="B57" s="160"/>
      <c r="C57" s="263" t="str">
        <f>"Weighted "&amp;C48&amp;" Plant (Ln "&amp;A54&amp;" + "&amp;A56&amp;")"</f>
        <v>Weighted MICHIGAN JURISDICTION Plant (Ln 30 + 32)</v>
      </c>
      <c r="D57" s="263"/>
      <c r="E57" s="1354">
        <f>+E54+E56</f>
        <v>1875435417.226027</v>
      </c>
      <c r="F57" s="263"/>
      <c r="G57" s="1356">
        <f>+G54+G56</f>
        <v>183717258.61195359</v>
      </c>
      <c r="H57" s="263"/>
      <c r="I57" s="1354">
        <f>+I54+I56</f>
        <v>313174176.0409658</v>
      </c>
      <c r="J57" s="263"/>
      <c r="K57" s="1354">
        <f>+K54+K56</f>
        <v>8.8803458958864212E-2</v>
      </c>
      <c r="L57" s="263"/>
      <c r="M57" s="1354">
        <f>SUM(E57:K57)-SUM(E56:K56)</f>
        <v>2372326851.9219918</v>
      </c>
      <c r="O57"/>
    </row>
    <row r="58" spans="1:21" ht="17.5">
      <c r="A58" s="159">
        <f>+A57+1</f>
        <v>34</v>
      </c>
      <c r="B58" s="160"/>
      <c r="C58" s="263" t="str">
        <f>"Functional Percentage (Ln "&amp;A57&amp;"/Total Ln "&amp;A57&amp;")"</f>
        <v>Functional Percentage (Ln 33/Total Ln 33)</v>
      </c>
      <c r="D58" s="263"/>
      <c r="E58" s="1355">
        <f>+E57/M57</f>
        <v>0.79054680669596711</v>
      </c>
      <c r="F58" s="263"/>
      <c r="G58" s="1366">
        <f>+G57/M57</f>
        <v>7.7441798739963291E-2</v>
      </c>
      <c r="H58" s="263"/>
      <c r="I58" s="1355">
        <f>+I57/M57</f>
        <v>0.13201139454592481</v>
      </c>
      <c r="J58" s="263"/>
      <c r="K58" s="245"/>
      <c r="L58" s="263"/>
      <c r="M58" s="1354"/>
      <c r="O58"/>
    </row>
    <row r="59" spans="1:21" ht="18">
      <c r="A59" s="159"/>
      <c r="B59" s="160"/>
      <c r="C59" s="1339" t="s">
        <v>968</v>
      </c>
      <c r="D59" s="263"/>
      <c r="E59" s="1354"/>
      <c r="F59" s="263"/>
      <c r="G59" s="1354"/>
      <c r="H59" s="263"/>
      <c r="I59" s="1354"/>
      <c r="J59" s="263"/>
      <c r="K59" s="1356"/>
      <c r="L59" s="263"/>
      <c r="M59" s="1354"/>
      <c r="O59"/>
    </row>
    <row r="60" spans="1:21" ht="17.5">
      <c r="A60" s="159">
        <f>+A58+1</f>
        <v>35</v>
      </c>
      <c r="B60" s="160"/>
      <c r="C60" s="263" t="str">
        <f>"Percentage of Plant in "&amp;C59&amp;""</f>
        <v>Percentage of Plant in INDIANA JURISDICTION</v>
      </c>
      <c r="D60" s="263"/>
      <c r="E60" s="1358">
        <v>0.1729</v>
      </c>
      <c r="F60" s="1359"/>
      <c r="G60" s="1358">
        <v>0.83640000000000003</v>
      </c>
      <c r="H60" s="1359"/>
      <c r="I60" s="1358">
        <v>0.81510000000000005</v>
      </c>
      <c r="J60" s="1355"/>
      <c r="K60" s="1358">
        <v>0.84860000000000002</v>
      </c>
      <c r="L60" s="263"/>
      <c r="M60" s="1367"/>
      <c r="O60"/>
    </row>
    <row r="61" spans="1:21" ht="17.5">
      <c r="A61" s="159">
        <f t="shared" ref="A61:A68" si="2">+A60+1</f>
        <v>36</v>
      </c>
      <c r="B61" s="160"/>
      <c r="C61" s="1351" t="str">
        <f>"Net Plant in "&amp;C59&amp;" (Ln "&amp;A47&amp;" * Ln "&amp;A60&amp;")"</f>
        <v>Net Plant in INDIANA JURISDICTION (Ln 24 * Ln 35)</v>
      </c>
      <c r="D61" s="245"/>
      <c r="E61" s="1354">
        <f>+E60*E47</f>
        <v>482752934.4539718</v>
      </c>
      <c r="F61" s="263"/>
      <c r="G61" s="1354">
        <f>+G60*G47</f>
        <v>931775834.97534287</v>
      </c>
      <c r="H61" s="263"/>
      <c r="I61" s="1354">
        <f>+I60*I47</f>
        <v>1369590351.8782649</v>
      </c>
      <c r="J61" s="263"/>
      <c r="K61" s="1354">
        <f>+K60*K47</f>
        <v>106854359.49805613</v>
      </c>
      <c r="L61" s="263"/>
      <c r="M61" s="1354">
        <f>SUM(E61:K61)</f>
        <v>2890973480.8056355</v>
      </c>
      <c r="O61"/>
    </row>
    <row r="62" spans="1:21" ht="17.5">
      <c r="A62" s="159">
        <f t="shared" si="2"/>
        <v>37</v>
      </c>
      <c r="B62" s="160"/>
      <c r="C62" s="1351" t="s">
        <v>226</v>
      </c>
      <c r="D62" s="245"/>
      <c r="E62" s="1360">
        <v>135862530</v>
      </c>
      <c r="F62" s="263"/>
      <c r="G62" s="1361"/>
      <c r="H62" s="263"/>
      <c r="I62" s="1361"/>
      <c r="J62" s="263"/>
      <c r="K62" s="1362"/>
      <c r="L62" s="263"/>
      <c r="M62" s="1354"/>
      <c r="O62"/>
    </row>
    <row r="63" spans="1:21" ht="17.5">
      <c r="A63" s="159">
        <f t="shared" si="2"/>
        <v>38</v>
      </c>
      <c r="B63" s="160"/>
      <c r="C63" s="263" t="str">
        <f>"Taxable Property Basis (Ln "&amp;A61&amp;" - Ln "&amp;A62&amp;")"</f>
        <v>Taxable Property Basis (Ln 36 - Ln 37)</v>
      </c>
      <c r="D63" s="245"/>
      <c r="E63" s="1354">
        <f>+E61-E62</f>
        <v>346890404.4539718</v>
      </c>
      <c r="F63" s="263"/>
      <c r="G63" s="1354">
        <f>+G61-G62</f>
        <v>931775834.97534287</v>
      </c>
      <c r="H63" s="263"/>
      <c r="I63" s="1354">
        <f>+I61-I62</f>
        <v>1369590351.8782649</v>
      </c>
      <c r="J63" s="263"/>
      <c r="K63" s="1354">
        <f>+K61-K62</f>
        <v>106854359.49805613</v>
      </c>
      <c r="L63" s="263"/>
      <c r="M63" s="1354">
        <f>SUM(E63:K63)</f>
        <v>2755110950.8056355</v>
      </c>
      <c r="O63"/>
    </row>
    <row r="64" spans="1:21" ht="17.5">
      <c r="A64" s="159">
        <f t="shared" si="2"/>
        <v>39</v>
      </c>
      <c r="B64" s="160"/>
      <c r="C64" s="1346" t="s">
        <v>462</v>
      </c>
      <c r="D64" s="245"/>
      <c r="E64" s="1358">
        <v>1</v>
      </c>
      <c r="F64" s="1359"/>
      <c r="G64" s="1358">
        <v>1</v>
      </c>
      <c r="H64" s="1359"/>
      <c r="I64" s="1358">
        <v>1</v>
      </c>
      <c r="J64" s="1355"/>
      <c r="K64" s="1358">
        <v>1</v>
      </c>
      <c r="L64" s="263"/>
      <c r="M64" s="1363">
        <f>SUM(E64:K64)</f>
        <v>4</v>
      </c>
      <c r="O64"/>
    </row>
    <row r="65" spans="1:15" ht="17.5">
      <c r="A65" s="159">
        <f t="shared" si="2"/>
        <v>40</v>
      </c>
      <c r="B65" s="160"/>
      <c r="C65" s="1351" t="str">
        <f>"Weighted Net Plant (Ln "&amp;A63&amp;" * Ln "&amp;A64&amp;")"</f>
        <v>Weighted Net Plant (Ln 38 * Ln 39)</v>
      </c>
      <c r="D65" s="245"/>
      <c r="E65" s="1354">
        <f>+E63*E64</f>
        <v>346890404.4539718</v>
      </c>
      <c r="F65" s="263"/>
      <c r="G65" s="1354">
        <f>+G63*G64</f>
        <v>931775834.97534287</v>
      </c>
      <c r="H65" s="263"/>
      <c r="I65" s="1354">
        <f>+I63*I64</f>
        <v>1369590351.8782649</v>
      </c>
      <c r="J65" s="263"/>
      <c r="K65" s="1354">
        <f>+K63*K64</f>
        <v>106854359.49805613</v>
      </c>
      <c r="L65" s="263"/>
      <c r="M65" s="1354"/>
      <c r="O65"/>
    </row>
    <row r="66" spans="1:15" ht="17.5">
      <c r="A66" s="159">
        <f t="shared" si="2"/>
        <v>41</v>
      </c>
      <c r="B66" s="160"/>
      <c r="C66" s="263" t="str">
        <f>+"General Plant Allocator (Ln "&amp;A65&amp;" / (Total - General Plant))"</f>
        <v>General Plant Allocator (Ln 40 / (Total - General Plant))</v>
      </c>
      <c r="D66" s="263"/>
      <c r="E66" s="1364">
        <f>IF(E64=0,0,+E65/($E65+$G65+$I65))</f>
        <v>0.1309882152630438</v>
      </c>
      <c r="F66" s="263"/>
      <c r="G66" s="1364">
        <f>IF(G64=0,0,+G65/($E65+$G65+$I65))</f>
        <v>0.35184499796346302</v>
      </c>
      <c r="H66" s="263"/>
      <c r="I66" s="1364">
        <f>IF(I64=0,0,+I65/($E65+$G65+$I65))</f>
        <v>0.51716678677349315</v>
      </c>
      <c r="J66" s="263"/>
      <c r="K66" s="1364">
        <v>-1</v>
      </c>
      <c r="L66" s="263"/>
      <c r="M66" s="263"/>
      <c r="O66"/>
    </row>
    <row r="67" spans="1:15" ht="17.5">
      <c r="A67" s="159">
        <f t="shared" si="2"/>
        <v>42</v>
      </c>
      <c r="B67" s="160"/>
      <c r="C67" s="263" t="str">
        <f>"Functionalized General Plant (Ln "&amp;A66&amp;" * General Plant)"</f>
        <v>Functionalized General Plant (Ln 41 * General Plant)</v>
      </c>
      <c r="D67" s="263"/>
      <c r="E67" s="1365">
        <f>ROUND($K65*E66,0)</f>
        <v>13996662</v>
      </c>
      <c r="F67" s="263"/>
      <c r="G67" s="1365">
        <f>+G66*K65</f>
        <v>37596171.899980702</v>
      </c>
      <c r="H67" s="263"/>
      <c r="I67" s="1365">
        <f>ROUND($K65*I66,0)</f>
        <v>55261526</v>
      </c>
      <c r="J67" s="263"/>
      <c r="K67" s="1365">
        <f>ROUND($K65*K66,0)</f>
        <v>-106854359</v>
      </c>
      <c r="L67" s="263"/>
      <c r="M67" s="1354">
        <f>IF(SUM(E67:K67)&lt;&gt;0,0,0)</f>
        <v>0</v>
      </c>
      <c r="O67"/>
    </row>
    <row r="68" spans="1:15" ht="17.5">
      <c r="A68" s="159">
        <f t="shared" si="2"/>
        <v>43</v>
      </c>
      <c r="B68" s="160"/>
      <c r="C68" s="263" t="str">
        <f>"Weighted "&amp;C59&amp;" Plant (Ln "&amp;A65&amp;" + "&amp;A67&amp;")"</f>
        <v>Weighted INDIANA JURISDICTION Plant (Ln 40 + 42)</v>
      </c>
      <c r="D68" s="263"/>
      <c r="E68" s="1354">
        <f>+E65+E67</f>
        <v>360887066.4539718</v>
      </c>
      <c r="F68" s="263"/>
      <c r="G68" s="1356">
        <f>+G65+G67</f>
        <v>969372006.87532353</v>
      </c>
      <c r="H68" s="263"/>
      <c r="I68" s="1354">
        <f>+I65+I67</f>
        <v>1424851877.8782649</v>
      </c>
      <c r="J68" s="263"/>
      <c r="K68" s="1354">
        <f>+K65+K67</f>
        <v>0.49805612862110138</v>
      </c>
      <c r="L68" s="263"/>
      <c r="M68" s="1354">
        <f>SUM(E68:K68)-SUM(E67:K67)</f>
        <v>2755110950.8056359</v>
      </c>
      <c r="O68"/>
    </row>
    <row r="69" spans="1:15" ht="17.5">
      <c r="A69" s="159">
        <f>+A68+1</f>
        <v>44</v>
      </c>
      <c r="B69" s="160"/>
      <c r="C69" s="263" t="str">
        <f>"Functional Percentage (Ln "&amp;A68&amp;"/Total Ln "&amp;A68&amp;")"</f>
        <v>Functional Percentage (Ln 43/Total Ln 43)</v>
      </c>
      <c r="D69" s="263"/>
      <c r="E69" s="1355">
        <f>+E68/M68</f>
        <v>0.13098821531976526</v>
      </c>
      <c r="F69" s="263"/>
      <c r="G69" s="1366">
        <f>+G68/M68</f>
        <v>0.35184499796346297</v>
      </c>
      <c r="H69" s="263"/>
      <c r="I69" s="1355">
        <f>+I68/M68</f>
        <v>0.51716678686265494</v>
      </c>
      <c r="J69" s="263"/>
      <c r="K69" s="245"/>
      <c r="L69" s="263"/>
      <c r="M69" s="1354"/>
      <c r="O69"/>
    </row>
    <row r="70" spans="1:15" ht="18">
      <c r="A70" s="159" t="s">
        <v>115</v>
      </c>
      <c r="B70" s="160"/>
      <c r="C70" s="1368" t="s">
        <v>115</v>
      </c>
      <c r="D70" s="263"/>
      <c r="E70" s="1369"/>
      <c r="F70" s="1370"/>
      <c r="G70" s="1371"/>
      <c r="H70" s="1370"/>
      <c r="I70" s="1369"/>
      <c r="J70" s="1370"/>
      <c r="K70" s="1372"/>
      <c r="L70" s="263"/>
      <c r="M70" s="1354"/>
      <c r="O70"/>
    </row>
    <row r="71" spans="1:15" ht="17.5" hidden="1">
      <c r="A71" s="159">
        <f>+A69+1</f>
        <v>45</v>
      </c>
      <c r="B71" s="160"/>
      <c r="C71" s="263" t="s">
        <v>989</v>
      </c>
      <c r="D71" s="263"/>
      <c r="E71" s="1369">
        <f>+E47-E50-E61</f>
        <v>0</v>
      </c>
      <c r="F71" s="1370"/>
      <c r="G71" s="1373">
        <f>+M71*TCOS!J95</f>
        <v>4303.8107882299391</v>
      </c>
      <c r="H71" s="1370"/>
      <c r="I71" s="1369">
        <f>+I47-I50-I61</f>
        <v>0</v>
      </c>
      <c r="J71" s="1370"/>
      <c r="K71" s="1369">
        <v>0</v>
      </c>
      <c r="L71" s="263"/>
      <c r="M71" s="1354">
        <f>G22</f>
        <v>23092</v>
      </c>
      <c r="O71"/>
    </row>
    <row r="72" spans="1:15" ht="17.5">
      <c r="A72" s="159"/>
      <c r="B72" s="160"/>
      <c r="C72" s="263"/>
      <c r="D72" s="263"/>
      <c r="E72" s="1373"/>
      <c r="F72" s="263"/>
      <c r="G72" s="1373"/>
      <c r="H72" s="263"/>
      <c r="I72" s="1373"/>
      <c r="J72" s="263"/>
      <c r="K72" s="245"/>
      <c r="L72" s="263"/>
      <c r="M72" s="1356"/>
      <c r="O72"/>
    </row>
    <row r="73" spans="1:15" ht="17.5">
      <c r="A73" s="159"/>
      <c r="B73" s="160"/>
      <c r="C73" s="263"/>
      <c r="D73" s="263"/>
      <c r="E73" s="1346"/>
      <c r="F73" s="1346"/>
      <c r="G73" s="1346"/>
      <c r="H73" s="1346"/>
      <c r="I73" s="1346"/>
      <c r="J73" s="263"/>
      <c r="K73" s="1373"/>
      <c r="L73" s="263"/>
      <c r="M73" s="1346"/>
      <c r="O73"/>
    </row>
    <row r="74" spans="1:15" ht="17.5">
      <c r="A74" s="159"/>
      <c r="B74" s="160"/>
      <c r="C74" s="263"/>
      <c r="D74" s="263"/>
      <c r="E74" s="1350"/>
      <c r="F74" s="1370"/>
      <c r="G74" s="1372"/>
      <c r="H74" s="1370"/>
      <c r="I74" s="1369"/>
      <c r="J74" s="1370"/>
      <c r="K74" s="1369"/>
      <c r="L74" s="263"/>
      <c r="M74" s="1354"/>
      <c r="O74"/>
    </row>
    <row r="75" spans="1:15" ht="12.5">
      <c r="O75"/>
    </row>
    <row r="76" spans="1:15" ht="12.5">
      <c r="G76" s="220"/>
      <c r="O76"/>
    </row>
  </sheetData>
  <mergeCells count="7">
    <mergeCell ref="A8:M8"/>
    <mergeCell ref="A7:M7"/>
    <mergeCell ref="C45:M45"/>
    <mergeCell ref="A3:M3"/>
    <mergeCell ref="A4:M4"/>
    <mergeCell ref="A5:M5"/>
    <mergeCell ref="A6:M6"/>
  </mergeCells>
  <phoneticPr fontId="72"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47"/>
  <sheetViews>
    <sheetView view="pageBreakPreview" topLeftCell="A25" zoomScale="70" zoomScaleNormal="70" zoomScaleSheetLayoutView="70" workbookViewId="0">
      <selection activeCell="S46" sqref="S46"/>
    </sheetView>
  </sheetViews>
  <sheetFormatPr defaultColWidth="9.1796875" defaultRowHeight="12.5"/>
  <cols>
    <col min="1" max="1" width="7.453125" style="128" customWidth="1"/>
    <col min="2" max="2" width="1.54296875" style="129" customWidth="1"/>
    <col min="3" max="3" width="68.54296875" style="129" customWidth="1"/>
    <col min="4" max="4" width="19.1796875" style="129" customWidth="1"/>
    <col min="5" max="5" width="20.453125" style="123" customWidth="1"/>
    <col min="6" max="6" width="20.453125" style="114" bestFit="1" customWidth="1"/>
    <col min="7" max="7" width="40.453125" style="114" bestFit="1" customWidth="1"/>
    <col min="8" max="8" width="13" style="114" bestFit="1" customWidth="1"/>
    <col min="9" max="9" width="34" style="114" customWidth="1"/>
    <col min="10" max="16384" width="9.1796875" style="114"/>
  </cols>
  <sheetData>
    <row r="1" spans="1:20" ht="15.5">
      <c r="A1" s="911" t="s">
        <v>115</v>
      </c>
    </row>
    <row r="2" spans="1:20" ht="15.5">
      <c r="A2" s="911" t="s">
        <v>115</v>
      </c>
    </row>
    <row r="3" spans="1:20" ht="18.75" customHeight="1">
      <c r="A3" s="1499" t="s">
        <v>388</v>
      </c>
      <c r="B3" s="1499"/>
      <c r="C3" s="1499"/>
      <c r="D3" s="1499"/>
      <c r="E3" s="1499"/>
      <c r="F3" s="1499"/>
    </row>
    <row r="4" spans="1:20" ht="18.75" customHeight="1">
      <c r="A4" s="1500" t="str">
        <f>"Cost of Service Formula Rate Using Actual/Projected FF1 Balances"</f>
        <v>Cost of Service Formula Rate Using Actual/Projected FF1 Balances</v>
      </c>
      <c r="B4" s="1500"/>
      <c r="C4" s="1500"/>
      <c r="D4" s="1500"/>
      <c r="E4" s="1500"/>
      <c r="F4" s="1500"/>
    </row>
    <row r="5" spans="1:20" ht="18.75" customHeight="1">
      <c r="A5" s="1500" t="s">
        <v>218</v>
      </c>
      <c r="B5" s="1500"/>
      <c r="C5" s="1500"/>
      <c r="D5" s="1500"/>
      <c r="E5" s="1500"/>
      <c r="F5" s="1500"/>
    </row>
    <row r="6" spans="1:20" ht="18" customHeight="1">
      <c r="A6" s="1507" t="str">
        <f>TCOS!F9</f>
        <v xml:space="preserve">Indiana Michigan Power Company </v>
      </c>
      <c r="B6" s="1500"/>
      <c r="C6" s="1500"/>
      <c r="D6" s="1500"/>
      <c r="E6" s="1500"/>
      <c r="F6" s="1500"/>
    </row>
    <row r="7" spans="1:20" ht="18" customHeight="1">
      <c r="A7" s="1511"/>
      <c r="B7" s="1511"/>
      <c r="C7" s="1511"/>
      <c r="D7" s="1511"/>
      <c r="E7" s="1511"/>
      <c r="F7" s="1511"/>
    </row>
    <row r="8" spans="1:20" ht="19.5" customHeight="1">
      <c r="A8" s="116"/>
      <c r="B8" s="117"/>
      <c r="C8" s="37" t="s">
        <v>163</v>
      </c>
      <c r="E8" s="37" t="s">
        <v>164</v>
      </c>
      <c r="F8" s="254" t="s">
        <v>165</v>
      </c>
      <c r="G8" s="254" t="s">
        <v>166</v>
      </c>
    </row>
    <row r="9" spans="1:20" ht="18">
      <c r="A9" s="205"/>
      <c r="B9" s="206"/>
      <c r="C9" s="206"/>
      <c r="D9" s="206"/>
      <c r="E9"/>
      <c r="F9" s="16"/>
      <c r="G9" s="255"/>
      <c r="H9" s="40"/>
      <c r="I9" s="40"/>
      <c r="J9" s="40"/>
      <c r="K9" s="40"/>
      <c r="L9" s="40"/>
      <c r="M9" s="40"/>
      <c r="N9" s="40"/>
      <c r="O9" s="40"/>
      <c r="P9" s="40"/>
      <c r="Q9" s="40"/>
      <c r="R9" s="40"/>
      <c r="S9" s="40"/>
      <c r="T9" s="40"/>
    </row>
    <row r="10" spans="1:20" ht="18">
      <c r="A10" s="205" t="s">
        <v>170</v>
      </c>
      <c r="B10" s="206"/>
      <c r="C10" s="206"/>
      <c r="D10" s="206"/>
      <c r="E10" s="207" t="s">
        <v>119</v>
      </c>
      <c r="F10" s="256" t="s">
        <v>77</v>
      </c>
      <c r="G10" s="257"/>
    </row>
    <row r="11" spans="1:20" ht="18">
      <c r="A11" s="209" t="s">
        <v>118</v>
      </c>
      <c r="B11" s="258"/>
      <c r="C11" s="209" t="s">
        <v>30</v>
      </c>
      <c r="D11" s="1110"/>
      <c r="E11" s="210" t="s">
        <v>184</v>
      </c>
      <c r="F11" s="209" t="s">
        <v>78</v>
      </c>
      <c r="G11" s="210" t="s">
        <v>79</v>
      </c>
      <c r="H11" s="1110"/>
      <c r="I11" s="1110"/>
    </row>
    <row r="12" spans="1:20" ht="18">
      <c r="A12" s="118"/>
      <c r="B12" s="117"/>
      <c r="C12" s="113"/>
      <c r="D12" s="113"/>
      <c r="E12" s="113"/>
      <c r="F12" s="256"/>
      <c r="G12" s="259"/>
      <c r="H12" s="260"/>
      <c r="I12" s="1111"/>
    </row>
    <row r="13" spans="1:20" ht="17.5">
      <c r="A13" s="116"/>
      <c r="B13" s="117"/>
      <c r="C13" s="117"/>
      <c r="D13" s="117"/>
      <c r="E13" s="119"/>
      <c r="F13" s="113"/>
    </row>
    <row r="14" spans="1:20" ht="17.5">
      <c r="A14" s="116">
        <v>1</v>
      </c>
      <c r="B14" s="117"/>
      <c r="C14" s="120" t="s">
        <v>324</v>
      </c>
      <c r="D14" s="117"/>
      <c r="E14" s="127"/>
      <c r="F14" s="115"/>
    </row>
    <row r="15" spans="1:20" ht="17.5">
      <c r="A15" s="116">
        <f>+A14+1</f>
        <v>2</v>
      </c>
      <c r="B15" s="117"/>
      <c r="C15" s="112" t="s">
        <v>308</v>
      </c>
      <c r="D15"/>
      <c r="E15" s="268">
        <f>SUM(F16:F21)</f>
        <v>21159024</v>
      </c>
      <c r="F15" s="127"/>
      <c r="G15" s="260"/>
      <c r="H15" s="260"/>
    </row>
    <row r="16" spans="1:20" ht="17.5">
      <c r="A16" s="116"/>
      <c r="B16" s="117"/>
      <c r="C16" s="122"/>
      <c r="D16"/>
      <c r="E16" s="267"/>
      <c r="F16" s="873">
        <v>-30176</v>
      </c>
      <c r="G16" s="874" t="s">
        <v>1449</v>
      </c>
      <c r="H16" s="260"/>
    </row>
    <row r="17" spans="1:13" ht="17.5">
      <c r="A17" s="116"/>
      <c r="B17" s="117"/>
      <c r="C17" s="122"/>
      <c r="D17"/>
      <c r="E17" s="267"/>
      <c r="F17" s="873">
        <v>20884000</v>
      </c>
      <c r="G17" s="874" t="s">
        <v>1450</v>
      </c>
      <c r="H17" s="260"/>
    </row>
    <row r="18" spans="1:13" ht="17.5">
      <c r="A18" s="116"/>
      <c r="B18" s="117"/>
      <c r="C18" s="122"/>
      <c r="D18"/>
      <c r="E18" s="267"/>
      <c r="F18" s="873">
        <v>993</v>
      </c>
      <c r="G18" s="874" t="s">
        <v>1027</v>
      </c>
      <c r="H18" s="260"/>
    </row>
    <row r="19" spans="1:13" ht="18" customHeight="1">
      <c r="A19" s="116"/>
      <c r="B19" s="117"/>
      <c r="C19" s="122"/>
      <c r="D19"/>
      <c r="E19" s="267"/>
      <c r="F19" s="873">
        <v>73473</v>
      </c>
      <c r="G19" s="874" t="s">
        <v>1446</v>
      </c>
      <c r="H19" s="260"/>
    </row>
    <row r="20" spans="1:13" ht="18" customHeight="1">
      <c r="A20" s="116"/>
      <c r="B20" s="117"/>
      <c r="C20" s="122"/>
      <c r="D20"/>
      <c r="E20" s="267"/>
      <c r="F20" s="873">
        <v>230734</v>
      </c>
      <c r="G20" s="874" t="s">
        <v>1448</v>
      </c>
      <c r="H20" s="260"/>
    </row>
    <row r="21" spans="1:13" ht="18" customHeight="1">
      <c r="A21" s="116"/>
      <c r="B21" s="117"/>
      <c r="C21" s="122"/>
      <c r="D21"/>
      <c r="E21" s="267"/>
      <c r="F21" s="873"/>
      <c r="G21" s="874"/>
      <c r="H21" s="260"/>
    </row>
    <row r="22" spans="1:13" ht="18" customHeight="1">
      <c r="A22" s="116"/>
      <c r="B22" s="117"/>
      <c r="C22" s="122"/>
      <c r="D22"/>
      <c r="E22" s="267"/>
      <c r="F22" s="913"/>
      <c r="G22" s="914"/>
      <c r="H22" s="260"/>
    </row>
    <row r="23" spans="1:13" ht="18" customHeight="1">
      <c r="A23" s="116"/>
      <c r="B23" s="117"/>
      <c r="C23" s="37" t="s">
        <v>163</v>
      </c>
      <c r="D23" s="37" t="s">
        <v>164</v>
      </c>
      <c r="E23" s="254" t="s">
        <v>165</v>
      </c>
      <c r="F23" s="254" t="s">
        <v>166</v>
      </c>
      <c r="G23" s="254" t="s">
        <v>85</v>
      </c>
      <c r="H23" s="1147" t="s">
        <v>86</v>
      </c>
      <c r="I23" s="254" t="s">
        <v>87</v>
      </c>
    </row>
    <row r="24" spans="1:13" ht="58.5" customHeight="1">
      <c r="A24" s="209"/>
      <c r="B24" s="258"/>
      <c r="C24" s="1148" t="s">
        <v>759</v>
      </c>
      <c r="D24" s="1149" t="s">
        <v>677</v>
      </c>
      <c r="E24" s="1150" t="s">
        <v>757</v>
      </c>
      <c r="F24" s="1151" t="s">
        <v>758</v>
      </c>
      <c r="G24" s="1152" t="s">
        <v>79</v>
      </c>
      <c r="H24" s="1150" t="s">
        <v>830</v>
      </c>
      <c r="I24" s="1151" t="s">
        <v>756</v>
      </c>
    </row>
    <row r="25" spans="1:13" ht="17.5">
      <c r="A25" s="116"/>
      <c r="B25" s="117"/>
      <c r="C25" s="313"/>
      <c r="D25" s="5"/>
      <c r="E25" s="267"/>
      <c r="F25" s="268"/>
      <c r="G25" s="1103"/>
      <c r="H25" s="260"/>
      <c r="I25" s="260"/>
    </row>
    <row r="26" spans="1:13" ht="33">
      <c r="A26" s="1101">
        <f>+A15+1</f>
        <v>3</v>
      </c>
      <c r="B26" s="1102"/>
      <c r="C26" s="1146" t="s">
        <v>755</v>
      </c>
      <c r="D26" s="1153"/>
      <c r="E26" s="1154">
        <f>E28+E38+E49+E56</f>
        <v>65657132</v>
      </c>
      <c r="F26" s="1155"/>
      <c r="G26" s="1112"/>
      <c r="H26" s="1156"/>
      <c r="I26" s="1154">
        <f>I28+I38+I49+I56</f>
        <v>9814909.2856994178</v>
      </c>
    </row>
    <row r="27" spans="1:13" ht="17.5">
      <c r="A27" s="116"/>
      <c r="B27" s="117"/>
      <c r="C27" s="120"/>
      <c r="D27"/>
      <c r="E27" s="267"/>
      <c r="F27" s="262"/>
      <c r="G27" s="1103"/>
      <c r="H27" s="1104"/>
      <c r="I27" s="1105"/>
    </row>
    <row r="28" spans="1:13" ht="17.5">
      <c r="A28" s="116">
        <f>+A26+1</f>
        <v>4</v>
      </c>
      <c r="B28" s="117"/>
      <c r="C28" s="1106" t="s">
        <v>969</v>
      </c>
      <c r="D28"/>
      <c r="E28" s="268">
        <f>SUM(F29:F37)</f>
        <v>46562994</v>
      </c>
      <c r="F28" s="262"/>
      <c r="G28" s="261"/>
      <c r="H28" s="263"/>
      <c r="I28" s="1100">
        <f>SUM(I29:I37)</f>
        <v>3103703.3485855069</v>
      </c>
    </row>
    <row r="29" spans="1:13" ht="17.5">
      <c r="A29" s="116"/>
      <c r="B29" s="117"/>
      <c r="C29" s="1106"/>
      <c r="D29" s="1332">
        <v>2012</v>
      </c>
      <c r="E29" s="268"/>
      <c r="F29" s="873">
        <v>7005</v>
      </c>
      <c r="G29" s="874" t="s">
        <v>1023</v>
      </c>
      <c r="H29" s="1098">
        <v>0.10025527875893758</v>
      </c>
      <c r="I29" s="1161">
        <f>+F29*H29</f>
        <v>702.28822770635782</v>
      </c>
      <c r="M29" s="1466"/>
    </row>
    <row r="30" spans="1:13" ht="17.5">
      <c r="A30" s="116"/>
      <c r="B30" s="117"/>
      <c r="C30" s="1106"/>
      <c r="D30" s="1332">
        <v>2017</v>
      </c>
      <c r="E30" s="268"/>
      <c r="F30" s="873">
        <v>443600</v>
      </c>
      <c r="G30" s="874" t="s">
        <v>1451</v>
      </c>
      <c r="H30" s="1098">
        <v>6.8654169600853118E-2</v>
      </c>
      <c r="I30" s="1161">
        <f>+F30*H30</f>
        <v>30454.989634938443</v>
      </c>
      <c r="M30" s="1466"/>
    </row>
    <row r="31" spans="1:13" ht="17.5">
      <c r="A31" s="116"/>
      <c r="B31" s="117"/>
      <c r="C31" s="1106"/>
      <c r="D31" s="1332">
        <v>2018</v>
      </c>
      <c r="E31" s="268"/>
      <c r="F31" s="873">
        <v>45797382</v>
      </c>
      <c r="G31" s="874" t="s">
        <v>1024</v>
      </c>
      <c r="H31" s="1098">
        <v>6.660004481518185E-2</v>
      </c>
      <c r="I31" s="1161">
        <f>+F31*H31</f>
        <v>3050107.6936180023</v>
      </c>
      <c r="M31" s="1466"/>
    </row>
    <row r="32" spans="1:13" ht="17.5">
      <c r="A32" s="116"/>
      <c r="B32" s="117"/>
      <c r="C32" s="1106"/>
      <c r="D32" s="1332">
        <v>2019</v>
      </c>
      <c r="E32" s="268"/>
      <c r="F32" s="873">
        <v>88000</v>
      </c>
      <c r="G32" s="874" t="s">
        <v>1022</v>
      </c>
      <c r="H32" s="1098">
        <f>'WS H Other Taxes'!G58</f>
        <v>7.7441798739963291E-2</v>
      </c>
      <c r="I32" s="1161">
        <f t="shared" ref="I32:I37" si="0">+F32*H32</f>
        <v>6814.8782891167693</v>
      </c>
      <c r="M32" s="1466"/>
    </row>
    <row r="33" spans="1:13" ht="17.5">
      <c r="A33" s="116"/>
      <c r="B33" s="117"/>
      <c r="C33" s="1106"/>
      <c r="D33" s="1332">
        <v>2017</v>
      </c>
      <c r="E33" s="268"/>
      <c r="F33" s="873">
        <v>-23209</v>
      </c>
      <c r="G33" s="874" t="s">
        <v>1452</v>
      </c>
      <c r="H33" s="1098">
        <v>6.8654169600853118E-2</v>
      </c>
      <c r="I33" s="1161">
        <f t="shared" si="0"/>
        <v>-1593.3946222662</v>
      </c>
      <c r="M33" s="1466"/>
    </row>
    <row r="34" spans="1:13" ht="17.5">
      <c r="A34" s="116"/>
      <c r="B34" s="117"/>
      <c r="C34" s="1106"/>
      <c r="D34" s="1332">
        <v>2019</v>
      </c>
      <c r="E34" s="268"/>
      <c r="F34" s="873">
        <v>50199</v>
      </c>
      <c r="G34" s="874" t="s">
        <v>1025</v>
      </c>
      <c r="H34" s="1098">
        <f>'WS H Other Taxes'!G58</f>
        <v>7.7441798739963291E-2</v>
      </c>
      <c r="I34" s="1161">
        <f t="shared" si="0"/>
        <v>3887.5008549474173</v>
      </c>
      <c r="M34" s="1466"/>
    </row>
    <row r="35" spans="1:13" ht="17.5">
      <c r="A35" s="116"/>
      <c r="B35" s="117"/>
      <c r="C35" s="1106"/>
      <c r="D35" s="1332">
        <v>2017</v>
      </c>
      <c r="E35" s="268"/>
      <c r="F35" s="873">
        <v>4017</v>
      </c>
      <c r="G35" s="874" t="s">
        <v>1026</v>
      </c>
      <c r="H35" s="1098">
        <v>6.8654169600853118E-2</v>
      </c>
      <c r="I35" s="1161">
        <f t="shared" si="0"/>
        <v>275.78379928662696</v>
      </c>
      <c r="M35" s="1466"/>
    </row>
    <row r="36" spans="1:13" ht="17.5">
      <c r="A36" s="116"/>
      <c r="B36" s="117"/>
      <c r="C36" s="1106"/>
      <c r="D36" s="1332">
        <v>2018</v>
      </c>
      <c r="E36" s="268"/>
      <c r="F36" s="873">
        <v>196000</v>
      </c>
      <c r="G36" s="874" t="s">
        <v>1453</v>
      </c>
      <c r="H36" s="1098">
        <v>6.660004481518185E-2</v>
      </c>
      <c r="I36" s="1161">
        <f t="shared" si="0"/>
        <v>13053.608783775642</v>
      </c>
      <c r="M36" s="1466"/>
    </row>
    <row r="37" spans="1:13" ht="17.5">
      <c r="A37" s="116"/>
      <c r="B37" s="117"/>
      <c r="C37" s="1106"/>
      <c r="D37" s="1332"/>
      <c r="E37" s="268"/>
      <c r="F37" s="873"/>
      <c r="G37" s="874"/>
      <c r="H37" s="1098"/>
      <c r="I37" s="1161">
        <f t="shared" si="0"/>
        <v>0</v>
      </c>
      <c r="M37" s="1466"/>
    </row>
    <row r="38" spans="1:13" ht="17.5">
      <c r="A38" s="116">
        <f>+A28+1</f>
        <v>5</v>
      </c>
      <c r="B38" s="117"/>
      <c r="C38" s="1106" t="s">
        <v>970</v>
      </c>
      <c r="D38"/>
      <c r="E38" s="268">
        <f>SUM(F39:F45)</f>
        <v>19071046</v>
      </c>
      <c r="F38" s="161"/>
      <c r="G38" s="261"/>
      <c r="H38" s="260"/>
      <c r="I38" s="1161">
        <f>SUM(I39:I47)</f>
        <v>6707092.7425879911</v>
      </c>
    </row>
    <row r="39" spans="1:13" ht="17.5">
      <c r="A39" s="116"/>
      <c r="B39" s="117"/>
      <c r="C39" s="1106"/>
      <c r="D39" s="1332">
        <v>2018</v>
      </c>
      <c r="E39" s="268"/>
      <c r="F39" s="873">
        <v>246646</v>
      </c>
      <c r="G39" s="874" t="s">
        <v>1016</v>
      </c>
      <c r="H39" s="1099">
        <v>0.339846431422277</v>
      </c>
      <c r="I39" s="1161">
        <f>F39*H39</f>
        <v>83821.762924578929</v>
      </c>
    </row>
    <row r="40" spans="1:13" ht="17.5">
      <c r="A40" s="116"/>
      <c r="B40" s="117"/>
      <c r="C40" s="1106"/>
      <c r="D40" s="1332">
        <v>2019</v>
      </c>
      <c r="E40" s="268"/>
      <c r="F40" s="873">
        <v>18196600</v>
      </c>
      <c r="G40" s="874" t="s">
        <v>1017</v>
      </c>
      <c r="H40" s="1099">
        <f>'WS H Other Taxes'!G69</f>
        <v>0.35184499796346297</v>
      </c>
      <c r="I40" s="1161">
        <f t="shared" ref="I40:I47" si="1">F40*H40</f>
        <v>6402382.6899419501</v>
      </c>
    </row>
    <row r="41" spans="1:13" ht="17.5">
      <c r="A41" s="116"/>
      <c r="B41" s="117"/>
      <c r="C41" s="1106"/>
      <c r="D41" s="1332">
        <v>2019</v>
      </c>
      <c r="E41" s="268"/>
      <c r="F41" s="873">
        <v>627800</v>
      </c>
      <c r="G41" s="874" t="s">
        <v>1018</v>
      </c>
      <c r="H41" s="1099">
        <f>'WS H Other Taxes'!G69</f>
        <v>0.35184499796346297</v>
      </c>
      <c r="I41" s="1161">
        <f t="shared" si="1"/>
        <v>220888.28972146206</v>
      </c>
    </row>
    <row r="42" spans="1:13" ht="17.5">
      <c r="A42" s="116"/>
      <c r="B42" s="117"/>
      <c r="C42" s="1106"/>
      <c r="D42" s="1332"/>
      <c r="E42" s="268"/>
      <c r="F42" s="873"/>
      <c r="G42" s="874"/>
      <c r="H42" s="1099"/>
      <c r="I42" s="1161">
        <f t="shared" si="1"/>
        <v>0</v>
      </c>
    </row>
    <row r="43" spans="1:13" ht="17.5">
      <c r="A43" s="116"/>
      <c r="B43" s="117"/>
      <c r="C43" s="1106"/>
      <c r="D43" s="1332"/>
      <c r="E43" s="268"/>
      <c r="F43" s="873"/>
      <c r="G43" s="874"/>
      <c r="H43" s="1099"/>
      <c r="I43" s="1161">
        <f t="shared" si="1"/>
        <v>0</v>
      </c>
    </row>
    <row r="44" spans="1:13" ht="17.5">
      <c r="A44" s="116"/>
      <c r="B44" s="117"/>
      <c r="C44" s="1106"/>
      <c r="D44" s="873"/>
      <c r="E44" s="268"/>
      <c r="F44" s="873"/>
      <c r="G44" s="874"/>
      <c r="H44" s="874"/>
      <c r="I44" s="1161">
        <f t="shared" si="1"/>
        <v>0</v>
      </c>
    </row>
    <row r="45" spans="1:13" ht="17.5">
      <c r="A45" s="116"/>
      <c r="B45" s="117"/>
      <c r="C45" s="1106"/>
      <c r="D45" s="873"/>
      <c r="E45" s="268"/>
      <c r="F45" s="873"/>
      <c r="G45" s="874"/>
      <c r="H45" s="874"/>
      <c r="I45" s="1161">
        <f t="shared" si="1"/>
        <v>0</v>
      </c>
    </row>
    <row r="46" spans="1:13" ht="17.5">
      <c r="A46" s="116"/>
      <c r="B46" s="117"/>
      <c r="C46" s="1106"/>
      <c r="D46" s="873"/>
      <c r="E46" s="268"/>
      <c r="F46" s="873"/>
      <c r="G46" s="874"/>
      <c r="H46" s="874"/>
      <c r="I46" s="1161">
        <f t="shared" si="1"/>
        <v>0</v>
      </c>
    </row>
    <row r="47" spans="1:13" ht="17.5">
      <c r="A47" s="116"/>
      <c r="B47" s="117"/>
      <c r="C47" s="1106"/>
      <c r="D47" s="873"/>
      <c r="E47" s="268"/>
      <c r="F47" s="873"/>
      <c r="G47" s="874"/>
      <c r="H47" s="874"/>
      <c r="I47" s="1161">
        <f t="shared" si="1"/>
        <v>0</v>
      </c>
    </row>
    <row r="48" spans="1:13" ht="17.5">
      <c r="A48" s="116"/>
      <c r="B48" s="117"/>
      <c r="C48" s="1106"/>
      <c r="D48" s="115"/>
      <c r="E48" s="268"/>
      <c r="F48" s="6"/>
      <c r="G48" s="306"/>
      <c r="H48" s="260"/>
      <c r="I48" s="260"/>
    </row>
    <row r="49" spans="1:9" ht="17.5">
      <c r="A49" s="116">
        <f>+A38+1</f>
        <v>6</v>
      </c>
      <c r="B49" s="117"/>
      <c r="C49" s="1106" t="s">
        <v>971</v>
      </c>
      <c r="D49" s="224"/>
      <c r="E49" s="268">
        <f>SUM(F50:F55)</f>
        <v>23092</v>
      </c>
      <c r="F49" s="127" t="s">
        <v>115</v>
      </c>
      <c r="G49" s="306" t="s">
        <v>115</v>
      </c>
      <c r="H49" s="260"/>
      <c r="I49" s="1161">
        <f>SUM(I50:I55)</f>
        <v>4113.1945259194381</v>
      </c>
    </row>
    <row r="50" spans="1:9" ht="17.5">
      <c r="A50" s="116"/>
      <c r="B50" s="117"/>
      <c r="C50" s="1106"/>
      <c r="D50" s="1332">
        <v>2018</v>
      </c>
      <c r="E50" s="268"/>
      <c r="F50" s="873">
        <v>6618</v>
      </c>
      <c r="G50" s="874" t="s">
        <v>1028</v>
      </c>
      <c r="H50" s="1099">
        <v>0.17810000000000001</v>
      </c>
      <c r="I50" s="1161">
        <f>F50*H50</f>
        <v>1178.6658</v>
      </c>
    </row>
    <row r="51" spans="1:9" ht="17.5">
      <c r="A51" s="116"/>
      <c r="B51" s="117"/>
      <c r="C51" s="1106"/>
      <c r="D51" s="1332">
        <v>2018</v>
      </c>
      <c r="E51" s="268"/>
      <c r="F51" s="873">
        <v>595</v>
      </c>
      <c r="G51" s="874" t="s">
        <v>1454</v>
      </c>
      <c r="H51" s="1098">
        <v>0.17813091695516806</v>
      </c>
      <c r="I51" s="1161">
        <f>F51*H51</f>
        <v>105.98789558832499</v>
      </c>
    </row>
    <row r="52" spans="1:9" ht="17.5">
      <c r="A52" s="116"/>
      <c r="B52" s="117"/>
      <c r="C52" s="1106"/>
      <c r="D52" s="1332">
        <v>2018</v>
      </c>
      <c r="E52" s="268"/>
      <c r="F52" s="873">
        <v>5134</v>
      </c>
      <c r="G52" s="874" t="s">
        <v>1455</v>
      </c>
      <c r="H52" s="1098">
        <v>0.17813091695516806</v>
      </c>
      <c r="I52" s="1161">
        <f t="shared" ref="I52:I54" si="2">F52*H52</f>
        <v>914.52412764783276</v>
      </c>
    </row>
    <row r="53" spans="1:9" ht="17.5">
      <c r="A53" s="116"/>
      <c r="B53" s="117"/>
      <c r="C53" s="1106"/>
      <c r="D53" s="1332">
        <v>2018</v>
      </c>
      <c r="E53" s="268"/>
      <c r="F53" s="873">
        <v>2415</v>
      </c>
      <c r="G53" s="874" t="s">
        <v>1456</v>
      </c>
      <c r="H53" s="1098">
        <v>0.17813091695516806</v>
      </c>
      <c r="I53" s="1161">
        <f t="shared" si="2"/>
        <v>430.18616444673086</v>
      </c>
    </row>
    <row r="54" spans="1:9" ht="17.5">
      <c r="A54" s="116"/>
      <c r="B54" s="117"/>
      <c r="C54" s="1106"/>
      <c r="D54" s="1332">
        <v>2018</v>
      </c>
      <c r="E54" s="268"/>
      <c r="F54" s="873">
        <v>1030</v>
      </c>
      <c r="G54" s="874" t="s">
        <v>1457</v>
      </c>
      <c r="H54" s="1098">
        <v>0.17813091695516806</v>
      </c>
      <c r="I54" s="1161">
        <f t="shared" si="2"/>
        <v>183.4748444638231</v>
      </c>
    </row>
    <row r="55" spans="1:9" ht="17.5">
      <c r="A55" s="116"/>
      <c r="B55" s="117"/>
      <c r="C55" s="1106"/>
      <c r="D55" s="1332">
        <v>2018</v>
      </c>
      <c r="E55" s="268"/>
      <c r="F55" s="873">
        <v>7300</v>
      </c>
      <c r="G55" s="874" t="s">
        <v>1458</v>
      </c>
      <c r="H55" s="1098">
        <v>0.17813091695516806</v>
      </c>
      <c r="I55" s="1161">
        <f>F55*H55</f>
        <v>1300.3556937727269</v>
      </c>
    </row>
    <row r="56" spans="1:9" ht="17.5">
      <c r="A56" s="116"/>
      <c r="B56" s="117"/>
      <c r="C56" s="1106"/>
      <c r="D56" s="224"/>
      <c r="E56" s="268">
        <f>SUM(F57:F59)</f>
        <v>0</v>
      </c>
      <c r="F56" s="305"/>
      <c r="G56" s="306"/>
      <c r="H56" s="260"/>
      <c r="I56" s="1162">
        <f>SUM(I57:I59)</f>
        <v>0</v>
      </c>
    </row>
    <row r="57" spans="1:9" ht="17.5">
      <c r="A57" s="116">
        <f>A49+1</f>
        <v>7</v>
      </c>
      <c r="B57" s="117"/>
      <c r="C57" s="1106" t="s">
        <v>464</v>
      </c>
      <c r="D57" s="873"/>
      <c r="E57" s="268"/>
      <c r="F57" s="873"/>
      <c r="G57" s="874"/>
      <c r="H57" s="874"/>
      <c r="I57" s="1161">
        <f>F57*H57</f>
        <v>0</v>
      </c>
    </row>
    <row r="58" spans="1:9" ht="17.5">
      <c r="A58" s="116"/>
      <c r="B58" s="117"/>
      <c r="C58" s="115"/>
      <c r="D58" s="873"/>
      <c r="E58" s="268"/>
      <c r="F58" s="873"/>
      <c r="G58" s="874"/>
      <c r="H58" s="874"/>
      <c r="I58" s="1161">
        <f>F58*H58</f>
        <v>0</v>
      </c>
    </row>
    <row r="59" spans="1:9" ht="17.5">
      <c r="A59" s="116"/>
      <c r="B59" s="117"/>
      <c r="C59" s="115"/>
      <c r="D59" s="873"/>
      <c r="E59" s="268"/>
      <c r="F59" s="873"/>
      <c r="G59" s="874"/>
      <c r="H59" s="874"/>
      <c r="I59" s="1161">
        <f>F59*H59</f>
        <v>0</v>
      </c>
    </row>
    <row r="60" spans="1:9" ht="17.5">
      <c r="A60" s="1113"/>
      <c r="B60" s="1114"/>
      <c r="C60" s="1115"/>
      <c r="D60" s="1116"/>
      <c r="E60" s="1117"/>
      <c r="F60" s="1116"/>
      <c r="G60" s="1118"/>
      <c r="H60" s="1118"/>
      <c r="I60" s="1119"/>
    </row>
    <row r="61" spans="1:9" ht="17.5">
      <c r="A61" s="116"/>
      <c r="B61" s="117"/>
      <c r="C61" s="115"/>
      <c r="D61" s="224"/>
      <c r="E61" s="268"/>
      <c r="F61" s="305"/>
      <c r="G61" s="306"/>
      <c r="H61" s="260"/>
    </row>
    <row r="62" spans="1:9" ht="17.5">
      <c r="A62" s="116"/>
      <c r="B62" s="117"/>
      <c r="C62" s="37" t="s">
        <v>163</v>
      </c>
      <c r="E62" s="37" t="s">
        <v>164</v>
      </c>
      <c r="F62" s="254" t="s">
        <v>165</v>
      </c>
      <c r="G62" s="254" t="s">
        <v>166</v>
      </c>
      <c r="H62" s="260"/>
    </row>
    <row r="63" spans="1:9" ht="18">
      <c r="A63" s="205"/>
      <c r="B63" s="206"/>
      <c r="C63" s="206"/>
      <c r="D63" s="206"/>
      <c r="E63"/>
      <c r="F63" s="16"/>
      <c r="G63" s="255"/>
      <c r="H63" s="260"/>
    </row>
    <row r="64" spans="1:9" ht="18">
      <c r="A64" s="205" t="s">
        <v>170</v>
      </c>
      <c r="B64" s="206"/>
      <c r="C64" s="206"/>
      <c r="D64" s="206"/>
      <c r="E64" s="207" t="s">
        <v>119</v>
      </c>
      <c r="F64" s="256" t="s">
        <v>77</v>
      </c>
      <c r="G64" s="257"/>
      <c r="H64" s="260"/>
    </row>
    <row r="65" spans="1:8" ht="18">
      <c r="A65" s="209" t="s">
        <v>118</v>
      </c>
      <c r="B65" s="258"/>
      <c r="C65" s="209" t="s">
        <v>30</v>
      </c>
      <c r="D65" s="1110"/>
      <c r="E65" s="210" t="s">
        <v>184</v>
      </c>
      <c r="F65" s="209" t="s">
        <v>78</v>
      </c>
      <c r="G65" s="210" t="s">
        <v>79</v>
      </c>
      <c r="H65" s="260"/>
    </row>
    <row r="66" spans="1:8" ht="17.5">
      <c r="A66" s="116">
        <f>+A57+1</f>
        <v>8</v>
      </c>
      <c r="B66" s="117"/>
      <c r="C66" s="120" t="s">
        <v>326</v>
      </c>
      <c r="D66" s="117"/>
      <c r="E66" s="267"/>
      <c r="F66" s="263" t="s">
        <v>115</v>
      </c>
      <c r="G66" s="261"/>
      <c r="H66" s="260"/>
    </row>
    <row r="67" spans="1:8" ht="17.5">
      <c r="A67" s="116">
        <f>+A66+1</f>
        <v>9</v>
      </c>
      <c r="B67" s="117"/>
      <c r="C67" s="115" t="s">
        <v>322</v>
      </c>
      <c r="D67" s="117"/>
      <c r="E67" s="268">
        <f>SUM(F68)</f>
        <v>12814839</v>
      </c>
      <c r="F67" s="264"/>
      <c r="G67" s="261"/>
      <c r="H67" s="260"/>
    </row>
    <row r="68" spans="1:8" ht="17.5">
      <c r="A68" s="116"/>
      <c r="B68" s="117"/>
      <c r="C68" s="115"/>
      <c r="D68" s="117"/>
      <c r="E68" s="268"/>
      <c r="F68" s="873">
        <v>12814839</v>
      </c>
      <c r="G68" s="874" t="s">
        <v>1010</v>
      </c>
      <c r="H68" s="260"/>
    </row>
    <row r="69" spans="1:8" ht="17.5">
      <c r="A69" s="116">
        <f>+A67+1</f>
        <v>10</v>
      </c>
      <c r="B69" s="117"/>
      <c r="C69" s="115" t="s">
        <v>315</v>
      </c>
      <c r="D69" s="117"/>
      <c r="E69" s="268">
        <f>SUM(F70)</f>
        <v>72338</v>
      </c>
      <c r="F69" s="127"/>
      <c r="G69" s="314"/>
      <c r="H69" s="260"/>
    </row>
    <row r="70" spans="1:8" ht="17.5">
      <c r="A70" s="116"/>
      <c r="B70" s="117"/>
      <c r="C70" s="115"/>
      <c r="D70" s="117"/>
      <c r="E70" s="268"/>
      <c r="F70" s="873">
        <v>72338</v>
      </c>
      <c r="G70" s="874" t="s">
        <v>1011</v>
      </c>
      <c r="H70" s="260"/>
    </row>
    <row r="71" spans="1:8" ht="17.5">
      <c r="A71" s="116">
        <f>+A69+1</f>
        <v>11</v>
      </c>
      <c r="B71" s="117"/>
      <c r="C71" s="115" t="s">
        <v>316</v>
      </c>
      <c r="D71" s="117"/>
      <c r="E71" s="268">
        <f>SUM(F72:F76)</f>
        <v>389086</v>
      </c>
      <c r="F71" s="127"/>
      <c r="G71" s="261"/>
      <c r="H71" s="260"/>
    </row>
    <row r="72" spans="1:8" ht="17.5">
      <c r="A72" s="116"/>
      <c r="B72" s="117"/>
      <c r="C72" s="115"/>
      <c r="D72" s="117"/>
      <c r="E72" s="268"/>
      <c r="F72" s="873">
        <v>35537</v>
      </c>
      <c r="G72" s="874" t="s">
        <v>1013</v>
      </c>
      <c r="H72" s="260"/>
    </row>
    <row r="73" spans="1:8" ht="17.5">
      <c r="A73" s="116"/>
      <c r="B73" s="117"/>
      <c r="C73" s="115"/>
      <c r="D73" s="117"/>
      <c r="E73" s="268"/>
      <c r="F73" s="873">
        <v>360938</v>
      </c>
      <c r="G73" s="874" t="s">
        <v>1019</v>
      </c>
      <c r="H73" s="260"/>
    </row>
    <row r="74" spans="1:8" ht="17.5">
      <c r="A74" s="116"/>
      <c r="B74" s="117"/>
      <c r="C74" s="115"/>
      <c r="D74" s="117"/>
      <c r="E74" s="268"/>
      <c r="F74" s="873">
        <v>-7389</v>
      </c>
      <c r="G74" s="874" t="s">
        <v>1459</v>
      </c>
      <c r="H74" s="260"/>
    </row>
    <row r="75" spans="1:8" ht="17.5">
      <c r="A75" s="114"/>
      <c r="B75" s="114"/>
      <c r="C75" s="114"/>
      <c r="D75" s="117"/>
      <c r="E75" s="267"/>
      <c r="F75" s="873"/>
      <c r="G75" s="874"/>
      <c r="H75" s="260"/>
    </row>
    <row r="76" spans="1:8" ht="17.5">
      <c r="A76" s="114"/>
      <c r="B76" s="114"/>
      <c r="C76" s="114"/>
      <c r="D76" s="117"/>
      <c r="E76" s="267"/>
      <c r="F76" s="873"/>
      <c r="G76" s="874"/>
      <c r="H76" s="260"/>
    </row>
    <row r="77" spans="1:8" ht="17.5">
      <c r="A77" s="116">
        <f>A71+1</f>
        <v>12</v>
      </c>
      <c r="B77" s="117"/>
      <c r="C77" s="120" t="s">
        <v>441</v>
      </c>
      <c r="D77" s="117"/>
      <c r="E77" s="268">
        <f>SUM(F78:F78)</f>
        <v>0</v>
      </c>
      <c r="F77" s="305"/>
      <c r="G77" s="306"/>
      <c r="H77" s="260"/>
    </row>
    <row r="78" spans="1:8" ht="17.5">
      <c r="A78" s="116">
        <f>+A77+1</f>
        <v>13</v>
      </c>
      <c r="B78" s="117"/>
      <c r="C78" s="127" t="s">
        <v>442</v>
      </c>
      <c r="D78" s="224"/>
      <c r="E78" s="268"/>
      <c r="F78" s="873"/>
      <c r="G78" s="874"/>
      <c r="H78" s="260"/>
    </row>
    <row r="79" spans="1:8" ht="17.5">
      <c r="A79" s="116"/>
      <c r="B79" s="117"/>
      <c r="C79" s="112"/>
      <c r="D79" s="117"/>
      <c r="E79" s="272"/>
      <c r="F79" s="305"/>
      <c r="G79" s="112"/>
      <c r="H79" s="260"/>
    </row>
    <row r="80" spans="1:8" ht="17.5">
      <c r="A80" s="124">
        <f>+A78+1</f>
        <v>14</v>
      </c>
      <c r="B80" s="117"/>
      <c r="C80" s="120" t="s">
        <v>323</v>
      </c>
      <c r="D80" s="126"/>
      <c r="E80" s="267"/>
      <c r="F80" s="127"/>
      <c r="G80" s="112"/>
      <c r="H80" s="260"/>
    </row>
    <row r="81" spans="1:8" ht="17.5">
      <c r="A81" s="124">
        <f>A80+1</f>
        <v>15</v>
      </c>
      <c r="B81" s="125"/>
      <c r="C81" s="112" t="s">
        <v>440</v>
      </c>
      <c r="D81" s="126"/>
      <c r="E81" s="268">
        <f>SUM(F82:F83)</f>
        <v>0</v>
      </c>
      <c r="F81" s="127"/>
      <c r="G81" s="112"/>
      <c r="H81" s="260"/>
    </row>
    <row r="82" spans="1:8" ht="17.5">
      <c r="A82" s="124"/>
      <c r="B82" s="125"/>
      <c r="C82" s="112"/>
      <c r="D82" s="114"/>
      <c r="E82" s="272"/>
      <c r="F82" s="873"/>
      <c r="G82" s="874"/>
      <c r="H82" s="260"/>
    </row>
    <row r="83" spans="1:8" ht="17.5">
      <c r="A83" s="124"/>
      <c r="B83" s="125"/>
      <c r="C83" s="112"/>
      <c r="D83" s="114"/>
      <c r="E83" s="272"/>
      <c r="F83" s="873"/>
      <c r="G83" s="874"/>
      <c r="H83" s="260"/>
    </row>
    <row r="84" spans="1:8" ht="17.5">
      <c r="A84" s="124"/>
      <c r="B84" s="125"/>
      <c r="C84" s="112"/>
      <c r="D84" s="114"/>
      <c r="E84" s="272"/>
      <c r="F84" s="873"/>
      <c r="G84" s="874"/>
      <c r="H84" s="260"/>
    </row>
    <row r="85" spans="1:8" ht="17.5">
      <c r="A85" s="116">
        <f>A81+1</f>
        <v>16</v>
      </c>
      <c r="B85" s="125"/>
      <c r="C85" s="112" t="s">
        <v>317</v>
      </c>
      <c r="D85" s="117"/>
      <c r="E85" s="268">
        <f>SUM(F86:F89)</f>
        <v>2553155</v>
      </c>
      <c r="F85" s="127"/>
      <c r="G85" s="112"/>
      <c r="H85" s="260"/>
    </row>
    <row r="86" spans="1:8" ht="17.5">
      <c r="A86" s="116"/>
      <c r="B86" s="125"/>
      <c r="C86" s="112"/>
      <c r="D86" s="117"/>
      <c r="E86" s="161"/>
      <c r="F86" s="873">
        <v>935414</v>
      </c>
      <c r="G86" s="874" t="s">
        <v>1015</v>
      </c>
      <c r="H86" s="260"/>
    </row>
    <row r="87" spans="1:8" ht="17.5">
      <c r="A87" s="116"/>
      <c r="B87" s="125"/>
      <c r="C87" s="112"/>
      <c r="D87" s="117"/>
      <c r="E87" s="161"/>
      <c r="F87" s="873">
        <v>774550</v>
      </c>
      <c r="G87" s="874" t="s">
        <v>1460</v>
      </c>
      <c r="H87" s="260"/>
    </row>
    <row r="88" spans="1:8" ht="17.5">
      <c r="A88" s="116"/>
      <c r="B88" s="125"/>
      <c r="C88" s="112"/>
      <c r="D88" s="117"/>
      <c r="E88" s="161"/>
      <c r="F88" s="873">
        <v>566396</v>
      </c>
      <c r="G88" s="874" t="s">
        <v>1020</v>
      </c>
      <c r="H88" s="260"/>
    </row>
    <row r="89" spans="1:8" ht="17.5">
      <c r="A89" s="116"/>
      <c r="B89" s="125"/>
      <c r="C89" s="112"/>
      <c r="D89" s="117"/>
      <c r="E89" s="161"/>
      <c r="F89" s="873">
        <v>276795</v>
      </c>
      <c r="G89" s="874" t="s">
        <v>1021</v>
      </c>
      <c r="H89" s="260"/>
    </row>
    <row r="90" spans="1:8" ht="17.5">
      <c r="A90" s="116">
        <f>+A85+1</f>
        <v>17</v>
      </c>
      <c r="B90" s="117"/>
      <c r="C90" s="112" t="s">
        <v>318</v>
      </c>
      <c r="D90"/>
      <c r="E90" s="268">
        <f>SUM(F91:F98)</f>
        <v>26789</v>
      </c>
      <c r="H90" s="260"/>
    </row>
    <row r="91" spans="1:8" ht="17.5">
      <c r="A91" s="116"/>
      <c r="B91" s="117"/>
      <c r="C91" s="112"/>
      <c r="D91"/>
      <c r="E91" s="161"/>
      <c r="F91" s="873">
        <v>34689</v>
      </c>
      <c r="G91" s="874" t="s">
        <v>1461</v>
      </c>
      <c r="H91" s="260"/>
    </row>
    <row r="92" spans="1:8" ht="17.5">
      <c r="A92" s="116"/>
      <c r="B92" s="117"/>
      <c r="C92" s="112"/>
      <c r="D92"/>
      <c r="E92" s="161"/>
      <c r="F92" s="873">
        <v>-7900</v>
      </c>
      <c r="G92" s="874" t="s">
        <v>1462</v>
      </c>
      <c r="H92" s="260"/>
    </row>
    <row r="93" spans="1:8" ht="17.5">
      <c r="A93" s="116"/>
      <c r="B93" s="117"/>
      <c r="C93" s="112"/>
      <c r="D93"/>
      <c r="E93" s="161"/>
      <c r="F93" s="873"/>
      <c r="G93" s="874"/>
      <c r="H93" s="260"/>
    </row>
    <row r="94" spans="1:8" ht="17.5">
      <c r="A94" s="116"/>
      <c r="B94" s="117"/>
      <c r="C94" s="112"/>
      <c r="D94"/>
      <c r="E94" s="161"/>
      <c r="F94" s="873"/>
      <c r="G94" s="874"/>
      <c r="H94" s="260"/>
    </row>
    <row r="95" spans="1:8" ht="17.5">
      <c r="A95" s="116"/>
      <c r="B95" s="117"/>
      <c r="C95" s="112"/>
      <c r="D95"/>
      <c r="E95" s="161"/>
      <c r="F95" s="873"/>
      <c r="G95" s="874"/>
      <c r="H95" s="260"/>
    </row>
    <row r="96" spans="1:8" ht="17.5">
      <c r="A96" s="116"/>
      <c r="B96" s="117"/>
      <c r="C96" s="112"/>
      <c r="D96"/>
      <c r="E96" s="161"/>
      <c r="F96" s="873"/>
      <c r="G96" s="874"/>
      <c r="H96" s="260"/>
    </row>
    <row r="97" spans="1:8" ht="17.5">
      <c r="A97" s="116"/>
      <c r="B97" s="117"/>
      <c r="C97" s="112"/>
      <c r="D97"/>
      <c r="E97" s="161"/>
      <c r="F97" s="873"/>
      <c r="G97" s="874"/>
      <c r="H97" s="260"/>
    </row>
    <row r="98" spans="1:8" ht="17.5">
      <c r="A98" s="116"/>
      <c r="B98" s="117"/>
      <c r="C98" s="112"/>
      <c r="D98"/>
      <c r="E98" s="161"/>
      <c r="F98" s="873"/>
      <c r="G98" s="874"/>
      <c r="H98" s="260"/>
    </row>
    <row r="99" spans="1:8" ht="17.5">
      <c r="A99" s="116"/>
      <c r="B99" s="117"/>
      <c r="C99" s="112"/>
      <c r="D99"/>
      <c r="E99" s="161"/>
      <c r="F99" s="127"/>
      <c r="G99" s="112"/>
      <c r="H99" s="260"/>
    </row>
    <row r="100" spans="1:8" ht="17.5">
      <c r="A100" s="116">
        <f>+A90+1</f>
        <v>18</v>
      </c>
      <c r="B100" s="117"/>
      <c r="C100" s="112" t="s">
        <v>319</v>
      </c>
      <c r="D100"/>
      <c r="E100" s="268">
        <f>SUM(F101:F106)</f>
        <v>423</v>
      </c>
      <c r="F100" s="127"/>
      <c r="G100" s="112"/>
      <c r="H100" s="260"/>
    </row>
    <row r="101" spans="1:8" ht="17.5">
      <c r="A101" s="116"/>
      <c r="B101" s="117"/>
      <c r="C101" s="112"/>
      <c r="D101"/>
      <c r="E101" s="161"/>
      <c r="F101" s="873">
        <v>300</v>
      </c>
      <c r="G101" s="874" t="s">
        <v>1463</v>
      </c>
      <c r="H101" s="260"/>
    </row>
    <row r="102" spans="1:8" ht="17.5">
      <c r="A102" s="116"/>
      <c r="B102" s="117"/>
      <c r="C102" s="112"/>
      <c r="D102"/>
      <c r="E102" s="161"/>
      <c r="F102" s="873">
        <v>50</v>
      </c>
      <c r="G102" s="874" t="s">
        <v>1464</v>
      </c>
      <c r="H102" s="260"/>
    </row>
    <row r="103" spans="1:8" ht="17.5">
      <c r="A103" s="116"/>
      <c r="B103" s="117"/>
      <c r="C103" s="112"/>
      <c r="D103"/>
      <c r="E103" s="161"/>
      <c r="F103" s="873">
        <v>21</v>
      </c>
      <c r="G103" s="874" t="s">
        <v>1465</v>
      </c>
      <c r="H103" s="260"/>
    </row>
    <row r="104" spans="1:8" ht="17.5">
      <c r="A104" s="116"/>
      <c r="B104" s="117"/>
      <c r="C104" s="112"/>
      <c r="D104"/>
      <c r="E104" s="161"/>
      <c r="F104" s="873">
        <v>32</v>
      </c>
      <c r="G104" s="874" t="s">
        <v>1466</v>
      </c>
      <c r="H104" s="260"/>
    </row>
    <row r="105" spans="1:8" ht="17.5">
      <c r="A105" s="116"/>
      <c r="B105" s="117"/>
      <c r="C105" s="112"/>
      <c r="D105"/>
      <c r="E105" s="161"/>
      <c r="F105" s="873">
        <v>20</v>
      </c>
      <c r="G105" s="874" t="s">
        <v>1467</v>
      </c>
      <c r="H105" s="260"/>
    </row>
    <row r="106" spans="1:8" ht="17.5">
      <c r="A106" s="116"/>
      <c r="B106" s="117"/>
      <c r="C106" s="112"/>
      <c r="D106"/>
      <c r="E106" s="161"/>
      <c r="F106" s="873"/>
      <c r="G106" s="874"/>
      <c r="H106" s="260"/>
    </row>
    <row r="107" spans="1:8" ht="17.5">
      <c r="A107" s="116">
        <f>+A100+1</f>
        <v>19</v>
      </c>
      <c r="B107" s="117"/>
      <c r="C107" s="112" t="s">
        <v>320</v>
      </c>
      <c r="D107" s="117"/>
      <c r="E107" s="268">
        <f>SUM(F108:F109)</f>
        <v>-13882</v>
      </c>
      <c r="F107" s="127"/>
      <c r="G107" s="306"/>
      <c r="H107" s="260"/>
    </row>
    <row r="108" spans="1:8" ht="17.5">
      <c r="A108" s="116"/>
      <c r="B108" s="117"/>
      <c r="C108" s="112"/>
      <c r="D108" s="117"/>
      <c r="E108" s="268"/>
      <c r="F108" s="873">
        <v>-13882</v>
      </c>
      <c r="G108" s="874" t="s">
        <v>1468</v>
      </c>
      <c r="H108" s="260"/>
    </row>
    <row r="109" spans="1:8" ht="17.5">
      <c r="A109" s="116"/>
      <c r="B109" s="117"/>
      <c r="C109" s="112"/>
      <c r="D109" s="117"/>
      <c r="E109" s="272"/>
      <c r="F109" s="873"/>
      <c r="G109" s="874"/>
      <c r="H109" s="260"/>
    </row>
    <row r="110" spans="1:8" ht="17.5">
      <c r="A110" s="116">
        <f>+A107+1</f>
        <v>20</v>
      </c>
      <c r="B110" s="117"/>
      <c r="C110" s="112" t="s">
        <v>321</v>
      </c>
      <c r="D110" s="114"/>
      <c r="E110" s="268">
        <f>SUM(F111:F115)</f>
        <v>136859</v>
      </c>
      <c r="G110" s="112"/>
      <c r="H110" s="260"/>
    </row>
    <row r="111" spans="1:8" ht="17.5">
      <c r="A111" s="116"/>
      <c r="B111" s="117"/>
      <c r="C111" s="112"/>
      <c r="D111" s="117"/>
      <c r="E111" s="161"/>
      <c r="F111" s="873">
        <v>149</v>
      </c>
      <c r="G111" s="874" t="s">
        <v>1014</v>
      </c>
      <c r="H111" s="260"/>
    </row>
    <row r="112" spans="1:8" ht="17.5">
      <c r="A112" s="116"/>
      <c r="B112" s="117"/>
      <c r="C112" s="112"/>
      <c r="D112" s="117"/>
      <c r="E112" s="161"/>
      <c r="F112" s="873">
        <v>12042</v>
      </c>
      <c r="G112" s="874" t="s">
        <v>1469</v>
      </c>
      <c r="H112" s="260"/>
    </row>
    <row r="113" spans="1:8" ht="17.5">
      <c r="A113" s="116"/>
      <c r="B113" s="117"/>
      <c r="C113" s="112"/>
      <c r="D113" s="117"/>
      <c r="E113" s="161"/>
      <c r="F113" s="873">
        <v>102752</v>
      </c>
      <c r="G113" s="874" t="s">
        <v>1470</v>
      </c>
      <c r="H113" s="260"/>
    </row>
    <row r="114" spans="1:8" ht="17.5">
      <c r="A114" s="116"/>
      <c r="B114" s="117"/>
      <c r="C114" s="112"/>
      <c r="D114" s="117"/>
      <c r="E114" s="161"/>
      <c r="F114" s="873">
        <v>21916</v>
      </c>
      <c r="G114" s="874" t="s">
        <v>1471</v>
      </c>
      <c r="H114" s="260"/>
    </row>
    <row r="115" spans="1:8" ht="17.5">
      <c r="A115" s="116"/>
      <c r="B115" s="117"/>
      <c r="C115" s="112"/>
      <c r="D115" s="117"/>
      <c r="E115" s="161"/>
      <c r="F115" s="127"/>
      <c r="G115" s="112"/>
      <c r="H115" s="260"/>
    </row>
    <row r="116" spans="1:8" ht="17.5">
      <c r="A116" s="116">
        <f>+A110+1</f>
        <v>21</v>
      </c>
      <c r="B116" s="117"/>
      <c r="C116" s="112" t="s">
        <v>309</v>
      </c>
      <c r="D116" s="112"/>
      <c r="E116" s="268">
        <f>SUM(F117:F118)</f>
        <v>2445</v>
      </c>
      <c r="F116" s="127"/>
      <c r="G116" s="112"/>
      <c r="H116" s="260"/>
    </row>
    <row r="117" spans="1:8" ht="17.5">
      <c r="A117" s="116"/>
      <c r="B117" s="117"/>
      <c r="C117" s="112"/>
      <c r="D117" s="112"/>
      <c r="E117" s="161"/>
      <c r="F117" s="873">
        <v>2445</v>
      </c>
      <c r="G117" s="874" t="s">
        <v>1012</v>
      </c>
      <c r="H117" s="260"/>
    </row>
    <row r="118" spans="1:8" ht="17.5">
      <c r="A118" s="116"/>
      <c r="B118" s="117"/>
      <c r="C118" s="112"/>
      <c r="D118" s="112"/>
      <c r="E118" s="161"/>
      <c r="F118" s="873"/>
      <c r="G118" s="874"/>
      <c r="H118" s="260"/>
    </row>
    <row r="119" spans="1:8" ht="17.5">
      <c r="A119" s="116">
        <f>+A116+1</f>
        <v>22</v>
      </c>
      <c r="B119" s="112"/>
      <c r="C119" s="134" t="s">
        <v>1474</v>
      </c>
      <c r="D119" s="127"/>
      <c r="E119" s="268">
        <f>SUM(F120:F120)</f>
        <v>-239325</v>
      </c>
      <c r="F119" s="265"/>
      <c r="G119" s="112"/>
      <c r="H119" s="260"/>
    </row>
    <row r="120" spans="1:8" ht="17.5">
      <c r="A120" s="116"/>
      <c r="B120" s="112"/>
      <c r="C120" s="134"/>
      <c r="D120" s="127"/>
      <c r="E120" s="161"/>
      <c r="F120" s="873">
        <v>-239325</v>
      </c>
      <c r="G120" s="874" t="s">
        <v>1447</v>
      </c>
    </row>
    <row r="121" spans="1:8" ht="16.5">
      <c r="A121" s="6"/>
      <c r="B121" s="112"/>
      <c r="C121" s="245"/>
      <c r="D121"/>
      <c r="E121"/>
      <c r="F121" s="244"/>
      <c r="G121" s="266"/>
    </row>
    <row r="122" spans="1:8" ht="18" thickBot="1">
      <c r="A122" s="238">
        <f>+A119+1</f>
        <v>23</v>
      </c>
      <c r="B122" s="245"/>
      <c r="C122" s="112" t="s">
        <v>312</v>
      </c>
      <c r="D122"/>
      <c r="E122" s="133">
        <f>E15+E26+E67+E69+E71+E85+E110+E90+E100+E116+E107+E119</f>
        <v>102558883</v>
      </c>
      <c r="F122" s="133">
        <f>SUM(F15:F120)</f>
        <v>102558883</v>
      </c>
      <c r="G122" s="112"/>
    </row>
    <row r="123" spans="1:8" ht="17" thickTop="1">
      <c r="A123" s="6"/>
      <c r="B123" s="245"/>
      <c r="C123" s="112" t="s">
        <v>382</v>
      </c>
      <c r="D123"/>
      <c r="E123"/>
      <c r="F123" s="265"/>
      <c r="G123" s="112"/>
    </row>
    <row r="124" spans="1:8" ht="20">
      <c r="A124" s="6"/>
      <c r="B124" s="245"/>
      <c r="C124" s="112"/>
      <c r="D124"/>
      <c r="E124" s="282"/>
      <c r="F124" s="162" t="s">
        <v>115</v>
      </c>
      <c r="G124" s="112"/>
    </row>
    <row r="125" spans="1:8" ht="20.25" customHeight="1">
      <c r="A125" s="1543" t="s">
        <v>768</v>
      </c>
      <c r="B125" s="1543"/>
      <c r="C125" s="1543"/>
      <c r="D125" s="1543"/>
      <c r="E125" s="1543"/>
      <c r="F125" s="1543"/>
      <c r="G125" s="1543"/>
    </row>
    <row r="126" spans="1:8" ht="20.25" customHeight="1">
      <c r="A126" s="1543"/>
      <c r="B126" s="1543"/>
      <c r="C126" s="1543"/>
      <c r="D126" s="1543"/>
      <c r="E126" s="1543"/>
      <c r="F126" s="1543"/>
      <c r="G126" s="1543"/>
    </row>
    <row r="127" spans="1:8" ht="20.25" customHeight="1">
      <c r="A127" s="1543"/>
      <c r="B127" s="1543"/>
      <c r="C127" s="1543"/>
      <c r="D127" s="1543"/>
      <c r="E127" s="1543"/>
      <c r="F127" s="1543"/>
      <c r="G127" s="1543"/>
    </row>
    <row r="128" spans="1:8" ht="20.25" customHeight="1">
      <c r="A128" s="1543"/>
      <c r="B128" s="1543"/>
      <c r="C128" s="1543"/>
      <c r="D128" s="1543"/>
      <c r="E128" s="1543"/>
      <c r="F128" s="1543"/>
      <c r="G128" s="1543"/>
    </row>
    <row r="129" spans="1:7" ht="20.25" customHeight="1">
      <c r="A129" s="1543"/>
      <c r="B129" s="1543"/>
      <c r="C129" s="1543"/>
      <c r="D129" s="1543"/>
      <c r="E129" s="1543"/>
      <c r="F129" s="1543"/>
      <c r="G129" s="1543"/>
    </row>
    <row r="130" spans="1:7" ht="20.25" customHeight="1">
      <c r="A130" s="1157"/>
      <c r="B130" s="1157"/>
      <c r="C130" s="1157"/>
      <c r="D130" s="1157"/>
      <c r="E130" s="1157"/>
      <c r="F130" s="1157"/>
      <c r="G130" s="1157"/>
    </row>
    <row r="131" spans="1:7" ht="30.75" customHeight="1">
      <c r="A131" s="1542" t="s">
        <v>874</v>
      </c>
      <c r="B131" s="1542"/>
      <c r="C131" s="1542"/>
      <c r="D131" s="1542"/>
      <c r="E131" s="1542"/>
      <c r="F131" s="1542"/>
      <c r="G131" s="1542"/>
    </row>
    <row r="132" spans="1:7" ht="30.75" customHeight="1">
      <c r="A132" s="1542"/>
      <c r="B132" s="1542"/>
      <c r="C132" s="1542"/>
      <c r="D132" s="1542"/>
      <c r="E132" s="1542"/>
      <c r="F132" s="1542"/>
      <c r="G132" s="1542"/>
    </row>
    <row r="133" spans="1:7" ht="16.5">
      <c r="B133" s="160"/>
      <c r="F133" s="127"/>
      <c r="G133" s="112"/>
    </row>
    <row r="134" spans="1:7" ht="16.5">
      <c r="B134" s="160"/>
      <c r="F134" s="265"/>
      <c r="G134" s="112"/>
    </row>
    <row r="135" spans="1:7" ht="16.5">
      <c r="B135" s="160"/>
      <c r="F135" s="265"/>
      <c r="G135" s="112"/>
    </row>
    <row r="136" spans="1:7" ht="16.5">
      <c r="B136" s="160"/>
      <c r="F136" s="265"/>
      <c r="G136" s="112"/>
    </row>
    <row r="137" spans="1:7" ht="16.5">
      <c r="B137" s="160"/>
      <c r="F137" s="127"/>
      <c r="G137" s="260"/>
    </row>
    <row r="138" spans="1:7" ht="16.5">
      <c r="B138" s="160"/>
      <c r="F138" s="127"/>
      <c r="G138" s="260"/>
    </row>
    <row r="139" spans="1:7" ht="16.5">
      <c r="B139" s="160"/>
      <c r="F139" s="127"/>
      <c r="G139" s="260"/>
    </row>
    <row r="140" spans="1:7" ht="16.5">
      <c r="B140" s="160"/>
      <c r="F140" s="267"/>
      <c r="G140" s="260"/>
    </row>
    <row r="141" spans="1:7" ht="16.5">
      <c r="B141" s="160"/>
      <c r="F141" s="135"/>
    </row>
    <row r="142" spans="1:7">
      <c r="B142" s="160"/>
      <c r="F142" s="257"/>
    </row>
    <row r="143" spans="1:7">
      <c r="B143" s="160"/>
      <c r="F143" s="257"/>
    </row>
    <row r="144" spans="1:7">
      <c r="B144" s="160"/>
    </row>
    <row r="145" spans="2:2">
      <c r="B145" s="160"/>
    </row>
    <row r="146" spans="2:2">
      <c r="B146" s="160"/>
    </row>
    <row r="147" spans="2:2">
      <c r="B147" s="160"/>
    </row>
  </sheetData>
  <mergeCells count="7">
    <mergeCell ref="A131:G132"/>
    <mergeCell ref="A125:G129"/>
    <mergeCell ref="A7:F7"/>
    <mergeCell ref="A3:F3"/>
    <mergeCell ref="A4:F4"/>
    <mergeCell ref="A5:F5"/>
    <mergeCell ref="A6:F6"/>
  </mergeCells>
  <phoneticPr fontId="72"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78"/>
  <sheetViews>
    <sheetView view="pageBreakPreview" zoomScale="60" zoomScaleNormal="100" workbookViewId="0">
      <selection activeCell="A3" sqref="A3:J3"/>
    </sheetView>
  </sheetViews>
  <sheetFormatPr defaultRowHeight="12.5"/>
  <cols>
    <col min="1" max="1" width="4.54296875" customWidth="1"/>
    <col min="3" max="3" width="13.81640625" customWidth="1"/>
    <col min="4" max="4" width="18.81640625" customWidth="1"/>
    <col min="5" max="5" width="13.1796875" customWidth="1"/>
    <col min="6" max="6" width="12.54296875" customWidth="1"/>
    <col min="7" max="8" width="19.453125" customWidth="1"/>
    <col min="9" max="9" width="18.54296875" customWidth="1"/>
    <col min="10" max="10" width="1.453125" customWidth="1"/>
    <col min="12" max="12" width="15" bestFit="1" customWidth="1"/>
  </cols>
  <sheetData>
    <row r="1" spans="1:29" ht="15.5">
      <c r="A1" s="911" t="s">
        <v>115</v>
      </c>
    </row>
    <row r="2" spans="1:29" ht="15.5">
      <c r="A2" s="911" t="s">
        <v>115</v>
      </c>
    </row>
    <row r="3" spans="1:29" ht="18">
      <c r="A3" s="1545" t="s">
        <v>388</v>
      </c>
      <c r="B3" s="1545"/>
      <c r="C3" s="1545"/>
      <c r="D3" s="1545"/>
      <c r="E3" s="1545"/>
      <c r="F3" s="1545"/>
      <c r="G3" s="1545"/>
      <c r="H3" s="1545"/>
      <c r="I3" s="1545"/>
      <c r="J3" s="1545"/>
      <c r="K3" s="154"/>
      <c r="L3" s="154"/>
      <c r="M3" s="154"/>
    </row>
    <row r="4" spans="1:29" ht="18">
      <c r="A4" s="1544" t="str">
        <f>"Cost of Service Formula Rate Using "&amp;TCOS!L4&amp;" FF1 Balances"</f>
        <v>Cost of Service Formula Rate Using 2019 FF1 Balances</v>
      </c>
      <c r="B4" s="1544"/>
      <c r="C4" s="1544"/>
      <c r="D4" s="1544"/>
      <c r="E4" s="1544"/>
      <c r="F4" s="1544"/>
      <c r="G4" s="1544"/>
      <c r="H4" s="1544"/>
      <c r="I4" s="1544"/>
      <c r="J4" s="1544"/>
      <c r="K4" s="98"/>
      <c r="L4" s="98"/>
      <c r="M4" s="98"/>
    </row>
    <row r="5" spans="1:29" ht="18">
      <c r="A5" s="1544" t="s">
        <v>548</v>
      </c>
      <c r="B5" s="1544"/>
      <c r="C5" s="1544"/>
      <c r="D5" s="1544"/>
      <c r="E5" s="1544"/>
      <c r="F5" s="1544"/>
      <c r="G5" s="1544"/>
      <c r="H5" s="1544"/>
      <c r="I5" s="1544"/>
      <c r="J5" s="1544"/>
      <c r="K5" s="155"/>
      <c r="L5" s="155"/>
      <c r="M5" s="155"/>
    </row>
    <row r="6" spans="1:29" ht="18">
      <c r="A6" s="1539" t="str">
        <f>+TCOS!F9</f>
        <v xml:space="preserve">Indiana Michigan Power Company </v>
      </c>
      <c r="B6" s="1539"/>
      <c r="C6" s="1539"/>
      <c r="D6" s="1539"/>
      <c r="E6" s="1539"/>
      <c r="F6" s="1539"/>
      <c r="G6" s="1539"/>
      <c r="H6" s="1539"/>
      <c r="I6" s="1539"/>
      <c r="J6" s="1539"/>
      <c r="K6" s="163"/>
      <c r="L6" s="163"/>
      <c r="M6" s="163"/>
    </row>
    <row r="8" spans="1:29" ht="18">
      <c r="A8" s="169"/>
      <c r="B8" s="104"/>
      <c r="D8" s="106"/>
      <c r="E8" s="6"/>
      <c r="F8" s="108"/>
    </row>
    <row r="9" spans="1:29" ht="18">
      <c r="C9" s="7"/>
      <c r="D9" s="106"/>
      <c r="E9" s="6"/>
      <c r="F9" s="108"/>
      <c r="Q9" s="154"/>
      <c r="R9" s="154"/>
      <c r="S9" s="154"/>
      <c r="T9" s="154"/>
      <c r="U9" s="154"/>
      <c r="V9" s="154"/>
      <c r="W9" s="154"/>
      <c r="X9" s="154"/>
      <c r="Y9" s="154"/>
      <c r="Z9" s="154"/>
      <c r="AA9" s="154"/>
      <c r="AB9" s="154"/>
      <c r="AC9" s="154"/>
    </row>
    <row r="10" spans="1:29">
      <c r="C10" s="7"/>
      <c r="D10" s="106"/>
    </row>
    <row r="11" spans="1:29">
      <c r="C11" s="7"/>
      <c r="D11" s="106"/>
    </row>
    <row r="12" spans="1:29">
      <c r="C12" s="7"/>
      <c r="D12" s="106"/>
      <c r="H12" s="107"/>
    </row>
    <row r="13" spans="1:29">
      <c r="C13" s="7"/>
      <c r="D13" s="106"/>
      <c r="H13" s="107"/>
    </row>
    <row r="14" spans="1:29">
      <c r="C14" s="7"/>
      <c r="D14" s="106"/>
      <c r="E14" s="6"/>
      <c r="H14" s="107"/>
    </row>
    <row r="15" spans="1:29">
      <c r="C15" s="7"/>
      <c r="D15" s="106"/>
      <c r="E15" s="6"/>
      <c r="H15" s="108"/>
    </row>
    <row r="16" spans="1:29">
      <c r="C16" s="7"/>
      <c r="D16" s="106"/>
      <c r="E16" s="6"/>
      <c r="H16" s="164"/>
    </row>
    <row r="18" spans="1:12" ht="18">
      <c r="A18" s="169"/>
      <c r="B18" s="19"/>
    </row>
    <row r="20" spans="1:12" ht="13">
      <c r="A20" s="18"/>
      <c r="B20" s="18"/>
      <c r="C20" s="165"/>
      <c r="E20" s="165"/>
      <c r="F20" s="165"/>
      <c r="G20" s="165"/>
      <c r="H20" s="165"/>
      <c r="I20" s="165"/>
      <c r="J20" s="166"/>
    </row>
    <row r="22" spans="1:12">
      <c r="E22" s="167"/>
      <c r="F22" s="168"/>
      <c r="G22" s="168"/>
      <c r="I22" s="168"/>
      <c r="L22" s="307"/>
    </row>
    <row r="23" spans="1:12">
      <c r="E23" s="110"/>
      <c r="F23" s="168"/>
      <c r="G23" s="168"/>
      <c r="I23" s="168"/>
      <c r="L23" s="307"/>
    </row>
    <row r="24" spans="1:12">
      <c r="E24" s="110"/>
      <c r="F24" s="168"/>
      <c r="G24" s="168"/>
      <c r="I24" s="168"/>
      <c r="L24" s="307"/>
    </row>
    <row r="25" spans="1:12">
      <c r="E25" s="110"/>
      <c r="F25" s="168"/>
      <c r="G25" s="168"/>
      <c r="I25" s="168"/>
      <c r="L25" s="307"/>
    </row>
    <row r="26" spans="1:12">
      <c r="E26" s="110"/>
      <c r="F26" s="168"/>
      <c r="G26" s="168"/>
      <c r="I26" s="168"/>
      <c r="L26" s="307"/>
    </row>
    <row r="27" spans="1:12">
      <c r="E27" s="110"/>
      <c r="F27" s="168"/>
      <c r="G27" s="168"/>
      <c r="I27" s="168"/>
      <c r="L27" s="307"/>
    </row>
    <row r="28" spans="1:12">
      <c r="E28" s="110"/>
      <c r="F28" s="168"/>
      <c r="G28" s="168"/>
      <c r="I28" s="168"/>
      <c r="L28" s="307"/>
    </row>
    <row r="29" spans="1:12">
      <c r="E29" s="110"/>
      <c r="F29" s="168"/>
      <c r="G29" s="168"/>
      <c r="I29" s="168"/>
      <c r="L29" s="307"/>
    </row>
    <row r="30" spans="1:12">
      <c r="E30" s="110"/>
      <c r="F30" s="168"/>
      <c r="G30" s="168"/>
      <c r="I30" s="168"/>
      <c r="L30" s="307"/>
    </row>
    <row r="31" spans="1:12">
      <c r="E31" s="110"/>
      <c r="F31" s="168"/>
      <c r="G31" s="168"/>
      <c r="I31" s="168"/>
      <c r="L31" s="307"/>
    </row>
    <row r="32" spans="1:12">
      <c r="E32" s="110"/>
      <c r="F32" s="168"/>
      <c r="G32" s="168"/>
      <c r="I32" s="168"/>
      <c r="L32" s="307"/>
    </row>
    <row r="33" spans="1:12">
      <c r="E33" s="110"/>
      <c r="F33" s="168"/>
      <c r="G33" s="168"/>
      <c r="I33" s="168"/>
      <c r="L33" s="307"/>
    </row>
    <row r="35" spans="1:12">
      <c r="H35" s="100"/>
      <c r="I35" s="311"/>
    </row>
    <row r="37" spans="1:12" ht="18">
      <c r="A37" s="169"/>
      <c r="B37" s="19"/>
    </row>
    <row r="44" spans="1:12" ht="18">
      <c r="A44" s="169"/>
      <c r="B44" s="178"/>
      <c r="C44" s="170"/>
      <c r="E44" s="170"/>
      <c r="F44" s="170"/>
      <c r="G44" s="170"/>
      <c r="H44" s="170"/>
      <c r="I44" s="106"/>
    </row>
    <row r="45" spans="1:12" ht="13">
      <c r="B45" s="171"/>
      <c r="C45" s="170"/>
      <c r="E45" s="170"/>
      <c r="F45" s="170"/>
      <c r="G45" s="170"/>
      <c r="H45" s="170"/>
      <c r="I45" s="106"/>
    </row>
    <row r="46" spans="1:12" ht="13">
      <c r="B46" s="177"/>
      <c r="C46" s="170"/>
      <c r="E46" s="170"/>
      <c r="F46" s="170"/>
      <c r="G46" s="179"/>
      <c r="H46" s="179"/>
    </row>
    <row r="47" spans="1:12" ht="13">
      <c r="B47" s="177"/>
      <c r="C47" s="172"/>
      <c r="E47" s="172"/>
      <c r="F47" s="172"/>
      <c r="G47" s="172"/>
    </row>
    <row r="48" spans="1:12">
      <c r="B48" s="174"/>
      <c r="F48" s="100"/>
      <c r="G48" s="213"/>
      <c r="H48" s="182"/>
      <c r="I48" s="175"/>
      <c r="J48" s="180"/>
    </row>
    <row r="49" spans="2:10">
      <c r="B49" s="174"/>
      <c r="F49" s="100"/>
      <c r="G49" s="173"/>
      <c r="H49" s="182"/>
      <c r="I49" s="175"/>
      <c r="J49" s="180"/>
    </row>
    <row r="50" spans="2:10" ht="13">
      <c r="B50" s="177"/>
      <c r="G50" s="173"/>
      <c r="H50" s="182"/>
      <c r="I50" s="175"/>
      <c r="J50" s="180"/>
    </row>
    <row r="51" spans="2:10">
      <c r="B51" s="247"/>
      <c r="C51" s="248"/>
      <c r="D51" s="170"/>
      <c r="E51" s="170"/>
      <c r="F51" s="170"/>
      <c r="G51" s="312"/>
      <c r="H51" s="180"/>
      <c r="J51" s="180"/>
    </row>
    <row r="52" spans="2:10">
      <c r="F52" s="100"/>
      <c r="G52" s="213"/>
      <c r="J52" s="181"/>
    </row>
    <row r="55" spans="2:10">
      <c r="D55" s="181"/>
    </row>
    <row r="56" spans="2:10">
      <c r="D56" s="181"/>
      <c r="H56" s="106"/>
    </row>
    <row r="57" spans="2:10">
      <c r="D57" s="181"/>
      <c r="H57" s="170"/>
    </row>
    <row r="58" spans="2:10">
      <c r="D58" s="181"/>
    </row>
    <row r="59" spans="2:10">
      <c r="D59" s="181"/>
      <c r="H59" s="106"/>
    </row>
    <row r="60" spans="2:10">
      <c r="D60" s="181"/>
    </row>
    <row r="61" spans="2:10">
      <c r="D61" s="181"/>
    </row>
    <row r="62" spans="2:10">
      <c r="D62" s="181"/>
    </row>
    <row r="63" spans="2:10" ht="13">
      <c r="D63" s="181"/>
      <c r="H63" s="171"/>
    </row>
    <row r="64" spans="2:10">
      <c r="D64" s="181"/>
      <c r="H64" s="214"/>
    </row>
    <row r="65" spans="2:8">
      <c r="D65" s="181"/>
      <c r="H65" s="214"/>
    </row>
    <row r="66" spans="2:8">
      <c r="D66" s="181"/>
    </row>
    <row r="74" spans="2:8">
      <c r="B74" s="174"/>
      <c r="G74" s="175"/>
    </row>
    <row r="75" spans="2:8">
      <c r="G75" s="175"/>
    </row>
    <row r="76" spans="2:8" ht="13">
      <c r="B76" s="215"/>
      <c r="G76" s="216"/>
    </row>
    <row r="77" spans="2:8">
      <c r="G77" s="175"/>
    </row>
    <row r="78" spans="2:8">
      <c r="G78" s="176"/>
    </row>
  </sheetData>
  <mergeCells count="4">
    <mergeCell ref="A4:J4"/>
    <mergeCell ref="A3:J3"/>
    <mergeCell ref="A6:J6"/>
    <mergeCell ref="A5:J5"/>
  </mergeCells>
  <phoneticPr fontId="0" type="noConversion"/>
  <pageMargins left="0.26" right="0.61" top="1" bottom="1" header="0.75" footer="0.5"/>
  <pageSetup scale="76"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95"/>
  <sheetViews>
    <sheetView view="pageBreakPreview" topLeftCell="A715" zoomScale="85" zoomScaleNormal="100" zoomScaleSheetLayoutView="85" workbookViewId="0">
      <selection activeCell="D723" sqref="D723"/>
    </sheetView>
  </sheetViews>
  <sheetFormatPr defaultColWidth="8.81640625" defaultRowHeight="12.5"/>
  <cols>
    <col min="1" max="1" width="4.54296875" style="337" customWidth="1"/>
    <col min="2" max="2" width="6.54296875" style="419" customWidth="1"/>
    <col min="3" max="3" width="42" style="337" customWidth="1"/>
    <col min="4" max="4" width="17.54296875" style="431" customWidth="1"/>
    <col min="5" max="7" width="17.54296875" style="337" customWidth="1"/>
    <col min="8" max="8" width="17.54296875" style="599" customWidth="1"/>
    <col min="9" max="9" width="17.54296875" style="337" bestFit="1" customWidth="1"/>
    <col min="10" max="10" width="2.1796875" style="321" customWidth="1"/>
    <col min="11" max="11" width="20.54296875" style="337" customWidth="1"/>
    <col min="12" max="14" width="17.54296875" style="337" customWidth="1"/>
    <col min="15" max="15" width="16.54296875" style="337" customWidth="1"/>
    <col min="16" max="16" width="2.1796875" style="550" customWidth="1"/>
    <col min="17" max="16384" width="8.81640625" style="337"/>
  </cols>
  <sheetData>
    <row r="1" spans="1:16" ht="15.5">
      <c r="A1" s="911" t="s">
        <v>115</v>
      </c>
    </row>
    <row r="2" spans="1:16" ht="15.5">
      <c r="A2" s="911" t="s">
        <v>115</v>
      </c>
    </row>
    <row r="3" spans="1:16" ht="15.5">
      <c r="A3" s="1532" t="s">
        <v>388</v>
      </c>
      <c r="B3" s="1532"/>
      <c r="C3" s="1532"/>
      <c r="D3" s="1532"/>
      <c r="E3" s="1532"/>
      <c r="F3" s="1532"/>
      <c r="G3" s="1532"/>
      <c r="H3" s="1532"/>
      <c r="I3" s="1532"/>
      <c r="J3" s="1532"/>
      <c r="K3" s="1532"/>
      <c r="L3" s="1532"/>
      <c r="M3" s="1532"/>
      <c r="N3" s="1532"/>
      <c r="O3" s="1532"/>
      <c r="P3" s="598"/>
    </row>
    <row r="4" spans="1:16" ht="15.5">
      <c r="A4" s="1533" t="str">
        <f>"Cost of Service Formula Rate Using "&amp;TCOS!L4&amp;" FF1 Balances"</f>
        <v>Cost of Service Formula Rate Using 2019 FF1 Balances</v>
      </c>
      <c r="B4" s="1533"/>
      <c r="C4" s="1533"/>
      <c r="D4" s="1533"/>
      <c r="E4" s="1533"/>
      <c r="F4" s="1533"/>
      <c r="G4" s="1533"/>
      <c r="H4" s="1533"/>
      <c r="I4" s="1533"/>
      <c r="J4" s="1533"/>
      <c r="K4" s="1533"/>
      <c r="L4" s="1533"/>
      <c r="M4" s="1533"/>
      <c r="N4" s="1533"/>
      <c r="O4" s="1533"/>
      <c r="P4" s="598"/>
    </row>
    <row r="5" spans="1:16" ht="15.5">
      <c r="A5" s="1533" t="s">
        <v>469</v>
      </c>
      <c r="B5" s="1533"/>
      <c r="C5" s="1533"/>
      <c r="D5" s="1533"/>
      <c r="E5" s="1533"/>
      <c r="F5" s="1533"/>
      <c r="G5" s="1533"/>
      <c r="H5" s="1533"/>
      <c r="I5" s="1533"/>
      <c r="J5" s="1533"/>
      <c r="K5" s="1533"/>
      <c r="L5" s="1533"/>
      <c r="M5" s="1533"/>
      <c r="N5" s="1533"/>
      <c r="O5" s="1533"/>
      <c r="P5" s="598"/>
    </row>
    <row r="6" spans="1:16" ht="15.5">
      <c r="A6" s="1534" t="str">
        <f>TCOS!F9</f>
        <v xml:space="preserve">Indiana Michigan Power Company </v>
      </c>
      <c r="B6" s="1534"/>
      <c r="C6" s="1534"/>
      <c r="D6" s="1534"/>
      <c r="E6" s="1534"/>
      <c r="F6" s="1534"/>
      <c r="G6" s="1534"/>
      <c r="H6" s="1534"/>
      <c r="I6" s="1534"/>
      <c r="J6" s="1534"/>
      <c r="K6" s="1534"/>
      <c r="L6" s="1534"/>
      <c r="M6" s="1534"/>
      <c r="N6" s="1534"/>
      <c r="O6" s="1534"/>
      <c r="P6" s="598"/>
    </row>
    <row r="7" spans="1:16">
      <c r="P7" s="598"/>
    </row>
    <row r="8" spans="1:16" ht="20">
      <c r="A8" s="600"/>
      <c r="C8" s="419"/>
      <c r="N8" s="601" t="str">
        <f>"Page "&amp;P8&amp;" of "</f>
        <v xml:space="preserve">Page 1 of </v>
      </c>
      <c r="O8" s="602">
        <f>COUNT(P$8:P$57834)</f>
        <v>9</v>
      </c>
      <c r="P8" s="603">
        <v>1</v>
      </c>
    </row>
    <row r="9" spans="1:16" ht="18">
      <c r="C9" s="604"/>
      <c r="P9" s="598"/>
    </row>
    <row r="10" spans="1:16">
      <c r="P10" s="598"/>
    </row>
    <row r="11" spans="1:16" ht="17">
      <c r="B11" s="605" t="s">
        <v>172</v>
      </c>
      <c r="C11" s="1555" t="str">
        <f>"Calculate Return and Income Taxes with "&amp;F17&amp;" basis point ROE increase for Projects Qualified for Regional Billing."</f>
        <v>Calculate Return and Income Taxes with  basis point ROE increase for Projects Qualified for Regional Billing.</v>
      </c>
      <c r="D11" s="1556"/>
      <c r="E11" s="1556"/>
      <c r="F11" s="1556"/>
      <c r="G11" s="1556"/>
      <c r="H11" s="1556"/>
      <c r="P11" s="598"/>
    </row>
    <row r="12" spans="1:16" ht="18.75" customHeight="1">
      <c r="C12" s="1556"/>
      <c r="D12" s="1556"/>
      <c r="E12" s="1556"/>
      <c r="F12" s="1556"/>
      <c r="G12" s="1556"/>
      <c r="H12" s="1556"/>
      <c r="P12" s="598"/>
    </row>
    <row r="13" spans="1:16" ht="15.75" customHeight="1">
      <c r="C13" s="537"/>
      <c r="D13" s="537"/>
      <c r="E13" s="537"/>
      <c r="F13" s="537"/>
      <c r="G13" s="537"/>
      <c r="H13" s="537"/>
      <c r="P13" s="598"/>
    </row>
    <row r="14" spans="1:16" ht="15.5">
      <c r="C14" s="606" t="str">
        <f>"A.   Determine 'R' with hypothetical "&amp;F17&amp;" basis point increase in ROE for Identified Projects"</f>
        <v>A.   Determine 'R' with hypothetical  basis point increase in ROE for Identified Projects</v>
      </c>
      <c r="P14" s="598"/>
    </row>
    <row r="15" spans="1:16">
      <c r="C15" s="419"/>
      <c r="P15" s="598"/>
    </row>
    <row r="16" spans="1:16">
      <c r="C16" s="607" t="str">
        <f>"   ROE w/o incentives  (TCOS, ln "&amp;TCOS!B257&amp;")"</f>
        <v xml:space="preserve">   ROE w/o incentives  (TCOS, ln 156)</v>
      </c>
      <c r="E16" s="608"/>
      <c r="F16" s="609">
        <f>TCOS!J257</f>
        <v>0.10349999999999999</v>
      </c>
      <c r="G16" s="608"/>
      <c r="H16" s="610"/>
      <c r="I16" s="610"/>
      <c r="J16" s="611"/>
      <c r="K16" s="610"/>
      <c r="L16" s="610"/>
      <c r="M16" s="610"/>
      <c r="N16" s="610"/>
      <c r="O16" s="610"/>
      <c r="P16" s="611"/>
    </row>
    <row r="17" spans="3:16">
      <c r="C17" s="607" t="s">
        <v>253</v>
      </c>
      <c r="E17" s="608"/>
      <c r="F17" s="875"/>
      <c r="G17" s="612"/>
      <c r="H17" s="610"/>
      <c r="I17" s="610"/>
      <c r="J17" s="611"/>
    </row>
    <row r="18" spans="3:16" ht="13">
      <c r="C18" s="607" t="str">
        <f>"   ROE with additional "&amp;F17&amp;" basis point incentive"</f>
        <v xml:space="preserve">   ROE with additional  basis point incentive</v>
      </c>
      <c r="D18" s="608"/>
      <c r="E18" s="608"/>
      <c r="F18" s="613">
        <f>IF((F16+(F17/10000)&gt;0.1274),"ERROR",F16+(F17/10000))</f>
        <v>0.10349999999999999</v>
      </c>
      <c r="G18" s="614"/>
      <c r="H18" s="610"/>
      <c r="I18" s="610"/>
      <c r="J18" s="611"/>
    </row>
    <row r="19" spans="3:16">
      <c r="C19" s="60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08"/>
      <c r="F19" s="615"/>
      <c r="G19" s="608"/>
      <c r="H19" s="610"/>
      <c r="I19" s="610"/>
      <c r="J19" s="611"/>
    </row>
    <row r="20" spans="3:16">
      <c r="C20" s="611"/>
      <c r="D20" s="616" t="s">
        <v>147</v>
      </c>
      <c r="E20" s="616" t="s">
        <v>146</v>
      </c>
      <c r="F20" s="617" t="s">
        <v>254</v>
      </c>
      <c r="G20" s="608"/>
      <c r="H20" s="610"/>
      <c r="I20" s="610"/>
      <c r="J20" s="611"/>
    </row>
    <row r="21" spans="3:16" ht="13" thickBot="1">
      <c r="C21" s="618" t="s">
        <v>258</v>
      </c>
      <c r="D21" s="619">
        <f>TCOS!H255</f>
        <v>0.51549583920022157</v>
      </c>
      <c r="E21" s="620">
        <f>TCOS!J255</f>
        <v>4.3159910367829971E-2</v>
      </c>
      <c r="F21" s="621">
        <f>E21*D21</f>
        <v>2.2248754214870853E-2</v>
      </c>
      <c r="G21" s="608"/>
      <c r="H21" s="610"/>
      <c r="I21" s="622"/>
      <c r="J21" s="623"/>
      <c r="K21" s="545"/>
      <c r="L21" s="545"/>
      <c r="M21" s="545"/>
      <c r="N21" s="545"/>
      <c r="O21" s="545"/>
    </row>
    <row r="22" spans="3:16">
      <c r="C22" s="618" t="s">
        <v>259</v>
      </c>
      <c r="D22" s="619">
        <f>TCOS!H256</f>
        <v>0</v>
      </c>
      <c r="E22" s="620">
        <f>TCOS!J256</f>
        <v>0</v>
      </c>
      <c r="F22" s="621">
        <f>E22*D22</f>
        <v>0</v>
      </c>
      <c r="G22" s="624"/>
      <c r="H22" s="624"/>
      <c r="I22" s="625"/>
      <c r="J22" s="626"/>
      <c r="K22" s="1549" t="s">
        <v>452</v>
      </c>
      <c r="L22" s="1550"/>
      <c r="M22" s="1550"/>
      <c r="N22" s="1550"/>
      <c r="O22" s="1551"/>
      <c r="P22" s="626"/>
    </row>
    <row r="23" spans="3:16">
      <c r="C23" s="627" t="s">
        <v>245</v>
      </c>
      <c r="D23" s="619">
        <f>TCOS!H257</f>
        <v>0.48450416079977854</v>
      </c>
      <c r="E23" s="620">
        <f>+F18</f>
        <v>0.10349999999999999</v>
      </c>
      <c r="F23" s="628">
        <f>E23*D23</f>
        <v>5.0146180642777073E-2</v>
      </c>
      <c r="G23" s="624"/>
      <c r="H23" s="624"/>
      <c r="I23" s="625"/>
      <c r="J23" s="626"/>
      <c r="K23" s="1552"/>
      <c r="L23" s="1553"/>
      <c r="M23" s="1553"/>
      <c r="N23" s="1553"/>
      <c r="O23" s="1554"/>
      <c r="P23" s="626"/>
    </row>
    <row r="24" spans="3:16">
      <c r="C24" s="629"/>
      <c r="D24" s="337"/>
      <c r="E24" s="630" t="s">
        <v>261</v>
      </c>
      <c r="F24" s="621">
        <f>SUM(F21:F23)</f>
        <v>7.2394934857647919E-2</v>
      </c>
      <c r="G24" s="624"/>
      <c r="H24" s="624"/>
      <c r="I24" s="625"/>
      <c r="J24" s="626"/>
      <c r="K24" s="631"/>
      <c r="L24" s="632"/>
      <c r="M24" s="633" t="s">
        <v>255</v>
      </c>
      <c r="N24" s="633" t="s">
        <v>256</v>
      </c>
      <c r="O24" s="634" t="s">
        <v>257</v>
      </c>
      <c r="P24" s="626"/>
    </row>
    <row r="25" spans="3:16">
      <c r="C25" s="550"/>
      <c r="D25" s="635"/>
      <c r="E25" s="635"/>
      <c r="F25" s="624"/>
      <c r="G25" s="624"/>
      <c r="H25" s="624"/>
      <c r="I25" s="624"/>
      <c r="J25" s="636"/>
      <c r="K25" s="637"/>
      <c r="L25" s="638"/>
      <c r="M25" s="638"/>
      <c r="N25" s="638"/>
      <c r="O25" s="639"/>
      <c r="P25" s="636"/>
    </row>
    <row r="26" spans="3:16" ht="16" thickBot="1">
      <c r="C26" s="606" t="str">
        <f>"B.   Determine Return using 'R' with hypothetical "&amp;F17&amp;" basis point ROE increase for Identified Projects."</f>
        <v>B.   Determine Return using 'R' with hypothetical  basis point ROE increase for Identified Projects.</v>
      </c>
      <c r="D26" s="635"/>
      <c r="E26" s="635"/>
      <c r="F26" s="640"/>
      <c r="G26" s="624"/>
      <c r="H26" s="608"/>
      <c r="I26" s="624"/>
      <c r="J26" s="636"/>
      <c r="K26" s="641" t="s">
        <v>262</v>
      </c>
      <c r="L26" s="642">
        <f>TCOS!L4</f>
        <v>2019</v>
      </c>
      <c r="M26" s="1307">
        <f>N90+N179+N268+N357+N446+N535+N624+N713</f>
        <v>5217345.2445119126</v>
      </c>
      <c r="N26" s="876">
        <f>N91+N180+N269+N358+N447+N536+N625+N714</f>
        <v>5217345.2445119126</v>
      </c>
      <c r="O26" s="643">
        <f>+N26-M26</f>
        <v>0</v>
      </c>
      <c r="P26" s="636"/>
    </row>
    <row r="27" spans="3:16">
      <c r="C27" s="611"/>
      <c r="D27" s="635"/>
      <c r="E27" s="635"/>
      <c r="F27" s="636"/>
      <c r="G27" s="636"/>
      <c r="H27" s="636"/>
      <c r="I27" s="636"/>
      <c r="J27" s="636"/>
      <c r="K27" s="644"/>
      <c r="L27" s="644"/>
      <c r="M27" s="644"/>
      <c r="N27" s="644"/>
      <c r="O27" s="644"/>
      <c r="P27" s="636"/>
    </row>
    <row r="28" spans="3:16">
      <c r="C28" s="645" t="str">
        <f>"   Rate Base  (TCOS, ln "&amp;TCOS!B125&amp;")"</f>
        <v xml:space="preserve">   Rate Base  (TCOS, ln 68)</v>
      </c>
      <c r="D28" s="608"/>
      <c r="F28" s="646">
        <f>TCOS!L125</f>
        <v>846991324.32954597</v>
      </c>
      <c r="G28" s="636"/>
      <c r="H28" s="636"/>
      <c r="I28" s="636"/>
      <c r="J28" s="636"/>
      <c r="K28" s="644"/>
      <c r="L28" s="644"/>
      <c r="M28" s="644"/>
      <c r="N28" s="644"/>
      <c r="O28" s="647"/>
      <c r="P28" s="636"/>
    </row>
    <row r="29" spans="3:16">
      <c r="C29" s="611" t="s">
        <v>475</v>
      </c>
      <c r="D29" s="648"/>
      <c r="F29" s="621">
        <f>F24</f>
        <v>7.2394934857647919E-2</v>
      </c>
      <c r="G29" s="636"/>
      <c r="H29" s="636"/>
      <c r="I29" s="636"/>
      <c r="J29" s="636"/>
      <c r="K29" s="636"/>
      <c r="L29" s="636"/>
      <c r="M29" s="636"/>
      <c r="N29" s="636"/>
      <c r="O29" s="636"/>
      <c r="P29" s="636"/>
    </row>
    <row r="30" spans="3:16">
      <c r="C30" s="649" t="s">
        <v>263</v>
      </c>
      <c r="D30" s="649"/>
      <c r="F30" s="625">
        <f>F28*F29</f>
        <v>61317881.749830425</v>
      </c>
      <c r="G30" s="636"/>
      <c r="H30" s="636"/>
      <c r="I30" s="626"/>
      <c r="J30" s="626"/>
      <c r="K30" s="626"/>
      <c r="L30" s="626"/>
      <c r="M30" s="626"/>
      <c r="N30" s="626"/>
      <c r="O30" s="636"/>
      <c r="P30" s="626"/>
    </row>
    <row r="31" spans="3:16">
      <c r="C31" s="650"/>
      <c r="D31" s="610"/>
      <c r="E31" s="610"/>
      <c r="F31" s="636"/>
      <c r="G31" s="636"/>
      <c r="H31" s="636"/>
      <c r="I31" s="626"/>
      <c r="J31" s="626"/>
      <c r="K31" s="626"/>
      <c r="L31" s="626"/>
      <c r="M31" s="626"/>
      <c r="N31" s="626"/>
      <c r="O31" s="636"/>
      <c r="P31" s="626"/>
    </row>
    <row r="32" spans="3:16" ht="15.5">
      <c r="C32" s="606" t="str">
        <f>"C.   Determine Income Taxes using Return with hypothetical "&amp;F17&amp;" basis point ROE increase for Identified Projects."</f>
        <v>C.   Determine Income Taxes using Return with hypothetical  basis point ROE increase for Identified Projects.</v>
      </c>
      <c r="D32" s="651"/>
      <c r="E32" s="651"/>
      <c r="F32" s="652"/>
      <c r="G32" s="652"/>
      <c r="H32" s="652"/>
      <c r="I32" s="653"/>
      <c r="J32" s="653"/>
      <c r="K32" s="653"/>
      <c r="L32" s="653"/>
      <c r="M32" s="653"/>
      <c r="N32" s="653"/>
      <c r="O32" s="652"/>
      <c r="P32" s="653"/>
    </row>
    <row r="33" spans="2:16">
      <c r="C33" s="629"/>
      <c r="D33" s="610"/>
      <c r="E33" s="610"/>
      <c r="F33" s="636"/>
      <c r="G33" s="636"/>
      <c r="H33" s="636"/>
      <c r="I33" s="626"/>
      <c r="J33" s="626"/>
      <c r="K33" s="626"/>
      <c r="L33" s="626"/>
      <c r="M33" s="626"/>
      <c r="N33" s="626"/>
      <c r="O33" s="636"/>
      <c r="P33" s="626"/>
    </row>
    <row r="34" spans="2:16">
      <c r="C34" s="611" t="s">
        <v>264</v>
      </c>
      <c r="D34" s="630"/>
      <c r="F34" s="654">
        <f>F30</f>
        <v>61317881.749830425</v>
      </c>
      <c r="G34" s="636"/>
      <c r="H34" s="636"/>
      <c r="I34" s="636"/>
      <c r="J34" s="636"/>
      <c r="K34" s="636"/>
      <c r="L34" s="636"/>
      <c r="M34" s="636"/>
      <c r="N34" s="636"/>
      <c r="O34" s="636"/>
      <c r="P34" s="636"/>
    </row>
    <row r="35" spans="2:16">
      <c r="C35" s="645" t="str">
        <f>"   Effective Tax Rate  (TCOS, ln "&amp;TCOS!B190&amp;")"</f>
        <v xml:space="preserve">   Effective Tax Rate  (TCOS, ln 114)</v>
      </c>
      <c r="D35" s="573"/>
      <c r="F35" s="655">
        <f>TCOS!G190</f>
        <v>0.23368937600955342</v>
      </c>
      <c r="G35" s="550"/>
      <c r="H35" s="656"/>
      <c r="I35" s="550"/>
      <c r="J35" s="598"/>
      <c r="K35" s="550"/>
      <c r="L35" s="550"/>
      <c r="M35" s="550"/>
      <c r="N35" s="550"/>
      <c r="O35" s="550"/>
      <c r="P35" s="598"/>
    </row>
    <row r="36" spans="2:16">
      <c r="C36" s="650" t="s">
        <v>265</v>
      </c>
      <c r="D36" s="573"/>
      <c r="F36" s="657">
        <f>F34*F35</f>
        <v>14329337.524345456</v>
      </c>
      <c r="G36" s="550"/>
      <c r="H36" s="656"/>
      <c r="I36" s="550"/>
      <c r="J36" s="598"/>
      <c r="K36" s="550"/>
      <c r="L36" s="550"/>
      <c r="M36" s="550"/>
      <c r="N36" s="550"/>
      <c r="O36" s="550"/>
      <c r="P36" s="598"/>
    </row>
    <row r="37" spans="2:16" ht="15.5">
      <c r="C37" s="629" t="s">
        <v>303</v>
      </c>
      <c r="D37" s="483"/>
      <c r="F37" s="658">
        <f>TCOS!L199</f>
        <v>-865825.5215539604</v>
      </c>
      <c r="G37" s="483"/>
      <c r="H37" s="483"/>
      <c r="I37" s="483"/>
      <c r="J37" s="483"/>
      <c r="K37" s="483"/>
      <c r="L37" s="483"/>
      <c r="M37" s="483"/>
      <c r="N37" s="483"/>
      <c r="O37" s="395"/>
      <c r="P37" s="483"/>
    </row>
    <row r="38" spans="2:16" ht="15.5">
      <c r="C38" s="629" t="s">
        <v>534</v>
      </c>
      <c r="D38" s="483"/>
      <c r="F38" s="658">
        <f>TCOS!L200</f>
        <v>-6157689.5557918241</v>
      </c>
      <c r="G38" s="483"/>
      <c r="H38" s="483"/>
      <c r="I38" s="483"/>
      <c r="J38" s="483"/>
      <c r="K38" s="483"/>
      <c r="L38" s="483"/>
      <c r="M38" s="483"/>
      <c r="N38" s="483"/>
      <c r="O38" s="395"/>
      <c r="P38" s="483"/>
    </row>
    <row r="39" spans="2:16" ht="15.5">
      <c r="C39" s="629" t="s">
        <v>535</v>
      </c>
      <c r="D39" s="483"/>
      <c r="F39" s="659">
        <f>TCOS!L201</f>
        <v>1980852.8422502624</v>
      </c>
      <c r="G39" s="483"/>
      <c r="H39" s="483"/>
      <c r="I39" s="483"/>
      <c r="J39" s="483"/>
      <c r="K39" s="483"/>
      <c r="L39" s="483"/>
      <c r="M39" s="483"/>
      <c r="N39" s="483"/>
      <c r="O39" s="395"/>
      <c r="P39" s="483"/>
    </row>
    <row r="40" spans="2:16" ht="15.5">
      <c r="C40" s="650" t="s">
        <v>266</v>
      </c>
      <c r="D40" s="483"/>
      <c r="F40" s="658">
        <f>F36+F37+F38+F39</f>
        <v>9286675.2892499343</v>
      </c>
      <c r="G40" s="483"/>
      <c r="H40" s="483"/>
      <c r="I40" s="483"/>
      <c r="J40" s="483"/>
      <c r="K40" s="483"/>
      <c r="L40" s="483"/>
      <c r="M40" s="483"/>
      <c r="N40" s="483"/>
      <c r="O40" s="353"/>
      <c r="P40" s="483"/>
    </row>
    <row r="41" spans="2:16" ht="12.75" customHeight="1">
      <c r="C41" s="403"/>
      <c r="D41" s="483"/>
      <c r="E41" s="483"/>
      <c r="F41" s="483"/>
      <c r="G41" s="483"/>
      <c r="H41" s="483"/>
      <c r="I41" s="483"/>
      <c r="J41" s="483"/>
      <c r="K41" s="483"/>
      <c r="L41" s="483"/>
      <c r="M41" s="483"/>
      <c r="N41" s="483"/>
      <c r="O41" s="353"/>
      <c r="P41" s="483"/>
    </row>
    <row r="42" spans="2:16" ht="18">
      <c r="B42" s="605" t="s">
        <v>173</v>
      </c>
      <c r="C42" s="604" t="str">
        <f>"Calculate Net Plant Carrying Charge Rate (Fixed Charge Rate or FCR) with hypothetical "&amp;F17&amp;""</f>
        <v xml:space="preserve">Calculate Net Plant Carrying Charge Rate (Fixed Charge Rate or FCR) with hypothetical </v>
      </c>
      <c r="D42" s="483"/>
      <c r="E42" s="483"/>
      <c r="F42" s="483"/>
      <c r="G42" s="483"/>
      <c r="H42" s="483"/>
      <c r="I42" s="483"/>
      <c r="J42" s="483"/>
      <c r="K42" s="483"/>
      <c r="L42" s="483"/>
      <c r="M42" s="483"/>
      <c r="N42" s="483"/>
      <c r="O42" s="353"/>
      <c r="P42" s="483"/>
    </row>
    <row r="43" spans="2:16" ht="18.75" customHeight="1">
      <c r="C43" s="604" t="str">
        <f>"basis point ROE increase."</f>
        <v>basis point ROE increase.</v>
      </c>
      <c r="D43" s="483"/>
      <c r="E43" s="483"/>
      <c r="F43" s="483"/>
      <c r="G43" s="483"/>
      <c r="H43" s="483"/>
      <c r="I43" s="483"/>
      <c r="J43" s="483"/>
      <c r="K43" s="483"/>
      <c r="L43" s="483"/>
      <c r="M43" s="483"/>
      <c r="N43" s="483"/>
      <c r="O43" s="353"/>
      <c r="P43" s="483"/>
    </row>
    <row r="44" spans="2:16" ht="12.75" customHeight="1">
      <c r="C44" s="604"/>
      <c r="D44" s="483"/>
      <c r="E44" s="483"/>
      <c r="F44" s="483"/>
      <c r="G44" s="483"/>
      <c r="H44" s="483"/>
      <c r="I44" s="483"/>
      <c r="J44" s="483"/>
      <c r="K44" s="483"/>
      <c r="L44" s="483"/>
      <c r="M44" s="483"/>
      <c r="N44" s="483"/>
      <c r="O44" s="353"/>
      <c r="P44" s="483"/>
    </row>
    <row r="45" spans="2:16" ht="15.5">
      <c r="C45" s="606" t="s">
        <v>466</v>
      </c>
      <c r="D45" s="483"/>
      <c r="E45" s="483"/>
      <c r="F45" s="482"/>
      <c r="G45" s="483"/>
      <c r="H45" s="483"/>
      <c r="I45" s="483"/>
      <c r="J45" s="483"/>
      <c r="K45" s="483"/>
      <c r="L45" s="483"/>
      <c r="M45" s="483"/>
      <c r="N45" s="483"/>
      <c r="O45" s="353"/>
      <c r="P45" s="483"/>
    </row>
    <row r="46" spans="2:16">
      <c r="B46" s="586"/>
      <c r="C46" s="607"/>
      <c r="D46" s="660"/>
      <c r="E46" s="660"/>
      <c r="F46" s="660"/>
      <c r="G46" s="660"/>
      <c r="H46" s="660"/>
      <c r="I46" s="660"/>
      <c r="J46" s="660"/>
      <c r="K46" s="660"/>
      <c r="L46" s="660"/>
      <c r="M46" s="660"/>
      <c r="N46" s="660"/>
      <c r="O46" s="658"/>
      <c r="P46" s="660"/>
    </row>
    <row r="47" spans="2:16" ht="12.75" customHeight="1">
      <c r="B47" s="586"/>
      <c r="C47" s="645" t="str">
        <f>"   Annual Revenue Requirement  (TCOS, ln "&amp;TCOS!B13&amp;")"</f>
        <v xml:space="preserve">   Annual Revenue Requirement  (TCOS, ln 1)</v>
      </c>
      <c r="D47" s="660"/>
      <c r="E47" s="660"/>
      <c r="G47" s="658">
        <f>TCOS!L13</f>
        <v>142571242.57434335</v>
      </c>
      <c r="H47" s="660"/>
      <c r="I47" s="660"/>
      <c r="J47" s="660"/>
      <c r="K47" s="660"/>
      <c r="L47" s="660"/>
      <c r="M47" s="660"/>
      <c r="N47" s="660"/>
      <c r="O47" s="658"/>
      <c r="P47" s="660"/>
    </row>
    <row r="48" spans="2:16" ht="12.75" customHeight="1">
      <c r="B48" s="586"/>
      <c r="C48" s="645" t="str">
        <f>"   Lease Payments (TCOS, Ln "&amp;TCOS!B168&amp;")"</f>
        <v xml:space="preserve">   Lease Payments (TCOS, Ln 95)</v>
      </c>
      <c r="D48" s="660"/>
      <c r="E48" s="660"/>
      <c r="G48" s="658">
        <f>TCOS!L168</f>
        <v>0</v>
      </c>
      <c r="H48" s="660"/>
      <c r="I48" s="660"/>
      <c r="J48" s="660"/>
      <c r="K48" s="660"/>
      <c r="L48" s="660"/>
      <c r="M48" s="660"/>
      <c r="N48" s="660"/>
      <c r="O48" s="658"/>
      <c r="P48" s="660"/>
    </row>
    <row r="49" spans="2:16">
      <c r="B49" s="586"/>
      <c r="C49" s="645" t="str">
        <f>"   Return  (TCOS, ln "&amp;TCOS!B205&amp;")"</f>
        <v xml:space="preserve">   Return  (TCOS, ln 126)</v>
      </c>
      <c r="D49" s="660"/>
      <c r="E49" s="660"/>
      <c r="G49" s="661">
        <f>TCOS!L205</f>
        <v>61317881.749830425</v>
      </c>
      <c r="H49" s="662"/>
      <c r="I49" s="662"/>
      <c r="J49" s="662"/>
      <c r="K49" s="662"/>
      <c r="L49" s="662"/>
      <c r="M49" s="662"/>
      <c r="N49" s="662"/>
      <c r="O49" s="658"/>
      <c r="P49" s="662"/>
    </row>
    <row r="50" spans="2:16">
      <c r="B50" s="586"/>
      <c r="C50" s="645" t="str">
        <f>"   Income Taxes  (TCOS, ln "&amp;TCOS!B203&amp;")"</f>
        <v xml:space="preserve">   Income Taxes  (TCOS, ln 125)</v>
      </c>
      <c r="D50" s="660"/>
      <c r="E50" s="660"/>
      <c r="G50" s="663">
        <f>TCOS!L203</f>
        <v>9286675.2892499343</v>
      </c>
      <c r="H50" s="660"/>
      <c r="I50" s="664"/>
      <c r="J50" s="664"/>
      <c r="K50" s="664"/>
      <c r="L50" s="664"/>
      <c r="M50" s="664"/>
      <c r="N50" s="664"/>
      <c r="O50" s="660"/>
      <c r="P50" s="664"/>
    </row>
    <row r="51" spans="2:16">
      <c r="B51" s="586"/>
      <c r="C51" s="665" t="s">
        <v>592</v>
      </c>
      <c r="D51" s="660"/>
      <c r="E51" s="660"/>
      <c r="G51" s="661">
        <f>G47-G49-G50-G48</f>
        <v>71966685.535263002</v>
      </c>
      <c r="H51" s="660"/>
      <c r="I51" s="666"/>
      <c r="J51" s="666"/>
      <c r="K51" s="666"/>
      <c r="L51" s="666"/>
      <c r="M51" s="666"/>
      <c r="N51" s="666"/>
      <c r="O51" s="666"/>
      <c r="P51" s="666"/>
    </row>
    <row r="52" spans="2:16">
      <c r="B52" s="586"/>
      <c r="C52" s="607"/>
      <c r="D52" s="660"/>
      <c r="E52" s="660"/>
      <c r="F52" s="658"/>
      <c r="G52" s="667"/>
      <c r="H52" s="668"/>
      <c r="I52" s="668"/>
      <c r="J52" s="668"/>
      <c r="K52" s="668"/>
      <c r="L52" s="668"/>
      <c r="M52" s="668"/>
      <c r="N52" s="668"/>
      <c r="O52" s="668"/>
      <c r="P52" s="668"/>
    </row>
    <row r="53" spans="2:16" ht="15.5">
      <c r="B53" s="586"/>
      <c r="C53" s="606" t="str">
        <f>"B.   Determine Annual Revenue Requirement with hypothetical "&amp;F17&amp;" basis point increase in ROE."</f>
        <v>B.   Determine Annual Revenue Requirement with hypothetical  basis point increase in ROE.</v>
      </c>
      <c r="D53" s="669"/>
      <c r="E53" s="669"/>
      <c r="F53" s="658"/>
      <c r="G53" s="667"/>
      <c r="H53" s="668"/>
      <c r="I53" s="668"/>
      <c r="J53" s="668"/>
      <c r="K53" s="668"/>
      <c r="L53" s="668"/>
      <c r="M53" s="668"/>
      <c r="N53" s="668"/>
      <c r="O53" s="668"/>
      <c r="P53" s="668"/>
    </row>
    <row r="54" spans="2:16">
      <c r="B54" s="586"/>
      <c r="C54" s="607"/>
      <c r="D54" s="669"/>
      <c r="E54" s="669"/>
      <c r="F54" s="658"/>
      <c r="G54" s="667"/>
      <c r="H54" s="668"/>
      <c r="I54" s="668"/>
      <c r="J54" s="668"/>
      <c r="K54" s="668"/>
      <c r="L54" s="668"/>
      <c r="M54" s="668"/>
      <c r="N54" s="668"/>
      <c r="O54" s="668"/>
      <c r="P54" s="668"/>
    </row>
    <row r="55" spans="2:16" ht="13">
      <c r="B55" s="586"/>
      <c r="C55" s="607" t="str">
        <f>C51</f>
        <v xml:space="preserve">   Annual Revenue Requirement, Less Lease Payments, Return and Taxes</v>
      </c>
      <c r="D55" s="669"/>
      <c r="E55" s="669"/>
      <c r="G55" s="658">
        <f>G51</f>
        <v>71966685.535263002</v>
      </c>
      <c r="H55" s="660"/>
      <c r="I55" s="660"/>
      <c r="J55" s="660"/>
      <c r="K55" s="660"/>
      <c r="L55" s="660"/>
      <c r="M55" s="660"/>
      <c r="N55" s="660"/>
      <c r="O55" s="670"/>
      <c r="P55" s="660"/>
    </row>
    <row r="56" spans="2:16" ht="13">
      <c r="B56" s="586"/>
      <c r="C56" s="611" t="s">
        <v>300</v>
      </c>
      <c r="D56" s="671"/>
      <c r="E56" s="665"/>
      <c r="G56" s="672">
        <f>F30</f>
        <v>61317881.749830425</v>
      </c>
      <c r="H56" s="673"/>
      <c r="I56" s="665"/>
      <c r="J56" s="665"/>
      <c r="K56" s="665"/>
      <c r="L56" s="665"/>
      <c r="M56" s="665"/>
      <c r="N56" s="665"/>
      <c r="O56" s="665"/>
      <c r="P56" s="665"/>
    </row>
    <row r="57" spans="2:16" ht="12.75" customHeight="1">
      <c r="B57" s="586"/>
      <c r="C57" s="629" t="s">
        <v>267</v>
      </c>
      <c r="D57" s="660"/>
      <c r="E57" s="660"/>
      <c r="G57" s="663">
        <f>F40</f>
        <v>9286675.2892499343</v>
      </c>
      <c r="H57" s="656"/>
      <c r="I57" s="550"/>
      <c r="J57" s="598"/>
      <c r="K57" s="550"/>
      <c r="L57" s="550"/>
      <c r="M57" s="550"/>
      <c r="N57" s="550"/>
      <c r="O57" s="550"/>
      <c r="P57" s="598"/>
    </row>
    <row r="58" spans="2:16">
      <c r="B58" s="586"/>
      <c r="C58" s="665" t="str">
        <f>"   Annual Revenue Requirement, with "&amp;F17&amp;" Basis Point ROE increase"</f>
        <v xml:space="preserve">   Annual Revenue Requirement, with  Basis Point ROE increase</v>
      </c>
      <c r="D58" s="573"/>
      <c r="E58" s="550"/>
      <c r="G58" s="657">
        <f>SUM(G55:G57)</f>
        <v>142571242.57434335</v>
      </c>
      <c r="H58" s="656"/>
      <c r="I58" s="550"/>
      <c r="J58" s="598"/>
      <c r="K58" s="550"/>
      <c r="L58" s="550"/>
      <c r="M58" s="550"/>
      <c r="N58" s="550"/>
      <c r="O58" s="550"/>
      <c r="P58" s="598"/>
    </row>
    <row r="59" spans="2:16">
      <c r="B59" s="586"/>
      <c r="C59" s="645" t="str">
        <f>"   Depreciation  (TCOS, ln "&amp;TCOS!B174&amp;")"</f>
        <v xml:space="preserve">   Depreciation  (TCOS, ln 100)</v>
      </c>
      <c r="D59" s="573"/>
      <c r="E59" s="550"/>
      <c r="G59" s="674">
        <f>TCOS!L174</f>
        <v>30229400.520023137</v>
      </c>
      <c r="H59" s="656"/>
      <c r="I59" s="550"/>
      <c r="J59" s="598"/>
      <c r="K59" s="550"/>
      <c r="L59" s="550"/>
      <c r="M59" s="550"/>
      <c r="N59" s="550"/>
      <c r="O59" s="550"/>
      <c r="P59" s="598"/>
    </row>
    <row r="60" spans="2:16">
      <c r="B60" s="586"/>
      <c r="C60" s="665" t="str">
        <f>"   Annual Rev. Req, w/"&amp;F17&amp;" Basis Point ROE increase, less Depreciation"</f>
        <v xml:space="preserve">   Annual Rev. Req, w/ Basis Point ROE increase, less Depreciation</v>
      </c>
      <c r="D60" s="573"/>
      <c r="E60" s="550"/>
      <c r="G60" s="657">
        <f>G58-G59</f>
        <v>112341842.05432022</v>
      </c>
      <c r="H60" s="656"/>
      <c r="I60" s="550"/>
      <c r="J60" s="598"/>
      <c r="K60" s="550"/>
      <c r="L60" s="550"/>
      <c r="M60" s="550"/>
      <c r="N60" s="550"/>
      <c r="O60" s="550"/>
      <c r="P60" s="598"/>
    </row>
    <row r="61" spans="2:16">
      <c r="B61" s="586"/>
      <c r="C61" s="550"/>
      <c r="D61" s="573"/>
      <c r="E61" s="550"/>
      <c r="F61" s="550"/>
      <c r="G61" s="550"/>
      <c r="H61" s="656"/>
      <c r="I61" s="550"/>
      <c r="J61" s="598"/>
      <c r="K61" s="550"/>
      <c r="L61" s="550"/>
      <c r="M61" s="550"/>
      <c r="N61" s="550"/>
      <c r="O61" s="550"/>
      <c r="P61" s="598"/>
    </row>
    <row r="62" spans="2:16" ht="15.5">
      <c r="B62" s="586"/>
      <c r="C62" s="606" t="str">
        <f>"C.   Determine FCR with hypothetical "&amp;F17&amp;" basis point ROE increase."</f>
        <v>C.   Determine FCR with hypothetical  basis point ROE increase.</v>
      </c>
      <c r="D62" s="573"/>
      <c r="E62" s="550"/>
      <c r="F62" s="550"/>
      <c r="G62" s="550"/>
      <c r="H62" s="656"/>
      <c r="I62" s="550"/>
      <c r="J62" s="598"/>
      <c r="K62" s="550"/>
      <c r="L62" s="550"/>
      <c r="M62" s="550"/>
      <c r="N62" s="550"/>
      <c r="O62" s="550"/>
      <c r="P62" s="598"/>
    </row>
    <row r="63" spans="2:16">
      <c r="B63" s="586"/>
      <c r="C63" s="550"/>
      <c r="D63" s="573"/>
      <c r="E63" s="550"/>
      <c r="F63" s="550"/>
      <c r="G63" s="550"/>
      <c r="H63" s="656"/>
      <c r="I63" s="550"/>
      <c r="J63" s="598"/>
      <c r="K63" s="550"/>
      <c r="L63" s="550"/>
      <c r="M63" s="550"/>
      <c r="N63" s="550"/>
      <c r="O63" s="550"/>
      <c r="P63" s="598"/>
    </row>
    <row r="64" spans="2:16">
      <c r="B64" s="586"/>
      <c r="C64" s="645" t="str">
        <f>"   Net Transmission Plant  (TCOS, ln "&amp;TCOS!B91&amp;")"</f>
        <v xml:space="preserve">   Net Transmission Plant  (TCOS, ln 42)</v>
      </c>
      <c r="D64" s="573"/>
      <c r="E64" s="550"/>
      <c r="G64" s="657">
        <f>TCOS!L91</f>
        <v>1064621215.2453847</v>
      </c>
      <c r="H64" s="675"/>
      <c r="I64" s="550"/>
      <c r="J64" s="598"/>
      <c r="K64" s="550"/>
      <c r="L64" s="550"/>
      <c r="M64" s="550"/>
      <c r="N64" s="550"/>
      <c r="O64" s="550"/>
      <c r="P64" s="598"/>
    </row>
    <row r="65" spans="2:16">
      <c r="B65" s="586"/>
      <c r="C65" s="665" t="str">
        <f>"   Annual Revenue Requirement, with "&amp;F17&amp;" Basis Point ROE increase"</f>
        <v xml:space="preserve">   Annual Revenue Requirement, with  Basis Point ROE increase</v>
      </c>
      <c r="D65" s="573"/>
      <c r="E65" s="550"/>
      <c r="G65" s="657">
        <f>G58</f>
        <v>142571242.57434335</v>
      </c>
      <c r="H65" s="656"/>
      <c r="I65" s="550"/>
      <c r="J65" s="598"/>
      <c r="K65" s="550"/>
      <c r="L65" s="550"/>
      <c r="M65" s="550"/>
      <c r="N65" s="550"/>
      <c r="O65" s="550"/>
      <c r="P65" s="598"/>
    </row>
    <row r="66" spans="2:16">
      <c r="B66" s="586"/>
      <c r="C66" s="665" t="str">
        <f>"   FCR with "&amp;F17&amp;" Basis Point increase in ROE"</f>
        <v xml:space="preserve">   FCR with  Basis Point increase in ROE</v>
      </c>
      <c r="D66" s="573"/>
      <c r="E66" s="550"/>
      <c r="G66" s="655">
        <f>G65/G64</f>
        <v>0.13391734124092397</v>
      </c>
      <c r="H66" s="656"/>
      <c r="I66" s="550"/>
      <c r="J66" s="598"/>
      <c r="K66" s="550"/>
      <c r="L66" s="550"/>
      <c r="M66" s="550"/>
      <c r="N66" s="550"/>
      <c r="O66" s="550"/>
      <c r="P66" s="598"/>
    </row>
    <row r="67" spans="2:16">
      <c r="B67" s="586"/>
      <c r="C67" s="375"/>
      <c r="D67" s="573"/>
      <c r="E67" s="550"/>
      <c r="G67" s="586"/>
      <c r="H67" s="656"/>
      <c r="I67" s="550"/>
      <c r="J67" s="598"/>
      <c r="K67" s="550"/>
      <c r="L67" s="550"/>
      <c r="M67" s="550"/>
      <c r="N67" s="550"/>
      <c r="O67" s="550"/>
      <c r="P67" s="598"/>
    </row>
    <row r="68" spans="2:16">
      <c r="B68" s="586"/>
      <c r="C68" s="665" t="str">
        <f>"   Annual Rev. Req, w / "&amp;F17&amp;" Basis Point ROE increase, less Dep."</f>
        <v xml:space="preserve">   Annual Rev. Req, w /  Basis Point ROE increase, less Dep.</v>
      </c>
      <c r="D68" s="573"/>
      <c r="E68" s="550"/>
      <c r="G68" s="657">
        <f>G60</f>
        <v>112341842.05432022</v>
      </c>
      <c r="H68" s="656"/>
      <c r="I68" s="550"/>
      <c r="J68" s="598"/>
      <c r="K68" s="550"/>
      <c r="L68" s="550"/>
      <c r="M68" s="550"/>
      <c r="N68" s="550"/>
      <c r="O68" s="550"/>
      <c r="P68" s="598"/>
    </row>
    <row r="69" spans="2:16">
      <c r="B69" s="586"/>
      <c r="C69" s="665" t="str">
        <f>"   FCR with "&amp;F17&amp;" Basis Point ROE increase, less Depreciation"</f>
        <v xml:space="preserve">   FCR with  Basis Point ROE increase, less Depreciation</v>
      </c>
      <c r="D69" s="573"/>
      <c r="E69" s="550"/>
      <c r="G69" s="655">
        <f>G68/G64</f>
        <v>0.10552282863199051</v>
      </c>
      <c r="H69" s="656"/>
      <c r="I69" s="550"/>
      <c r="J69" s="598"/>
      <c r="K69" s="550"/>
      <c r="L69" s="550"/>
      <c r="M69" s="550"/>
      <c r="N69" s="550"/>
      <c r="O69" s="550"/>
      <c r="P69" s="598"/>
    </row>
    <row r="70" spans="2:16">
      <c r="B70" s="586"/>
      <c r="C70" s="645" t="str">
        <f>"   FCR less Depreciation  (TCOS, ln "&amp;TCOS!B34&amp;")"</f>
        <v xml:space="preserve">   FCR less Depreciation  (TCOS, ln 10)</v>
      </c>
      <c r="D70" s="573"/>
      <c r="E70" s="550"/>
      <c r="G70" s="676">
        <f>TCOS!L34</f>
        <v>0.10552282863199051</v>
      </c>
      <c r="H70" s="656"/>
      <c r="I70" s="550"/>
      <c r="J70" s="598"/>
      <c r="K70" s="550"/>
      <c r="L70" s="550"/>
      <c r="M70" s="550"/>
      <c r="N70" s="550"/>
      <c r="O70" s="550"/>
      <c r="P70" s="598"/>
    </row>
    <row r="71" spans="2:16">
      <c r="B71" s="586"/>
      <c r="C71" s="665" t="str">
        <f>"   Incremental FCR with "&amp;F17&amp;" Basis Point ROE increase, less Depreciation"</f>
        <v xml:space="preserve">   Incremental FCR with  Basis Point ROE increase, less Depreciation</v>
      </c>
      <c r="D71" s="573"/>
      <c r="E71" s="550"/>
      <c r="G71" s="655">
        <f>G69-G70</f>
        <v>0</v>
      </c>
      <c r="H71" s="656"/>
      <c r="I71" s="550"/>
      <c r="J71" s="598"/>
      <c r="K71" s="550"/>
      <c r="L71" s="550"/>
      <c r="M71" s="550"/>
      <c r="N71" s="550"/>
      <c r="O71" s="550"/>
      <c r="P71" s="598"/>
    </row>
    <row r="72" spans="2:16">
      <c r="B72" s="586"/>
      <c r="C72" s="665"/>
      <c r="D72" s="573"/>
      <c r="E72" s="550"/>
      <c r="F72" s="655"/>
      <c r="G72" s="550"/>
      <c r="H72" s="656"/>
      <c r="I72" s="550"/>
      <c r="J72" s="598"/>
      <c r="K72" s="550"/>
      <c r="L72" s="550"/>
      <c r="M72" s="550"/>
      <c r="N72" s="550"/>
      <c r="O72" s="550"/>
      <c r="P72" s="598"/>
    </row>
    <row r="73" spans="2:16" ht="18">
      <c r="B73" s="605" t="s">
        <v>174</v>
      </c>
      <c r="C73" s="604" t="s">
        <v>268</v>
      </c>
      <c r="D73" s="573"/>
      <c r="E73" s="550"/>
      <c r="F73" s="655"/>
      <c r="G73" s="550"/>
      <c r="H73" s="656"/>
      <c r="I73" s="550"/>
      <c r="J73" s="598"/>
      <c r="K73" s="550"/>
      <c r="L73" s="550"/>
      <c r="M73" s="550"/>
      <c r="N73" s="550"/>
      <c r="O73" s="550"/>
      <c r="P73" s="598"/>
    </row>
    <row r="74" spans="2:16">
      <c r="B74" s="586"/>
      <c r="C74" s="665"/>
      <c r="D74" s="573"/>
      <c r="E74" s="550"/>
      <c r="F74" s="655"/>
      <c r="G74" s="550"/>
      <c r="H74" s="656"/>
      <c r="I74" s="550"/>
      <c r="J74" s="598"/>
      <c r="K74" s="550"/>
      <c r="L74" s="550"/>
      <c r="M74" s="550"/>
      <c r="N74" s="550"/>
      <c r="O74" s="550"/>
      <c r="P74" s="598"/>
    </row>
    <row r="75" spans="2:16">
      <c r="B75" s="586"/>
      <c r="C75" s="665" t="str">
        <f>+"Average Transmission Plant Balance for "&amp;TCOS!L4&amp;" (TCOS, ln "&amp;TCOS!B68&amp;")"</f>
        <v>Average Transmission Plant Balance for 2019 (TCOS, ln 21)</v>
      </c>
      <c r="D75" s="573"/>
      <c r="G75" s="656">
        <f>TCOS!L68</f>
        <v>1545033460.3099999</v>
      </c>
      <c r="I75" s="550"/>
      <c r="J75" s="598"/>
      <c r="K75" s="679"/>
      <c r="L75" s="550"/>
      <c r="M75" s="550"/>
      <c r="N75" s="550"/>
      <c r="O75" s="550"/>
      <c r="P75" s="598"/>
    </row>
    <row r="76" spans="2:16">
      <c r="B76" s="586"/>
      <c r="C76" s="677" t="str">
        <f>"Annual Depreciation and Amortization Expense  (TCOS, ln "&amp;TCOS!B174&amp;")"</f>
        <v>Annual Depreciation and Amortization Expense  (TCOS, ln 100)</v>
      </c>
      <c r="D76" s="573"/>
      <c r="E76" s="550"/>
      <c r="G76" s="678">
        <f>TCOS!L174</f>
        <v>30229400.520023137</v>
      </c>
      <c r="H76" s="656"/>
      <c r="I76" s="550"/>
      <c r="J76" s="598"/>
      <c r="K76" s="550"/>
      <c r="L76" s="550"/>
      <c r="M76" s="550"/>
      <c r="N76" s="550"/>
      <c r="O76" s="550"/>
      <c r="P76" s="598"/>
    </row>
    <row r="77" spans="2:16">
      <c r="B77" s="586"/>
      <c r="C77" s="665" t="s">
        <v>269</v>
      </c>
      <c r="D77" s="573"/>
      <c r="E77" s="550"/>
      <c r="G77" s="655">
        <f>+G76/G75</f>
        <v>1.9565531295327301E-2</v>
      </c>
      <c r="H77" s="680"/>
      <c r="I77" s="550"/>
      <c r="J77" s="598"/>
      <c r="K77" s="550"/>
      <c r="L77" s="550"/>
      <c r="M77" s="550"/>
      <c r="N77" s="550"/>
      <c r="O77" s="550"/>
      <c r="P77" s="598"/>
    </row>
    <row r="78" spans="2:16">
      <c r="B78" s="586"/>
      <c r="C78" s="665" t="s">
        <v>270</v>
      </c>
      <c r="D78" s="573"/>
      <c r="E78" s="550"/>
      <c r="G78" s="680">
        <f>1/G77</f>
        <v>51.110291098449395</v>
      </c>
      <c r="H78" s="656"/>
      <c r="I78" s="550"/>
      <c r="J78" s="598"/>
      <c r="K78" s="550"/>
      <c r="L78" s="550"/>
      <c r="M78" s="550"/>
      <c r="N78" s="550"/>
      <c r="O78" s="550"/>
      <c r="P78" s="598"/>
    </row>
    <row r="79" spans="2:16">
      <c r="B79" s="586"/>
      <c r="C79" s="665" t="s">
        <v>271</v>
      </c>
      <c r="D79" s="573"/>
      <c r="E79" s="550"/>
      <c r="G79" s="681">
        <f>ROUND(G78,0)</f>
        <v>51</v>
      </c>
      <c r="H79" s="656"/>
      <c r="I79" s="550"/>
      <c r="J79" s="598"/>
      <c r="K79" s="550"/>
      <c r="L79" s="550"/>
      <c r="M79" s="550"/>
      <c r="N79" s="550"/>
      <c r="O79" s="550"/>
      <c r="P79" s="598"/>
    </row>
    <row r="80" spans="2:16">
      <c r="B80" s="586"/>
      <c r="C80" s="665"/>
      <c r="D80" s="573"/>
      <c r="E80" s="550"/>
      <c r="G80" s="681"/>
      <c r="H80" s="656"/>
      <c r="I80" s="550"/>
      <c r="J80" s="598"/>
      <c r="K80" s="550"/>
      <c r="L80" s="550"/>
      <c r="M80" s="550"/>
      <c r="N80" s="550"/>
      <c r="O80" s="550"/>
      <c r="P80" s="598"/>
    </row>
    <row r="81" spans="1:16" ht="13">
      <c r="C81" s="682"/>
      <c r="D81" s="683"/>
      <c r="E81" s="683"/>
      <c r="F81" s="683"/>
      <c r="G81" s="679"/>
      <c r="H81" s="679"/>
      <c r="I81" s="684"/>
      <c r="J81" s="684"/>
      <c r="K81" s="684"/>
      <c r="L81" s="684"/>
      <c r="M81" s="684"/>
      <c r="N81" s="684"/>
      <c r="O81" s="550"/>
      <c r="P81" s="684"/>
    </row>
    <row r="82" spans="1:16">
      <c r="B82" s="337"/>
    </row>
    <row r="84" spans="1:16" ht="20">
      <c r="A84" s="685" t="s">
        <v>977</v>
      </c>
      <c r="B84" s="586"/>
      <c r="C84" s="665"/>
      <c r="D84" s="573"/>
      <c r="E84" s="550"/>
      <c r="F84" s="655"/>
      <c r="G84" s="550"/>
      <c r="H84" s="1271"/>
      <c r="K84" s="686"/>
      <c r="L84" s="686"/>
      <c r="M84" s="686"/>
      <c r="N84" s="601" t="str">
        <f>"Page "&amp;P84&amp;" of "</f>
        <v xml:space="preserve">Page 2 of </v>
      </c>
      <c r="O84" s="602">
        <f>COUNT(P$6:P$59527)</f>
        <v>9</v>
      </c>
      <c r="P84" s="677">
        <v>2</v>
      </c>
    </row>
    <row r="85" spans="1:16">
      <c r="B85" s="586"/>
      <c r="C85" s="550"/>
      <c r="D85" s="573"/>
      <c r="E85" s="550"/>
      <c r="F85" s="550"/>
      <c r="G85" s="550"/>
      <c r="H85" s="1271"/>
      <c r="I85" s="550"/>
      <c r="J85" s="598"/>
      <c r="K85" s="550"/>
      <c r="L85" s="550"/>
      <c r="M85" s="550"/>
      <c r="N85" s="550"/>
      <c r="O85" s="550"/>
      <c r="P85" s="598"/>
    </row>
    <row r="86" spans="1:16" ht="17">
      <c r="B86" s="605" t="s">
        <v>175</v>
      </c>
      <c r="C86" s="687" t="s">
        <v>291</v>
      </c>
      <c r="D86" s="573"/>
      <c r="E86" s="550"/>
      <c r="F86" s="550"/>
      <c r="G86" s="550"/>
      <c r="H86" s="1271"/>
      <c r="I86" s="1271"/>
      <c r="J86" s="1272"/>
      <c r="K86" s="1271"/>
      <c r="L86" s="1271"/>
      <c r="M86" s="1271"/>
      <c r="N86" s="1271"/>
      <c r="O86" s="550"/>
      <c r="P86" s="1272"/>
    </row>
    <row r="87" spans="1:16" ht="18">
      <c r="B87" s="605"/>
      <c r="C87" s="604"/>
      <c r="D87" s="573"/>
      <c r="E87" s="550"/>
      <c r="F87" s="550"/>
      <c r="G87" s="550"/>
      <c r="H87" s="1271"/>
      <c r="I87" s="1271"/>
      <c r="J87" s="1272"/>
      <c r="K87" s="1271"/>
      <c r="L87" s="1271"/>
      <c r="M87" s="1271"/>
      <c r="N87" s="1271"/>
      <c r="O87" s="550"/>
      <c r="P87" s="1272"/>
    </row>
    <row r="88" spans="1:16" ht="20.25" customHeight="1">
      <c r="B88" s="605"/>
      <c r="C88" s="604" t="s">
        <v>292</v>
      </c>
      <c r="D88" s="573"/>
      <c r="E88" s="550"/>
      <c r="F88" s="550"/>
      <c r="G88" s="550"/>
      <c r="H88" s="1271"/>
      <c r="I88" s="1271"/>
      <c r="J88" s="1272"/>
      <c r="K88" s="1271"/>
      <c r="L88" s="1271"/>
      <c r="M88" s="1271"/>
      <c r="N88" s="1271"/>
      <c r="O88" s="550"/>
      <c r="P88" s="1272"/>
    </row>
    <row r="89" spans="1:16" ht="16" thickBot="1">
      <c r="C89" s="403"/>
      <c r="D89" s="573"/>
      <c r="E89" s="550"/>
      <c r="F89" s="550"/>
      <c r="G89" s="550"/>
      <c r="H89" s="1271"/>
      <c r="I89" s="1271"/>
      <c r="J89" s="1272"/>
      <c r="K89" s="1271"/>
      <c r="L89" s="1271"/>
      <c r="M89" s="1271"/>
      <c r="N89" s="1271"/>
      <c r="O89" s="550"/>
      <c r="P89" s="1272"/>
    </row>
    <row r="90" spans="1:16" ht="15.5">
      <c r="C90" s="606" t="s">
        <v>293</v>
      </c>
      <c r="D90" s="573"/>
      <c r="E90" s="550"/>
      <c r="F90" s="550"/>
      <c r="G90" s="1273"/>
      <c r="H90" s="550" t="s">
        <v>272</v>
      </c>
      <c r="I90" s="550"/>
      <c r="J90" s="598"/>
      <c r="K90" s="688" t="s">
        <v>297</v>
      </c>
      <c r="L90" s="689"/>
      <c r="M90" s="690"/>
      <c r="N90" s="1274">
        <f>VLOOKUP(I96,C103:O162,5)</f>
        <v>886916.38710982259</v>
      </c>
      <c r="O90" s="550"/>
      <c r="P90" s="598"/>
    </row>
    <row r="91" spans="1:16" ht="15.5">
      <c r="C91" s="606"/>
      <c r="D91" s="573"/>
      <c r="E91" s="550"/>
      <c r="F91" s="550"/>
      <c r="G91" s="550"/>
      <c r="H91" s="1275"/>
      <c r="I91" s="1275"/>
      <c r="J91" s="1276"/>
      <c r="K91" s="693" t="s">
        <v>298</v>
      </c>
      <c r="L91" s="1277"/>
      <c r="M91" s="598"/>
      <c r="N91" s="1278">
        <f>VLOOKUP(I96,C103:O162,6)</f>
        <v>886916.38710982259</v>
      </c>
      <c r="O91" s="550"/>
      <c r="P91" s="1276"/>
    </row>
    <row r="92" spans="1:16" ht="13.5" thickBot="1">
      <c r="C92" s="694" t="s">
        <v>294</v>
      </c>
      <c r="D92" s="1547" t="s">
        <v>978</v>
      </c>
      <c r="E92" s="1548"/>
      <c r="F92" s="1548"/>
      <c r="G92" s="1548"/>
      <c r="H92" s="1548"/>
      <c r="I92" s="1548"/>
      <c r="J92" s="1272"/>
      <c r="K92" s="1279" t="s">
        <v>451</v>
      </c>
      <c r="L92" s="1280"/>
      <c r="M92" s="1280"/>
      <c r="N92" s="1281">
        <f>+N91-N90</f>
        <v>0</v>
      </c>
      <c r="O92" s="550"/>
      <c r="P92" s="1272"/>
    </row>
    <row r="93" spans="1:16" ht="13">
      <c r="C93" s="696"/>
      <c r="D93" s="1548"/>
      <c r="E93" s="1548"/>
      <c r="F93" s="1548"/>
      <c r="G93" s="1548"/>
      <c r="H93" s="1548"/>
      <c r="I93" s="1548"/>
      <c r="J93" s="1272"/>
      <c r="K93" s="1271"/>
      <c r="L93" s="1271"/>
      <c r="M93" s="1271"/>
      <c r="N93" s="1271"/>
      <c r="O93" s="550"/>
      <c r="P93" s="1272"/>
    </row>
    <row r="94" spans="1:16" ht="13.5" thickBot="1">
      <c r="C94" s="698"/>
      <c r="D94" s="699"/>
      <c r="E94" s="697"/>
      <c r="F94" s="697"/>
      <c r="G94" s="697"/>
      <c r="H94" s="697"/>
      <c r="I94" s="697"/>
      <c r="J94" s="700"/>
      <c r="K94" s="697"/>
      <c r="L94" s="697"/>
      <c r="M94" s="697"/>
      <c r="N94" s="697"/>
      <c r="O94" s="586"/>
      <c r="P94" s="700"/>
    </row>
    <row r="95" spans="1:16" ht="13" thickBot="1">
      <c r="C95" s="701" t="s">
        <v>295</v>
      </c>
      <c r="D95" s="702"/>
      <c r="E95" s="702"/>
      <c r="F95" s="702"/>
      <c r="G95" s="702"/>
      <c r="H95" s="702"/>
      <c r="I95" s="703"/>
      <c r="J95" s="704"/>
      <c r="K95" s="550"/>
      <c r="L95" s="550"/>
      <c r="M95" s="550"/>
      <c r="N95" s="550"/>
      <c r="O95" s="705"/>
      <c r="P95" s="706"/>
    </row>
    <row r="96" spans="1:16" ht="16">
      <c r="C96" s="707" t="s">
        <v>273</v>
      </c>
      <c r="D96" s="1282">
        <v>8327150</v>
      </c>
      <c r="E96" s="665" t="s">
        <v>274</v>
      </c>
      <c r="G96" s="708"/>
      <c r="H96" s="708"/>
      <c r="I96" s="709">
        <v>2018</v>
      </c>
      <c r="J96" s="596"/>
      <c r="K96" s="1557" t="s">
        <v>460</v>
      </c>
      <c r="L96" s="1557"/>
      <c r="M96" s="1557"/>
      <c r="N96" s="1557"/>
      <c r="O96" s="1557"/>
      <c r="P96" s="596"/>
    </row>
    <row r="97" spans="1:16">
      <c r="C97" s="707" t="s">
        <v>276</v>
      </c>
      <c r="D97" s="879">
        <v>2009</v>
      </c>
      <c r="E97" s="707" t="s">
        <v>277</v>
      </c>
      <c r="F97" s="708"/>
      <c r="H97" s="337"/>
      <c r="I97" s="882">
        <f>IF(G90="",0,$F$15)</f>
        <v>0</v>
      </c>
      <c r="J97" s="710"/>
      <c r="K97" s="1272" t="s">
        <v>460</v>
      </c>
      <c r="P97" s="710"/>
    </row>
    <row r="98" spans="1:16">
      <c r="C98" s="707" t="s">
        <v>278</v>
      </c>
      <c r="D98" s="1282">
        <v>6</v>
      </c>
      <c r="E98" s="707" t="s">
        <v>279</v>
      </c>
      <c r="F98" s="708"/>
      <c r="H98" s="337"/>
      <c r="I98" s="711">
        <f>$G$70</f>
        <v>0.10552282863199051</v>
      </c>
      <c r="J98" s="712"/>
      <c r="K98" s="337" t="str">
        <f>"          INPUT PROJECTED ARR (WITH &amp; WITHOUT INCENTIVES) FROM EACH PRIOR YEAR"</f>
        <v xml:space="preserve">          INPUT PROJECTED ARR (WITH &amp; WITHOUT INCENTIVES) FROM EACH PRIOR YEAR</v>
      </c>
      <c r="P98" s="712"/>
    </row>
    <row r="99" spans="1:16">
      <c r="C99" s="707" t="s">
        <v>280</v>
      </c>
      <c r="D99" s="713">
        <f>G$79</f>
        <v>51</v>
      </c>
      <c r="E99" s="707" t="s">
        <v>281</v>
      </c>
      <c r="F99" s="708"/>
      <c r="H99" s="337"/>
      <c r="I99" s="711">
        <f>IF(G90="",I98,$G$67)</f>
        <v>0.10552282863199051</v>
      </c>
      <c r="J99" s="714"/>
      <c r="K99" s="337" t="s">
        <v>358</v>
      </c>
      <c r="P99" s="714"/>
    </row>
    <row r="100" spans="1:16" ht="13" thickBot="1">
      <c r="C100" s="707" t="s">
        <v>282</v>
      </c>
      <c r="D100" s="881" t="s">
        <v>979</v>
      </c>
      <c r="E100" s="715" t="s">
        <v>283</v>
      </c>
      <c r="F100" s="716"/>
      <c r="G100" s="717"/>
      <c r="H100" s="717"/>
      <c r="I100" s="1281">
        <f>IF(D96=0,0,D96/D99)</f>
        <v>163277.45098039217</v>
      </c>
      <c r="J100" s="1272"/>
      <c r="K100" s="1272" t="s">
        <v>364</v>
      </c>
      <c r="L100" s="1272"/>
      <c r="M100" s="1272"/>
      <c r="N100" s="1272"/>
      <c r="O100" s="598"/>
      <c r="P100" s="1272"/>
    </row>
    <row r="101" spans="1:16" ht="52">
      <c r="A101" s="537"/>
      <c r="B101" s="1283"/>
      <c r="C101" s="718" t="s">
        <v>273</v>
      </c>
      <c r="D101" s="1284" t="s">
        <v>284</v>
      </c>
      <c r="E101" s="1285" t="s">
        <v>285</v>
      </c>
      <c r="F101" s="1284" t="s">
        <v>286</v>
      </c>
      <c r="G101" s="1285" t="s">
        <v>357</v>
      </c>
      <c r="H101" s="1286" t="s">
        <v>357</v>
      </c>
      <c r="I101" s="718" t="s">
        <v>296</v>
      </c>
      <c r="J101" s="722"/>
      <c r="K101" s="1285" t="s">
        <v>366</v>
      </c>
      <c r="L101" s="1287"/>
      <c r="M101" s="1285" t="s">
        <v>366</v>
      </c>
      <c r="N101" s="1287"/>
      <c r="O101" s="1287"/>
      <c r="P101" s="723"/>
    </row>
    <row r="102" spans="1:16" ht="13.5" thickBot="1">
      <c r="C102" s="724" t="s">
        <v>178</v>
      </c>
      <c r="D102" s="725" t="s">
        <v>179</v>
      </c>
      <c r="E102" s="724" t="s">
        <v>38</v>
      </c>
      <c r="F102" s="725" t="s">
        <v>179</v>
      </c>
      <c r="G102" s="1288" t="s">
        <v>299</v>
      </c>
      <c r="H102" s="1289" t="s">
        <v>301</v>
      </c>
      <c r="I102" s="728" t="s">
        <v>390</v>
      </c>
      <c r="J102" s="729"/>
      <c r="K102" s="1288" t="s">
        <v>288</v>
      </c>
      <c r="L102" s="1290"/>
      <c r="M102" s="1288" t="s">
        <v>301</v>
      </c>
      <c r="N102" s="1290"/>
      <c r="O102" s="1290"/>
      <c r="P102" s="596"/>
    </row>
    <row r="103" spans="1:16">
      <c r="C103" s="730">
        <f>IF(D97= "","-",D97)</f>
        <v>2009</v>
      </c>
      <c r="D103" s="683">
        <f>+D96</f>
        <v>8327150</v>
      </c>
      <c r="E103" s="1291">
        <f>+I100/12*(12-D98)</f>
        <v>81638.725490196084</v>
      </c>
      <c r="F103" s="683">
        <f t="shared" ref="F103:F162" si="0">+D103-E103</f>
        <v>8245511.2745098043</v>
      </c>
      <c r="G103" s="1292">
        <f>+$I$98*((D103+F103)/2)+E103</f>
        <v>956035.77331325784</v>
      </c>
      <c r="H103" s="1293">
        <f>+$I$99*((D103+F103)/2)+E103</f>
        <v>956035.77331325784</v>
      </c>
      <c r="I103" s="734">
        <f>+H103-G103</f>
        <v>0</v>
      </c>
      <c r="J103" s="734"/>
      <c r="K103" s="883"/>
      <c r="L103" s="736"/>
      <c r="M103" s="883"/>
      <c r="N103" s="736"/>
      <c r="O103" s="736"/>
      <c r="P103" s="684"/>
    </row>
    <row r="104" spans="1:16">
      <c r="C104" s="730">
        <f>IF(D97="","-",+C103+1)</f>
        <v>2010</v>
      </c>
      <c r="D104" s="683">
        <f t="shared" ref="D104:D162" si="1">F103</f>
        <v>8245511.2745098043</v>
      </c>
      <c r="E104" s="737">
        <f>IF(D104&gt;$I$100,$I$100,D104)</f>
        <v>163277.45098039217</v>
      </c>
      <c r="F104" s="683">
        <f t="shared" si="0"/>
        <v>8082233.823529412</v>
      </c>
      <c r="G104" s="1291">
        <f t="shared" ref="G104:G162" si="2">+$I$98*((D104+F104)/2)+E104</f>
        <v>1024752.3749439999</v>
      </c>
      <c r="H104" s="1294">
        <f t="shared" ref="H104:H162" si="3">+$I$99*((D104+F104)/2)+E104</f>
        <v>1024752.3749439999</v>
      </c>
      <c r="I104" s="734">
        <f t="shared" ref="I104:I162" si="4">+H104-G104</f>
        <v>0</v>
      </c>
      <c r="J104" s="734"/>
      <c r="K104" s="884">
        <v>1408114.4789272889</v>
      </c>
      <c r="L104" s="740"/>
      <c r="M104" s="884">
        <v>1408114.4789272889</v>
      </c>
      <c r="N104" s="740"/>
      <c r="O104" s="740"/>
      <c r="P104" s="684"/>
    </row>
    <row r="105" spans="1:16">
      <c r="C105" s="730">
        <f>IF(D97="","-",+C104+1)</f>
        <v>2011</v>
      </c>
      <c r="D105" s="683">
        <f t="shared" si="1"/>
        <v>8082233.823529412</v>
      </c>
      <c r="E105" s="737">
        <f t="shared" ref="E105:E162" si="5">IF(D105&gt;$I$100,$I$100,D105)</f>
        <v>163277.45098039217</v>
      </c>
      <c r="F105" s="683">
        <f t="shared" si="0"/>
        <v>7918956.3725490198</v>
      </c>
      <c r="G105" s="1291">
        <f t="shared" si="2"/>
        <v>1007522.8764647277</v>
      </c>
      <c r="H105" s="1294">
        <f t="shared" si="3"/>
        <v>1007522.8764647277</v>
      </c>
      <c r="I105" s="734">
        <f t="shared" si="4"/>
        <v>0</v>
      </c>
      <c r="J105" s="734"/>
      <c r="K105" s="884">
        <v>1487355</v>
      </c>
      <c r="L105" s="740"/>
      <c r="M105" s="884">
        <v>1487355</v>
      </c>
      <c r="N105" s="740"/>
      <c r="O105" s="740"/>
      <c r="P105" s="684"/>
    </row>
    <row r="106" spans="1:16">
      <c r="C106" s="730">
        <f>IF(D97="","-",+C105+1)</f>
        <v>2012</v>
      </c>
      <c r="D106" s="683">
        <f t="shared" si="1"/>
        <v>7918956.3725490198</v>
      </c>
      <c r="E106" s="737">
        <f t="shared" si="5"/>
        <v>163277.45098039217</v>
      </c>
      <c r="F106" s="683">
        <f t="shared" si="0"/>
        <v>7755678.9215686275</v>
      </c>
      <c r="G106" s="1291">
        <f t="shared" si="2"/>
        <v>990293.37798545556</v>
      </c>
      <c r="H106" s="1294">
        <f t="shared" si="3"/>
        <v>990293.37798545556</v>
      </c>
      <c r="I106" s="734">
        <f t="shared" si="4"/>
        <v>0</v>
      </c>
      <c r="J106" s="734"/>
      <c r="K106" s="884">
        <v>1319695.2352555101</v>
      </c>
      <c r="L106" s="740"/>
      <c r="M106" s="884">
        <v>1319695.2352555101</v>
      </c>
      <c r="N106" s="740"/>
      <c r="O106" s="740"/>
      <c r="P106" s="684"/>
    </row>
    <row r="107" spans="1:16">
      <c r="C107" s="730">
        <f>IF(D97="","-",+C106+1)</f>
        <v>2013</v>
      </c>
      <c r="D107" s="683">
        <f t="shared" si="1"/>
        <v>7755678.9215686275</v>
      </c>
      <c r="E107" s="737">
        <f t="shared" si="5"/>
        <v>163277.45098039217</v>
      </c>
      <c r="F107" s="683">
        <f t="shared" si="0"/>
        <v>7592401.4705882352</v>
      </c>
      <c r="G107" s="1291">
        <f t="shared" si="2"/>
        <v>973063.87950618332</v>
      </c>
      <c r="H107" s="1294">
        <f t="shared" si="3"/>
        <v>973063.87950618332</v>
      </c>
      <c r="I107" s="734">
        <f t="shared" si="4"/>
        <v>0</v>
      </c>
      <c r="J107" s="734"/>
      <c r="K107" s="1295">
        <v>1272484</v>
      </c>
      <c r="L107" s="740"/>
      <c r="M107" s="1295">
        <v>1272484</v>
      </c>
      <c r="N107" s="740"/>
      <c r="O107" s="740"/>
      <c r="P107" s="684"/>
    </row>
    <row r="108" spans="1:16">
      <c r="C108" s="730">
        <f>IF(D97="","-",+C107+1)</f>
        <v>2014</v>
      </c>
      <c r="D108" s="683">
        <f t="shared" si="1"/>
        <v>7592401.4705882352</v>
      </c>
      <c r="E108" s="737">
        <f t="shared" si="5"/>
        <v>163277.45098039217</v>
      </c>
      <c r="F108" s="683">
        <f t="shared" si="0"/>
        <v>7429124.0196078429</v>
      </c>
      <c r="G108" s="1291">
        <f t="shared" si="2"/>
        <v>955834.3810269112</v>
      </c>
      <c r="H108" s="1294">
        <f t="shared" si="3"/>
        <v>955834.3810269112</v>
      </c>
      <c r="I108" s="734">
        <f t="shared" si="4"/>
        <v>0</v>
      </c>
      <c r="J108" s="734"/>
      <c r="K108" s="884">
        <v>1249385</v>
      </c>
      <c r="L108" s="740"/>
      <c r="M108" s="884">
        <v>1249385</v>
      </c>
      <c r="N108" s="740"/>
      <c r="O108" s="740"/>
      <c r="P108" s="684"/>
    </row>
    <row r="109" spans="1:16">
      <c r="C109" s="730">
        <f>IF(D97="","-",+C108+1)</f>
        <v>2015</v>
      </c>
      <c r="D109" s="683">
        <f t="shared" si="1"/>
        <v>7429124.0196078429</v>
      </c>
      <c r="E109" s="737">
        <f t="shared" si="5"/>
        <v>163277.45098039217</v>
      </c>
      <c r="F109" s="683">
        <f t="shared" si="0"/>
        <v>7265846.5686274506</v>
      </c>
      <c r="G109" s="1291">
        <f t="shared" si="2"/>
        <v>938604.88254763896</v>
      </c>
      <c r="H109" s="1294">
        <f t="shared" si="3"/>
        <v>938604.88254763896</v>
      </c>
      <c r="I109" s="734">
        <f t="shared" si="4"/>
        <v>0</v>
      </c>
      <c r="J109" s="734"/>
      <c r="K109" s="884">
        <v>1278273</v>
      </c>
      <c r="L109" s="740"/>
      <c r="M109" s="884">
        <v>1278273</v>
      </c>
      <c r="N109" s="740"/>
      <c r="O109" s="740"/>
      <c r="P109" s="684"/>
    </row>
    <row r="110" spans="1:16">
      <c r="C110" s="730">
        <f>IF(D97="","-",+C109+1)</f>
        <v>2016</v>
      </c>
      <c r="D110" s="683">
        <f t="shared" si="1"/>
        <v>7265846.5686274506</v>
      </c>
      <c r="E110" s="737">
        <f t="shared" si="5"/>
        <v>163277.45098039217</v>
      </c>
      <c r="F110" s="683">
        <f t="shared" si="0"/>
        <v>7102569.1176470583</v>
      </c>
      <c r="G110" s="1291">
        <f t="shared" si="2"/>
        <v>921375.38406836696</v>
      </c>
      <c r="H110" s="1294">
        <f t="shared" si="3"/>
        <v>921375.38406836696</v>
      </c>
      <c r="I110" s="734">
        <f t="shared" si="4"/>
        <v>0</v>
      </c>
      <c r="J110" s="734"/>
      <c r="K110" s="884">
        <v>1254654</v>
      </c>
      <c r="L110" s="740"/>
      <c r="M110" s="884">
        <v>1254654</v>
      </c>
      <c r="N110" s="740"/>
      <c r="O110" s="740"/>
      <c r="P110" s="684"/>
    </row>
    <row r="111" spans="1:16">
      <c r="C111" s="730">
        <f>IF(D97="","-",+C110+1)</f>
        <v>2017</v>
      </c>
      <c r="D111" s="683">
        <f t="shared" si="1"/>
        <v>7102569.1176470583</v>
      </c>
      <c r="E111" s="737">
        <f t="shared" si="5"/>
        <v>163277.45098039217</v>
      </c>
      <c r="F111" s="683">
        <f t="shared" si="0"/>
        <v>6939291.666666666</v>
      </c>
      <c r="G111" s="1291">
        <f t="shared" si="2"/>
        <v>904145.8855890946</v>
      </c>
      <c r="H111" s="1294">
        <f t="shared" si="3"/>
        <v>904145.8855890946</v>
      </c>
      <c r="I111" s="734">
        <f t="shared" si="4"/>
        <v>0</v>
      </c>
      <c r="J111" s="734"/>
      <c r="K111" s="884">
        <v>1132871</v>
      </c>
      <c r="L111" s="740"/>
      <c r="M111" s="884">
        <v>1132871</v>
      </c>
      <c r="N111" s="740"/>
      <c r="O111" s="740"/>
      <c r="P111" s="684"/>
    </row>
    <row r="112" spans="1:16">
      <c r="C112" s="1296">
        <f>IF(D97="","-",+C111+1)</f>
        <v>2018</v>
      </c>
      <c r="D112" s="1297">
        <f t="shared" si="1"/>
        <v>6939291.666666666</v>
      </c>
      <c r="E112" s="1298">
        <f t="shared" si="5"/>
        <v>163277.45098039217</v>
      </c>
      <c r="F112" s="1297">
        <f t="shared" si="0"/>
        <v>6776014.2156862738</v>
      </c>
      <c r="G112" s="1299">
        <f t="shared" si="2"/>
        <v>886916.38710982259</v>
      </c>
      <c r="H112" s="1300">
        <f t="shared" si="3"/>
        <v>886916.38710982259</v>
      </c>
      <c r="I112" s="1301">
        <f t="shared" si="4"/>
        <v>0</v>
      </c>
      <c r="J112" s="734"/>
      <c r="K112" s="884"/>
      <c r="L112" s="740"/>
      <c r="M112" s="884"/>
      <c r="N112" s="740"/>
      <c r="O112" s="740"/>
      <c r="P112" s="684"/>
    </row>
    <row r="113" spans="3:16">
      <c r="C113" s="730">
        <f>IF(D97="","-",+C112+1)</f>
        <v>2019</v>
      </c>
      <c r="D113" s="683">
        <f t="shared" si="1"/>
        <v>6776014.2156862738</v>
      </c>
      <c r="E113" s="737">
        <f t="shared" si="5"/>
        <v>163277.45098039217</v>
      </c>
      <c r="F113" s="683">
        <f t="shared" si="0"/>
        <v>6612736.7647058815</v>
      </c>
      <c r="G113" s="1291">
        <f t="shared" si="2"/>
        <v>869686.88863055035</v>
      </c>
      <c r="H113" s="1294">
        <f t="shared" si="3"/>
        <v>869686.88863055035</v>
      </c>
      <c r="I113" s="734">
        <f t="shared" si="4"/>
        <v>0</v>
      </c>
      <c r="J113" s="734"/>
      <c r="K113" s="884"/>
      <c r="L113" s="740"/>
      <c r="M113" s="884"/>
      <c r="N113" s="740"/>
      <c r="O113" s="740"/>
      <c r="P113" s="684"/>
    </row>
    <row r="114" spans="3:16">
      <c r="C114" s="730">
        <f>IF(D97="","-",+C113+1)</f>
        <v>2020</v>
      </c>
      <c r="D114" s="683">
        <f t="shared" si="1"/>
        <v>6612736.7647058815</v>
      </c>
      <c r="E114" s="737">
        <f t="shared" si="5"/>
        <v>163277.45098039217</v>
      </c>
      <c r="F114" s="683">
        <f t="shared" si="0"/>
        <v>6449459.3137254892</v>
      </c>
      <c r="G114" s="1291">
        <f t="shared" si="2"/>
        <v>852457.39015127823</v>
      </c>
      <c r="H114" s="1294">
        <f t="shared" si="3"/>
        <v>852457.39015127823</v>
      </c>
      <c r="I114" s="734">
        <f t="shared" si="4"/>
        <v>0</v>
      </c>
      <c r="J114" s="734"/>
      <c r="K114" s="884"/>
      <c r="L114" s="740"/>
      <c r="M114" s="884"/>
      <c r="N114" s="740"/>
      <c r="O114" s="740"/>
      <c r="P114" s="684"/>
    </row>
    <row r="115" spans="3:16">
      <c r="C115" s="730">
        <f>IF(D97="","-",+C114+1)</f>
        <v>2021</v>
      </c>
      <c r="D115" s="683">
        <f t="shared" si="1"/>
        <v>6449459.3137254892</v>
      </c>
      <c r="E115" s="737">
        <f t="shared" si="5"/>
        <v>163277.45098039217</v>
      </c>
      <c r="F115" s="683">
        <f t="shared" si="0"/>
        <v>6286181.8627450969</v>
      </c>
      <c r="G115" s="1291">
        <f t="shared" si="2"/>
        <v>835227.89167200599</v>
      </c>
      <c r="H115" s="1294">
        <f t="shared" si="3"/>
        <v>835227.89167200599</v>
      </c>
      <c r="I115" s="734">
        <f t="shared" si="4"/>
        <v>0</v>
      </c>
      <c r="J115" s="734"/>
      <c r="K115" s="884"/>
      <c r="L115" s="740"/>
      <c r="M115" s="884"/>
      <c r="N115" s="740"/>
      <c r="O115" s="740"/>
      <c r="P115" s="684"/>
    </row>
    <row r="116" spans="3:16">
      <c r="C116" s="730">
        <f>IF(D97="","-",+C115+1)</f>
        <v>2022</v>
      </c>
      <c r="D116" s="683">
        <f t="shared" si="1"/>
        <v>6286181.8627450969</v>
      </c>
      <c r="E116" s="737">
        <f t="shared" si="5"/>
        <v>163277.45098039217</v>
      </c>
      <c r="F116" s="683">
        <f t="shared" si="0"/>
        <v>6122904.4117647046</v>
      </c>
      <c r="G116" s="1291">
        <f t="shared" si="2"/>
        <v>817998.39319273387</v>
      </c>
      <c r="H116" s="1294">
        <f t="shared" si="3"/>
        <v>817998.39319273387</v>
      </c>
      <c r="I116" s="734">
        <f t="shared" si="4"/>
        <v>0</v>
      </c>
      <c r="J116" s="734"/>
      <c r="K116" s="884"/>
      <c r="L116" s="740"/>
      <c r="M116" s="884"/>
      <c r="N116" s="740"/>
      <c r="O116" s="740"/>
      <c r="P116" s="684"/>
    </row>
    <row r="117" spans="3:16">
      <c r="C117" s="730">
        <f>IF(D97="","-",+C116+1)</f>
        <v>2023</v>
      </c>
      <c r="D117" s="683">
        <f t="shared" si="1"/>
        <v>6122904.4117647046</v>
      </c>
      <c r="E117" s="737">
        <f t="shared" si="5"/>
        <v>163277.45098039217</v>
      </c>
      <c r="F117" s="683">
        <f t="shared" si="0"/>
        <v>5959626.9607843123</v>
      </c>
      <c r="G117" s="1291">
        <f t="shared" si="2"/>
        <v>800768.89471346163</v>
      </c>
      <c r="H117" s="1294">
        <f t="shared" si="3"/>
        <v>800768.89471346163</v>
      </c>
      <c r="I117" s="734">
        <f t="shared" si="4"/>
        <v>0</v>
      </c>
      <c r="J117" s="734"/>
      <c r="K117" s="884"/>
      <c r="L117" s="740"/>
      <c r="M117" s="884"/>
      <c r="N117" s="740"/>
      <c r="O117" s="740"/>
      <c r="P117" s="684"/>
    </row>
    <row r="118" spans="3:16">
      <c r="C118" s="730">
        <f>IF(D97="","-",+C117+1)</f>
        <v>2024</v>
      </c>
      <c r="D118" s="683">
        <f t="shared" si="1"/>
        <v>5959626.9607843123</v>
      </c>
      <c r="E118" s="737">
        <f t="shared" si="5"/>
        <v>163277.45098039217</v>
      </c>
      <c r="F118" s="683">
        <f t="shared" si="0"/>
        <v>5796349.5098039201</v>
      </c>
      <c r="G118" s="1291">
        <f t="shared" si="2"/>
        <v>783539.39623418963</v>
      </c>
      <c r="H118" s="1294">
        <f t="shared" si="3"/>
        <v>783539.39623418963</v>
      </c>
      <c r="I118" s="734">
        <f t="shared" si="4"/>
        <v>0</v>
      </c>
      <c r="J118" s="734"/>
      <c r="K118" s="884"/>
      <c r="L118" s="740"/>
      <c r="M118" s="884"/>
      <c r="N118" s="740"/>
      <c r="O118" s="740"/>
      <c r="P118" s="684"/>
    </row>
    <row r="119" spans="3:16">
      <c r="C119" s="730">
        <f>IF(D97="","-",+C118+1)</f>
        <v>2025</v>
      </c>
      <c r="D119" s="683">
        <f t="shared" si="1"/>
        <v>5796349.5098039201</v>
      </c>
      <c r="E119" s="737">
        <f t="shared" si="5"/>
        <v>163277.45098039217</v>
      </c>
      <c r="F119" s="683">
        <f t="shared" si="0"/>
        <v>5633072.0588235278</v>
      </c>
      <c r="G119" s="1291">
        <f t="shared" si="2"/>
        <v>766309.89775491727</v>
      </c>
      <c r="H119" s="1294">
        <f t="shared" si="3"/>
        <v>766309.89775491727</v>
      </c>
      <c r="I119" s="734">
        <f t="shared" si="4"/>
        <v>0</v>
      </c>
      <c r="J119" s="734"/>
      <c r="K119" s="884"/>
      <c r="L119" s="740"/>
      <c r="M119" s="884"/>
      <c r="N119" s="740"/>
      <c r="O119" s="740"/>
      <c r="P119" s="684"/>
    </row>
    <row r="120" spans="3:16">
      <c r="C120" s="730">
        <f>IF(D97="","-",+C119+1)</f>
        <v>2026</v>
      </c>
      <c r="D120" s="683">
        <f t="shared" si="1"/>
        <v>5633072.0588235278</v>
      </c>
      <c r="E120" s="737">
        <f t="shared" si="5"/>
        <v>163277.45098039217</v>
      </c>
      <c r="F120" s="683">
        <f t="shared" si="0"/>
        <v>5469794.6078431355</v>
      </c>
      <c r="G120" s="1291">
        <f t="shared" si="2"/>
        <v>749080.39927564526</v>
      </c>
      <c r="H120" s="1294">
        <f t="shared" si="3"/>
        <v>749080.39927564526</v>
      </c>
      <c r="I120" s="734">
        <f t="shared" si="4"/>
        <v>0</v>
      </c>
      <c r="J120" s="734"/>
      <c r="K120" s="884"/>
      <c r="L120" s="740"/>
      <c r="M120" s="884"/>
      <c r="N120" s="740"/>
      <c r="O120" s="740"/>
      <c r="P120" s="684"/>
    </row>
    <row r="121" spans="3:16">
      <c r="C121" s="730">
        <f>IF(D97="","-",+C120+1)</f>
        <v>2027</v>
      </c>
      <c r="D121" s="683">
        <f t="shared" si="1"/>
        <v>5469794.6078431355</v>
      </c>
      <c r="E121" s="737">
        <f t="shared" si="5"/>
        <v>163277.45098039217</v>
      </c>
      <c r="F121" s="683">
        <f t="shared" si="0"/>
        <v>5306517.1568627432</v>
      </c>
      <c r="G121" s="1291">
        <f t="shared" si="2"/>
        <v>731850.90079637303</v>
      </c>
      <c r="H121" s="1294">
        <f t="shared" si="3"/>
        <v>731850.90079637303</v>
      </c>
      <c r="I121" s="734">
        <f t="shared" si="4"/>
        <v>0</v>
      </c>
      <c r="J121" s="734"/>
      <c r="K121" s="884"/>
      <c r="L121" s="740"/>
      <c r="M121" s="884"/>
      <c r="N121" s="740"/>
      <c r="O121" s="740"/>
      <c r="P121" s="684"/>
    </row>
    <row r="122" spans="3:16">
      <c r="C122" s="730">
        <f>IF(D97="","-",+C121+1)</f>
        <v>2028</v>
      </c>
      <c r="D122" s="683">
        <f t="shared" si="1"/>
        <v>5306517.1568627432</v>
      </c>
      <c r="E122" s="737">
        <f t="shared" si="5"/>
        <v>163277.45098039217</v>
      </c>
      <c r="F122" s="683">
        <f t="shared" si="0"/>
        <v>5143239.7058823509</v>
      </c>
      <c r="G122" s="1291">
        <f t="shared" si="2"/>
        <v>714621.4023171009</v>
      </c>
      <c r="H122" s="1294">
        <f t="shared" si="3"/>
        <v>714621.4023171009</v>
      </c>
      <c r="I122" s="734">
        <f t="shared" si="4"/>
        <v>0</v>
      </c>
      <c r="J122" s="734"/>
      <c r="K122" s="884"/>
      <c r="L122" s="740"/>
      <c r="M122" s="884"/>
      <c r="N122" s="740"/>
      <c r="O122" s="740"/>
      <c r="P122" s="684"/>
    </row>
    <row r="123" spans="3:16">
      <c r="C123" s="730">
        <f>IF(D97="","-",+C122+1)</f>
        <v>2029</v>
      </c>
      <c r="D123" s="683">
        <f t="shared" si="1"/>
        <v>5143239.7058823509</v>
      </c>
      <c r="E123" s="737">
        <f t="shared" si="5"/>
        <v>163277.45098039217</v>
      </c>
      <c r="F123" s="683">
        <f t="shared" si="0"/>
        <v>4979962.2549019586</v>
      </c>
      <c r="G123" s="1291">
        <f t="shared" si="2"/>
        <v>697391.90383782866</v>
      </c>
      <c r="H123" s="1294">
        <f t="shared" si="3"/>
        <v>697391.90383782866</v>
      </c>
      <c r="I123" s="734">
        <f t="shared" si="4"/>
        <v>0</v>
      </c>
      <c r="J123" s="734"/>
      <c r="K123" s="884"/>
      <c r="L123" s="740"/>
      <c r="M123" s="884"/>
      <c r="N123" s="740"/>
      <c r="O123" s="740"/>
      <c r="P123" s="684"/>
    </row>
    <row r="124" spans="3:16">
      <c r="C124" s="730">
        <f>IF(D97="","-",+C123+1)</f>
        <v>2030</v>
      </c>
      <c r="D124" s="683">
        <f t="shared" si="1"/>
        <v>4979962.2549019586</v>
      </c>
      <c r="E124" s="737">
        <f t="shared" si="5"/>
        <v>163277.45098039217</v>
      </c>
      <c r="F124" s="683">
        <f t="shared" si="0"/>
        <v>4816684.8039215663</v>
      </c>
      <c r="G124" s="1291">
        <f t="shared" si="2"/>
        <v>680162.40535855666</v>
      </c>
      <c r="H124" s="1294">
        <f t="shared" si="3"/>
        <v>680162.40535855666</v>
      </c>
      <c r="I124" s="734">
        <f t="shared" si="4"/>
        <v>0</v>
      </c>
      <c r="J124" s="734"/>
      <c r="K124" s="884"/>
      <c r="L124" s="740"/>
      <c r="M124" s="884"/>
      <c r="N124" s="740"/>
      <c r="O124" s="740"/>
      <c r="P124" s="684"/>
    </row>
    <row r="125" spans="3:16">
      <c r="C125" s="730">
        <f>IF(D97="","-",+C124+1)</f>
        <v>2031</v>
      </c>
      <c r="D125" s="683">
        <f t="shared" si="1"/>
        <v>4816684.8039215663</v>
      </c>
      <c r="E125" s="737">
        <f t="shared" si="5"/>
        <v>163277.45098039217</v>
      </c>
      <c r="F125" s="683">
        <f t="shared" si="0"/>
        <v>4653407.3529411741</v>
      </c>
      <c r="G125" s="1291">
        <f t="shared" si="2"/>
        <v>662932.9068792843</v>
      </c>
      <c r="H125" s="1294">
        <f t="shared" si="3"/>
        <v>662932.9068792843</v>
      </c>
      <c r="I125" s="734">
        <f t="shared" si="4"/>
        <v>0</v>
      </c>
      <c r="J125" s="734"/>
      <c r="K125" s="884"/>
      <c r="L125" s="740"/>
      <c r="M125" s="884"/>
      <c r="N125" s="740"/>
      <c r="O125" s="740"/>
      <c r="P125" s="684"/>
    </row>
    <row r="126" spans="3:16">
      <c r="C126" s="730">
        <f>IF(D97="","-",+C125+1)</f>
        <v>2032</v>
      </c>
      <c r="D126" s="683">
        <f t="shared" si="1"/>
        <v>4653407.3529411741</v>
      </c>
      <c r="E126" s="737">
        <f t="shared" si="5"/>
        <v>163277.45098039217</v>
      </c>
      <c r="F126" s="683">
        <f t="shared" si="0"/>
        <v>4490129.9019607818</v>
      </c>
      <c r="G126" s="1291">
        <f t="shared" si="2"/>
        <v>645703.40840001218</v>
      </c>
      <c r="H126" s="1294">
        <f t="shared" si="3"/>
        <v>645703.40840001218</v>
      </c>
      <c r="I126" s="734">
        <f t="shared" si="4"/>
        <v>0</v>
      </c>
      <c r="J126" s="734"/>
      <c r="K126" s="884"/>
      <c r="L126" s="740"/>
      <c r="M126" s="884"/>
      <c r="N126" s="740"/>
      <c r="O126" s="740"/>
      <c r="P126" s="684"/>
    </row>
    <row r="127" spans="3:16">
      <c r="C127" s="730">
        <f>IF(D97="","-",+C126+1)</f>
        <v>2033</v>
      </c>
      <c r="D127" s="683">
        <f t="shared" si="1"/>
        <v>4490129.9019607818</v>
      </c>
      <c r="E127" s="737">
        <f t="shared" si="5"/>
        <v>163277.45098039217</v>
      </c>
      <c r="F127" s="683">
        <f t="shared" si="0"/>
        <v>4326852.4509803895</v>
      </c>
      <c r="G127" s="1291">
        <f t="shared" si="2"/>
        <v>628473.90992073994</v>
      </c>
      <c r="H127" s="1294">
        <f t="shared" si="3"/>
        <v>628473.90992073994</v>
      </c>
      <c r="I127" s="734">
        <f t="shared" si="4"/>
        <v>0</v>
      </c>
      <c r="J127" s="734"/>
      <c r="K127" s="884"/>
      <c r="L127" s="740"/>
      <c r="M127" s="884"/>
      <c r="N127" s="740"/>
      <c r="O127" s="740"/>
      <c r="P127" s="684"/>
    </row>
    <row r="128" spans="3:16">
      <c r="C128" s="730">
        <f>IF(D97="","-",+C127+1)</f>
        <v>2034</v>
      </c>
      <c r="D128" s="683">
        <f t="shared" si="1"/>
        <v>4326852.4509803895</v>
      </c>
      <c r="E128" s="737">
        <f t="shared" si="5"/>
        <v>163277.45098039217</v>
      </c>
      <c r="F128" s="683">
        <f t="shared" si="0"/>
        <v>4163574.9999999972</v>
      </c>
      <c r="G128" s="1291">
        <f t="shared" si="2"/>
        <v>611244.41144146794</v>
      </c>
      <c r="H128" s="1294">
        <f t="shared" si="3"/>
        <v>611244.41144146794</v>
      </c>
      <c r="I128" s="734">
        <f t="shared" si="4"/>
        <v>0</v>
      </c>
      <c r="J128" s="734"/>
      <c r="K128" s="884"/>
      <c r="L128" s="740"/>
      <c r="M128" s="884"/>
      <c r="N128" s="740"/>
      <c r="O128" s="740"/>
      <c r="P128" s="684"/>
    </row>
    <row r="129" spans="3:16">
      <c r="C129" s="730">
        <f>IF(D97="","-",+C128+1)</f>
        <v>2035</v>
      </c>
      <c r="D129" s="683">
        <f t="shared" si="1"/>
        <v>4163574.9999999972</v>
      </c>
      <c r="E129" s="737">
        <f t="shared" si="5"/>
        <v>163277.45098039217</v>
      </c>
      <c r="F129" s="683">
        <f t="shared" si="0"/>
        <v>4000297.5490196049</v>
      </c>
      <c r="G129" s="1291">
        <f t="shared" si="2"/>
        <v>594014.9129621957</v>
      </c>
      <c r="H129" s="1294">
        <f t="shared" si="3"/>
        <v>594014.9129621957</v>
      </c>
      <c r="I129" s="734">
        <f t="shared" si="4"/>
        <v>0</v>
      </c>
      <c r="J129" s="734"/>
      <c r="K129" s="884"/>
      <c r="L129" s="740"/>
      <c r="M129" s="884"/>
      <c r="N129" s="740"/>
      <c r="O129" s="740"/>
      <c r="P129" s="684"/>
    </row>
    <row r="130" spans="3:16">
      <c r="C130" s="730">
        <f>IF(D97="","-",+C129+1)</f>
        <v>2036</v>
      </c>
      <c r="D130" s="683">
        <f t="shared" si="1"/>
        <v>4000297.5490196049</v>
      </c>
      <c r="E130" s="737">
        <f t="shared" si="5"/>
        <v>163277.45098039217</v>
      </c>
      <c r="F130" s="683">
        <f t="shared" si="0"/>
        <v>3837020.0980392126</v>
      </c>
      <c r="G130" s="1291">
        <f t="shared" si="2"/>
        <v>576785.41448292346</v>
      </c>
      <c r="H130" s="1294">
        <f t="shared" si="3"/>
        <v>576785.41448292346</v>
      </c>
      <c r="I130" s="734">
        <f t="shared" si="4"/>
        <v>0</v>
      </c>
      <c r="J130" s="734"/>
      <c r="K130" s="884"/>
      <c r="L130" s="740"/>
      <c r="M130" s="884"/>
      <c r="N130" s="740"/>
      <c r="O130" s="740"/>
      <c r="P130" s="684"/>
    </row>
    <row r="131" spans="3:16">
      <c r="C131" s="730">
        <f>IF(D97="","-",+C130+1)</f>
        <v>2037</v>
      </c>
      <c r="D131" s="683">
        <f t="shared" si="1"/>
        <v>3837020.0980392126</v>
      </c>
      <c r="E131" s="737">
        <f t="shared" si="5"/>
        <v>163277.45098039217</v>
      </c>
      <c r="F131" s="683">
        <f t="shared" si="0"/>
        <v>3673742.6470588204</v>
      </c>
      <c r="G131" s="1302">
        <f t="shared" si="2"/>
        <v>559555.91600365133</v>
      </c>
      <c r="H131" s="1294">
        <f t="shared" si="3"/>
        <v>559555.91600365133</v>
      </c>
      <c r="I131" s="734">
        <f t="shared" si="4"/>
        <v>0</v>
      </c>
      <c r="J131" s="734"/>
      <c r="K131" s="884"/>
      <c r="L131" s="740"/>
      <c r="M131" s="884"/>
      <c r="N131" s="740"/>
      <c r="O131" s="740"/>
      <c r="P131" s="684"/>
    </row>
    <row r="132" spans="3:16">
      <c r="C132" s="730">
        <f>IF(D97="","-",+C131+1)</f>
        <v>2038</v>
      </c>
      <c r="D132" s="683">
        <f t="shared" si="1"/>
        <v>3673742.6470588204</v>
      </c>
      <c r="E132" s="737">
        <f t="shared" si="5"/>
        <v>163277.45098039217</v>
      </c>
      <c r="F132" s="683">
        <f t="shared" si="0"/>
        <v>3510465.1960784281</v>
      </c>
      <c r="G132" s="1291">
        <f t="shared" si="2"/>
        <v>542326.41752437921</v>
      </c>
      <c r="H132" s="1294">
        <f t="shared" si="3"/>
        <v>542326.41752437921</v>
      </c>
      <c r="I132" s="734">
        <f t="shared" si="4"/>
        <v>0</v>
      </c>
      <c r="J132" s="734"/>
      <c r="K132" s="884"/>
      <c r="L132" s="740"/>
      <c r="M132" s="884"/>
      <c r="N132" s="740"/>
      <c r="O132" s="740"/>
      <c r="P132" s="684"/>
    </row>
    <row r="133" spans="3:16">
      <c r="C133" s="730">
        <f>IF(D97="","-",+C132+1)</f>
        <v>2039</v>
      </c>
      <c r="D133" s="683">
        <f t="shared" si="1"/>
        <v>3510465.1960784281</v>
      </c>
      <c r="E133" s="737">
        <f t="shared" si="5"/>
        <v>163277.45098039217</v>
      </c>
      <c r="F133" s="683">
        <f t="shared" si="0"/>
        <v>3347187.7450980358</v>
      </c>
      <c r="G133" s="1291">
        <f t="shared" si="2"/>
        <v>525096.91904510697</v>
      </c>
      <c r="H133" s="1294">
        <f t="shared" si="3"/>
        <v>525096.91904510697</v>
      </c>
      <c r="I133" s="734">
        <f t="shared" si="4"/>
        <v>0</v>
      </c>
      <c r="J133" s="734"/>
      <c r="K133" s="884"/>
      <c r="L133" s="740"/>
      <c r="M133" s="884"/>
      <c r="N133" s="740"/>
      <c r="O133" s="740"/>
      <c r="P133" s="684"/>
    </row>
    <row r="134" spans="3:16">
      <c r="C134" s="730">
        <f>IF(D97="","-",+C133+1)</f>
        <v>2040</v>
      </c>
      <c r="D134" s="683">
        <f t="shared" si="1"/>
        <v>3347187.7450980358</v>
      </c>
      <c r="E134" s="737">
        <f t="shared" si="5"/>
        <v>163277.45098039217</v>
      </c>
      <c r="F134" s="683">
        <f t="shared" si="0"/>
        <v>3183910.2941176435</v>
      </c>
      <c r="G134" s="1291">
        <f t="shared" si="2"/>
        <v>507867.42056583485</v>
      </c>
      <c r="H134" s="1294">
        <f t="shared" si="3"/>
        <v>507867.42056583485</v>
      </c>
      <c r="I134" s="734">
        <f t="shared" si="4"/>
        <v>0</v>
      </c>
      <c r="J134" s="734"/>
      <c r="K134" s="884"/>
      <c r="L134" s="740"/>
      <c r="M134" s="884"/>
      <c r="N134" s="740"/>
      <c r="O134" s="740"/>
      <c r="P134" s="684"/>
    </row>
    <row r="135" spans="3:16">
      <c r="C135" s="730">
        <f>IF(D97="","-",+C134+1)</f>
        <v>2041</v>
      </c>
      <c r="D135" s="683">
        <f t="shared" si="1"/>
        <v>3183910.2941176435</v>
      </c>
      <c r="E135" s="737">
        <f t="shared" si="5"/>
        <v>163277.45098039217</v>
      </c>
      <c r="F135" s="683">
        <f t="shared" si="0"/>
        <v>3020632.8431372512</v>
      </c>
      <c r="G135" s="1291">
        <f t="shared" si="2"/>
        <v>490637.92208656267</v>
      </c>
      <c r="H135" s="1294">
        <f t="shared" si="3"/>
        <v>490637.92208656267</v>
      </c>
      <c r="I135" s="734">
        <f t="shared" si="4"/>
        <v>0</v>
      </c>
      <c r="J135" s="734"/>
      <c r="K135" s="884"/>
      <c r="L135" s="740"/>
      <c r="M135" s="884"/>
      <c r="N135" s="740"/>
      <c r="O135" s="740"/>
      <c r="P135" s="684"/>
    </row>
    <row r="136" spans="3:16">
      <c r="C136" s="730">
        <f>IF(D97="","-",+C135+1)</f>
        <v>2042</v>
      </c>
      <c r="D136" s="683">
        <f t="shared" si="1"/>
        <v>3020632.8431372512</v>
      </c>
      <c r="E136" s="737">
        <f t="shared" si="5"/>
        <v>163277.45098039217</v>
      </c>
      <c r="F136" s="683">
        <f t="shared" si="0"/>
        <v>2857355.3921568589</v>
      </c>
      <c r="G136" s="1291">
        <f t="shared" si="2"/>
        <v>473408.42360729055</v>
      </c>
      <c r="H136" s="1294">
        <f t="shared" si="3"/>
        <v>473408.42360729055</v>
      </c>
      <c r="I136" s="734">
        <f t="shared" si="4"/>
        <v>0</v>
      </c>
      <c r="J136" s="734"/>
      <c r="K136" s="884"/>
      <c r="L136" s="740"/>
      <c r="M136" s="884"/>
      <c r="N136" s="740"/>
      <c r="O136" s="740"/>
      <c r="P136" s="684"/>
    </row>
    <row r="137" spans="3:16">
      <c r="C137" s="730">
        <f>IF(D97="","-",+C136+1)</f>
        <v>2043</v>
      </c>
      <c r="D137" s="683">
        <f t="shared" si="1"/>
        <v>2857355.3921568589</v>
      </c>
      <c r="E137" s="737">
        <f t="shared" si="5"/>
        <v>163277.45098039217</v>
      </c>
      <c r="F137" s="683">
        <f t="shared" si="0"/>
        <v>2694077.9411764666</v>
      </c>
      <c r="G137" s="1291">
        <f t="shared" si="2"/>
        <v>456178.92512801837</v>
      </c>
      <c r="H137" s="1294">
        <f t="shared" si="3"/>
        <v>456178.92512801837</v>
      </c>
      <c r="I137" s="734">
        <f t="shared" si="4"/>
        <v>0</v>
      </c>
      <c r="J137" s="734"/>
      <c r="K137" s="884"/>
      <c r="L137" s="740"/>
      <c r="M137" s="884"/>
      <c r="N137" s="740"/>
      <c r="O137" s="740"/>
      <c r="P137" s="684"/>
    </row>
    <row r="138" spans="3:16">
      <c r="C138" s="730">
        <f>IF(D97="","-",+C137+1)</f>
        <v>2044</v>
      </c>
      <c r="D138" s="683">
        <f t="shared" si="1"/>
        <v>2694077.9411764666</v>
      </c>
      <c r="E138" s="737">
        <f t="shared" si="5"/>
        <v>163277.45098039217</v>
      </c>
      <c r="F138" s="683">
        <f t="shared" si="0"/>
        <v>2530800.4901960744</v>
      </c>
      <c r="G138" s="1291">
        <f t="shared" si="2"/>
        <v>438949.42664874619</v>
      </c>
      <c r="H138" s="1294">
        <f t="shared" si="3"/>
        <v>438949.42664874619</v>
      </c>
      <c r="I138" s="734">
        <f t="shared" si="4"/>
        <v>0</v>
      </c>
      <c r="J138" s="734"/>
      <c r="K138" s="884"/>
      <c r="L138" s="740"/>
      <c r="M138" s="884"/>
      <c r="N138" s="740"/>
      <c r="O138" s="740"/>
      <c r="P138" s="684"/>
    </row>
    <row r="139" spans="3:16">
      <c r="C139" s="730">
        <f>IF(D97="","-",+C138+1)</f>
        <v>2045</v>
      </c>
      <c r="D139" s="683">
        <f t="shared" si="1"/>
        <v>2530800.4901960744</v>
      </c>
      <c r="E139" s="737">
        <f t="shared" si="5"/>
        <v>163277.45098039217</v>
      </c>
      <c r="F139" s="683">
        <f t="shared" si="0"/>
        <v>2367523.0392156821</v>
      </c>
      <c r="G139" s="1291">
        <f t="shared" si="2"/>
        <v>421719.92816947401</v>
      </c>
      <c r="H139" s="1294">
        <f t="shared" si="3"/>
        <v>421719.92816947401</v>
      </c>
      <c r="I139" s="734">
        <f t="shared" si="4"/>
        <v>0</v>
      </c>
      <c r="J139" s="734"/>
      <c r="K139" s="884"/>
      <c r="L139" s="740"/>
      <c r="M139" s="884"/>
      <c r="N139" s="740"/>
      <c r="O139" s="740"/>
      <c r="P139" s="684"/>
    </row>
    <row r="140" spans="3:16">
      <c r="C140" s="730">
        <f>IF(D97="","-",+C139+1)</f>
        <v>2046</v>
      </c>
      <c r="D140" s="683">
        <f t="shared" si="1"/>
        <v>2367523.0392156821</v>
      </c>
      <c r="E140" s="737">
        <f t="shared" si="5"/>
        <v>163277.45098039217</v>
      </c>
      <c r="F140" s="683">
        <f t="shared" si="0"/>
        <v>2204245.5882352898</v>
      </c>
      <c r="G140" s="1291">
        <f t="shared" si="2"/>
        <v>404490.42969020188</v>
      </c>
      <c r="H140" s="1294">
        <f t="shared" si="3"/>
        <v>404490.42969020188</v>
      </c>
      <c r="I140" s="734">
        <f t="shared" si="4"/>
        <v>0</v>
      </c>
      <c r="J140" s="734"/>
      <c r="K140" s="884"/>
      <c r="L140" s="740"/>
      <c r="M140" s="884"/>
      <c r="N140" s="740"/>
      <c r="O140" s="740"/>
      <c r="P140" s="684"/>
    </row>
    <row r="141" spans="3:16">
      <c r="C141" s="730">
        <f>IF(D97="","-",+C140+1)</f>
        <v>2047</v>
      </c>
      <c r="D141" s="683">
        <f t="shared" si="1"/>
        <v>2204245.5882352898</v>
      </c>
      <c r="E141" s="737">
        <f t="shared" si="5"/>
        <v>163277.45098039217</v>
      </c>
      <c r="F141" s="683">
        <f t="shared" si="0"/>
        <v>2040968.1372548975</v>
      </c>
      <c r="G141" s="1291">
        <f t="shared" si="2"/>
        <v>387260.9312109297</v>
      </c>
      <c r="H141" s="1294">
        <f t="shared" si="3"/>
        <v>387260.9312109297</v>
      </c>
      <c r="I141" s="734">
        <f t="shared" si="4"/>
        <v>0</v>
      </c>
      <c r="J141" s="734"/>
      <c r="K141" s="884"/>
      <c r="L141" s="740"/>
      <c r="M141" s="884"/>
      <c r="N141" s="740"/>
      <c r="O141" s="740"/>
      <c r="P141" s="684"/>
    </row>
    <row r="142" spans="3:16">
      <c r="C142" s="730">
        <f>IF(D97="","-",+C141+1)</f>
        <v>2048</v>
      </c>
      <c r="D142" s="683">
        <f t="shared" si="1"/>
        <v>2040968.1372548975</v>
      </c>
      <c r="E142" s="737">
        <f t="shared" si="5"/>
        <v>163277.45098039217</v>
      </c>
      <c r="F142" s="683">
        <f t="shared" si="0"/>
        <v>1877690.6862745052</v>
      </c>
      <c r="G142" s="1291">
        <f t="shared" si="2"/>
        <v>370031.43273165752</v>
      </c>
      <c r="H142" s="1294">
        <f t="shared" si="3"/>
        <v>370031.43273165752</v>
      </c>
      <c r="I142" s="734">
        <f t="shared" si="4"/>
        <v>0</v>
      </c>
      <c r="J142" s="734"/>
      <c r="K142" s="884"/>
      <c r="L142" s="740"/>
      <c r="M142" s="884"/>
      <c r="N142" s="740"/>
      <c r="O142" s="740"/>
      <c r="P142" s="684"/>
    </row>
    <row r="143" spans="3:16">
      <c r="C143" s="730">
        <f>IF(D97="","-",+C142+1)</f>
        <v>2049</v>
      </c>
      <c r="D143" s="683">
        <f t="shared" si="1"/>
        <v>1877690.6862745052</v>
      </c>
      <c r="E143" s="737">
        <f t="shared" si="5"/>
        <v>163277.45098039217</v>
      </c>
      <c r="F143" s="683">
        <f t="shared" si="0"/>
        <v>1714413.2352941129</v>
      </c>
      <c r="G143" s="1291">
        <f t="shared" si="2"/>
        <v>352801.9342523854</v>
      </c>
      <c r="H143" s="1294">
        <f t="shared" si="3"/>
        <v>352801.9342523854</v>
      </c>
      <c r="I143" s="734">
        <f t="shared" si="4"/>
        <v>0</v>
      </c>
      <c r="J143" s="734"/>
      <c r="K143" s="884"/>
      <c r="L143" s="740"/>
      <c r="M143" s="884"/>
      <c r="N143" s="740"/>
      <c r="O143" s="740"/>
      <c r="P143" s="684"/>
    </row>
    <row r="144" spans="3:16">
      <c r="C144" s="730">
        <f>IF(D97="","-",+C143+1)</f>
        <v>2050</v>
      </c>
      <c r="D144" s="683">
        <f t="shared" si="1"/>
        <v>1714413.2352941129</v>
      </c>
      <c r="E144" s="737">
        <f t="shared" si="5"/>
        <v>163277.45098039217</v>
      </c>
      <c r="F144" s="683">
        <f t="shared" si="0"/>
        <v>1551135.7843137207</v>
      </c>
      <c r="G144" s="1291">
        <f t="shared" si="2"/>
        <v>335572.43577311316</v>
      </c>
      <c r="H144" s="1294">
        <f t="shared" si="3"/>
        <v>335572.43577311316</v>
      </c>
      <c r="I144" s="734">
        <f t="shared" si="4"/>
        <v>0</v>
      </c>
      <c r="J144" s="734"/>
      <c r="K144" s="884"/>
      <c r="L144" s="740"/>
      <c r="M144" s="884"/>
      <c r="N144" s="740"/>
      <c r="O144" s="740"/>
      <c r="P144" s="684"/>
    </row>
    <row r="145" spans="3:16">
      <c r="C145" s="730">
        <f>IF(D97="","-",+C144+1)</f>
        <v>2051</v>
      </c>
      <c r="D145" s="683">
        <f t="shared" si="1"/>
        <v>1551135.7843137207</v>
      </c>
      <c r="E145" s="737">
        <f t="shared" si="5"/>
        <v>163277.45098039217</v>
      </c>
      <c r="F145" s="683">
        <f t="shared" si="0"/>
        <v>1387858.3333333284</v>
      </c>
      <c r="G145" s="1291">
        <f t="shared" si="2"/>
        <v>318342.93729384104</v>
      </c>
      <c r="H145" s="1294">
        <f t="shared" si="3"/>
        <v>318342.93729384104</v>
      </c>
      <c r="I145" s="734">
        <f t="shared" si="4"/>
        <v>0</v>
      </c>
      <c r="J145" s="734"/>
      <c r="K145" s="884"/>
      <c r="L145" s="740"/>
      <c r="M145" s="884"/>
      <c r="N145" s="740"/>
      <c r="O145" s="740"/>
      <c r="P145" s="684"/>
    </row>
    <row r="146" spans="3:16">
      <c r="C146" s="730">
        <f>IF(D97="","-",+C145+1)</f>
        <v>2052</v>
      </c>
      <c r="D146" s="683">
        <f t="shared" si="1"/>
        <v>1387858.3333333284</v>
      </c>
      <c r="E146" s="737">
        <f t="shared" si="5"/>
        <v>163277.45098039217</v>
      </c>
      <c r="F146" s="683">
        <f t="shared" si="0"/>
        <v>1224580.8823529361</v>
      </c>
      <c r="G146" s="1291">
        <f t="shared" si="2"/>
        <v>301113.43881456886</v>
      </c>
      <c r="H146" s="1294">
        <f t="shared" si="3"/>
        <v>301113.43881456886</v>
      </c>
      <c r="I146" s="734">
        <f t="shared" si="4"/>
        <v>0</v>
      </c>
      <c r="J146" s="734"/>
      <c r="K146" s="884"/>
      <c r="L146" s="740"/>
      <c r="M146" s="884"/>
      <c r="N146" s="740"/>
      <c r="O146" s="740"/>
      <c r="P146" s="684"/>
    </row>
    <row r="147" spans="3:16">
      <c r="C147" s="730">
        <f>IF(D97="","-",+C146+1)</f>
        <v>2053</v>
      </c>
      <c r="D147" s="683">
        <f t="shared" si="1"/>
        <v>1224580.8823529361</v>
      </c>
      <c r="E147" s="737">
        <f t="shared" si="5"/>
        <v>163277.45098039217</v>
      </c>
      <c r="F147" s="683">
        <f t="shared" si="0"/>
        <v>1061303.4313725438</v>
      </c>
      <c r="G147" s="1291">
        <f t="shared" si="2"/>
        <v>283883.94033529668</v>
      </c>
      <c r="H147" s="1294">
        <f t="shared" si="3"/>
        <v>283883.94033529668</v>
      </c>
      <c r="I147" s="734">
        <f t="shared" si="4"/>
        <v>0</v>
      </c>
      <c r="J147" s="734"/>
      <c r="K147" s="884"/>
      <c r="L147" s="740"/>
      <c r="M147" s="884"/>
      <c r="N147" s="740"/>
      <c r="O147" s="740"/>
      <c r="P147" s="684"/>
    </row>
    <row r="148" spans="3:16">
      <c r="C148" s="730">
        <f>IF(D97="","-",+C147+1)</f>
        <v>2054</v>
      </c>
      <c r="D148" s="683">
        <f t="shared" si="1"/>
        <v>1061303.4313725438</v>
      </c>
      <c r="E148" s="737">
        <f t="shared" si="5"/>
        <v>163277.45098039217</v>
      </c>
      <c r="F148" s="683">
        <f t="shared" si="0"/>
        <v>898025.98039215163</v>
      </c>
      <c r="G148" s="1291">
        <f t="shared" si="2"/>
        <v>266654.44185602455</v>
      </c>
      <c r="H148" s="1294">
        <f t="shared" si="3"/>
        <v>266654.44185602455</v>
      </c>
      <c r="I148" s="734">
        <f t="shared" si="4"/>
        <v>0</v>
      </c>
      <c r="J148" s="734"/>
      <c r="K148" s="884"/>
      <c r="L148" s="740"/>
      <c r="M148" s="884"/>
      <c r="N148" s="740"/>
      <c r="O148" s="740"/>
      <c r="P148" s="684"/>
    </row>
    <row r="149" spans="3:16">
      <c r="C149" s="730">
        <f>IF(D97="","-",+C148+1)</f>
        <v>2055</v>
      </c>
      <c r="D149" s="683">
        <f t="shared" si="1"/>
        <v>898025.98039215163</v>
      </c>
      <c r="E149" s="737">
        <f t="shared" si="5"/>
        <v>163277.45098039217</v>
      </c>
      <c r="F149" s="683">
        <f t="shared" si="0"/>
        <v>734748.52941175946</v>
      </c>
      <c r="G149" s="1291">
        <f t="shared" si="2"/>
        <v>249424.94337675237</v>
      </c>
      <c r="H149" s="1294">
        <f t="shared" si="3"/>
        <v>249424.94337675237</v>
      </c>
      <c r="I149" s="734">
        <f t="shared" si="4"/>
        <v>0</v>
      </c>
      <c r="J149" s="734"/>
      <c r="K149" s="884"/>
      <c r="L149" s="740"/>
      <c r="M149" s="884"/>
      <c r="N149" s="740"/>
      <c r="O149" s="740"/>
      <c r="P149" s="684"/>
    </row>
    <row r="150" spans="3:16">
      <c r="C150" s="730">
        <f>IF(D97="","-",+C149+1)</f>
        <v>2056</v>
      </c>
      <c r="D150" s="683">
        <f t="shared" si="1"/>
        <v>734748.52941175946</v>
      </c>
      <c r="E150" s="737">
        <f t="shared" si="5"/>
        <v>163277.45098039217</v>
      </c>
      <c r="F150" s="683">
        <f t="shared" si="0"/>
        <v>571471.07843136729</v>
      </c>
      <c r="G150" s="1291">
        <f t="shared" si="2"/>
        <v>232195.44489748022</v>
      </c>
      <c r="H150" s="1294">
        <f t="shared" si="3"/>
        <v>232195.44489748022</v>
      </c>
      <c r="I150" s="734">
        <f t="shared" si="4"/>
        <v>0</v>
      </c>
      <c r="J150" s="734"/>
      <c r="K150" s="884"/>
      <c r="L150" s="740"/>
      <c r="M150" s="884"/>
      <c r="N150" s="740"/>
      <c r="O150" s="740"/>
      <c r="P150" s="684"/>
    </row>
    <row r="151" spans="3:16">
      <c r="C151" s="730">
        <f>IF(D97="","-",+C150+1)</f>
        <v>2057</v>
      </c>
      <c r="D151" s="683">
        <f t="shared" si="1"/>
        <v>571471.07843136729</v>
      </c>
      <c r="E151" s="737">
        <f t="shared" si="5"/>
        <v>163277.45098039217</v>
      </c>
      <c r="F151" s="683">
        <f t="shared" si="0"/>
        <v>408193.62745097512</v>
      </c>
      <c r="G151" s="1291">
        <f t="shared" si="2"/>
        <v>214965.94641820807</v>
      </c>
      <c r="H151" s="1294">
        <f t="shared" si="3"/>
        <v>214965.94641820807</v>
      </c>
      <c r="I151" s="734">
        <f t="shared" si="4"/>
        <v>0</v>
      </c>
      <c r="J151" s="734"/>
      <c r="K151" s="884"/>
      <c r="L151" s="740"/>
      <c r="M151" s="884"/>
      <c r="N151" s="740"/>
      <c r="O151" s="740"/>
      <c r="P151" s="684"/>
    </row>
    <row r="152" spans="3:16">
      <c r="C152" s="730">
        <f>IF(D97="","-",+C151+1)</f>
        <v>2058</v>
      </c>
      <c r="D152" s="683">
        <f t="shared" si="1"/>
        <v>408193.62745097512</v>
      </c>
      <c r="E152" s="737">
        <f t="shared" si="5"/>
        <v>163277.45098039217</v>
      </c>
      <c r="F152" s="683">
        <f t="shared" si="0"/>
        <v>244916.17647058296</v>
      </c>
      <c r="G152" s="1291">
        <f t="shared" si="2"/>
        <v>197736.44793893592</v>
      </c>
      <c r="H152" s="1294">
        <f t="shared" si="3"/>
        <v>197736.44793893592</v>
      </c>
      <c r="I152" s="734">
        <f t="shared" si="4"/>
        <v>0</v>
      </c>
      <c r="J152" s="734"/>
      <c r="K152" s="884"/>
      <c r="L152" s="740"/>
      <c r="M152" s="884"/>
      <c r="N152" s="740"/>
      <c r="O152" s="740"/>
      <c r="P152" s="684"/>
    </row>
    <row r="153" spans="3:16">
      <c r="C153" s="730">
        <f>IF(D97="","-",+C152+1)</f>
        <v>2059</v>
      </c>
      <c r="D153" s="683">
        <f t="shared" si="1"/>
        <v>244916.17647058296</v>
      </c>
      <c r="E153" s="737">
        <f t="shared" si="5"/>
        <v>163277.45098039217</v>
      </c>
      <c r="F153" s="683">
        <f t="shared" si="0"/>
        <v>81638.725490190787</v>
      </c>
      <c r="G153" s="1291">
        <f t="shared" si="2"/>
        <v>180506.94945966377</v>
      </c>
      <c r="H153" s="1294">
        <f t="shared" si="3"/>
        <v>180506.94945966377</v>
      </c>
      <c r="I153" s="734">
        <f t="shared" si="4"/>
        <v>0</v>
      </c>
      <c r="J153" s="734"/>
      <c r="K153" s="884"/>
      <c r="L153" s="740"/>
      <c r="M153" s="884"/>
      <c r="N153" s="740"/>
      <c r="O153" s="740"/>
      <c r="P153" s="684"/>
    </row>
    <row r="154" spans="3:16">
      <c r="C154" s="730">
        <f>IF(D97="","-",+C153+1)</f>
        <v>2060</v>
      </c>
      <c r="D154" s="683">
        <f t="shared" si="1"/>
        <v>81638.725490190787</v>
      </c>
      <c r="E154" s="737">
        <f t="shared" si="5"/>
        <v>81638.725490190787</v>
      </c>
      <c r="F154" s="683">
        <f t="shared" si="0"/>
        <v>0</v>
      </c>
      <c r="G154" s="1291">
        <f t="shared" si="2"/>
        <v>85946.100110008541</v>
      </c>
      <c r="H154" s="1294">
        <f t="shared" si="3"/>
        <v>85946.100110008541</v>
      </c>
      <c r="I154" s="734">
        <f t="shared" si="4"/>
        <v>0</v>
      </c>
      <c r="J154" s="734"/>
      <c r="K154" s="884"/>
      <c r="L154" s="740"/>
      <c r="M154" s="884"/>
      <c r="N154" s="740"/>
      <c r="O154" s="740"/>
      <c r="P154" s="684"/>
    </row>
    <row r="155" spans="3:16">
      <c r="C155" s="730">
        <f>IF(D97="","-",+C154+1)</f>
        <v>2061</v>
      </c>
      <c r="D155" s="683">
        <f t="shared" si="1"/>
        <v>0</v>
      </c>
      <c r="E155" s="737">
        <f t="shared" si="5"/>
        <v>0</v>
      </c>
      <c r="F155" s="683">
        <f t="shared" si="0"/>
        <v>0</v>
      </c>
      <c r="G155" s="1291">
        <f t="shared" si="2"/>
        <v>0</v>
      </c>
      <c r="H155" s="1294">
        <f t="shared" si="3"/>
        <v>0</v>
      </c>
      <c r="I155" s="734">
        <f t="shared" si="4"/>
        <v>0</v>
      </c>
      <c r="J155" s="734"/>
      <c r="K155" s="884"/>
      <c r="L155" s="740"/>
      <c r="M155" s="884"/>
      <c r="N155" s="740"/>
      <c r="O155" s="740"/>
      <c r="P155" s="684"/>
    </row>
    <row r="156" spans="3:16">
      <c r="C156" s="730">
        <f>IF(D97="","-",+C155+1)</f>
        <v>2062</v>
      </c>
      <c r="D156" s="683">
        <f t="shared" si="1"/>
        <v>0</v>
      </c>
      <c r="E156" s="737">
        <f t="shared" si="5"/>
        <v>0</v>
      </c>
      <c r="F156" s="683">
        <f t="shared" si="0"/>
        <v>0</v>
      </c>
      <c r="G156" s="1291">
        <f t="shared" si="2"/>
        <v>0</v>
      </c>
      <c r="H156" s="1294">
        <f t="shared" si="3"/>
        <v>0</v>
      </c>
      <c r="I156" s="734">
        <f t="shared" si="4"/>
        <v>0</v>
      </c>
      <c r="J156" s="734"/>
      <c r="K156" s="884"/>
      <c r="L156" s="740"/>
      <c r="M156" s="884"/>
      <c r="N156" s="740"/>
      <c r="O156" s="740"/>
      <c r="P156" s="684"/>
    </row>
    <row r="157" spans="3:16">
      <c r="C157" s="730">
        <f>IF(D97="","-",+C156+1)</f>
        <v>2063</v>
      </c>
      <c r="D157" s="683">
        <f t="shared" si="1"/>
        <v>0</v>
      </c>
      <c r="E157" s="737">
        <f t="shared" si="5"/>
        <v>0</v>
      </c>
      <c r="F157" s="683">
        <f t="shared" si="0"/>
        <v>0</v>
      </c>
      <c r="G157" s="1291">
        <f t="shared" si="2"/>
        <v>0</v>
      </c>
      <c r="H157" s="1294">
        <f t="shared" si="3"/>
        <v>0</v>
      </c>
      <c r="I157" s="734">
        <f t="shared" si="4"/>
        <v>0</v>
      </c>
      <c r="J157" s="734"/>
      <c r="K157" s="884"/>
      <c r="L157" s="740"/>
      <c r="M157" s="884"/>
      <c r="N157" s="740"/>
      <c r="O157" s="740"/>
      <c r="P157" s="684"/>
    </row>
    <row r="158" spans="3:16">
      <c r="C158" s="730">
        <f>IF(D97="","-",+C157+1)</f>
        <v>2064</v>
      </c>
      <c r="D158" s="683">
        <f t="shared" si="1"/>
        <v>0</v>
      </c>
      <c r="E158" s="737">
        <f t="shared" si="5"/>
        <v>0</v>
      </c>
      <c r="F158" s="683">
        <f t="shared" si="0"/>
        <v>0</v>
      </c>
      <c r="G158" s="1291">
        <f t="shared" si="2"/>
        <v>0</v>
      </c>
      <c r="H158" s="1294">
        <f t="shared" si="3"/>
        <v>0</v>
      </c>
      <c r="I158" s="734">
        <f t="shared" si="4"/>
        <v>0</v>
      </c>
      <c r="J158" s="734"/>
      <c r="K158" s="884"/>
      <c r="L158" s="740"/>
      <c r="M158" s="884"/>
      <c r="N158" s="740"/>
      <c r="O158" s="740"/>
      <c r="P158" s="684"/>
    </row>
    <row r="159" spans="3:16">
      <c r="C159" s="730">
        <f>IF(D97="","-",+C158+1)</f>
        <v>2065</v>
      </c>
      <c r="D159" s="683">
        <f t="shared" si="1"/>
        <v>0</v>
      </c>
      <c r="E159" s="737">
        <f t="shared" si="5"/>
        <v>0</v>
      </c>
      <c r="F159" s="683">
        <f t="shared" si="0"/>
        <v>0</v>
      </c>
      <c r="G159" s="1291">
        <f t="shared" si="2"/>
        <v>0</v>
      </c>
      <c r="H159" s="1294">
        <f t="shared" si="3"/>
        <v>0</v>
      </c>
      <c r="I159" s="734">
        <f t="shared" si="4"/>
        <v>0</v>
      </c>
      <c r="J159" s="734"/>
      <c r="K159" s="884"/>
      <c r="L159" s="740"/>
      <c r="M159" s="884"/>
      <c r="N159" s="740"/>
      <c r="O159" s="740"/>
      <c r="P159" s="684"/>
    </row>
    <row r="160" spans="3:16">
      <c r="C160" s="730">
        <f>IF(D97="","-",+C159+1)</f>
        <v>2066</v>
      </c>
      <c r="D160" s="683">
        <f t="shared" si="1"/>
        <v>0</v>
      </c>
      <c r="E160" s="737">
        <f t="shared" si="5"/>
        <v>0</v>
      </c>
      <c r="F160" s="683">
        <f t="shared" si="0"/>
        <v>0</v>
      </c>
      <c r="G160" s="1291">
        <f t="shared" si="2"/>
        <v>0</v>
      </c>
      <c r="H160" s="1294">
        <f t="shared" si="3"/>
        <v>0</v>
      </c>
      <c r="I160" s="734">
        <f t="shared" si="4"/>
        <v>0</v>
      </c>
      <c r="J160" s="734"/>
      <c r="K160" s="884"/>
      <c r="L160" s="740"/>
      <c r="M160" s="884"/>
      <c r="N160" s="740"/>
      <c r="O160" s="740"/>
      <c r="P160" s="684"/>
    </row>
    <row r="161" spans="1:16">
      <c r="C161" s="730">
        <f>IF(D97="","-",+C160+1)</f>
        <v>2067</v>
      </c>
      <c r="D161" s="683">
        <f t="shared" si="1"/>
        <v>0</v>
      </c>
      <c r="E161" s="737">
        <f t="shared" si="5"/>
        <v>0</v>
      </c>
      <c r="F161" s="683">
        <f t="shared" si="0"/>
        <v>0</v>
      </c>
      <c r="G161" s="1291">
        <f t="shared" si="2"/>
        <v>0</v>
      </c>
      <c r="H161" s="1294">
        <f t="shared" si="3"/>
        <v>0</v>
      </c>
      <c r="I161" s="734">
        <f t="shared" si="4"/>
        <v>0</v>
      </c>
      <c r="J161" s="734"/>
      <c r="K161" s="884"/>
      <c r="L161" s="740"/>
      <c r="M161" s="884"/>
      <c r="N161" s="740"/>
      <c r="O161" s="740"/>
      <c r="P161" s="684"/>
    </row>
    <row r="162" spans="1:16" ht="13" thickBot="1">
      <c r="C162" s="741">
        <f>IF(D97="","-",+C161+1)</f>
        <v>2068</v>
      </c>
      <c r="D162" s="742">
        <f t="shared" si="1"/>
        <v>0</v>
      </c>
      <c r="E162" s="743">
        <f t="shared" si="5"/>
        <v>0</v>
      </c>
      <c r="F162" s="742">
        <f t="shared" si="0"/>
        <v>0</v>
      </c>
      <c r="G162" s="1303">
        <f t="shared" si="2"/>
        <v>0</v>
      </c>
      <c r="H162" s="1303">
        <f t="shared" si="3"/>
        <v>0</v>
      </c>
      <c r="I162" s="745">
        <f t="shared" si="4"/>
        <v>0</v>
      </c>
      <c r="J162" s="734"/>
      <c r="K162" s="885"/>
      <c r="L162" s="747"/>
      <c r="M162" s="885"/>
      <c r="N162" s="747"/>
      <c r="O162" s="747"/>
      <c r="P162" s="684"/>
    </row>
    <row r="163" spans="1:16">
      <c r="C163" s="683" t="s">
        <v>289</v>
      </c>
      <c r="D163" s="1272"/>
      <c r="E163" s="1272">
        <f>SUM(E103:E162)</f>
        <v>8327150</v>
      </c>
      <c r="F163" s="1272"/>
      <c r="G163" s="1272">
        <f>SUM(G103:G162)</f>
        <v>31173464.983514857</v>
      </c>
      <c r="H163" s="1272">
        <f>SUM(H103:H162)</f>
        <v>31173464.983514857</v>
      </c>
      <c r="I163" s="1272">
        <f>SUM(I103:I162)</f>
        <v>0</v>
      </c>
      <c r="J163" s="1272"/>
      <c r="K163" s="1272"/>
      <c r="L163" s="1272"/>
      <c r="M163" s="1272"/>
      <c r="N163" s="1272"/>
      <c r="O163" s="550"/>
      <c r="P163" s="1272"/>
    </row>
    <row r="164" spans="1:16">
      <c r="D164" s="573"/>
      <c r="E164" s="550"/>
      <c r="F164" s="550"/>
      <c r="G164" s="550"/>
      <c r="H164" s="1271"/>
      <c r="I164" s="1271"/>
      <c r="J164" s="1272"/>
      <c r="K164" s="1271"/>
      <c r="L164" s="1271"/>
      <c r="M164" s="1271"/>
      <c r="N164" s="1271"/>
      <c r="O164" s="550"/>
      <c r="P164" s="1272"/>
    </row>
    <row r="165" spans="1:16">
      <c r="C165" s="1304" t="s">
        <v>980</v>
      </c>
      <c r="D165" s="573"/>
      <c r="E165" s="550"/>
      <c r="F165" s="550"/>
      <c r="G165" s="550"/>
      <c r="H165" s="1271"/>
      <c r="I165" s="1271"/>
      <c r="J165" s="1272"/>
      <c r="K165" s="1271"/>
      <c r="L165" s="1271"/>
      <c r="M165" s="1271"/>
      <c r="N165" s="1271"/>
      <c r="O165" s="550"/>
      <c r="P165" s="1272"/>
    </row>
    <row r="166" spans="1:16">
      <c r="D166" s="573"/>
      <c r="E166" s="550"/>
      <c r="F166" s="550"/>
      <c r="G166" s="550"/>
      <c r="H166" s="1271"/>
      <c r="I166" s="1271"/>
      <c r="J166" s="1272"/>
      <c r="K166" s="1271"/>
      <c r="L166" s="1271"/>
      <c r="M166" s="1271"/>
      <c r="N166" s="1271"/>
      <c r="O166" s="550"/>
      <c r="P166" s="1272"/>
    </row>
    <row r="167" spans="1:16" ht="12.75" customHeight="1">
      <c r="C167" s="696" t="s">
        <v>981</v>
      </c>
      <c r="D167" s="683"/>
      <c r="E167" s="683"/>
      <c r="F167" s="683"/>
      <c r="G167" s="1272"/>
      <c r="H167" s="1272"/>
      <c r="I167" s="684"/>
      <c r="J167" s="684"/>
      <c r="K167" s="684"/>
      <c r="L167" s="684"/>
      <c r="M167" s="684"/>
      <c r="N167" s="684"/>
      <c r="O167" s="550"/>
      <c r="P167" s="684"/>
    </row>
    <row r="168" spans="1:16" ht="13">
      <c r="C168" s="682" t="s">
        <v>477</v>
      </c>
      <c r="D168" s="683"/>
      <c r="E168" s="683"/>
      <c r="F168" s="683"/>
      <c r="G168" s="1272"/>
      <c r="H168" s="1272"/>
      <c r="I168" s="684"/>
      <c r="J168" s="684"/>
      <c r="K168" s="684"/>
      <c r="L168" s="684"/>
      <c r="M168" s="684"/>
      <c r="N168" s="684"/>
      <c r="O168" s="550"/>
      <c r="P168" s="684"/>
    </row>
    <row r="169" spans="1:16" ht="13">
      <c r="C169" s="682" t="s">
        <v>290</v>
      </c>
      <c r="D169" s="683"/>
      <c r="E169" s="683"/>
      <c r="F169" s="683"/>
      <c r="G169" s="1272"/>
      <c r="H169" s="1272"/>
      <c r="I169" s="684"/>
      <c r="J169" s="684"/>
      <c r="K169" s="684"/>
      <c r="L169" s="684"/>
      <c r="M169" s="684"/>
      <c r="N169" s="684"/>
      <c r="O169" s="550"/>
      <c r="P169" s="684"/>
    </row>
    <row r="170" spans="1:16" ht="13">
      <c r="C170" s="682"/>
      <c r="D170" s="683"/>
      <c r="E170" s="683"/>
      <c r="F170" s="683"/>
      <c r="G170" s="1272"/>
      <c r="H170" s="1272"/>
      <c r="I170" s="684"/>
      <c r="J170" s="684"/>
      <c r="K170" s="684"/>
      <c r="L170" s="684"/>
      <c r="M170" s="684"/>
      <c r="N170" s="684"/>
      <c r="O170" s="550"/>
      <c r="P170" s="684"/>
    </row>
    <row r="171" spans="1:16">
      <c r="C171" s="1546" t="s">
        <v>461</v>
      </c>
      <c r="D171" s="1546"/>
      <c r="E171" s="1546"/>
      <c r="F171" s="1546"/>
      <c r="G171" s="1546"/>
      <c r="H171" s="1546"/>
      <c r="I171" s="1546"/>
      <c r="J171" s="1546"/>
      <c r="K171" s="1546"/>
      <c r="L171" s="1546"/>
      <c r="M171" s="1546"/>
      <c r="N171" s="1546"/>
      <c r="O171" s="1546"/>
    </row>
    <row r="172" spans="1:16">
      <c r="C172" s="1546"/>
      <c r="D172" s="1546"/>
      <c r="E172" s="1546"/>
      <c r="F172" s="1546"/>
      <c r="G172" s="1546"/>
      <c r="H172" s="1546"/>
      <c r="I172" s="1546"/>
      <c r="J172" s="1546"/>
      <c r="K172" s="1546"/>
      <c r="L172" s="1546"/>
      <c r="M172" s="1546"/>
      <c r="N172" s="1546"/>
      <c r="O172" s="1546"/>
    </row>
    <row r="173" spans="1:16" ht="20">
      <c r="A173" s="685" t="s">
        <v>977</v>
      </c>
      <c r="B173" s="586"/>
      <c r="C173" s="665"/>
      <c r="D173" s="573"/>
      <c r="E173" s="550"/>
      <c r="F173" s="655"/>
      <c r="G173" s="550"/>
      <c r="H173" s="1271"/>
      <c r="K173" s="686"/>
      <c r="L173" s="686"/>
      <c r="M173" s="686"/>
      <c r="N173" s="601" t="str">
        <f>"Page "&amp;P173&amp;" of "</f>
        <v xml:space="preserve">Page 3 of </v>
      </c>
      <c r="O173" s="602">
        <f>COUNT(P$6:P$59527)</f>
        <v>9</v>
      </c>
      <c r="P173" s="550">
        <v>3</v>
      </c>
    </row>
    <row r="174" spans="1:16">
      <c r="B174" s="586"/>
      <c r="C174" s="550"/>
      <c r="D174" s="573"/>
      <c r="E174" s="550"/>
      <c r="F174" s="550"/>
      <c r="G174" s="550"/>
      <c r="H174" s="1271"/>
      <c r="I174" s="550"/>
      <c r="J174" s="598"/>
      <c r="K174" s="550"/>
      <c r="L174" s="550"/>
      <c r="M174" s="550"/>
      <c r="N174" s="550"/>
      <c r="O174" s="550"/>
    </row>
    <row r="175" spans="1:16" ht="17">
      <c r="B175" s="605" t="s">
        <v>175</v>
      </c>
      <c r="C175" s="687" t="s">
        <v>291</v>
      </c>
      <c r="D175" s="573"/>
      <c r="E175" s="550"/>
      <c r="F175" s="550"/>
      <c r="G175" s="550"/>
      <c r="H175" s="1271"/>
      <c r="I175" s="1271"/>
      <c r="J175" s="1272"/>
      <c r="K175" s="1271"/>
      <c r="L175" s="1271"/>
      <c r="M175" s="1271"/>
      <c r="N175" s="1271"/>
      <c r="O175" s="550"/>
    </row>
    <row r="176" spans="1:16" ht="18">
      <c r="B176" s="605"/>
      <c r="C176" s="604"/>
      <c r="D176" s="573"/>
      <c r="E176" s="550"/>
      <c r="F176" s="550"/>
      <c r="G176" s="550"/>
      <c r="H176" s="1271"/>
      <c r="I176" s="1271"/>
      <c r="J176" s="1272"/>
      <c r="K176" s="1271"/>
      <c r="L176" s="1271"/>
      <c r="M176" s="1271"/>
      <c r="N176" s="1271"/>
      <c r="O176" s="550"/>
    </row>
    <row r="177" spans="1:15" ht="18">
      <c r="B177" s="605"/>
      <c r="C177" s="604" t="s">
        <v>292</v>
      </c>
      <c r="D177" s="573"/>
      <c r="E177" s="550"/>
      <c r="F177" s="550"/>
      <c r="G177" s="550"/>
      <c r="H177" s="1271"/>
      <c r="I177" s="1271"/>
      <c r="J177" s="1272"/>
      <c r="K177" s="1271"/>
      <c r="L177" s="1271"/>
      <c r="M177" s="1271"/>
      <c r="N177" s="1271"/>
      <c r="O177" s="550"/>
    </row>
    <row r="178" spans="1:15" ht="16" thickBot="1">
      <c r="C178" s="403"/>
      <c r="D178" s="573"/>
      <c r="E178" s="550"/>
      <c r="F178" s="550"/>
      <c r="G178" s="550"/>
      <c r="H178" s="1271"/>
      <c r="I178" s="1271"/>
      <c r="J178" s="1272"/>
      <c r="K178" s="1271"/>
      <c r="L178" s="1271"/>
      <c r="M178" s="1271"/>
      <c r="N178" s="1271"/>
      <c r="O178" s="550"/>
    </row>
    <row r="179" spans="1:15" ht="15.5">
      <c r="C179" s="606" t="s">
        <v>293</v>
      </c>
      <c r="D179" s="573"/>
      <c r="E179" s="550"/>
      <c r="F179" s="550"/>
      <c r="G179" s="1273"/>
      <c r="H179" s="550" t="s">
        <v>272</v>
      </c>
      <c r="I179" s="550"/>
      <c r="J179" s="598"/>
      <c r="K179" s="688" t="s">
        <v>297</v>
      </c>
      <c r="L179" s="689"/>
      <c r="M179" s="690"/>
      <c r="N179" s="1274">
        <f>VLOOKUP(I185,C192:O251,5)</f>
        <v>67262.002777484522</v>
      </c>
      <c r="O179" s="550"/>
    </row>
    <row r="180" spans="1:15" ht="15.5">
      <c r="C180" s="606"/>
      <c r="D180" s="573"/>
      <c r="E180" s="550"/>
      <c r="F180" s="550"/>
      <c r="G180" s="550"/>
      <c r="H180" s="1275"/>
      <c r="I180" s="1275"/>
      <c r="J180" s="1276"/>
      <c r="K180" s="693" t="s">
        <v>298</v>
      </c>
      <c r="L180" s="1277"/>
      <c r="M180" s="598"/>
      <c r="N180" s="1278">
        <f>VLOOKUP(I185,C192:O251,6)</f>
        <v>67262.002777484522</v>
      </c>
      <c r="O180" s="550"/>
    </row>
    <row r="181" spans="1:15" ht="13.5" thickBot="1">
      <c r="C181" s="694" t="s">
        <v>294</v>
      </c>
      <c r="D181" s="1547" t="s">
        <v>982</v>
      </c>
      <c r="E181" s="1548"/>
      <c r="F181" s="1548"/>
      <c r="G181" s="1548"/>
      <c r="H181" s="1548"/>
      <c r="I181" s="1548"/>
      <c r="J181" s="1272"/>
      <c r="K181" s="1279" t="s">
        <v>451</v>
      </c>
      <c r="L181" s="1280"/>
      <c r="M181" s="1280"/>
      <c r="N181" s="1281">
        <f>+N180-N179</f>
        <v>0</v>
      </c>
      <c r="O181" s="550"/>
    </row>
    <row r="182" spans="1:15" ht="13">
      <c r="C182" s="696"/>
      <c r="D182" s="1548"/>
      <c r="E182" s="1548"/>
      <c r="F182" s="1548"/>
      <c r="G182" s="1548"/>
      <c r="H182" s="1548"/>
      <c r="I182" s="1548"/>
      <c r="J182" s="1272"/>
      <c r="K182" s="1271"/>
      <c r="L182" s="1271"/>
      <c r="M182" s="1271"/>
      <c r="N182" s="1271"/>
      <c r="O182" s="550"/>
    </row>
    <row r="183" spans="1:15" ht="13.5" thickBot="1">
      <c r="C183" s="698"/>
      <c r="D183" s="699"/>
      <c r="E183" s="697"/>
      <c r="F183" s="697"/>
      <c r="G183" s="697"/>
      <c r="H183" s="697"/>
      <c r="I183" s="697"/>
      <c r="J183" s="700"/>
      <c r="K183" s="697"/>
      <c r="L183" s="697"/>
      <c r="M183" s="697"/>
      <c r="N183" s="697"/>
      <c r="O183" s="586"/>
    </row>
    <row r="184" spans="1:15" ht="13" thickBot="1">
      <c r="C184" s="701" t="s">
        <v>295</v>
      </c>
      <c r="D184" s="702"/>
      <c r="E184" s="702"/>
      <c r="F184" s="702"/>
      <c r="G184" s="702"/>
      <c r="H184" s="702"/>
      <c r="I184" s="703"/>
      <c r="J184" s="704"/>
      <c r="K184" s="550"/>
      <c r="L184" s="550"/>
      <c r="M184" s="550"/>
      <c r="N184" s="550"/>
      <c r="O184" s="705"/>
    </row>
    <row r="185" spans="1:15" ht="16">
      <c r="C185" s="707" t="s">
        <v>273</v>
      </c>
      <c r="D185" s="1282">
        <v>585981</v>
      </c>
      <c r="E185" s="665" t="s">
        <v>274</v>
      </c>
      <c r="G185" s="708"/>
      <c r="H185" s="708"/>
      <c r="I185" s="709">
        <v>2018</v>
      </c>
      <c r="J185" s="596"/>
      <c r="K185" s="1557" t="s">
        <v>460</v>
      </c>
      <c r="L185" s="1557"/>
      <c r="M185" s="1557"/>
      <c r="N185" s="1557"/>
      <c r="O185" s="1557"/>
    </row>
    <row r="186" spans="1:15">
      <c r="C186" s="707" t="s">
        <v>276</v>
      </c>
      <c r="D186" s="879">
        <v>2013</v>
      </c>
      <c r="E186" s="707" t="s">
        <v>277</v>
      </c>
      <c r="F186" s="708"/>
      <c r="H186" s="337"/>
      <c r="I186" s="882">
        <f>IF(G179="",0,$F$15)</f>
        <v>0</v>
      </c>
      <c r="J186" s="710"/>
      <c r="K186" s="1272" t="s">
        <v>460</v>
      </c>
    </row>
    <row r="187" spans="1:15">
      <c r="C187" s="707" t="s">
        <v>278</v>
      </c>
      <c r="D187" s="1282">
        <v>6</v>
      </c>
      <c r="E187" s="707" t="s">
        <v>279</v>
      </c>
      <c r="F187" s="708"/>
      <c r="H187" s="337"/>
      <c r="I187" s="711">
        <f>$G$70</f>
        <v>0.10552282863199051</v>
      </c>
      <c r="J187" s="712"/>
      <c r="K187" s="337" t="str">
        <f>"          INPUT PROJECTED ARR (WITH &amp; WITHOUT INCENTIVES) FROM EACH PRIOR YEAR"</f>
        <v xml:space="preserve">          INPUT PROJECTED ARR (WITH &amp; WITHOUT INCENTIVES) FROM EACH PRIOR YEAR</v>
      </c>
    </row>
    <row r="188" spans="1:15">
      <c r="C188" s="707" t="s">
        <v>280</v>
      </c>
      <c r="D188" s="713">
        <f>G$79</f>
        <v>51</v>
      </c>
      <c r="E188" s="707" t="s">
        <v>281</v>
      </c>
      <c r="F188" s="708"/>
      <c r="H188" s="337"/>
      <c r="I188" s="711">
        <f>IF(G179="",I187,$G$67)</f>
        <v>0.10552282863199051</v>
      </c>
      <c r="J188" s="714"/>
      <c r="K188" s="337" t="s">
        <v>358</v>
      </c>
    </row>
    <row r="189" spans="1:15" ht="13" thickBot="1">
      <c r="C189" s="707" t="s">
        <v>282</v>
      </c>
      <c r="D189" s="881" t="s">
        <v>979</v>
      </c>
      <c r="E189" s="715" t="s">
        <v>283</v>
      </c>
      <c r="F189" s="716"/>
      <c r="G189" s="717"/>
      <c r="H189" s="717"/>
      <c r="I189" s="1281">
        <f>IF(D185=0,0,D185/D188)</f>
        <v>11489.823529411764</v>
      </c>
      <c r="J189" s="1272"/>
      <c r="K189" s="1272" t="s">
        <v>364</v>
      </c>
      <c r="L189" s="1272"/>
      <c r="M189" s="1272"/>
      <c r="N189" s="1272"/>
      <c r="O189" s="598"/>
    </row>
    <row r="190" spans="1:15" ht="52">
      <c r="A190" s="537"/>
      <c r="B190" s="1283"/>
      <c r="C190" s="718" t="s">
        <v>273</v>
      </c>
      <c r="D190" s="1284" t="s">
        <v>284</v>
      </c>
      <c r="E190" s="1285" t="s">
        <v>285</v>
      </c>
      <c r="F190" s="1284" t="s">
        <v>286</v>
      </c>
      <c r="G190" s="1285" t="s">
        <v>357</v>
      </c>
      <c r="H190" s="1286" t="s">
        <v>357</v>
      </c>
      <c r="I190" s="718" t="s">
        <v>296</v>
      </c>
      <c r="J190" s="722"/>
      <c r="K190" s="1285" t="s">
        <v>366</v>
      </c>
      <c r="L190" s="1287"/>
      <c r="M190" s="1285" t="s">
        <v>366</v>
      </c>
      <c r="N190" s="1287"/>
      <c r="O190" s="1287"/>
    </row>
    <row r="191" spans="1:15" ht="13.5" thickBot="1">
      <c r="C191" s="724" t="s">
        <v>178</v>
      </c>
      <c r="D191" s="725" t="s">
        <v>179</v>
      </c>
      <c r="E191" s="724" t="s">
        <v>38</v>
      </c>
      <c r="F191" s="725" t="s">
        <v>179</v>
      </c>
      <c r="G191" s="1288" t="s">
        <v>299</v>
      </c>
      <c r="H191" s="1289" t="s">
        <v>301</v>
      </c>
      <c r="I191" s="728" t="s">
        <v>390</v>
      </c>
      <c r="J191" s="729"/>
      <c r="K191" s="1288" t="s">
        <v>288</v>
      </c>
      <c r="L191" s="1290"/>
      <c r="M191" s="1288" t="s">
        <v>301</v>
      </c>
      <c r="N191" s="1290"/>
      <c r="O191" s="1290"/>
    </row>
    <row r="192" spans="1:15">
      <c r="C192" s="730">
        <f>IF(D186= "","-",D186)</f>
        <v>2013</v>
      </c>
      <c r="D192" s="683">
        <f>+D185</f>
        <v>585981</v>
      </c>
      <c r="E192" s="1291">
        <f>+I189/12*(12-D187)</f>
        <v>5744.911764705882</v>
      </c>
      <c r="F192" s="683">
        <f t="shared" ref="F192:F251" si="6">+D192-E192</f>
        <v>580236.0882352941</v>
      </c>
      <c r="G192" s="1292">
        <f>+$I$187*((D192+F192)/2)+E192</f>
        <v>67276.174739481823</v>
      </c>
      <c r="H192" s="1293">
        <f>+$I$188*((D192+F192)/2)+E192</f>
        <v>67276.174739481823</v>
      </c>
      <c r="I192" s="734">
        <f>+H192-G192</f>
        <v>0</v>
      </c>
      <c r="J192" s="734"/>
      <c r="K192" s="1295">
        <v>92625</v>
      </c>
      <c r="L192" s="736"/>
      <c r="M192" s="1295">
        <v>92625</v>
      </c>
      <c r="N192" s="736"/>
      <c r="O192" s="736"/>
    </row>
    <row r="193" spans="3:15">
      <c r="C193" s="730">
        <f>IF(D186="","-",+C192+1)</f>
        <v>2014</v>
      </c>
      <c r="D193" s="683">
        <f t="shared" ref="D193:D251" si="7">F192</f>
        <v>580236.0882352941</v>
      </c>
      <c r="E193" s="737">
        <f>IF(D193&gt;$I$189,$I$189,D193)</f>
        <v>11489.823529411764</v>
      </c>
      <c r="F193" s="683">
        <f t="shared" si="6"/>
        <v>568746.26470588229</v>
      </c>
      <c r="G193" s="1291">
        <f t="shared" ref="G193:G251" si="8">+$I$187*((D193+F193)/2)+E193</f>
        <v>72111.757494708261</v>
      </c>
      <c r="H193" s="1294">
        <f t="shared" ref="H193:H251" si="9">+$I$188*((D193+F193)/2)+E193</f>
        <v>72111.757494708261</v>
      </c>
      <c r="I193" s="734">
        <f t="shared" ref="I193:I251" si="10">+H193-G193</f>
        <v>0</v>
      </c>
      <c r="J193" s="734"/>
      <c r="K193" s="884">
        <v>87393</v>
      </c>
      <c r="L193" s="740"/>
      <c r="M193" s="884">
        <v>87393</v>
      </c>
      <c r="N193" s="740"/>
      <c r="O193" s="740"/>
    </row>
    <row r="194" spans="3:15">
      <c r="C194" s="730">
        <f>IF(D186="","-",+C193+1)</f>
        <v>2015</v>
      </c>
      <c r="D194" s="683">
        <f t="shared" si="7"/>
        <v>568746.26470588229</v>
      </c>
      <c r="E194" s="737">
        <f t="shared" ref="E194:E251" si="11">IF(D194&gt;$I$189,$I$189,D194)</f>
        <v>11489.823529411764</v>
      </c>
      <c r="F194" s="683">
        <f t="shared" si="6"/>
        <v>557256.44117647049</v>
      </c>
      <c r="G194" s="1291">
        <f t="shared" si="8"/>
        <v>70899.318815402337</v>
      </c>
      <c r="H194" s="1294">
        <f t="shared" si="9"/>
        <v>70899.318815402337</v>
      </c>
      <c r="I194" s="734">
        <f t="shared" si="10"/>
        <v>0</v>
      </c>
      <c r="J194" s="734"/>
      <c r="K194" s="884">
        <v>87463</v>
      </c>
      <c r="L194" s="740"/>
      <c r="M194" s="884">
        <v>87463</v>
      </c>
      <c r="N194" s="740"/>
      <c r="O194" s="740"/>
    </row>
    <row r="195" spans="3:15">
      <c r="C195" s="730">
        <f>IF(D186="","-",+C194+1)</f>
        <v>2016</v>
      </c>
      <c r="D195" s="683">
        <f t="shared" si="7"/>
        <v>557256.44117647049</v>
      </c>
      <c r="E195" s="737">
        <f t="shared" si="11"/>
        <v>11489.823529411764</v>
      </c>
      <c r="F195" s="683">
        <f t="shared" si="6"/>
        <v>545766.61764705868</v>
      </c>
      <c r="G195" s="1291">
        <f t="shared" si="8"/>
        <v>69686.880136096399</v>
      </c>
      <c r="H195" s="1294">
        <f t="shared" si="9"/>
        <v>69686.880136096399</v>
      </c>
      <c r="I195" s="734">
        <f t="shared" si="10"/>
        <v>0</v>
      </c>
      <c r="J195" s="734"/>
      <c r="K195" s="884">
        <v>85936</v>
      </c>
      <c r="L195" s="740"/>
      <c r="M195" s="884">
        <v>85936</v>
      </c>
      <c r="N195" s="740"/>
      <c r="O195" s="740"/>
    </row>
    <row r="196" spans="3:15">
      <c r="C196" s="730">
        <f>IF(D186="","-",+C195+1)</f>
        <v>2017</v>
      </c>
      <c r="D196" s="683">
        <f t="shared" si="7"/>
        <v>545766.61764705868</v>
      </c>
      <c r="E196" s="737">
        <f t="shared" si="11"/>
        <v>11489.823529411764</v>
      </c>
      <c r="F196" s="683">
        <f t="shared" si="6"/>
        <v>534276.79411764687</v>
      </c>
      <c r="G196" s="1291">
        <f t="shared" si="8"/>
        <v>68474.441456790461</v>
      </c>
      <c r="H196" s="1294">
        <f t="shared" si="9"/>
        <v>68474.441456790461</v>
      </c>
      <c r="I196" s="734">
        <f t="shared" si="10"/>
        <v>0</v>
      </c>
      <c r="J196" s="734"/>
      <c r="K196" s="884">
        <v>77494</v>
      </c>
      <c r="L196" s="740"/>
      <c r="M196" s="884">
        <v>77494</v>
      </c>
      <c r="N196" s="740"/>
      <c r="O196" s="740"/>
    </row>
    <row r="197" spans="3:15">
      <c r="C197" s="1296">
        <f>IF(D186="","-",+C196+1)</f>
        <v>2018</v>
      </c>
      <c r="D197" s="1297">
        <f t="shared" si="7"/>
        <v>534276.79411764687</v>
      </c>
      <c r="E197" s="1298">
        <f t="shared" si="11"/>
        <v>11489.823529411764</v>
      </c>
      <c r="F197" s="1297">
        <f t="shared" si="6"/>
        <v>522786.97058823513</v>
      </c>
      <c r="G197" s="1299">
        <f t="shared" si="8"/>
        <v>67262.002777484522</v>
      </c>
      <c r="H197" s="1300">
        <f t="shared" si="9"/>
        <v>67262.002777484522</v>
      </c>
      <c r="I197" s="1301">
        <f t="shared" si="10"/>
        <v>0</v>
      </c>
      <c r="J197" s="734"/>
      <c r="K197" s="884"/>
      <c r="L197" s="740"/>
      <c r="M197" s="884"/>
      <c r="N197" s="740"/>
      <c r="O197" s="740"/>
    </row>
    <row r="198" spans="3:15">
      <c r="C198" s="730">
        <f>IF(D186="","-",+C197+1)</f>
        <v>2019</v>
      </c>
      <c r="D198" s="683">
        <f t="shared" si="7"/>
        <v>522786.97058823513</v>
      </c>
      <c r="E198" s="737">
        <f t="shared" si="11"/>
        <v>11489.823529411764</v>
      </c>
      <c r="F198" s="683">
        <f t="shared" si="6"/>
        <v>511297.14705882338</v>
      </c>
      <c r="G198" s="1291">
        <f t="shared" si="8"/>
        <v>66049.564098178598</v>
      </c>
      <c r="H198" s="1294">
        <f t="shared" si="9"/>
        <v>66049.564098178598</v>
      </c>
      <c r="I198" s="734">
        <f t="shared" si="10"/>
        <v>0</v>
      </c>
      <c r="J198" s="734"/>
      <c r="K198" s="884"/>
      <c r="L198" s="740"/>
      <c r="M198" s="884"/>
      <c r="N198" s="740"/>
      <c r="O198" s="740"/>
    </row>
    <row r="199" spans="3:15">
      <c r="C199" s="730">
        <f>IF(D186="","-",+C198+1)</f>
        <v>2020</v>
      </c>
      <c r="D199" s="683">
        <f t="shared" si="7"/>
        <v>511297.14705882338</v>
      </c>
      <c r="E199" s="737">
        <f t="shared" si="11"/>
        <v>11489.823529411764</v>
      </c>
      <c r="F199" s="683">
        <f t="shared" si="6"/>
        <v>499807.32352941163</v>
      </c>
      <c r="G199" s="1291">
        <f t="shared" si="8"/>
        <v>64837.125418872667</v>
      </c>
      <c r="H199" s="1294">
        <f t="shared" si="9"/>
        <v>64837.125418872667</v>
      </c>
      <c r="I199" s="734">
        <f t="shared" si="10"/>
        <v>0</v>
      </c>
      <c r="J199" s="734"/>
      <c r="K199" s="884"/>
      <c r="L199" s="740"/>
      <c r="M199" s="884"/>
      <c r="N199" s="740"/>
      <c r="O199" s="740"/>
    </row>
    <row r="200" spans="3:15">
      <c r="C200" s="730">
        <f>IF(D186="","-",+C199+1)</f>
        <v>2021</v>
      </c>
      <c r="D200" s="683">
        <f t="shared" si="7"/>
        <v>499807.32352941163</v>
      </c>
      <c r="E200" s="737">
        <f t="shared" si="11"/>
        <v>11489.823529411764</v>
      </c>
      <c r="F200" s="683">
        <f t="shared" si="6"/>
        <v>488317.49999999988</v>
      </c>
      <c r="G200" s="1291">
        <f t="shared" si="8"/>
        <v>63624.686739566743</v>
      </c>
      <c r="H200" s="1294">
        <f t="shared" si="9"/>
        <v>63624.686739566743</v>
      </c>
      <c r="I200" s="734">
        <f t="shared" si="10"/>
        <v>0</v>
      </c>
      <c r="J200" s="734"/>
      <c r="K200" s="884"/>
      <c r="L200" s="740"/>
      <c r="M200" s="884"/>
      <c r="N200" s="740"/>
      <c r="O200" s="740"/>
    </row>
    <row r="201" spans="3:15">
      <c r="C201" s="730">
        <f>IF(D186="","-",+C200+1)</f>
        <v>2022</v>
      </c>
      <c r="D201" s="683">
        <f t="shared" si="7"/>
        <v>488317.49999999988</v>
      </c>
      <c r="E201" s="737">
        <f t="shared" si="11"/>
        <v>11489.823529411764</v>
      </c>
      <c r="F201" s="683">
        <f t="shared" si="6"/>
        <v>476827.67647058814</v>
      </c>
      <c r="G201" s="1291">
        <f t="shared" si="8"/>
        <v>62412.248060260812</v>
      </c>
      <c r="H201" s="1294">
        <f t="shared" si="9"/>
        <v>62412.248060260812</v>
      </c>
      <c r="I201" s="734">
        <f t="shared" si="10"/>
        <v>0</v>
      </c>
      <c r="J201" s="734"/>
      <c r="K201" s="884"/>
      <c r="L201" s="740"/>
      <c r="M201" s="884"/>
      <c r="N201" s="740"/>
      <c r="O201" s="740"/>
    </row>
    <row r="202" spans="3:15">
      <c r="C202" s="730">
        <f>IF(D186="","-",+C201+1)</f>
        <v>2023</v>
      </c>
      <c r="D202" s="683">
        <f t="shared" si="7"/>
        <v>476827.67647058814</v>
      </c>
      <c r="E202" s="737">
        <f t="shared" si="11"/>
        <v>11489.823529411764</v>
      </c>
      <c r="F202" s="683">
        <f t="shared" si="6"/>
        <v>465337.85294117639</v>
      </c>
      <c r="G202" s="1291">
        <f t="shared" si="8"/>
        <v>61199.809380954888</v>
      </c>
      <c r="H202" s="1294">
        <f t="shared" si="9"/>
        <v>61199.809380954888</v>
      </c>
      <c r="I202" s="734">
        <f t="shared" si="10"/>
        <v>0</v>
      </c>
      <c r="J202" s="734"/>
      <c r="K202" s="884"/>
      <c r="L202" s="740"/>
      <c r="M202" s="884"/>
      <c r="N202" s="740"/>
      <c r="O202" s="740"/>
    </row>
    <row r="203" spans="3:15">
      <c r="C203" s="730">
        <f>IF(D186="","-",+C202+1)</f>
        <v>2024</v>
      </c>
      <c r="D203" s="683">
        <f t="shared" si="7"/>
        <v>465337.85294117639</v>
      </c>
      <c r="E203" s="737">
        <f t="shared" si="11"/>
        <v>11489.823529411764</v>
      </c>
      <c r="F203" s="683">
        <f t="shared" si="6"/>
        <v>453848.02941176464</v>
      </c>
      <c r="G203" s="1291">
        <f t="shared" si="8"/>
        <v>59987.370701648957</v>
      </c>
      <c r="H203" s="1294">
        <f t="shared" si="9"/>
        <v>59987.370701648957</v>
      </c>
      <c r="I203" s="734">
        <f t="shared" si="10"/>
        <v>0</v>
      </c>
      <c r="J203" s="734"/>
      <c r="K203" s="884"/>
      <c r="L203" s="740"/>
      <c r="M203" s="884"/>
      <c r="N203" s="740"/>
      <c r="O203" s="740"/>
    </row>
    <row r="204" spans="3:15">
      <c r="C204" s="730">
        <f>IF(D186="","-",+C203+1)</f>
        <v>2025</v>
      </c>
      <c r="D204" s="683">
        <f t="shared" si="7"/>
        <v>453848.02941176464</v>
      </c>
      <c r="E204" s="737">
        <f t="shared" si="11"/>
        <v>11489.823529411764</v>
      </c>
      <c r="F204" s="683">
        <f t="shared" si="6"/>
        <v>442358.20588235289</v>
      </c>
      <c r="G204" s="1291">
        <f t="shared" si="8"/>
        <v>58774.932022343033</v>
      </c>
      <c r="H204" s="1294">
        <f t="shared" si="9"/>
        <v>58774.932022343033</v>
      </c>
      <c r="I204" s="734">
        <f t="shared" si="10"/>
        <v>0</v>
      </c>
      <c r="J204" s="734"/>
      <c r="K204" s="884"/>
      <c r="L204" s="740"/>
      <c r="M204" s="884"/>
      <c r="N204" s="740"/>
      <c r="O204" s="740"/>
    </row>
    <row r="205" spans="3:15">
      <c r="C205" s="730">
        <f>IF(D186="","-",+C204+1)</f>
        <v>2026</v>
      </c>
      <c r="D205" s="683">
        <f t="shared" si="7"/>
        <v>442358.20588235289</v>
      </c>
      <c r="E205" s="737">
        <f t="shared" si="11"/>
        <v>11489.823529411764</v>
      </c>
      <c r="F205" s="683">
        <f t="shared" si="6"/>
        <v>430868.38235294115</v>
      </c>
      <c r="G205" s="1291">
        <f t="shared" si="8"/>
        <v>57562.493343037095</v>
      </c>
      <c r="H205" s="1294">
        <f t="shared" si="9"/>
        <v>57562.493343037095</v>
      </c>
      <c r="I205" s="734">
        <f t="shared" si="10"/>
        <v>0</v>
      </c>
      <c r="J205" s="734"/>
      <c r="K205" s="884"/>
      <c r="L205" s="740"/>
      <c r="M205" s="884"/>
      <c r="N205" s="740"/>
      <c r="O205" s="740"/>
    </row>
    <row r="206" spans="3:15">
      <c r="C206" s="730">
        <f>IF(D186="","-",+C205+1)</f>
        <v>2027</v>
      </c>
      <c r="D206" s="683">
        <f t="shared" si="7"/>
        <v>430868.38235294115</v>
      </c>
      <c r="E206" s="737">
        <f t="shared" si="11"/>
        <v>11489.823529411764</v>
      </c>
      <c r="F206" s="683">
        <f t="shared" si="6"/>
        <v>419378.5588235294</v>
      </c>
      <c r="G206" s="1291">
        <f t="shared" si="8"/>
        <v>56350.054663731178</v>
      </c>
      <c r="H206" s="1294">
        <f t="shared" si="9"/>
        <v>56350.054663731178</v>
      </c>
      <c r="I206" s="734">
        <f t="shared" si="10"/>
        <v>0</v>
      </c>
      <c r="J206" s="734"/>
      <c r="K206" s="884"/>
      <c r="L206" s="740"/>
      <c r="M206" s="884"/>
      <c r="N206" s="740"/>
      <c r="O206" s="740"/>
    </row>
    <row r="207" spans="3:15">
      <c r="C207" s="730">
        <f>IF(D186="","-",+C206+1)</f>
        <v>2028</v>
      </c>
      <c r="D207" s="683">
        <f t="shared" si="7"/>
        <v>419378.5588235294</v>
      </c>
      <c r="E207" s="737">
        <f t="shared" si="11"/>
        <v>11489.823529411764</v>
      </c>
      <c r="F207" s="683">
        <f t="shared" si="6"/>
        <v>407888.73529411765</v>
      </c>
      <c r="G207" s="1291">
        <f t="shared" si="8"/>
        <v>55137.61598442524</v>
      </c>
      <c r="H207" s="1294">
        <f t="shared" si="9"/>
        <v>55137.61598442524</v>
      </c>
      <c r="I207" s="734">
        <f t="shared" si="10"/>
        <v>0</v>
      </c>
      <c r="J207" s="734"/>
      <c r="K207" s="884"/>
      <c r="L207" s="740"/>
      <c r="M207" s="884"/>
      <c r="N207" s="740"/>
      <c r="O207" s="740"/>
    </row>
    <row r="208" spans="3:15">
      <c r="C208" s="730">
        <f>IF(D186="","-",+C207+1)</f>
        <v>2029</v>
      </c>
      <c r="D208" s="683">
        <f t="shared" si="7"/>
        <v>407888.73529411765</v>
      </c>
      <c r="E208" s="737">
        <f t="shared" si="11"/>
        <v>11489.823529411764</v>
      </c>
      <c r="F208" s="683">
        <f t="shared" si="6"/>
        <v>396398.9117647059</v>
      </c>
      <c r="G208" s="1291">
        <f t="shared" si="8"/>
        <v>53925.177305119316</v>
      </c>
      <c r="H208" s="1294">
        <f t="shared" si="9"/>
        <v>53925.177305119316</v>
      </c>
      <c r="I208" s="734">
        <f t="shared" si="10"/>
        <v>0</v>
      </c>
      <c r="J208" s="734"/>
      <c r="K208" s="884"/>
      <c r="L208" s="740"/>
      <c r="M208" s="884"/>
      <c r="N208" s="740"/>
      <c r="O208" s="740"/>
    </row>
    <row r="209" spans="3:15">
      <c r="C209" s="730">
        <f>IF(D186="","-",+C208+1)</f>
        <v>2030</v>
      </c>
      <c r="D209" s="683">
        <f t="shared" si="7"/>
        <v>396398.9117647059</v>
      </c>
      <c r="E209" s="737">
        <f t="shared" si="11"/>
        <v>11489.823529411764</v>
      </c>
      <c r="F209" s="683">
        <f t="shared" si="6"/>
        <v>384909.08823529416</v>
      </c>
      <c r="G209" s="1291">
        <f t="shared" si="8"/>
        <v>52712.738625813385</v>
      </c>
      <c r="H209" s="1294">
        <f t="shared" si="9"/>
        <v>52712.738625813385</v>
      </c>
      <c r="I209" s="734">
        <f t="shared" si="10"/>
        <v>0</v>
      </c>
      <c r="J209" s="734"/>
      <c r="K209" s="884"/>
      <c r="L209" s="740"/>
      <c r="M209" s="884"/>
      <c r="N209" s="740"/>
      <c r="O209" s="740"/>
    </row>
    <row r="210" spans="3:15">
      <c r="C210" s="730">
        <f>IF(D186="","-",+C209+1)</f>
        <v>2031</v>
      </c>
      <c r="D210" s="683">
        <f t="shared" si="7"/>
        <v>384909.08823529416</v>
      </c>
      <c r="E210" s="737">
        <f t="shared" si="11"/>
        <v>11489.823529411764</v>
      </c>
      <c r="F210" s="683">
        <f t="shared" si="6"/>
        <v>373419.26470588241</v>
      </c>
      <c r="G210" s="1291">
        <f t="shared" si="8"/>
        <v>51500.299946507461</v>
      </c>
      <c r="H210" s="1294">
        <f t="shared" si="9"/>
        <v>51500.299946507461</v>
      </c>
      <c r="I210" s="734">
        <f t="shared" si="10"/>
        <v>0</v>
      </c>
      <c r="J210" s="734"/>
      <c r="K210" s="884"/>
      <c r="L210" s="740"/>
      <c r="M210" s="884"/>
      <c r="N210" s="740"/>
      <c r="O210" s="740"/>
    </row>
    <row r="211" spans="3:15">
      <c r="C211" s="730">
        <f>IF(D186="","-",+C210+1)</f>
        <v>2032</v>
      </c>
      <c r="D211" s="683">
        <f t="shared" si="7"/>
        <v>373419.26470588241</v>
      </c>
      <c r="E211" s="737">
        <f t="shared" si="11"/>
        <v>11489.823529411764</v>
      </c>
      <c r="F211" s="683">
        <f t="shared" si="6"/>
        <v>361929.44117647066</v>
      </c>
      <c r="G211" s="1291">
        <f t="shared" si="8"/>
        <v>50287.86126720153</v>
      </c>
      <c r="H211" s="1294">
        <f t="shared" si="9"/>
        <v>50287.86126720153</v>
      </c>
      <c r="I211" s="734">
        <f t="shared" si="10"/>
        <v>0</v>
      </c>
      <c r="J211" s="734"/>
      <c r="K211" s="884"/>
      <c r="L211" s="740"/>
      <c r="M211" s="884"/>
      <c r="N211" s="740"/>
      <c r="O211" s="740"/>
    </row>
    <row r="212" spans="3:15">
      <c r="C212" s="730">
        <f>IF(D186="","-",+C211+1)</f>
        <v>2033</v>
      </c>
      <c r="D212" s="683">
        <f t="shared" si="7"/>
        <v>361929.44117647066</v>
      </c>
      <c r="E212" s="737">
        <f t="shared" si="11"/>
        <v>11489.823529411764</v>
      </c>
      <c r="F212" s="683">
        <f t="shared" si="6"/>
        <v>350439.61764705891</v>
      </c>
      <c r="G212" s="1291">
        <f t="shared" si="8"/>
        <v>49075.422587895606</v>
      </c>
      <c r="H212" s="1294">
        <f t="shared" si="9"/>
        <v>49075.422587895606</v>
      </c>
      <c r="I212" s="734">
        <f t="shared" si="10"/>
        <v>0</v>
      </c>
      <c r="J212" s="734"/>
      <c r="K212" s="884"/>
      <c r="L212" s="740"/>
      <c r="M212" s="884"/>
      <c r="N212" s="740"/>
      <c r="O212" s="740"/>
    </row>
    <row r="213" spans="3:15">
      <c r="C213" s="730">
        <f>IF(D186="","-",+C212+1)</f>
        <v>2034</v>
      </c>
      <c r="D213" s="683">
        <f t="shared" si="7"/>
        <v>350439.61764705891</v>
      </c>
      <c r="E213" s="737">
        <f t="shared" si="11"/>
        <v>11489.823529411764</v>
      </c>
      <c r="F213" s="683">
        <f t="shared" si="6"/>
        <v>338949.79411764716</v>
      </c>
      <c r="G213" s="1291">
        <f t="shared" si="8"/>
        <v>47862.983908589675</v>
      </c>
      <c r="H213" s="1294">
        <f t="shared" si="9"/>
        <v>47862.983908589675</v>
      </c>
      <c r="I213" s="734">
        <f t="shared" si="10"/>
        <v>0</v>
      </c>
      <c r="J213" s="734"/>
      <c r="K213" s="884"/>
      <c r="L213" s="740"/>
      <c r="M213" s="884"/>
      <c r="N213" s="740"/>
      <c r="O213" s="740"/>
    </row>
    <row r="214" spans="3:15">
      <c r="C214" s="730">
        <f>IF(D186="","-",+C213+1)</f>
        <v>2035</v>
      </c>
      <c r="D214" s="683">
        <f t="shared" si="7"/>
        <v>338949.79411764716</v>
      </c>
      <c r="E214" s="737">
        <f t="shared" si="11"/>
        <v>11489.823529411764</v>
      </c>
      <c r="F214" s="683">
        <f t="shared" si="6"/>
        <v>327459.97058823542</v>
      </c>
      <c r="G214" s="1291">
        <f t="shared" si="8"/>
        <v>46650.545229283751</v>
      </c>
      <c r="H214" s="1294">
        <f t="shared" si="9"/>
        <v>46650.545229283751</v>
      </c>
      <c r="I214" s="734">
        <f t="shared" si="10"/>
        <v>0</v>
      </c>
      <c r="J214" s="734"/>
      <c r="K214" s="884"/>
      <c r="L214" s="740"/>
      <c r="M214" s="884"/>
      <c r="N214" s="740"/>
      <c r="O214" s="740"/>
    </row>
    <row r="215" spans="3:15">
      <c r="C215" s="730">
        <f>IF(D186="","-",+C214+1)</f>
        <v>2036</v>
      </c>
      <c r="D215" s="683">
        <f t="shared" si="7"/>
        <v>327459.97058823542</v>
      </c>
      <c r="E215" s="737">
        <f t="shared" si="11"/>
        <v>11489.823529411764</v>
      </c>
      <c r="F215" s="683">
        <f t="shared" si="6"/>
        <v>315970.14705882367</v>
      </c>
      <c r="G215" s="1291">
        <f t="shared" si="8"/>
        <v>45438.106549977812</v>
      </c>
      <c r="H215" s="1294">
        <f t="shared" si="9"/>
        <v>45438.106549977812</v>
      </c>
      <c r="I215" s="734">
        <f t="shared" si="10"/>
        <v>0</v>
      </c>
      <c r="J215" s="734"/>
      <c r="K215" s="884"/>
      <c r="L215" s="740"/>
      <c r="M215" s="884"/>
      <c r="N215" s="740"/>
      <c r="O215" s="740"/>
    </row>
    <row r="216" spans="3:15">
      <c r="C216" s="730">
        <f>IF(D186="","-",+C215+1)</f>
        <v>2037</v>
      </c>
      <c r="D216" s="683">
        <f t="shared" si="7"/>
        <v>315970.14705882367</v>
      </c>
      <c r="E216" s="737">
        <f t="shared" si="11"/>
        <v>11489.823529411764</v>
      </c>
      <c r="F216" s="683">
        <f t="shared" si="6"/>
        <v>304480.32352941192</v>
      </c>
      <c r="G216" s="1291">
        <f t="shared" si="8"/>
        <v>44225.667870671896</v>
      </c>
      <c r="H216" s="1294">
        <f t="shared" si="9"/>
        <v>44225.667870671896</v>
      </c>
      <c r="I216" s="734">
        <f t="shared" si="10"/>
        <v>0</v>
      </c>
      <c r="J216" s="734"/>
      <c r="K216" s="884"/>
      <c r="L216" s="740"/>
      <c r="M216" s="884"/>
      <c r="N216" s="740"/>
      <c r="O216" s="740"/>
    </row>
    <row r="217" spans="3:15">
      <c r="C217" s="730">
        <f>IF(D186="","-",+C216+1)</f>
        <v>2038</v>
      </c>
      <c r="D217" s="683">
        <f t="shared" si="7"/>
        <v>304480.32352941192</v>
      </c>
      <c r="E217" s="737">
        <f t="shared" si="11"/>
        <v>11489.823529411764</v>
      </c>
      <c r="F217" s="683">
        <f t="shared" si="6"/>
        <v>292990.50000000017</v>
      </c>
      <c r="G217" s="1291">
        <f t="shared" si="8"/>
        <v>43013.229191365957</v>
      </c>
      <c r="H217" s="1294">
        <f t="shared" si="9"/>
        <v>43013.229191365957</v>
      </c>
      <c r="I217" s="734">
        <f t="shared" si="10"/>
        <v>0</v>
      </c>
      <c r="J217" s="734"/>
      <c r="K217" s="884"/>
      <c r="L217" s="740"/>
      <c r="M217" s="884"/>
      <c r="N217" s="740"/>
      <c r="O217" s="740"/>
    </row>
    <row r="218" spans="3:15">
      <c r="C218" s="730">
        <f>IF(D186="","-",+C217+1)</f>
        <v>2039</v>
      </c>
      <c r="D218" s="683">
        <f t="shared" si="7"/>
        <v>292990.50000000017</v>
      </c>
      <c r="E218" s="737">
        <f t="shared" si="11"/>
        <v>11489.823529411764</v>
      </c>
      <c r="F218" s="683">
        <f t="shared" si="6"/>
        <v>281500.67647058843</v>
      </c>
      <c r="G218" s="1291">
        <f t="shared" si="8"/>
        <v>41800.790512060041</v>
      </c>
      <c r="H218" s="1294">
        <f t="shared" si="9"/>
        <v>41800.790512060041</v>
      </c>
      <c r="I218" s="734">
        <f t="shared" si="10"/>
        <v>0</v>
      </c>
      <c r="J218" s="734"/>
      <c r="K218" s="884"/>
      <c r="L218" s="740"/>
      <c r="M218" s="884"/>
      <c r="N218" s="740"/>
      <c r="O218" s="740"/>
    </row>
    <row r="219" spans="3:15">
      <c r="C219" s="730">
        <f>IF(D186="","-",+C218+1)</f>
        <v>2040</v>
      </c>
      <c r="D219" s="683">
        <f t="shared" si="7"/>
        <v>281500.67647058843</v>
      </c>
      <c r="E219" s="737">
        <f t="shared" si="11"/>
        <v>11489.823529411764</v>
      </c>
      <c r="F219" s="683">
        <f t="shared" si="6"/>
        <v>270010.85294117668</v>
      </c>
      <c r="G219" s="1291">
        <f t="shared" si="8"/>
        <v>40588.351832754102</v>
      </c>
      <c r="H219" s="1294">
        <f t="shared" si="9"/>
        <v>40588.351832754102</v>
      </c>
      <c r="I219" s="734">
        <f t="shared" si="10"/>
        <v>0</v>
      </c>
      <c r="J219" s="734"/>
      <c r="K219" s="884"/>
      <c r="L219" s="740"/>
      <c r="M219" s="884"/>
      <c r="N219" s="740"/>
      <c r="O219" s="740"/>
    </row>
    <row r="220" spans="3:15">
      <c r="C220" s="730">
        <f>IF(D186="","-",+C219+1)</f>
        <v>2041</v>
      </c>
      <c r="D220" s="683">
        <f t="shared" si="7"/>
        <v>270010.85294117668</v>
      </c>
      <c r="E220" s="737">
        <f t="shared" si="11"/>
        <v>11489.823529411764</v>
      </c>
      <c r="F220" s="683">
        <f t="shared" si="6"/>
        <v>258521.0294117649</v>
      </c>
      <c r="G220" s="1302">
        <f t="shared" si="8"/>
        <v>39375.913153448178</v>
      </c>
      <c r="H220" s="1294">
        <f t="shared" si="9"/>
        <v>39375.913153448178</v>
      </c>
      <c r="I220" s="734">
        <f t="shared" si="10"/>
        <v>0</v>
      </c>
      <c r="J220" s="734"/>
      <c r="K220" s="884"/>
      <c r="L220" s="740"/>
      <c r="M220" s="884"/>
      <c r="N220" s="740"/>
      <c r="O220" s="740"/>
    </row>
    <row r="221" spans="3:15">
      <c r="C221" s="730">
        <f>IF(D186="","-",+C220+1)</f>
        <v>2042</v>
      </c>
      <c r="D221" s="683">
        <f t="shared" si="7"/>
        <v>258521.0294117649</v>
      </c>
      <c r="E221" s="737">
        <f t="shared" si="11"/>
        <v>11489.823529411764</v>
      </c>
      <c r="F221" s="683">
        <f t="shared" si="6"/>
        <v>247031.20588235313</v>
      </c>
      <c r="G221" s="1291">
        <f t="shared" si="8"/>
        <v>38163.474474142247</v>
      </c>
      <c r="H221" s="1294">
        <f t="shared" si="9"/>
        <v>38163.474474142247</v>
      </c>
      <c r="I221" s="734">
        <f t="shared" si="10"/>
        <v>0</v>
      </c>
      <c r="J221" s="734"/>
      <c r="K221" s="884"/>
      <c r="L221" s="740"/>
      <c r="M221" s="884"/>
      <c r="N221" s="740"/>
      <c r="O221" s="740"/>
    </row>
    <row r="222" spans="3:15">
      <c r="C222" s="730">
        <f>IF(D186="","-",+C221+1)</f>
        <v>2043</v>
      </c>
      <c r="D222" s="683">
        <f t="shared" si="7"/>
        <v>247031.20588235313</v>
      </c>
      <c r="E222" s="737">
        <f t="shared" si="11"/>
        <v>11489.823529411764</v>
      </c>
      <c r="F222" s="683">
        <f t="shared" si="6"/>
        <v>235541.38235294135</v>
      </c>
      <c r="G222" s="1291">
        <f t="shared" si="8"/>
        <v>36951.035794836316</v>
      </c>
      <c r="H222" s="1294">
        <f t="shared" si="9"/>
        <v>36951.035794836316</v>
      </c>
      <c r="I222" s="734">
        <f t="shared" si="10"/>
        <v>0</v>
      </c>
      <c r="J222" s="734"/>
      <c r="K222" s="884"/>
      <c r="L222" s="740"/>
      <c r="M222" s="884"/>
      <c r="N222" s="740"/>
      <c r="O222" s="740"/>
    </row>
    <row r="223" spans="3:15">
      <c r="C223" s="730">
        <f>IF(D186="","-",+C222+1)</f>
        <v>2044</v>
      </c>
      <c r="D223" s="683">
        <f t="shared" si="7"/>
        <v>235541.38235294135</v>
      </c>
      <c r="E223" s="737">
        <f t="shared" si="11"/>
        <v>11489.823529411764</v>
      </c>
      <c r="F223" s="683">
        <f t="shared" si="6"/>
        <v>224051.55882352957</v>
      </c>
      <c r="G223" s="1291">
        <f t="shared" si="8"/>
        <v>35738.597115530385</v>
      </c>
      <c r="H223" s="1294">
        <f t="shared" si="9"/>
        <v>35738.597115530385</v>
      </c>
      <c r="I223" s="734">
        <f t="shared" si="10"/>
        <v>0</v>
      </c>
      <c r="J223" s="734"/>
      <c r="K223" s="884"/>
      <c r="L223" s="740"/>
      <c r="M223" s="884"/>
      <c r="N223" s="740"/>
      <c r="O223" s="740"/>
    </row>
    <row r="224" spans="3:15">
      <c r="C224" s="730">
        <f>IF(D186="","-",+C223+1)</f>
        <v>2045</v>
      </c>
      <c r="D224" s="683">
        <f t="shared" si="7"/>
        <v>224051.55882352957</v>
      </c>
      <c r="E224" s="737">
        <f t="shared" si="11"/>
        <v>11489.823529411764</v>
      </c>
      <c r="F224" s="683">
        <f t="shared" si="6"/>
        <v>212561.7352941178</v>
      </c>
      <c r="G224" s="1291">
        <f t="shared" si="8"/>
        <v>34526.158436224447</v>
      </c>
      <c r="H224" s="1294">
        <f t="shared" si="9"/>
        <v>34526.158436224447</v>
      </c>
      <c r="I224" s="734">
        <f t="shared" si="10"/>
        <v>0</v>
      </c>
      <c r="J224" s="734"/>
      <c r="K224" s="884"/>
      <c r="L224" s="740"/>
      <c r="M224" s="884"/>
      <c r="N224" s="740"/>
      <c r="O224" s="740"/>
    </row>
    <row r="225" spans="3:15">
      <c r="C225" s="730">
        <f>IF(D186="","-",+C224+1)</f>
        <v>2046</v>
      </c>
      <c r="D225" s="683">
        <f t="shared" si="7"/>
        <v>212561.7352941178</v>
      </c>
      <c r="E225" s="737">
        <f t="shared" si="11"/>
        <v>11489.823529411764</v>
      </c>
      <c r="F225" s="683">
        <f t="shared" si="6"/>
        <v>201071.91176470602</v>
      </c>
      <c r="G225" s="1291">
        <f t="shared" si="8"/>
        <v>33313.719756918523</v>
      </c>
      <c r="H225" s="1294">
        <f t="shared" si="9"/>
        <v>33313.719756918523</v>
      </c>
      <c r="I225" s="734">
        <f t="shared" si="10"/>
        <v>0</v>
      </c>
      <c r="J225" s="734"/>
      <c r="K225" s="884"/>
      <c r="L225" s="740"/>
      <c r="M225" s="884"/>
      <c r="N225" s="740"/>
      <c r="O225" s="740"/>
    </row>
    <row r="226" spans="3:15">
      <c r="C226" s="730">
        <f>IF(D186="","-",+C225+1)</f>
        <v>2047</v>
      </c>
      <c r="D226" s="683">
        <f t="shared" si="7"/>
        <v>201071.91176470602</v>
      </c>
      <c r="E226" s="737">
        <f t="shared" si="11"/>
        <v>11489.823529411764</v>
      </c>
      <c r="F226" s="683">
        <f t="shared" si="6"/>
        <v>189582.08823529424</v>
      </c>
      <c r="G226" s="1291">
        <f t="shared" si="8"/>
        <v>32101.281077612584</v>
      </c>
      <c r="H226" s="1294">
        <f t="shared" si="9"/>
        <v>32101.281077612584</v>
      </c>
      <c r="I226" s="734">
        <f t="shared" si="10"/>
        <v>0</v>
      </c>
      <c r="J226" s="734"/>
      <c r="K226" s="884"/>
      <c r="L226" s="740"/>
      <c r="M226" s="884"/>
      <c r="N226" s="740"/>
      <c r="O226" s="740"/>
    </row>
    <row r="227" spans="3:15">
      <c r="C227" s="730">
        <f>IF(D186="","-",+C226+1)</f>
        <v>2048</v>
      </c>
      <c r="D227" s="683">
        <f t="shared" si="7"/>
        <v>189582.08823529424</v>
      </c>
      <c r="E227" s="737">
        <f t="shared" si="11"/>
        <v>11489.823529411764</v>
      </c>
      <c r="F227" s="683">
        <f t="shared" si="6"/>
        <v>178092.26470588247</v>
      </c>
      <c r="G227" s="1291">
        <f t="shared" si="8"/>
        <v>30888.84239830666</v>
      </c>
      <c r="H227" s="1294">
        <f t="shared" si="9"/>
        <v>30888.84239830666</v>
      </c>
      <c r="I227" s="734">
        <f t="shared" si="10"/>
        <v>0</v>
      </c>
      <c r="J227" s="734"/>
      <c r="K227" s="884"/>
      <c r="L227" s="740"/>
      <c r="M227" s="884"/>
      <c r="N227" s="740"/>
      <c r="O227" s="740"/>
    </row>
    <row r="228" spans="3:15">
      <c r="C228" s="730">
        <f>IF(D186="","-",+C227+1)</f>
        <v>2049</v>
      </c>
      <c r="D228" s="683">
        <f t="shared" si="7"/>
        <v>178092.26470588247</v>
      </c>
      <c r="E228" s="737">
        <f t="shared" si="11"/>
        <v>11489.823529411764</v>
      </c>
      <c r="F228" s="683">
        <f t="shared" si="6"/>
        <v>166602.44117647069</v>
      </c>
      <c r="G228" s="1291">
        <f t="shared" si="8"/>
        <v>29676.403719000722</v>
      </c>
      <c r="H228" s="1294">
        <f t="shared" si="9"/>
        <v>29676.403719000722</v>
      </c>
      <c r="I228" s="734">
        <f t="shared" si="10"/>
        <v>0</v>
      </c>
      <c r="J228" s="734"/>
      <c r="K228" s="884"/>
      <c r="L228" s="740"/>
      <c r="M228" s="884"/>
      <c r="N228" s="740"/>
      <c r="O228" s="740"/>
    </row>
    <row r="229" spans="3:15">
      <c r="C229" s="730">
        <f>IF(D186="","-",+C228+1)</f>
        <v>2050</v>
      </c>
      <c r="D229" s="683">
        <f t="shared" si="7"/>
        <v>166602.44117647069</v>
      </c>
      <c r="E229" s="737">
        <f t="shared" si="11"/>
        <v>11489.823529411764</v>
      </c>
      <c r="F229" s="683">
        <f t="shared" si="6"/>
        <v>155112.61764705891</v>
      </c>
      <c r="G229" s="1291">
        <f t="shared" si="8"/>
        <v>28463.965039694798</v>
      </c>
      <c r="H229" s="1294">
        <f t="shared" si="9"/>
        <v>28463.965039694798</v>
      </c>
      <c r="I229" s="734">
        <f t="shared" si="10"/>
        <v>0</v>
      </c>
      <c r="J229" s="734"/>
      <c r="K229" s="884"/>
      <c r="L229" s="740"/>
      <c r="M229" s="884"/>
      <c r="N229" s="740"/>
      <c r="O229" s="740"/>
    </row>
    <row r="230" spans="3:15">
      <c r="C230" s="730">
        <f>IF(D186="","-",+C229+1)</f>
        <v>2051</v>
      </c>
      <c r="D230" s="683">
        <f t="shared" si="7"/>
        <v>155112.61764705891</v>
      </c>
      <c r="E230" s="737">
        <f t="shared" si="11"/>
        <v>11489.823529411764</v>
      </c>
      <c r="F230" s="683">
        <f t="shared" si="6"/>
        <v>143622.79411764714</v>
      </c>
      <c r="G230" s="1291">
        <f t="shared" si="8"/>
        <v>27251.52636038886</v>
      </c>
      <c r="H230" s="1294">
        <f t="shared" si="9"/>
        <v>27251.52636038886</v>
      </c>
      <c r="I230" s="734">
        <f t="shared" si="10"/>
        <v>0</v>
      </c>
      <c r="J230" s="734"/>
      <c r="K230" s="884"/>
      <c r="L230" s="740"/>
      <c r="M230" s="884"/>
      <c r="N230" s="740"/>
      <c r="O230" s="740"/>
    </row>
    <row r="231" spans="3:15">
      <c r="C231" s="730">
        <f>IF(D186="","-",+C230+1)</f>
        <v>2052</v>
      </c>
      <c r="D231" s="683">
        <f t="shared" si="7"/>
        <v>143622.79411764714</v>
      </c>
      <c r="E231" s="737">
        <f t="shared" si="11"/>
        <v>11489.823529411764</v>
      </c>
      <c r="F231" s="683">
        <f t="shared" si="6"/>
        <v>132132.97058823536</v>
      </c>
      <c r="G231" s="1291">
        <f t="shared" si="8"/>
        <v>26039.087681082936</v>
      </c>
      <c r="H231" s="1294">
        <f t="shared" si="9"/>
        <v>26039.087681082936</v>
      </c>
      <c r="I231" s="734">
        <f t="shared" si="10"/>
        <v>0</v>
      </c>
      <c r="J231" s="734"/>
      <c r="K231" s="884"/>
      <c r="L231" s="740"/>
      <c r="M231" s="884"/>
      <c r="N231" s="740"/>
      <c r="O231" s="740"/>
    </row>
    <row r="232" spans="3:15">
      <c r="C232" s="730">
        <f>IF(D186="","-",+C231+1)</f>
        <v>2053</v>
      </c>
      <c r="D232" s="683">
        <f t="shared" si="7"/>
        <v>132132.97058823536</v>
      </c>
      <c r="E232" s="737">
        <f t="shared" si="11"/>
        <v>11489.823529411764</v>
      </c>
      <c r="F232" s="683">
        <f t="shared" si="6"/>
        <v>120643.1470588236</v>
      </c>
      <c r="G232" s="1291">
        <f t="shared" si="8"/>
        <v>24826.649001777005</v>
      </c>
      <c r="H232" s="1294">
        <f t="shared" si="9"/>
        <v>24826.649001777005</v>
      </c>
      <c r="I232" s="734">
        <f t="shared" si="10"/>
        <v>0</v>
      </c>
      <c r="J232" s="734"/>
      <c r="K232" s="884"/>
      <c r="L232" s="740"/>
      <c r="M232" s="884"/>
      <c r="N232" s="740"/>
      <c r="O232" s="740"/>
    </row>
    <row r="233" spans="3:15">
      <c r="C233" s="730">
        <f>IF(D186="","-",+C232+1)</f>
        <v>2054</v>
      </c>
      <c r="D233" s="683">
        <f t="shared" si="7"/>
        <v>120643.1470588236</v>
      </c>
      <c r="E233" s="737">
        <f t="shared" si="11"/>
        <v>11489.823529411764</v>
      </c>
      <c r="F233" s="683">
        <f t="shared" si="6"/>
        <v>109153.32352941183</v>
      </c>
      <c r="G233" s="1291">
        <f t="shared" si="8"/>
        <v>23614.210322471074</v>
      </c>
      <c r="H233" s="1294">
        <f t="shared" si="9"/>
        <v>23614.210322471074</v>
      </c>
      <c r="I233" s="734">
        <f t="shared" si="10"/>
        <v>0</v>
      </c>
      <c r="J233" s="734"/>
      <c r="K233" s="884"/>
      <c r="L233" s="740"/>
      <c r="M233" s="884"/>
      <c r="N233" s="740"/>
      <c r="O233" s="740"/>
    </row>
    <row r="234" spans="3:15">
      <c r="C234" s="730">
        <f>IF(D186="","-",+C233+1)</f>
        <v>2055</v>
      </c>
      <c r="D234" s="683">
        <f t="shared" si="7"/>
        <v>109153.32352941183</v>
      </c>
      <c r="E234" s="737">
        <f t="shared" si="11"/>
        <v>11489.823529411764</v>
      </c>
      <c r="F234" s="683">
        <f t="shared" si="6"/>
        <v>97663.500000000073</v>
      </c>
      <c r="G234" s="1291">
        <f t="shared" si="8"/>
        <v>22401.771643165142</v>
      </c>
      <c r="H234" s="1294">
        <f t="shared" si="9"/>
        <v>22401.771643165142</v>
      </c>
      <c r="I234" s="734">
        <f t="shared" si="10"/>
        <v>0</v>
      </c>
      <c r="J234" s="734"/>
      <c r="K234" s="884"/>
      <c r="L234" s="740"/>
      <c r="M234" s="884"/>
      <c r="N234" s="740"/>
      <c r="O234" s="740"/>
    </row>
    <row r="235" spans="3:15">
      <c r="C235" s="730">
        <f>IF(D186="","-",+C234+1)</f>
        <v>2056</v>
      </c>
      <c r="D235" s="683">
        <f t="shared" si="7"/>
        <v>97663.500000000073</v>
      </c>
      <c r="E235" s="737">
        <f t="shared" si="11"/>
        <v>11489.823529411764</v>
      </c>
      <c r="F235" s="683">
        <f t="shared" si="6"/>
        <v>86173.676470588311</v>
      </c>
      <c r="G235" s="1291">
        <f t="shared" si="8"/>
        <v>21189.332963859211</v>
      </c>
      <c r="H235" s="1294">
        <f t="shared" si="9"/>
        <v>21189.332963859211</v>
      </c>
      <c r="I235" s="734">
        <f t="shared" si="10"/>
        <v>0</v>
      </c>
      <c r="J235" s="734"/>
      <c r="K235" s="884"/>
      <c r="L235" s="740"/>
      <c r="M235" s="884"/>
      <c r="N235" s="740"/>
      <c r="O235" s="740"/>
    </row>
    <row r="236" spans="3:15">
      <c r="C236" s="730">
        <f>IF(D186="","-",+C235+1)</f>
        <v>2057</v>
      </c>
      <c r="D236" s="683">
        <f t="shared" si="7"/>
        <v>86173.676470588311</v>
      </c>
      <c r="E236" s="737">
        <f t="shared" si="11"/>
        <v>11489.823529411764</v>
      </c>
      <c r="F236" s="683">
        <f t="shared" si="6"/>
        <v>74683.852941176548</v>
      </c>
      <c r="G236" s="1291">
        <f t="shared" si="8"/>
        <v>19976.894284553284</v>
      </c>
      <c r="H236" s="1294">
        <f t="shared" si="9"/>
        <v>19976.894284553284</v>
      </c>
      <c r="I236" s="734">
        <f t="shared" si="10"/>
        <v>0</v>
      </c>
      <c r="J236" s="734"/>
      <c r="K236" s="884"/>
      <c r="L236" s="740"/>
      <c r="M236" s="884"/>
      <c r="N236" s="740"/>
      <c r="O236" s="740"/>
    </row>
    <row r="237" spans="3:15">
      <c r="C237" s="730">
        <f>IF(D186="","-",+C236+1)</f>
        <v>2058</v>
      </c>
      <c r="D237" s="683">
        <f t="shared" si="7"/>
        <v>74683.852941176548</v>
      </c>
      <c r="E237" s="737">
        <f t="shared" si="11"/>
        <v>11489.823529411764</v>
      </c>
      <c r="F237" s="683">
        <f t="shared" si="6"/>
        <v>63194.029411764786</v>
      </c>
      <c r="G237" s="1291">
        <f t="shared" si="8"/>
        <v>18764.455605247353</v>
      </c>
      <c r="H237" s="1294">
        <f t="shared" si="9"/>
        <v>18764.455605247353</v>
      </c>
      <c r="I237" s="734">
        <f t="shared" si="10"/>
        <v>0</v>
      </c>
      <c r="J237" s="734"/>
      <c r="K237" s="884"/>
      <c r="L237" s="740"/>
      <c r="M237" s="884"/>
      <c r="N237" s="740"/>
      <c r="O237" s="740"/>
    </row>
    <row r="238" spans="3:15">
      <c r="C238" s="730">
        <f>IF(D186="","-",+C237+1)</f>
        <v>2059</v>
      </c>
      <c r="D238" s="683">
        <f t="shared" si="7"/>
        <v>63194.029411764786</v>
      </c>
      <c r="E238" s="737">
        <f t="shared" si="11"/>
        <v>11489.823529411764</v>
      </c>
      <c r="F238" s="683">
        <f t="shared" si="6"/>
        <v>51704.205882353024</v>
      </c>
      <c r="G238" s="1291">
        <f t="shared" si="8"/>
        <v>17552.016925941425</v>
      </c>
      <c r="H238" s="1294">
        <f t="shared" si="9"/>
        <v>17552.016925941425</v>
      </c>
      <c r="I238" s="734">
        <f t="shared" si="10"/>
        <v>0</v>
      </c>
      <c r="J238" s="734"/>
      <c r="K238" s="884"/>
      <c r="L238" s="740"/>
      <c r="M238" s="884"/>
      <c r="N238" s="740"/>
      <c r="O238" s="740"/>
    </row>
    <row r="239" spans="3:15">
      <c r="C239" s="730">
        <f>IF(D186="","-",+C238+1)</f>
        <v>2060</v>
      </c>
      <c r="D239" s="683">
        <f t="shared" si="7"/>
        <v>51704.205882353024</v>
      </c>
      <c r="E239" s="737">
        <f t="shared" si="11"/>
        <v>11489.823529411764</v>
      </c>
      <c r="F239" s="683">
        <f t="shared" si="6"/>
        <v>40214.382352941262</v>
      </c>
      <c r="G239" s="1291">
        <f t="shared" si="8"/>
        <v>16339.578246635494</v>
      </c>
      <c r="H239" s="1294">
        <f t="shared" si="9"/>
        <v>16339.578246635494</v>
      </c>
      <c r="I239" s="734">
        <f t="shared" si="10"/>
        <v>0</v>
      </c>
      <c r="J239" s="734"/>
      <c r="K239" s="884"/>
      <c r="L239" s="740"/>
      <c r="M239" s="884"/>
      <c r="N239" s="740"/>
      <c r="O239" s="740"/>
    </row>
    <row r="240" spans="3:15">
      <c r="C240" s="730">
        <f>IF(D186="","-",+C239+1)</f>
        <v>2061</v>
      </c>
      <c r="D240" s="683">
        <f t="shared" si="7"/>
        <v>40214.382352941262</v>
      </c>
      <c r="E240" s="737">
        <f t="shared" si="11"/>
        <v>11489.823529411764</v>
      </c>
      <c r="F240" s="683">
        <f t="shared" si="6"/>
        <v>28724.5588235295</v>
      </c>
      <c r="G240" s="1291">
        <f t="shared" si="8"/>
        <v>15127.139567329563</v>
      </c>
      <c r="H240" s="1294">
        <f t="shared" si="9"/>
        <v>15127.139567329563</v>
      </c>
      <c r="I240" s="734">
        <f t="shared" si="10"/>
        <v>0</v>
      </c>
      <c r="J240" s="734"/>
      <c r="K240" s="884"/>
      <c r="L240" s="740"/>
      <c r="M240" s="884"/>
      <c r="N240" s="740"/>
      <c r="O240" s="740"/>
    </row>
    <row r="241" spans="3:15">
      <c r="C241" s="730">
        <f>IF(D186="","-",+C240+1)</f>
        <v>2062</v>
      </c>
      <c r="D241" s="683">
        <f t="shared" si="7"/>
        <v>28724.5588235295</v>
      </c>
      <c r="E241" s="737">
        <f t="shared" si="11"/>
        <v>11489.823529411764</v>
      </c>
      <c r="F241" s="683">
        <f t="shared" si="6"/>
        <v>17234.735294117738</v>
      </c>
      <c r="G241" s="1291">
        <f t="shared" si="8"/>
        <v>13914.700888023634</v>
      </c>
      <c r="H241" s="1294">
        <f t="shared" si="9"/>
        <v>13914.700888023634</v>
      </c>
      <c r="I241" s="734">
        <f t="shared" si="10"/>
        <v>0</v>
      </c>
      <c r="J241" s="734"/>
      <c r="K241" s="884"/>
      <c r="L241" s="740"/>
      <c r="M241" s="884"/>
      <c r="N241" s="740"/>
      <c r="O241" s="740"/>
    </row>
    <row r="242" spans="3:15">
      <c r="C242" s="730">
        <f>IF(D186="","-",+C241+1)</f>
        <v>2063</v>
      </c>
      <c r="D242" s="683">
        <f t="shared" si="7"/>
        <v>17234.735294117738</v>
      </c>
      <c r="E242" s="737">
        <f t="shared" si="11"/>
        <v>11489.823529411764</v>
      </c>
      <c r="F242" s="683">
        <f t="shared" si="6"/>
        <v>5744.9117647059738</v>
      </c>
      <c r="G242" s="1291">
        <f t="shared" si="8"/>
        <v>12702.262208717704</v>
      </c>
      <c r="H242" s="1294">
        <f t="shared" si="9"/>
        <v>12702.262208717704</v>
      </c>
      <c r="I242" s="734">
        <f t="shared" si="10"/>
        <v>0</v>
      </c>
      <c r="J242" s="734"/>
      <c r="K242" s="884"/>
      <c r="L242" s="740"/>
      <c r="M242" s="884"/>
      <c r="N242" s="740"/>
      <c r="O242" s="740"/>
    </row>
    <row r="243" spans="3:15">
      <c r="C243" s="730">
        <f>IF(D186="","-",+C242+1)</f>
        <v>2064</v>
      </c>
      <c r="D243" s="683">
        <f t="shared" si="7"/>
        <v>5744.9117647059738</v>
      </c>
      <c r="E243" s="737">
        <f t="shared" si="11"/>
        <v>5744.9117647059738</v>
      </c>
      <c r="F243" s="683">
        <f t="shared" si="6"/>
        <v>0</v>
      </c>
      <c r="G243" s="1291">
        <f t="shared" si="8"/>
        <v>6048.0214345324612</v>
      </c>
      <c r="H243" s="1294">
        <f t="shared" si="9"/>
        <v>6048.0214345324612</v>
      </c>
      <c r="I243" s="734">
        <f t="shared" si="10"/>
        <v>0</v>
      </c>
      <c r="J243" s="734"/>
      <c r="K243" s="884"/>
      <c r="L243" s="740"/>
      <c r="M243" s="884"/>
      <c r="N243" s="740"/>
      <c r="O243" s="740"/>
    </row>
    <row r="244" spans="3:15">
      <c r="C244" s="730">
        <f>IF(D186="","-",+C243+1)</f>
        <v>2065</v>
      </c>
      <c r="D244" s="683">
        <f t="shared" si="7"/>
        <v>0</v>
      </c>
      <c r="E244" s="737">
        <f t="shared" si="11"/>
        <v>0</v>
      </c>
      <c r="F244" s="683">
        <f t="shared" si="6"/>
        <v>0</v>
      </c>
      <c r="G244" s="1291">
        <f t="shared" si="8"/>
        <v>0</v>
      </c>
      <c r="H244" s="1294">
        <f t="shared" si="9"/>
        <v>0</v>
      </c>
      <c r="I244" s="734">
        <f t="shared" si="10"/>
        <v>0</v>
      </c>
      <c r="J244" s="734"/>
      <c r="K244" s="884"/>
      <c r="L244" s="740"/>
      <c r="M244" s="884"/>
      <c r="N244" s="740"/>
      <c r="O244" s="740"/>
    </row>
    <row r="245" spans="3:15">
      <c r="C245" s="730">
        <f>IF(D186="","-",+C244+1)</f>
        <v>2066</v>
      </c>
      <c r="D245" s="683">
        <f t="shared" si="7"/>
        <v>0</v>
      </c>
      <c r="E245" s="737">
        <f t="shared" si="11"/>
        <v>0</v>
      </c>
      <c r="F245" s="683">
        <f t="shared" si="6"/>
        <v>0</v>
      </c>
      <c r="G245" s="1291">
        <f t="shared" si="8"/>
        <v>0</v>
      </c>
      <c r="H245" s="1294">
        <f t="shared" si="9"/>
        <v>0</v>
      </c>
      <c r="I245" s="734">
        <f t="shared" si="10"/>
        <v>0</v>
      </c>
      <c r="J245" s="734"/>
      <c r="K245" s="884"/>
      <c r="L245" s="740"/>
      <c r="M245" s="884"/>
      <c r="N245" s="740"/>
      <c r="O245" s="740"/>
    </row>
    <row r="246" spans="3:15">
      <c r="C246" s="730">
        <f>IF(D186="","-",+C245+1)</f>
        <v>2067</v>
      </c>
      <c r="D246" s="683">
        <f t="shared" si="7"/>
        <v>0</v>
      </c>
      <c r="E246" s="737">
        <f t="shared" si="11"/>
        <v>0</v>
      </c>
      <c r="F246" s="683">
        <f t="shared" si="6"/>
        <v>0</v>
      </c>
      <c r="G246" s="1291">
        <f t="shared" si="8"/>
        <v>0</v>
      </c>
      <c r="H246" s="1294">
        <f t="shared" si="9"/>
        <v>0</v>
      </c>
      <c r="I246" s="734">
        <f t="shared" si="10"/>
        <v>0</v>
      </c>
      <c r="J246" s="734"/>
      <c r="K246" s="884"/>
      <c r="L246" s="740"/>
      <c r="M246" s="884"/>
      <c r="N246" s="740"/>
      <c r="O246" s="740"/>
    </row>
    <row r="247" spans="3:15">
      <c r="C247" s="730">
        <f>IF(D186="","-",+C246+1)</f>
        <v>2068</v>
      </c>
      <c r="D247" s="683">
        <f t="shared" si="7"/>
        <v>0</v>
      </c>
      <c r="E247" s="737">
        <f t="shared" si="11"/>
        <v>0</v>
      </c>
      <c r="F247" s="683">
        <f t="shared" si="6"/>
        <v>0</v>
      </c>
      <c r="G247" s="1291">
        <f t="shared" si="8"/>
        <v>0</v>
      </c>
      <c r="H247" s="1294">
        <f t="shared" si="9"/>
        <v>0</v>
      </c>
      <c r="I247" s="734">
        <f t="shared" si="10"/>
        <v>0</v>
      </c>
      <c r="J247" s="734"/>
      <c r="K247" s="884"/>
      <c r="L247" s="740"/>
      <c r="M247" s="884"/>
      <c r="N247" s="740"/>
      <c r="O247" s="740"/>
    </row>
    <row r="248" spans="3:15">
      <c r="C248" s="730">
        <f>IF(D186="","-",+C247+1)</f>
        <v>2069</v>
      </c>
      <c r="D248" s="683">
        <f t="shared" si="7"/>
        <v>0</v>
      </c>
      <c r="E248" s="737">
        <f t="shared" si="11"/>
        <v>0</v>
      </c>
      <c r="F248" s="683">
        <f t="shared" si="6"/>
        <v>0</v>
      </c>
      <c r="G248" s="1291">
        <f t="shared" si="8"/>
        <v>0</v>
      </c>
      <c r="H248" s="1294">
        <f t="shared" si="9"/>
        <v>0</v>
      </c>
      <c r="I248" s="734">
        <f t="shared" si="10"/>
        <v>0</v>
      </c>
      <c r="J248" s="734"/>
      <c r="K248" s="884"/>
      <c r="L248" s="740"/>
      <c r="M248" s="884"/>
      <c r="N248" s="740"/>
      <c r="O248" s="740"/>
    </row>
    <row r="249" spans="3:15">
      <c r="C249" s="730">
        <f>IF(D186="","-",+C248+1)</f>
        <v>2070</v>
      </c>
      <c r="D249" s="683">
        <f t="shared" si="7"/>
        <v>0</v>
      </c>
      <c r="E249" s="737">
        <f t="shared" si="11"/>
        <v>0</v>
      </c>
      <c r="F249" s="683">
        <f t="shared" si="6"/>
        <v>0</v>
      </c>
      <c r="G249" s="1291">
        <f t="shared" si="8"/>
        <v>0</v>
      </c>
      <c r="H249" s="1294">
        <f t="shared" si="9"/>
        <v>0</v>
      </c>
      <c r="I249" s="734">
        <f t="shared" si="10"/>
        <v>0</v>
      </c>
      <c r="J249" s="734"/>
      <c r="K249" s="884"/>
      <c r="L249" s="740"/>
      <c r="M249" s="884"/>
      <c r="N249" s="740"/>
      <c r="O249" s="740"/>
    </row>
    <row r="250" spans="3:15">
      <c r="C250" s="730">
        <f>IF(D186="","-",+C249+1)</f>
        <v>2071</v>
      </c>
      <c r="D250" s="683">
        <f t="shared" si="7"/>
        <v>0</v>
      </c>
      <c r="E250" s="737">
        <f t="shared" si="11"/>
        <v>0</v>
      </c>
      <c r="F250" s="683">
        <f t="shared" si="6"/>
        <v>0</v>
      </c>
      <c r="G250" s="1291">
        <f t="shared" si="8"/>
        <v>0</v>
      </c>
      <c r="H250" s="1294">
        <f t="shared" si="9"/>
        <v>0</v>
      </c>
      <c r="I250" s="734">
        <f t="shared" si="10"/>
        <v>0</v>
      </c>
      <c r="J250" s="734"/>
      <c r="K250" s="884"/>
      <c r="L250" s="740"/>
      <c r="M250" s="884"/>
      <c r="N250" s="740"/>
      <c r="O250" s="740"/>
    </row>
    <row r="251" spans="3:15" ht="13" thickBot="1">
      <c r="C251" s="741">
        <f>IF(D186="","-",+C250+1)</f>
        <v>2072</v>
      </c>
      <c r="D251" s="742">
        <f t="shared" si="7"/>
        <v>0</v>
      </c>
      <c r="E251" s="743">
        <f t="shared" si="11"/>
        <v>0</v>
      </c>
      <c r="F251" s="742">
        <f t="shared" si="6"/>
        <v>0</v>
      </c>
      <c r="G251" s="1303">
        <f t="shared" si="8"/>
        <v>0</v>
      </c>
      <c r="H251" s="1303">
        <f t="shared" si="9"/>
        <v>0</v>
      </c>
      <c r="I251" s="745">
        <f t="shared" si="10"/>
        <v>0</v>
      </c>
      <c r="J251" s="734"/>
      <c r="K251" s="885"/>
      <c r="L251" s="747"/>
      <c r="M251" s="885"/>
      <c r="N251" s="747"/>
      <c r="O251" s="747"/>
    </row>
    <row r="252" spans="3:15">
      <c r="C252" s="683" t="s">
        <v>289</v>
      </c>
      <c r="D252" s="1272"/>
      <c r="E252" s="1272">
        <f>SUM(E192:E251)</f>
        <v>585981</v>
      </c>
      <c r="F252" s="1272"/>
      <c r="G252" s="1272">
        <f>SUM(G192:G251)</f>
        <v>2193674.6887596636</v>
      </c>
      <c r="H252" s="1272">
        <f>SUM(H192:H251)</f>
        <v>2193674.6887596636</v>
      </c>
      <c r="I252" s="1272">
        <f>SUM(I192:I251)</f>
        <v>0</v>
      </c>
      <c r="J252" s="1272"/>
      <c r="K252" s="1272"/>
      <c r="L252" s="1272"/>
      <c r="M252" s="1272"/>
      <c r="N252" s="1272"/>
      <c r="O252" s="550"/>
    </row>
    <row r="253" spans="3:15">
      <c r="D253" s="573"/>
      <c r="E253" s="550"/>
      <c r="F253" s="550"/>
      <c r="G253" s="550"/>
      <c r="H253" s="1271"/>
      <c r="I253" s="1271"/>
      <c r="J253" s="1272"/>
      <c r="K253" s="1271"/>
      <c r="L253" s="1271"/>
      <c r="M253" s="1271"/>
      <c r="N253" s="1271"/>
      <c r="O253" s="550"/>
    </row>
    <row r="254" spans="3:15">
      <c r="C254" s="1304" t="s">
        <v>980</v>
      </c>
      <c r="D254" s="573"/>
      <c r="E254" s="550"/>
      <c r="F254" s="550"/>
      <c r="G254" s="550"/>
      <c r="H254" s="1271"/>
      <c r="I254" s="1271"/>
      <c r="J254" s="1272"/>
      <c r="K254" s="1271"/>
      <c r="L254" s="1271"/>
      <c r="M254" s="1271"/>
      <c r="N254" s="1271"/>
      <c r="O254" s="550"/>
    </row>
    <row r="255" spans="3:15">
      <c r="D255" s="573"/>
      <c r="E255" s="550"/>
      <c r="F255" s="550"/>
      <c r="G255" s="550"/>
      <c r="H255" s="1271"/>
      <c r="I255" s="1271"/>
      <c r="J255" s="1272"/>
      <c r="K255" s="1271"/>
      <c r="L255" s="1271"/>
      <c r="M255" s="1271"/>
      <c r="N255" s="1271"/>
      <c r="O255" s="550"/>
    </row>
    <row r="256" spans="3:15" ht="13">
      <c r="C256" s="696" t="s">
        <v>981</v>
      </c>
      <c r="D256" s="683"/>
      <c r="E256" s="683"/>
      <c r="F256" s="683"/>
      <c r="G256" s="1272"/>
      <c r="H256" s="1272"/>
      <c r="I256" s="684"/>
      <c r="J256" s="684"/>
      <c r="K256" s="684"/>
      <c r="L256" s="684"/>
      <c r="M256" s="684"/>
      <c r="N256" s="684"/>
      <c r="O256" s="550"/>
    </row>
    <row r="257" spans="1:16" ht="13">
      <c r="C257" s="682" t="s">
        <v>477</v>
      </c>
      <c r="D257" s="683"/>
      <c r="E257" s="683"/>
      <c r="F257" s="683"/>
      <c r="G257" s="1272"/>
      <c r="H257" s="1272"/>
      <c r="I257" s="684"/>
      <c r="J257" s="684"/>
      <c r="K257" s="684"/>
      <c r="L257" s="684"/>
      <c r="M257" s="684"/>
      <c r="N257" s="684"/>
      <c r="O257" s="550"/>
    </row>
    <row r="258" spans="1:16" ht="13">
      <c r="C258" s="682" t="s">
        <v>290</v>
      </c>
      <c r="D258" s="683"/>
      <c r="E258" s="683"/>
      <c r="F258" s="683"/>
      <c r="G258" s="1272"/>
      <c r="H258" s="1272"/>
      <c r="I258" s="684"/>
      <c r="J258" s="684"/>
      <c r="K258" s="684"/>
      <c r="L258" s="684"/>
      <c r="M258" s="684"/>
      <c r="N258" s="684"/>
      <c r="O258" s="550"/>
    </row>
    <row r="259" spans="1:16" ht="13">
      <c r="C259" s="682"/>
      <c r="D259" s="683"/>
      <c r="E259" s="683"/>
      <c r="F259" s="683"/>
      <c r="G259" s="1272"/>
      <c r="H259" s="1272"/>
      <c r="I259" s="684"/>
      <c r="J259" s="684"/>
      <c r="K259" s="684"/>
      <c r="L259" s="684"/>
      <c r="M259" s="684"/>
      <c r="N259" s="684"/>
      <c r="O259" s="550"/>
    </row>
    <row r="260" spans="1:16">
      <c r="C260" s="1546" t="s">
        <v>461</v>
      </c>
      <c r="D260" s="1546"/>
      <c r="E260" s="1546"/>
      <c r="F260" s="1546"/>
      <c r="G260" s="1546"/>
      <c r="H260" s="1546"/>
      <c r="I260" s="1546"/>
      <c r="J260" s="1546"/>
      <c r="K260" s="1546"/>
      <c r="L260" s="1546"/>
      <c r="M260" s="1546"/>
      <c r="N260" s="1546"/>
      <c r="O260" s="1546"/>
    </row>
    <row r="261" spans="1:16">
      <c r="C261" s="1546"/>
      <c r="D261" s="1546"/>
      <c r="E261" s="1546"/>
      <c r="F261" s="1546"/>
      <c r="G261" s="1546"/>
      <c r="H261" s="1546"/>
      <c r="I261" s="1546"/>
      <c r="J261" s="1546"/>
      <c r="K261" s="1546"/>
      <c r="L261" s="1546"/>
      <c r="M261" s="1546"/>
      <c r="N261" s="1546"/>
      <c r="O261" s="1546"/>
    </row>
    <row r="262" spans="1:16" ht="20">
      <c r="A262" s="685" t="s">
        <v>977</v>
      </c>
      <c r="B262" s="586"/>
      <c r="C262" s="665"/>
      <c r="D262" s="573"/>
      <c r="E262" s="550"/>
      <c r="F262" s="655"/>
      <c r="G262" s="550"/>
      <c r="H262" s="1271"/>
      <c r="K262" s="686"/>
      <c r="L262" s="686"/>
      <c r="M262" s="686"/>
      <c r="N262" s="601" t="str">
        <f>"Page "&amp;P262&amp;" of "</f>
        <v xml:space="preserve">Page 4 of </v>
      </c>
      <c r="O262" s="602">
        <f>COUNT(P$6:P$59527)</f>
        <v>9</v>
      </c>
      <c r="P262" s="550">
        <v>4</v>
      </c>
    </row>
    <row r="263" spans="1:16">
      <c r="B263" s="586"/>
      <c r="C263" s="550"/>
      <c r="D263" s="573"/>
      <c r="E263" s="550"/>
      <c r="F263" s="550"/>
      <c r="G263" s="550"/>
      <c r="H263" s="1271"/>
      <c r="I263" s="550"/>
      <c r="J263" s="598"/>
      <c r="K263" s="550"/>
      <c r="L263" s="550"/>
      <c r="M263" s="550"/>
      <c r="N263" s="550"/>
      <c r="O263" s="550"/>
    </row>
    <row r="264" spans="1:16" ht="17">
      <c r="B264" s="605" t="s">
        <v>175</v>
      </c>
      <c r="C264" s="687" t="s">
        <v>291</v>
      </c>
      <c r="D264" s="573"/>
      <c r="E264" s="550"/>
      <c r="F264" s="550"/>
      <c r="G264" s="550"/>
      <c r="H264" s="1271"/>
      <c r="I264" s="1271"/>
      <c r="J264" s="1272"/>
      <c r="K264" s="1271"/>
      <c r="L264" s="1271"/>
      <c r="M264" s="1271"/>
      <c r="N264" s="1271"/>
      <c r="O264" s="550"/>
    </row>
    <row r="265" spans="1:16" ht="18">
      <c r="B265" s="605"/>
      <c r="C265" s="604"/>
      <c r="D265" s="573"/>
      <c r="E265" s="550"/>
      <c r="F265" s="550"/>
      <c r="G265" s="550"/>
      <c r="H265" s="1271"/>
      <c r="I265" s="1271"/>
      <c r="J265" s="1272"/>
      <c r="K265" s="1271"/>
      <c r="L265" s="1271"/>
      <c r="M265" s="1271"/>
      <c r="N265" s="1271"/>
      <c r="O265" s="550"/>
    </row>
    <row r="266" spans="1:16" ht="18">
      <c r="B266" s="605"/>
      <c r="C266" s="604" t="s">
        <v>292</v>
      </c>
      <c r="D266" s="573"/>
      <c r="E266" s="550"/>
      <c r="F266" s="550"/>
      <c r="G266" s="550"/>
      <c r="H266" s="1271"/>
      <c r="I266" s="1271"/>
      <c r="J266" s="1272"/>
      <c r="K266" s="1271"/>
      <c r="L266" s="1271"/>
      <c r="M266" s="1271"/>
      <c r="N266" s="1271"/>
      <c r="O266" s="550"/>
    </row>
    <row r="267" spans="1:16" ht="16" thickBot="1">
      <c r="C267" s="403"/>
      <c r="D267" s="573"/>
      <c r="E267" s="550"/>
      <c r="F267" s="550"/>
      <c r="G267" s="550"/>
      <c r="H267" s="1271"/>
      <c r="I267" s="1271"/>
      <c r="J267" s="1272"/>
      <c r="K267" s="1271"/>
      <c r="L267" s="1271"/>
      <c r="M267" s="1271"/>
      <c r="N267" s="1271"/>
      <c r="O267" s="550"/>
    </row>
    <row r="268" spans="1:16" ht="15.5">
      <c r="C268" s="606" t="s">
        <v>293</v>
      </c>
      <c r="D268" s="573"/>
      <c r="E268" s="550"/>
      <c r="F268" s="550"/>
      <c r="G268" s="1273"/>
      <c r="H268" s="550" t="s">
        <v>272</v>
      </c>
      <c r="I268" s="550"/>
      <c r="J268" s="598"/>
      <c r="K268" s="688" t="s">
        <v>297</v>
      </c>
      <c r="L268" s="689"/>
      <c r="M268" s="690"/>
      <c r="N268" s="1274">
        <f>VLOOKUP(I274,C281:O340,5)</f>
        <v>2512780.5316063226</v>
      </c>
      <c r="O268" s="550"/>
    </row>
    <row r="269" spans="1:16" ht="15.5">
      <c r="C269" s="606"/>
      <c r="D269" s="573"/>
      <c r="E269" s="550"/>
      <c r="F269" s="550"/>
      <c r="G269" s="550"/>
      <c r="H269" s="1275"/>
      <c r="I269" s="1275"/>
      <c r="J269" s="1276"/>
      <c r="K269" s="693" t="s">
        <v>298</v>
      </c>
      <c r="L269" s="1277"/>
      <c r="M269" s="598"/>
      <c r="N269" s="1278">
        <f>VLOOKUP(I274,C281:O340,6)</f>
        <v>2512780.5316063226</v>
      </c>
      <c r="O269" s="550"/>
    </row>
    <row r="270" spans="1:16" ht="13.5" thickBot="1">
      <c r="C270" s="694" t="s">
        <v>294</v>
      </c>
      <c r="D270" s="1558" t="s">
        <v>983</v>
      </c>
      <c r="E270" s="1558"/>
      <c r="F270" s="1558"/>
      <c r="G270" s="1558"/>
      <c r="H270" s="1558"/>
      <c r="I270" s="1558"/>
      <c r="J270" s="1272"/>
      <c r="K270" s="1279" t="s">
        <v>451</v>
      </c>
      <c r="L270" s="1280"/>
      <c r="M270" s="1280"/>
      <c r="N270" s="1281">
        <f>+N269-N268</f>
        <v>0</v>
      </c>
      <c r="O270" s="550"/>
    </row>
    <row r="271" spans="1:16" ht="13">
      <c r="C271" s="696"/>
      <c r="D271" s="1558"/>
      <c r="E271" s="1558"/>
      <c r="F271" s="1558"/>
      <c r="G271" s="1558"/>
      <c r="H271" s="1558"/>
      <c r="I271" s="1558"/>
      <c r="J271" s="1272"/>
      <c r="K271" s="1271"/>
      <c r="L271" s="1271"/>
      <c r="M271" s="1271"/>
      <c r="N271" s="1271"/>
      <c r="O271" s="550"/>
    </row>
    <row r="272" spans="1:16" ht="13.5" thickBot="1">
      <c r="C272" s="698"/>
      <c r="D272" s="699"/>
      <c r="E272" s="697"/>
      <c r="F272" s="697"/>
      <c r="G272" s="697"/>
      <c r="H272" s="697"/>
      <c r="I272" s="697"/>
      <c r="J272" s="700"/>
      <c r="K272" s="697"/>
      <c r="L272" s="697"/>
      <c r="M272" s="697"/>
      <c r="N272" s="697"/>
      <c r="O272" s="586"/>
    </row>
    <row r="273" spans="1:15" ht="13" thickBot="1">
      <c r="C273" s="701" t="s">
        <v>295</v>
      </c>
      <c r="D273" s="702"/>
      <c r="E273" s="702"/>
      <c r="F273" s="702"/>
      <c r="G273" s="702"/>
      <c r="H273" s="702"/>
      <c r="I273" s="703"/>
      <c r="J273" s="704"/>
      <c r="K273" s="550"/>
      <c r="L273" s="550"/>
      <c r="M273" s="550"/>
      <c r="N273" s="550"/>
      <c r="O273" s="705"/>
    </row>
    <row r="274" spans="1:15" ht="16">
      <c r="C274" s="707" t="s">
        <v>273</v>
      </c>
      <c r="D274" s="1282">
        <v>21957101</v>
      </c>
      <c r="E274" s="665" t="s">
        <v>274</v>
      </c>
      <c r="G274" s="708"/>
      <c r="H274" s="708"/>
      <c r="I274" s="709">
        <v>2018</v>
      </c>
      <c r="J274" s="596"/>
      <c r="K274" s="1557" t="s">
        <v>460</v>
      </c>
      <c r="L274" s="1557"/>
      <c r="M274" s="1557"/>
      <c r="N274" s="1557"/>
      <c r="O274" s="1557"/>
    </row>
    <row r="275" spans="1:15">
      <c r="C275" s="707" t="s">
        <v>276</v>
      </c>
      <c r="D275" s="879">
        <v>2013</v>
      </c>
      <c r="E275" s="707" t="s">
        <v>277</v>
      </c>
      <c r="F275" s="708"/>
      <c r="H275" s="337"/>
      <c r="I275" s="882">
        <f>IF(G268="",0,$F$15)</f>
        <v>0</v>
      </c>
      <c r="J275" s="710"/>
      <c r="K275" s="1272" t="s">
        <v>460</v>
      </c>
    </row>
    <row r="276" spans="1:15">
      <c r="C276" s="707" t="s">
        <v>278</v>
      </c>
      <c r="D276" s="1282">
        <v>4</v>
      </c>
      <c r="E276" s="707" t="s">
        <v>279</v>
      </c>
      <c r="F276" s="708"/>
      <c r="H276" s="337"/>
      <c r="I276" s="711">
        <f>$G$70</f>
        <v>0.10552282863199051</v>
      </c>
      <c r="J276" s="712"/>
      <c r="K276" s="337" t="str">
        <f>"          INPUT PROJECTED ARR (WITH &amp; WITHOUT INCENTIVES) FROM EACH PRIOR YEAR"</f>
        <v xml:space="preserve">          INPUT PROJECTED ARR (WITH &amp; WITHOUT INCENTIVES) FROM EACH PRIOR YEAR</v>
      </c>
    </row>
    <row r="277" spans="1:15">
      <c r="C277" s="707" t="s">
        <v>280</v>
      </c>
      <c r="D277" s="713">
        <f>G$79</f>
        <v>51</v>
      </c>
      <c r="E277" s="707" t="s">
        <v>281</v>
      </c>
      <c r="F277" s="708"/>
      <c r="H277" s="337"/>
      <c r="I277" s="711">
        <f>IF(G268="",I276,$G$67)</f>
        <v>0.10552282863199051</v>
      </c>
      <c r="J277" s="714"/>
      <c r="K277" s="337" t="s">
        <v>358</v>
      </c>
    </row>
    <row r="278" spans="1:15" ht="13" thickBot="1">
      <c r="C278" s="707" t="s">
        <v>282</v>
      </c>
      <c r="D278" s="881" t="s">
        <v>979</v>
      </c>
      <c r="E278" s="715" t="s">
        <v>283</v>
      </c>
      <c r="F278" s="716"/>
      <c r="G278" s="717"/>
      <c r="H278" s="717"/>
      <c r="I278" s="1281">
        <f>IF(D274=0,0,D274/D277)</f>
        <v>430531.39215686277</v>
      </c>
      <c r="J278" s="1272"/>
      <c r="K278" s="1272" t="s">
        <v>364</v>
      </c>
      <c r="L278" s="1272"/>
      <c r="M278" s="1272"/>
      <c r="N278" s="1272"/>
      <c r="O278" s="598"/>
    </row>
    <row r="279" spans="1:15" ht="52">
      <c r="A279" s="537"/>
      <c r="B279" s="1283"/>
      <c r="C279" s="718" t="s">
        <v>273</v>
      </c>
      <c r="D279" s="1284" t="s">
        <v>284</v>
      </c>
      <c r="E279" s="1285" t="s">
        <v>285</v>
      </c>
      <c r="F279" s="1284" t="s">
        <v>286</v>
      </c>
      <c r="G279" s="1285" t="s">
        <v>357</v>
      </c>
      <c r="H279" s="1286" t="s">
        <v>357</v>
      </c>
      <c r="I279" s="718" t="s">
        <v>296</v>
      </c>
      <c r="J279" s="722"/>
      <c r="K279" s="1285" t="s">
        <v>366</v>
      </c>
      <c r="L279" s="1287"/>
      <c r="M279" s="1285" t="s">
        <v>366</v>
      </c>
      <c r="N279" s="1287"/>
      <c r="O279" s="1287"/>
    </row>
    <row r="280" spans="1:15" ht="13.5" thickBot="1">
      <c r="C280" s="724" t="s">
        <v>178</v>
      </c>
      <c r="D280" s="725" t="s">
        <v>179</v>
      </c>
      <c r="E280" s="724" t="s">
        <v>38</v>
      </c>
      <c r="F280" s="725" t="s">
        <v>179</v>
      </c>
      <c r="G280" s="1288" t="s">
        <v>299</v>
      </c>
      <c r="H280" s="1289" t="s">
        <v>301</v>
      </c>
      <c r="I280" s="728" t="s">
        <v>390</v>
      </c>
      <c r="J280" s="729"/>
      <c r="K280" s="1288" t="s">
        <v>288</v>
      </c>
      <c r="L280" s="1290"/>
      <c r="M280" s="1288" t="s">
        <v>301</v>
      </c>
      <c r="N280" s="1290"/>
      <c r="O280" s="1290"/>
    </row>
    <row r="281" spans="1:15">
      <c r="C281" s="730">
        <f>IF(D275= "","-",D275)</f>
        <v>2013</v>
      </c>
      <c r="D281" s="683">
        <f>+D274</f>
        <v>21957101</v>
      </c>
      <c r="E281" s="1291">
        <f>+I278/12*(12-D276)</f>
        <v>287020.9281045752</v>
      </c>
      <c r="F281" s="683">
        <f t="shared" ref="F281:F340" si="12">+D281-E281</f>
        <v>21670080.071895424</v>
      </c>
      <c r="G281" s="1292">
        <f>+$I$276*((D281+F281)/2)+E281</f>
        <v>2588852.7040777956</v>
      </c>
      <c r="H281" s="1293">
        <f>+$I$277*((D281+F281)/2)+E281</f>
        <v>2588852.7040777956</v>
      </c>
      <c r="I281" s="734">
        <f>+H281-G281</f>
        <v>0</v>
      </c>
      <c r="J281" s="734"/>
      <c r="K281" s="884">
        <v>1301059</v>
      </c>
      <c r="L281" s="736"/>
      <c r="M281" s="884">
        <v>1301059</v>
      </c>
      <c r="N281" s="736"/>
      <c r="O281" s="736"/>
    </row>
    <row r="282" spans="1:15">
      <c r="C282" s="730">
        <f>IF(D275="","-",+C281+1)</f>
        <v>2014</v>
      </c>
      <c r="D282" s="683">
        <f t="shared" ref="D282:D340" si="13">F281</f>
        <v>21670080.071895424</v>
      </c>
      <c r="E282" s="737">
        <f>IF(D282&gt;$I$278,$I$278,D282)</f>
        <v>430531.39215686277</v>
      </c>
      <c r="F282" s="683">
        <f t="shared" si="12"/>
        <v>21239548.679738563</v>
      </c>
      <c r="G282" s="1291">
        <f t="shared" ref="G282:G340" si="14">+$I$276*((D282+F282)/2)+E282</f>
        <v>2694504.0928673656</v>
      </c>
      <c r="H282" s="1294">
        <f t="shared" ref="H282:H340" si="15">+$I$277*((D282+F282)/2)+E282</f>
        <v>2694504.0928673656</v>
      </c>
      <c r="I282" s="734">
        <f t="shared" ref="I282:I340" si="16">+H282-G282</f>
        <v>0</v>
      </c>
      <c r="J282" s="734"/>
      <c r="K282" s="884">
        <v>3243481</v>
      </c>
      <c r="L282" s="740"/>
      <c r="M282" s="884">
        <v>3243481</v>
      </c>
      <c r="N282" s="740"/>
      <c r="O282" s="740"/>
    </row>
    <row r="283" spans="1:15">
      <c r="C283" s="730">
        <f>IF(D275="","-",+C282+1)</f>
        <v>2015</v>
      </c>
      <c r="D283" s="683">
        <f t="shared" si="13"/>
        <v>21239548.679738563</v>
      </c>
      <c r="E283" s="737">
        <f t="shared" ref="E283:E340" si="17">IF(D283&gt;$I$278,$I$278,D283)</f>
        <v>430531.39215686277</v>
      </c>
      <c r="F283" s="683">
        <f t="shared" si="12"/>
        <v>20809017.287581701</v>
      </c>
      <c r="G283" s="1291">
        <f t="shared" si="14"/>
        <v>2649073.2025521048</v>
      </c>
      <c r="H283" s="1294">
        <f t="shared" si="15"/>
        <v>2649073.2025521048</v>
      </c>
      <c r="I283" s="734">
        <f t="shared" si="16"/>
        <v>0</v>
      </c>
      <c r="J283" s="734"/>
      <c r="K283" s="884">
        <v>3604460</v>
      </c>
      <c r="L283" s="740"/>
      <c r="M283" s="884">
        <v>3604460</v>
      </c>
      <c r="N283" s="740"/>
      <c r="O283" s="740"/>
    </row>
    <row r="284" spans="1:15">
      <c r="C284" s="730">
        <f>IF(D275="","-",+C283+1)</f>
        <v>2016</v>
      </c>
      <c r="D284" s="683">
        <f t="shared" si="13"/>
        <v>20809017.287581701</v>
      </c>
      <c r="E284" s="737">
        <f t="shared" si="17"/>
        <v>430531.39215686277</v>
      </c>
      <c r="F284" s="683">
        <f t="shared" si="12"/>
        <v>20378485.895424839</v>
      </c>
      <c r="G284" s="1291">
        <f t="shared" si="14"/>
        <v>2603642.3122368441</v>
      </c>
      <c r="H284" s="1294">
        <f t="shared" si="15"/>
        <v>2603642.3122368441</v>
      </c>
      <c r="I284" s="734">
        <f t="shared" si="16"/>
        <v>0</v>
      </c>
      <c r="J284" s="734"/>
      <c r="K284" s="884">
        <v>3506792</v>
      </c>
      <c r="L284" s="740"/>
      <c r="M284" s="884">
        <v>3506792</v>
      </c>
      <c r="N284" s="740"/>
      <c r="O284" s="740"/>
    </row>
    <row r="285" spans="1:15">
      <c r="C285" s="730">
        <f>IF(D275="","-",+C284+1)</f>
        <v>2017</v>
      </c>
      <c r="D285" s="683">
        <f t="shared" si="13"/>
        <v>20378485.895424839</v>
      </c>
      <c r="E285" s="737">
        <f t="shared" si="17"/>
        <v>430531.39215686277</v>
      </c>
      <c r="F285" s="683">
        <f t="shared" si="12"/>
        <v>19947954.503267977</v>
      </c>
      <c r="G285" s="1291">
        <f t="shared" si="14"/>
        <v>2558211.4219215834</v>
      </c>
      <c r="H285" s="1294">
        <f t="shared" si="15"/>
        <v>2558211.4219215834</v>
      </c>
      <c r="I285" s="734">
        <f t="shared" si="16"/>
        <v>0</v>
      </c>
      <c r="J285" s="734"/>
      <c r="K285" s="884">
        <v>3162406</v>
      </c>
      <c r="L285" s="740"/>
      <c r="M285" s="884">
        <v>3162406</v>
      </c>
      <c r="N285" s="740"/>
      <c r="O285" s="740"/>
    </row>
    <row r="286" spans="1:15">
      <c r="C286" s="1296">
        <f>IF(D275="","-",+C285+1)</f>
        <v>2018</v>
      </c>
      <c r="D286" s="1305">
        <f t="shared" si="13"/>
        <v>19947954.503267977</v>
      </c>
      <c r="E286" s="1298">
        <f t="shared" si="17"/>
        <v>430531.39215686277</v>
      </c>
      <c r="F286" s="1297">
        <f t="shared" si="12"/>
        <v>19517423.111111116</v>
      </c>
      <c r="G286" s="1299">
        <f t="shared" si="14"/>
        <v>2512780.5316063226</v>
      </c>
      <c r="H286" s="1300">
        <f t="shared" si="15"/>
        <v>2512780.5316063226</v>
      </c>
      <c r="I286" s="1301">
        <f t="shared" si="16"/>
        <v>0</v>
      </c>
      <c r="J286" s="734"/>
      <c r="K286" s="884"/>
      <c r="L286" s="740"/>
      <c r="M286" s="884"/>
      <c r="N286" s="740"/>
      <c r="O286" s="740"/>
    </row>
    <row r="287" spans="1:15">
      <c r="C287" s="730">
        <f>IF(D275="","-",+C286+1)</f>
        <v>2019</v>
      </c>
      <c r="D287" s="683">
        <f t="shared" si="13"/>
        <v>19517423.111111116</v>
      </c>
      <c r="E287" s="737">
        <f t="shared" si="17"/>
        <v>430531.39215686277</v>
      </c>
      <c r="F287" s="683">
        <f t="shared" si="12"/>
        <v>19086891.718954254</v>
      </c>
      <c r="G287" s="1291">
        <f t="shared" si="14"/>
        <v>2467349.6412910619</v>
      </c>
      <c r="H287" s="1294">
        <f t="shared" si="15"/>
        <v>2467349.6412910619</v>
      </c>
      <c r="I287" s="734">
        <f t="shared" si="16"/>
        <v>0</v>
      </c>
      <c r="J287" s="734"/>
      <c r="K287" s="884"/>
      <c r="L287" s="740"/>
      <c r="M287" s="884"/>
      <c r="N287" s="740"/>
      <c r="O287" s="740"/>
    </row>
    <row r="288" spans="1:15">
      <c r="C288" s="730">
        <f>IF(D275="","-",+C287+1)</f>
        <v>2020</v>
      </c>
      <c r="D288" s="683">
        <f t="shared" si="13"/>
        <v>19086891.718954254</v>
      </c>
      <c r="E288" s="737">
        <f t="shared" si="17"/>
        <v>430531.39215686277</v>
      </c>
      <c r="F288" s="683">
        <f t="shared" si="12"/>
        <v>18656360.326797392</v>
      </c>
      <c r="G288" s="1291">
        <f t="shared" si="14"/>
        <v>2421918.7509758011</v>
      </c>
      <c r="H288" s="1294">
        <f t="shared" si="15"/>
        <v>2421918.7509758011</v>
      </c>
      <c r="I288" s="734">
        <f t="shared" si="16"/>
        <v>0</v>
      </c>
      <c r="J288" s="734"/>
      <c r="K288" s="884"/>
      <c r="L288" s="740"/>
      <c r="M288" s="884"/>
      <c r="N288" s="740"/>
      <c r="O288" s="740"/>
    </row>
    <row r="289" spans="3:15">
      <c r="C289" s="730">
        <f>IF(D275="","-",+C288+1)</f>
        <v>2021</v>
      </c>
      <c r="D289" s="683">
        <f t="shared" si="13"/>
        <v>18656360.326797392</v>
      </c>
      <c r="E289" s="737">
        <f t="shared" si="17"/>
        <v>430531.39215686277</v>
      </c>
      <c r="F289" s="683">
        <f t="shared" si="12"/>
        <v>18225828.93464053</v>
      </c>
      <c r="G289" s="1291">
        <f t="shared" si="14"/>
        <v>2376487.8606605399</v>
      </c>
      <c r="H289" s="1294">
        <f t="shared" si="15"/>
        <v>2376487.8606605399</v>
      </c>
      <c r="I289" s="734">
        <f t="shared" si="16"/>
        <v>0</v>
      </c>
      <c r="J289" s="734"/>
      <c r="K289" s="884"/>
      <c r="L289" s="740"/>
      <c r="M289" s="884"/>
      <c r="N289" s="740"/>
      <c r="O289" s="740"/>
    </row>
    <row r="290" spans="3:15">
      <c r="C290" s="730">
        <f>IF(D275="","-",+C289+1)</f>
        <v>2022</v>
      </c>
      <c r="D290" s="683">
        <f t="shared" si="13"/>
        <v>18225828.93464053</v>
      </c>
      <c r="E290" s="737">
        <f t="shared" si="17"/>
        <v>430531.39215686277</v>
      </c>
      <c r="F290" s="683">
        <f t="shared" si="12"/>
        <v>17795297.542483669</v>
      </c>
      <c r="G290" s="1291">
        <f t="shared" si="14"/>
        <v>2331056.9703452792</v>
      </c>
      <c r="H290" s="1294">
        <f t="shared" si="15"/>
        <v>2331056.9703452792</v>
      </c>
      <c r="I290" s="734">
        <f t="shared" si="16"/>
        <v>0</v>
      </c>
      <c r="J290" s="734"/>
      <c r="K290" s="884"/>
      <c r="L290" s="740"/>
      <c r="M290" s="884"/>
      <c r="N290" s="740"/>
      <c r="O290" s="740"/>
    </row>
    <row r="291" spans="3:15">
      <c r="C291" s="730">
        <f>IF(D275="","-",+C290+1)</f>
        <v>2023</v>
      </c>
      <c r="D291" s="683">
        <f t="shared" si="13"/>
        <v>17795297.542483669</v>
      </c>
      <c r="E291" s="737">
        <f t="shared" si="17"/>
        <v>430531.39215686277</v>
      </c>
      <c r="F291" s="683">
        <f t="shared" si="12"/>
        <v>17364766.150326807</v>
      </c>
      <c r="G291" s="1291">
        <f t="shared" si="14"/>
        <v>2285626.0800300185</v>
      </c>
      <c r="H291" s="1294">
        <f t="shared" si="15"/>
        <v>2285626.0800300185</v>
      </c>
      <c r="I291" s="734">
        <f t="shared" si="16"/>
        <v>0</v>
      </c>
      <c r="J291" s="734"/>
      <c r="K291" s="884"/>
      <c r="L291" s="740"/>
      <c r="M291" s="884"/>
      <c r="N291" s="740"/>
      <c r="O291" s="740"/>
    </row>
    <row r="292" spans="3:15">
      <c r="C292" s="730">
        <f>IF(D275="","-",+C291+1)</f>
        <v>2024</v>
      </c>
      <c r="D292" s="683">
        <f t="shared" si="13"/>
        <v>17364766.150326807</v>
      </c>
      <c r="E292" s="737">
        <f t="shared" si="17"/>
        <v>430531.39215686277</v>
      </c>
      <c r="F292" s="683">
        <f t="shared" si="12"/>
        <v>16934234.758169945</v>
      </c>
      <c r="G292" s="1291">
        <f t="shared" si="14"/>
        <v>2240195.1897147577</v>
      </c>
      <c r="H292" s="1294">
        <f t="shared" si="15"/>
        <v>2240195.1897147577</v>
      </c>
      <c r="I292" s="734">
        <f t="shared" si="16"/>
        <v>0</v>
      </c>
      <c r="J292" s="734"/>
      <c r="K292" s="884"/>
      <c r="L292" s="740"/>
      <c r="M292" s="884"/>
      <c r="N292" s="740"/>
      <c r="O292" s="740"/>
    </row>
    <row r="293" spans="3:15">
      <c r="C293" s="730">
        <f>IF(D275="","-",+C292+1)</f>
        <v>2025</v>
      </c>
      <c r="D293" s="683">
        <f t="shared" si="13"/>
        <v>16934234.758169945</v>
      </c>
      <c r="E293" s="737">
        <f t="shared" si="17"/>
        <v>430531.39215686277</v>
      </c>
      <c r="F293" s="683">
        <f t="shared" si="12"/>
        <v>16503703.366013082</v>
      </c>
      <c r="G293" s="1291">
        <f t="shared" si="14"/>
        <v>2194764.299399497</v>
      </c>
      <c r="H293" s="1294">
        <f t="shared" si="15"/>
        <v>2194764.299399497</v>
      </c>
      <c r="I293" s="734">
        <f t="shared" si="16"/>
        <v>0</v>
      </c>
      <c r="J293" s="734"/>
      <c r="K293" s="884"/>
      <c r="L293" s="740"/>
      <c r="M293" s="884"/>
      <c r="N293" s="740"/>
      <c r="O293" s="740"/>
    </row>
    <row r="294" spans="3:15">
      <c r="C294" s="730">
        <f>IF(D275="","-",+C293+1)</f>
        <v>2026</v>
      </c>
      <c r="D294" s="683">
        <f t="shared" si="13"/>
        <v>16503703.366013082</v>
      </c>
      <c r="E294" s="737">
        <f t="shared" si="17"/>
        <v>430531.39215686277</v>
      </c>
      <c r="F294" s="683">
        <f t="shared" si="12"/>
        <v>16073171.973856218</v>
      </c>
      <c r="G294" s="1291">
        <f t="shared" si="14"/>
        <v>2149333.4090842358</v>
      </c>
      <c r="H294" s="1294">
        <f t="shared" si="15"/>
        <v>2149333.4090842358</v>
      </c>
      <c r="I294" s="734">
        <f t="shared" si="16"/>
        <v>0</v>
      </c>
      <c r="J294" s="734"/>
      <c r="K294" s="884"/>
      <c r="L294" s="740"/>
      <c r="M294" s="884"/>
      <c r="N294" s="740"/>
      <c r="O294" s="740"/>
    </row>
    <row r="295" spans="3:15">
      <c r="C295" s="730">
        <f>IF(D275="","-",+C294+1)</f>
        <v>2027</v>
      </c>
      <c r="D295" s="683">
        <f t="shared" si="13"/>
        <v>16073171.973856218</v>
      </c>
      <c r="E295" s="737">
        <f t="shared" si="17"/>
        <v>430531.39215686277</v>
      </c>
      <c r="F295" s="683">
        <f t="shared" si="12"/>
        <v>15642640.581699355</v>
      </c>
      <c r="G295" s="1291">
        <f t="shared" si="14"/>
        <v>2103902.5187689746</v>
      </c>
      <c r="H295" s="1294">
        <f t="shared" si="15"/>
        <v>2103902.5187689746</v>
      </c>
      <c r="I295" s="734">
        <f t="shared" si="16"/>
        <v>0</v>
      </c>
      <c r="J295" s="734"/>
      <c r="K295" s="884"/>
      <c r="L295" s="740"/>
      <c r="M295" s="884"/>
      <c r="N295" s="740"/>
      <c r="O295" s="740"/>
    </row>
    <row r="296" spans="3:15">
      <c r="C296" s="730">
        <f>IF(D275="","-",+C295+1)</f>
        <v>2028</v>
      </c>
      <c r="D296" s="683">
        <f t="shared" si="13"/>
        <v>15642640.581699355</v>
      </c>
      <c r="E296" s="737">
        <f t="shared" si="17"/>
        <v>430531.39215686277</v>
      </c>
      <c r="F296" s="683">
        <f t="shared" si="12"/>
        <v>15212109.189542491</v>
      </c>
      <c r="G296" s="1291">
        <f t="shared" si="14"/>
        <v>2058471.6284537134</v>
      </c>
      <c r="H296" s="1294">
        <f t="shared" si="15"/>
        <v>2058471.6284537134</v>
      </c>
      <c r="I296" s="734">
        <f t="shared" si="16"/>
        <v>0</v>
      </c>
      <c r="J296" s="734"/>
      <c r="K296" s="884"/>
      <c r="L296" s="740"/>
      <c r="M296" s="884"/>
      <c r="N296" s="740"/>
      <c r="O296" s="740"/>
    </row>
    <row r="297" spans="3:15">
      <c r="C297" s="730">
        <f>IF(D275="","-",+C296+1)</f>
        <v>2029</v>
      </c>
      <c r="D297" s="683">
        <f t="shared" si="13"/>
        <v>15212109.189542491</v>
      </c>
      <c r="E297" s="737">
        <f t="shared" si="17"/>
        <v>430531.39215686277</v>
      </c>
      <c r="F297" s="683">
        <f t="shared" si="12"/>
        <v>14781577.797385627</v>
      </c>
      <c r="G297" s="1291">
        <f t="shared" si="14"/>
        <v>2013040.7381384526</v>
      </c>
      <c r="H297" s="1294">
        <f t="shared" si="15"/>
        <v>2013040.7381384526</v>
      </c>
      <c r="I297" s="734">
        <f t="shared" si="16"/>
        <v>0</v>
      </c>
      <c r="J297" s="734"/>
      <c r="K297" s="884"/>
      <c r="L297" s="740"/>
      <c r="M297" s="884"/>
      <c r="N297" s="740"/>
      <c r="O297" s="740"/>
    </row>
    <row r="298" spans="3:15">
      <c r="C298" s="730">
        <f>IF(D275="","-",+C297+1)</f>
        <v>2030</v>
      </c>
      <c r="D298" s="683">
        <f t="shared" si="13"/>
        <v>14781577.797385627</v>
      </c>
      <c r="E298" s="737">
        <f t="shared" si="17"/>
        <v>430531.39215686277</v>
      </c>
      <c r="F298" s="683">
        <f t="shared" si="12"/>
        <v>14351046.405228764</v>
      </c>
      <c r="G298" s="1291">
        <f t="shared" si="14"/>
        <v>1967609.8478231914</v>
      </c>
      <c r="H298" s="1294">
        <f t="shared" si="15"/>
        <v>1967609.8478231914</v>
      </c>
      <c r="I298" s="734">
        <f t="shared" si="16"/>
        <v>0</v>
      </c>
      <c r="J298" s="734"/>
      <c r="K298" s="884"/>
      <c r="L298" s="740"/>
      <c r="M298" s="884"/>
      <c r="N298" s="740"/>
      <c r="O298" s="740"/>
    </row>
    <row r="299" spans="3:15">
      <c r="C299" s="730">
        <f>IF(D275="","-",+C298+1)</f>
        <v>2031</v>
      </c>
      <c r="D299" s="683">
        <f t="shared" si="13"/>
        <v>14351046.405228764</v>
      </c>
      <c r="E299" s="737">
        <f t="shared" si="17"/>
        <v>430531.39215686277</v>
      </c>
      <c r="F299" s="683">
        <f t="shared" si="12"/>
        <v>13920515.0130719</v>
      </c>
      <c r="G299" s="1291">
        <f t="shared" si="14"/>
        <v>1922178.9575079307</v>
      </c>
      <c r="H299" s="1294">
        <f t="shared" si="15"/>
        <v>1922178.9575079307</v>
      </c>
      <c r="I299" s="734">
        <f t="shared" si="16"/>
        <v>0</v>
      </c>
      <c r="J299" s="734"/>
      <c r="K299" s="884"/>
      <c r="L299" s="740"/>
      <c r="M299" s="884"/>
      <c r="N299" s="740"/>
      <c r="O299" s="740"/>
    </row>
    <row r="300" spans="3:15">
      <c r="C300" s="730">
        <f>IF(D275="","-",+C299+1)</f>
        <v>2032</v>
      </c>
      <c r="D300" s="683">
        <f t="shared" si="13"/>
        <v>13920515.0130719</v>
      </c>
      <c r="E300" s="737">
        <f t="shared" si="17"/>
        <v>430531.39215686277</v>
      </c>
      <c r="F300" s="683">
        <f t="shared" si="12"/>
        <v>13489983.620915037</v>
      </c>
      <c r="G300" s="1291">
        <f t="shared" si="14"/>
        <v>1876748.0671926695</v>
      </c>
      <c r="H300" s="1294">
        <f t="shared" si="15"/>
        <v>1876748.0671926695</v>
      </c>
      <c r="I300" s="734">
        <f t="shared" si="16"/>
        <v>0</v>
      </c>
      <c r="J300" s="734"/>
      <c r="K300" s="884"/>
      <c r="L300" s="740"/>
      <c r="M300" s="884"/>
      <c r="N300" s="740"/>
      <c r="O300" s="740"/>
    </row>
    <row r="301" spans="3:15">
      <c r="C301" s="730">
        <f>IF(D275="","-",+C300+1)</f>
        <v>2033</v>
      </c>
      <c r="D301" s="683">
        <f t="shared" si="13"/>
        <v>13489983.620915037</v>
      </c>
      <c r="E301" s="737">
        <f t="shared" si="17"/>
        <v>430531.39215686277</v>
      </c>
      <c r="F301" s="683">
        <f t="shared" si="12"/>
        <v>13059452.228758173</v>
      </c>
      <c r="G301" s="1291">
        <f t="shared" si="14"/>
        <v>1831317.1768774088</v>
      </c>
      <c r="H301" s="1294">
        <f t="shared" si="15"/>
        <v>1831317.1768774088</v>
      </c>
      <c r="I301" s="734">
        <f t="shared" si="16"/>
        <v>0</v>
      </c>
      <c r="J301" s="734"/>
      <c r="K301" s="884"/>
      <c r="L301" s="740"/>
      <c r="M301" s="884"/>
      <c r="N301" s="740"/>
      <c r="O301" s="740"/>
    </row>
    <row r="302" spans="3:15">
      <c r="C302" s="730">
        <f>IF(D275="","-",+C301+1)</f>
        <v>2034</v>
      </c>
      <c r="D302" s="683">
        <f t="shared" si="13"/>
        <v>13059452.228758173</v>
      </c>
      <c r="E302" s="737">
        <f t="shared" si="17"/>
        <v>430531.39215686277</v>
      </c>
      <c r="F302" s="683">
        <f t="shared" si="12"/>
        <v>12628920.836601309</v>
      </c>
      <c r="G302" s="1291">
        <f t="shared" si="14"/>
        <v>1785886.2865621476</v>
      </c>
      <c r="H302" s="1294">
        <f t="shared" si="15"/>
        <v>1785886.2865621476</v>
      </c>
      <c r="I302" s="734">
        <f t="shared" si="16"/>
        <v>0</v>
      </c>
      <c r="J302" s="734"/>
      <c r="K302" s="884"/>
      <c r="L302" s="740"/>
      <c r="M302" s="884"/>
      <c r="N302" s="740"/>
      <c r="O302" s="740"/>
    </row>
    <row r="303" spans="3:15">
      <c r="C303" s="730">
        <f>IF(D275="","-",+C302+1)</f>
        <v>2035</v>
      </c>
      <c r="D303" s="683">
        <f t="shared" si="13"/>
        <v>12628920.836601309</v>
      </c>
      <c r="E303" s="737">
        <f t="shared" si="17"/>
        <v>430531.39215686277</v>
      </c>
      <c r="F303" s="683">
        <f t="shared" si="12"/>
        <v>12198389.444444446</v>
      </c>
      <c r="G303" s="1291">
        <f t="shared" si="14"/>
        <v>1740455.3962468868</v>
      </c>
      <c r="H303" s="1294">
        <f t="shared" si="15"/>
        <v>1740455.3962468868</v>
      </c>
      <c r="I303" s="734">
        <f t="shared" si="16"/>
        <v>0</v>
      </c>
      <c r="J303" s="734"/>
      <c r="K303" s="884"/>
      <c r="L303" s="740"/>
      <c r="M303" s="884"/>
      <c r="N303" s="740"/>
      <c r="O303" s="740"/>
    </row>
    <row r="304" spans="3:15">
      <c r="C304" s="730">
        <f>IF(D275="","-",+C303+1)</f>
        <v>2036</v>
      </c>
      <c r="D304" s="683">
        <f t="shared" si="13"/>
        <v>12198389.444444446</v>
      </c>
      <c r="E304" s="737">
        <f t="shared" si="17"/>
        <v>430531.39215686277</v>
      </c>
      <c r="F304" s="683">
        <f t="shared" si="12"/>
        <v>11767858.052287582</v>
      </c>
      <c r="G304" s="1291">
        <f t="shared" si="14"/>
        <v>1695024.5059316256</v>
      </c>
      <c r="H304" s="1294">
        <f t="shared" si="15"/>
        <v>1695024.5059316256</v>
      </c>
      <c r="I304" s="734">
        <f t="shared" si="16"/>
        <v>0</v>
      </c>
      <c r="J304" s="734"/>
      <c r="K304" s="884"/>
      <c r="L304" s="740"/>
      <c r="M304" s="884"/>
      <c r="N304" s="740"/>
      <c r="O304" s="740"/>
    </row>
    <row r="305" spans="3:15">
      <c r="C305" s="730">
        <f>IF(D275="","-",+C304+1)</f>
        <v>2037</v>
      </c>
      <c r="D305" s="683">
        <f t="shared" si="13"/>
        <v>11767858.052287582</v>
      </c>
      <c r="E305" s="737">
        <f t="shared" si="17"/>
        <v>430531.39215686277</v>
      </c>
      <c r="F305" s="683">
        <f t="shared" si="12"/>
        <v>11337326.660130719</v>
      </c>
      <c r="G305" s="1291">
        <f t="shared" si="14"/>
        <v>1649593.6156163644</v>
      </c>
      <c r="H305" s="1294">
        <f t="shared" si="15"/>
        <v>1649593.6156163644</v>
      </c>
      <c r="I305" s="734">
        <f t="shared" si="16"/>
        <v>0</v>
      </c>
      <c r="J305" s="734"/>
      <c r="K305" s="884"/>
      <c r="L305" s="740"/>
      <c r="M305" s="884"/>
      <c r="N305" s="740"/>
      <c r="O305" s="740"/>
    </row>
    <row r="306" spans="3:15">
      <c r="C306" s="730">
        <f>IF(D275="","-",+C305+1)</f>
        <v>2038</v>
      </c>
      <c r="D306" s="683">
        <f t="shared" si="13"/>
        <v>11337326.660130719</v>
      </c>
      <c r="E306" s="737">
        <f t="shared" si="17"/>
        <v>430531.39215686277</v>
      </c>
      <c r="F306" s="683">
        <f t="shared" si="12"/>
        <v>10906795.267973855</v>
      </c>
      <c r="G306" s="1291">
        <f t="shared" si="14"/>
        <v>1604162.7253011032</v>
      </c>
      <c r="H306" s="1294">
        <f t="shared" si="15"/>
        <v>1604162.7253011032</v>
      </c>
      <c r="I306" s="734">
        <f t="shared" si="16"/>
        <v>0</v>
      </c>
      <c r="J306" s="734"/>
      <c r="K306" s="884"/>
      <c r="L306" s="740"/>
      <c r="M306" s="884"/>
      <c r="N306" s="740"/>
      <c r="O306" s="740"/>
    </row>
    <row r="307" spans="3:15">
      <c r="C307" s="730">
        <f>IF(D275="","-",+C306+1)</f>
        <v>2039</v>
      </c>
      <c r="D307" s="683">
        <f t="shared" si="13"/>
        <v>10906795.267973855</v>
      </c>
      <c r="E307" s="737">
        <f t="shared" si="17"/>
        <v>430531.39215686277</v>
      </c>
      <c r="F307" s="683">
        <f t="shared" si="12"/>
        <v>10476263.875816992</v>
      </c>
      <c r="G307" s="1291">
        <f t="shared" si="14"/>
        <v>1558731.8349858425</v>
      </c>
      <c r="H307" s="1294">
        <f t="shared" si="15"/>
        <v>1558731.8349858425</v>
      </c>
      <c r="I307" s="734">
        <f t="shared" si="16"/>
        <v>0</v>
      </c>
      <c r="J307" s="734"/>
      <c r="K307" s="884"/>
      <c r="L307" s="740"/>
      <c r="M307" s="884"/>
      <c r="N307" s="740"/>
      <c r="O307" s="740"/>
    </row>
    <row r="308" spans="3:15">
      <c r="C308" s="730">
        <f>IF(D275="","-",+C307+1)</f>
        <v>2040</v>
      </c>
      <c r="D308" s="683">
        <f t="shared" si="13"/>
        <v>10476263.875816992</v>
      </c>
      <c r="E308" s="737">
        <f t="shared" si="17"/>
        <v>430531.39215686277</v>
      </c>
      <c r="F308" s="683">
        <f t="shared" si="12"/>
        <v>10045732.483660128</v>
      </c>
      <c r="G308" s="1291">
        <f t="shared" si="14"/>
        <v>1513300.9446705813</v>
      </c>
      <c r="H308" s="1294">
        <f t="shared" si="15"/>
        <v>1513300.9446705813</v>
      </c>
      <c r="I308" s="734">
        <f t="shared" si="16"/>
        <v>0</v>
      </c>
      <c r="J308" s="734"/>
      <c r="K308" s="884"/>
      <c r="L308" s="740"/>
      <c r="M308" s="884"/>
      <c r="N308" s="740"/>
      <c r="O308" s="740"/>
    </row>
    <row r="309" spans="3:15">
      <c r="C309" s="730">
        <f>IF(D275="","-",+C308+1)</f>
        <v>2041</v>
      </c>
      <c r="D309" s="683">
        <f t="shared" si="13"/>
        <v>10045732.483660128</v>
      </c>
      <c r="E309" s="737">
        <f t="shared" si="17"/>
        <v>430531.39215686277</v>
      </c>
      <c r="F309" s="683">
        <f t="shared" si="12"/>
        <v>9615201.0915032644</v>
      </c>
      <c r="G309" s="1302">
        <f t="shared" si="14"/>
        <v>1467870.0543553205</v>
      </c>
      <c r="H309" s="1294">
        <f t="shared" si="15"/>
        <v>1467870.0543553205</v>
      </c>
      <c r="I309" s="734">
        <f t="shared" si="16"/>
        <v>0</v>
      </c>
      <c r="J309" s="734"/>
      <c r="K309" s="884"/>
      <c r="L309" s="740"/>
      <c r="M309" s="884"/>
      <c r="N309" s="740"/>
      <c r="O309" s="740"/>
    </row>
    <row r="310" spans="3:15">
      <c r="C310" s="730">
        <f>IF(D275="","-",+C309+1)</f>
        <v>2042</v>
      </c>
      <c r="D310" s="683">
        <f t="shared" si="13"/>
        <v>9615201.0915032644</v>
      </c>
      <c r="E310" s="737">
        <f t="shared" si="17"/>
        <v>430531.39215686277</v>
      </c>
      <c r="F310" s="683">
        <f t="shared" si="12"/>
        <v>9184669.6993464008</v>
      </c>
      <c r="G310" s="1291">
        <f t="shared" si="14"/>
        <v>1422439.1640400593</v>
      </c>
      <c r="H310" s="1294">
        <f t="shared" si="15"/>
        <v>1422439.1640400593</v>
      </c>
      <c r="I310" s="734">
        <f t="shared" si="16"/>
        <v>0</v>
      </c>
      <c r="J310" s="734"/>
      <c r="K310" s="884"/>
      <c r="L310" s="740"/>
      <c r="M310" s="884"/>
      <c r="N310" s="740"/>
      <c r="O310" s="740"/>
    </row>
    <row r="311" spans="3:15">
      <c r="C311" s="730">
        <f>IF(D275="","-",+C310+1)</f>
        <v>2043</v>
      </c>
      <c r="D311" s="683">
        <f t="shared" si="13"/>
        <v>9184669.6993464008</v>
      </c>
      <c r="E311" s="737">
        <f t="shared" si="17"/>
        <v>430531.39215686277</v>
      </c>
      <c r="F311" s="683">
        <f t="shared" si="12"/>
        <v>8754138.3071895372</v>
      </c>
      <c r="G311" s="1291">
        <f t="shared" si="14"/>
        <v>1377008.2737247986</v>
      </c>
      <c r="H311" s="1294">
        <f t="shared" si="15"/>
        <v>1377008.2737247986</v>
      </c>
      <c r="I311" s="734">
        <f t="shared" si="16"/>
        <v>0</v>
      </c>
      <c r="J311" s="734"/>
      <c r="K311" s="884"/>
      <c r="L311" s="740"/>
      <c r="M311" s="884"/>
      <c r="N311" s="740"/>
      <c r="O311" s="740"/>
    </row>
    <row r="312" spans="3:15">
      <c r="C312" s="730">
        <f>IF(D275="","-",+C311+1)</f>
        <v>2044</v>
      </c>
      <c r="D312" s="683">
        <f t="shared" si="13"/>
        <v>8754138.3071895372</v>
      </c>
      <c r="E312" s="737">
        <f t="shared" si="17"/>
        <v>430531.39215686277</v>
      </c>
      <c r="F312" s="683">
        <f t="shared" si="12"/>
        <v>8323606.9150326746</v>
      </c>
      <c r="G312" s="1291">
        <f t="shared" si="14"/>
        <v>1331577.3834095374</v>
      </c>
      <c r="H312" s="1294">
        <f t="shared" si="15"/>
        <v>1331577.3834095374</v>
      </c>
      <c r="I312" s="734">
        <f t="shared" si="16"/>
        <v>0</v>
      </c>
      <c r="J312" s="734"/>
      <c r="K312" s="884"/>
      <c r="L312" s="740"/>
      <c r="M312" s="884"/>
      <c r="N312" s="740"/>
      <c r="O312" s="740"/>
    </row>
    <row r="313" spans="3:15">
      <c r="C313" s="730">
        <f>IF(D275="","-",+C312+1)</f>
        <v>2045</v>
      </c>
      <c r="D313" s="683">
        <f t="shared" si="13"/>
        <v>8323606.9150326746</v>
      </c>
      <c r="E313" s="737">
        <f t="shared" si="17"/>
        <v>430531.39215686277</v>
      </c>
      <c r="F313" s="683">
        <f t="shared" si="12"/>
        <v>7893075.5228758119</v>
      </c>
      <c r="G313" s="1291">
        <f t="shared" si="14"/>
        <v>1286146.4930942764</v>
      </c>
      <c r="H313" s="1294">
        <f t="shared" si="15"/>
        <v>1286146.4930942764</v>
      </c>
      <c r="I313" s="734">
        <f t="shared" si="16"/>
        <v>0</v>
      </c>
      <c r="J313" s="734"/>
      <c r="K313" s="884"/>
      <c r="L313" s="740"/>
      <c r="M313" s="884"/>
      <c r="N313" s="740"/>
      <c r="O313" s="740"/>
    </row>
    <row r="314" spans="3:15">
      <c r="C314" s="730">
        <f>IF(D275="","-",+C313+1)</f>
        <v>2046</v>
      </c>
      <c r="D314" s="683">
        <f t="shared" si="13"/>
        <v>7893075.5228758119</v>
      </c>
      <c r="E314" s="737">
        <f t="shared" si="17"/>
        <v>430531.39215686277</v>
      </c>
      <c r="F314" s="683">
        <f t="shared" si="12"/>
        <v>7462544.1307189493</v>
      </c>
      <c r="G314" s="1291">
        <f t="shared" si="14"/>
        <v>1240715.6027790154</v>
      </c>
      <c r="H314" s="1294">
        <f t="shared" si="15"/>
        <v>1240715.6027790154</v>
      </c>
      <c r="I314" s="734">
        <f t="shared" si="16"/>
        <v>0</v>
      </c>
      <c r="J314" s="734"/>
      <c r="K314" s="884"/>
      <c r="L314" s="740"/>
      <c r="M314" s="884"/>
      <c r="N314" s="740"/>
      <c r="O314" s="740"/>
    </row>
    <row r="315" spans="3:15">
      <c r="C315" s="730">
        <f>IF(D275="","-",+C314+1)</f>
        <v>2047</v>
      </c>
      <c r="D315" s="683">
        <f t="shared" si="13"/>
        <v>7462544.1307189493</v>
      </c>
      <c r="E315" s="737">
        <f t="shared" si="17"/>
        <v>430531.39215686277</v>
      </c>
      <c r="F315" s="683">
        <f t="shared" si="12"/>
        <v>7032012.7385620866</v>
      </c>
      <c r="G315" s="1291">
        <f t="shared" si="14"/>
        <v>1195284.7124637547</v>
      </c>
      <c r="H315" s="1294">
        <f t="shared" si="15"/>
        <v>1195284.7124637547</v>
      </c>
      <c r="I315" s="734">
        <f t="shared" si="16"/>
        <v>0</v>
      </c>
      <c r="J315" s="734"/>
      <c r="K315" s="884"/>
      <c r="L315" s="740"/>
      <c r="M315" s="884"/>
      <c r="N315" s="740"/>
      <c r="O315" s="740"/>
    </row>
    <row r="316" spans="3:15">
      <c r="C316" s="730">
        <f>IF(D275="","-",+C315+1)</f>
        <v>2048</v>
      </c>
      <c r="D316" s="683">
        <f t="shared" si="13"/>
        <v>7032012.7385620866</v>
      </c>
      <c r="E316" s="737">
        <f t="shared" si="17"/>
        <v>430531.39215686277</v>
      </c>
      <c r="F316" s="683">
        <f t="shared" si="12"/>
        <v>6601481.3464052239</v>
      </c>
      <c r="G316" s="1291">
        <f t="shared" si="14"/>
        <v>1149853.8221484937</v>
      </c>
      <c r="H316" s="1294">
        <f t="shared" si="15"/>
        <v>1149853.8221484937</v>
      </c>
      <c r="I316" s="734">
        <f t="shared" si="16"/>
        <v>0</v>
      </c>
      <c r="J316" s="734"/>
      <c r="K316" s="884"/>
      <c r="L316" s="740"/>
      <c r="M316" s="884"/>
      <c r="N316" s="740"/>
      <c r="O316" s="740"/>
    </row>
    <row r="317" spans="3:15">
      <c r="C317" s="730">
        <f>IF(D275="","-",+C316+1)</f>
        <v>2049</v>
      </c>
      <c r="D317" s="683">
        <f t="shared" si="13"/>
        <v>6601481.3464052239</v>
      </c>
      <c r="E317" s="737">
        <f t="shared" si="17"/>
        <v>430531.39215686277</v>
      </c>
      <c r="F317" s="683">
        <f t="shared" si="12"/>
        <v>6170949.9542483613</v>
      </c>
      <c r="G317" s="1291">
        <f t="shared" si="14"/>
        <v>1104422.9318332328</v>
      </c>
      <c r="H317" s="1294">
        <f t="shared" si="15"/>
        <v>1104422.9318332328</v>
      </c>
      <c r="I317" s="734">
        <f t="shared" si="16"/>
        <v>0</v>
      </c>
      <c r="J317" s="734"/>
      <c r="K317" s="884"/>
      <c r="L317" s="740"/>
      <c r="M317" s="884"/>
      <c r="N317" s="740"/>
      <c r="O317" s="740"/>
    </row>
    <row r="318" spans="3:15">
      <c r="C318" s="730">
        <f>IF(D275="","-",+C317+1)</f>
        <v>2050</v>
      </c>
      <c r="D318" s="683">
        <f t="shared" si="13"/>
        <v>6170949.9542483613</v>
      </c>
      <c r="E318" s="737">
        <f t="shared" si="17"/>
        <v>430531.39215686277</v>
      </c>
      <c r="F318" s="683">
        <f t="shared" si="12"/>
        <v>5740418.5620914986</v>
      </c>
      <c r="G318" s="1291">
        <f t="shared" si="14"/>
        <v>1058992.041517972</v>
      </c>
      <c r="H318" s="1294">
        <f t="shared" si="15"/>
        <v>1058992.041517972</v>
      </c>
      <c r="I318" s="734">
        <f t="shared" si="16"/>
        <v>0</v>
      </c>
      <c r="J318" s="734"/>
      <c r="K318" s="884"/>
      <c r="L318" s="740"/>
      <c r="M318" s="884"/>
      <c r="N318" s="740"/>
      <c r="O318" s="740"/>
    </row>
    <row r="319" spans="3:15">
      <c r="C319" s="730">
        <f>IF(D275="","-",+C318+1)</f>
        <v>2051</v>
      </c>
      <c r="D319" s="683">
        <f t="shared" si="13"/>
        <v>5740418.5620914986</v>
      </c>
      <c r="E319" s="737">
        <f t="shared" si="17"/>
        <v>430531.39215686277</v>
      </c>
      <c r="F319" s="683">
        <f t="shared" si="12"/>
        <v>5309887.169934636</v>
      </c>
      <c r="G319" s="1291">
        <f t="shared" si="14"/>
        <v>1013561.1512027109</v>
      </c>
      <c r="H319" s="1294">
        <f t="shared" si="15"/>
        <v>1013561.1512027109</v>
      </c>
      <c r="I319" s="734">
        <f t="shared" si="16"/>
        <v>0</v>
      </c>
      <c r="J319" s="734"/>
      <c r="K319" s="884"/>
      <c r="L319" s="740"/>
      <c r="M319" s="884"/>
      <c r="N319" s="740"/>
      <c r="O319" s="740"/>
    </row>
    <row r="320" spans="3:15">
      <c r="C320" s="730">
        <f>IF(D275="","-",+C319+1)</f>
        <v>2052</v>
      </c>
      <c r="D320" s="683">
        <f t="shared" si="13"/>
        <v>5309887.169934636</v>
      </c>
      <c r="E320" s="737">
        <f t="shared" si="17"/>
        <v>430531.39215686277</v>
      </c>
      <c r="F320" s="683">
        <f t="shared" si="12"/>
        <v>4879355.7777777733</v>
      </c>
      <c r="G320" s="1291">
        <f t="shared" si="14"/>
        <v>968130.26088745007</v>
      </c>
      <c r="H320" s="1294">
        <f t="shared" si="15"/>
        <v>968130.26088745007</v>
      </c>
      <c r="I320" s="734">
        <f t="shared" si="16"/>
        <v>0</v>
      </c>
      <c r="J320" s="734"/>
      <c r="K320" s="884"/>
      <c r="L320" s="740"/>
      <c r="M320" s="884"/>
      <c r="N320" s="740"/>
      <c r="O320" s="740"/>
    </row>
    <row r="321" spans="3:15">
      <c r="C321" s="730">
        <f>IF(D275="","-",+C320+1)</f>
        <v>2053</v>
      </c>
      <c r="D321" s="683">
        <f t="shared" si="13"/>
        <v>4879355.7777777733</v>
      </c>
      <c r="E321" s="737">
        <f t="shared" si="17"/>
        <v>430531.39215686277</v>
      </c>
      <c r="F321" s="683">
        <f t="shared" si="12"/>
        <v>4448824.3856209107</v>
      </c>
      <c r="G321" s="1291">
        <f t="shared" si="14"/>
        <v>922699.3705721891</v>
      </c>
      <c r="H321" s="1294">
        <f t="shared" si="15"/>
        <v>922699.3705721891</v>
      </c>
      <c r="I321" s="734">
        <f t="shared" si="16"/>
        <v>0</v>
      </c>
      <c r="J321" s="734"/>
      <c r="K321" s="884"/>
      <c r="L321" s="740"/>
      <c r="M321" s="884"/>
      <c r="N321" s="740"/>
      <c r="O321" s="740"/>
    </row>
    <row r="322" spans="3:15">
      <c r="C322" s="730">
        <f>IF(D275="","-",+C321+1)</f>
        <v>2054</v>
      </c>
      <c r="D322" s="683">
        <f t="shared" si="13"/>
        <v>4448824.3856209107</v>
      </c>
      <c r="E322" s="737">
        <f t="shared" si="17"/>
        <v>430531.39215686277</v>
      </c>
      <c r="F322" s="683">
        <f t="shared" si="12"/>
        <v>4018292.993464048</v>
      </c>
      <c r="G322" s="1291">
        <f t="shared" si="14"/>
        <v>877268.48025692813</v>
      </c>
      <c r="H322" s="1294">
        <f t="shared" si="15"/>
        <v>877268.48025692813</v>
      </c>
      <c r="I322" s="734">
        <f t="shared" si="16"/>
        <v>0</v>
      </c>
      <c r="J322" s="734"/>
      <c r="K322" s="884"/>
      <c r="L322" s="740"/>
      <c r="M322" s="884"/>
      <c r="N322" s="740"/>
      <c r="O322" s="740"/>
    </row>
    <row r="323" spans="3:15">
      <c r="C323" s="730">
        <f>IF(D275="","-",+C322+1)</f>
        <v>2055</v>
      </c>
      <c r="D323" s="683">
        <f t="shared" si="13"/>
        <v>4018292.993464048</v>
      </c>
      <c r="E323" s="737">
        <f t="shared" si="17"/>
        <v>430531.39215686277</v>
      </c>
      <c r="F323" s="683">
        <f t="shared" si="12"/>
        <v>3587761.6013071854</v>
      </c>
      <c r="G323" s="1291">
        <f t="shared" si="14"/>
        <v>831837.58994166716</v>
      </c>
      <c r="H323" s="1294">
        <f t="shared" si="15"/>
        <v>831837.58994166716</v>
      </c>
      <c r="I323" s="734">
        <f t="shared" si="16"/>
        <v>0</v>
      </c>
      <c r="J323" s="734"/>
      <c r="K323" s="884"/>
      <c r="L323" s="740"/>
      <c r="M323" s="884"/>
      <c r="N323" s="740"/>
      <c r="O323" s="740"/>
    </row>
    <row r="324" spans="3:15">
      <c r="C324" s="730">
        <f>IF(D275="","-",+C323+1)</f>
        <v>2056</v>
      </c>
      <c r="D324" s="683">
        <f t="shared" si="13"/>
        <v>3587761.6013071854</v>
      </c>
      <c r="E324" s="737">
        <f t="shared" si="17"/>
        <v>430531.39215686277</v>
      </c>
      <c r="F324" s="683">
        <f t="shared" si="12"/>
        <v>3157230.2091503227</v>
      </c>
      <c r="G324" s="1291">
        <f t="shared" si="14"/>
        <v>786406.69962640631</v>
      </c>
      <c r="H324" s="1294">
        <f t="shared" si="15"/>
        <v>786406.69962640631</v>
      </c>
      <c r="I324" s="734">
        <f t="shared" si="16"/>
        <v>0</v>
      </c>
      <c r="J324" s="734"/>
      <c r="K324" s="884"/>
      <c r="L324" s="740"/>
      <c r="M324" s="884"/>
      <c r="N324" s="740"/>
      <c r="O324" s="740"/>
    </row>
    <row r="325" spans="3:15">
      <c r="C325" s="730">
        <f>IF(D275="","-",+C324+1)</f>
        <v>2057</v>
      </c>
      <c r="D325" s="683">
        <f t="shared" si="13"/>
        <v>3157230.2091503227</v>
      </c>
      <c r="E325" s="737">
        <f t="shared" si="17"/>
        <v>430531.39215686277</v>
      </c>
      <c r="F325" s="683">
        <f t="shared" si="12"/>
        <v>2726698.8169934601</v>
      </c>
      <c r="G325" s="1291">
        <f t="shared" si="14"/>
        <v>740975.80931114545</v>
      </c>
      <c r="H325" s="1294">
        <f t="shared" si="15"/>
        <v>740975.80931114545</v>
      </c>
      <c r="I325" s="734">
        <f t="shared" si="16"/>
        <v>0</v>
      </c>
      <c r="J325" s="734"/>
      <c r="K325" s="884"/>
      <c r="L325" s="740"/>
      <c r="M325" s="884"/>
      <c r="N325" s="740"/>
      <c r="O325" s="740"/>
    </row>
    <row r="326" spans="3:15">
      <c r="C326" s="730">
        <f>IF(D275="","-",+C325+1)</f>
        <v>2058</v>
      </c>
      <c r="D326" s="683">
        <f t="shared" si="13"/>
        <v>2726698.8169934601</v>
      </c>
      <c r="E326" s="737">
        <f t="shared" si="17"/>
        <v>430531.39215686277</v>
      </c>
      <c r="F326" s="683">
        <f t="shared" si="12"/>
        <v>2296167.4248365974</v>
      </c>
      <c r="G326" s="1291">
        <f t="shared" si="14"/>
        <v>695544.91899588448</v>
      </c>
      <c r="H326" s="1294">
        <f t="shared" si="15"/>
        <v>695544.91899588448</v>
      </c>
      <c r="I326" s="734">
        <f t="shared" si="16"/>
        <v>0</v>
      </c>
      <c r="J326" s="734"/>
      <c r="K326" s="884"/>
      <c r="L326" s="740"/>
      <c r="M326" s="884"/>
      <c r="N326" s="740"/>
      <c r="O326" s="740"/>
    </row>
    <row r="327" spans="3:15">
      <c r="C327" s="730">
        <f>IF(D275="","-",+C326+1)</f>
        <v>2059</v>
      </c>
      <c r="D327" s="683">
        <f t="shared" si="13"/>
        <v>2296167.4248365974</v>
      </c>
      <c r="E327" s="737">
        <f t="shared" si="17"/>
        <v>430531.39215686277</v>
      </c>
      <c r="F327" s="683">
        <f t="shared" si="12"/>
        <v>1865636.0326797348</v>
      </c>
      <c r="G327" s="1291">
        <f t="shared" si="14"/>
        <v>650114.02868062351</v>
      </c>
      <c r="H327" s="1294">
        <f t="shared" si="15"/>
        <v>650114.02868062351</v>
      </c>
      <c r="I327" s="734">
        <f t="shared" si="16"/>
        <v>0</v>
      </c>
      <c r="J327" s="734"/>
      <c r="K327" s="884"/>
      <c r="L327" s="740"/>
      <c r="M327" s="884"/>
      <c r="N327" s="740"/>
      <c r="O327" s="740"/>
    </row>
    <row r="328" spans="3:15">
      <c r="C328" s="730">
        <f>IF(D275="","-",+C327+1)</f>
        <v>2060</v>
      </c>
      <c r="D328" s="683">
        <f t="shared" si="13"/>
        <v>1865636.0326797348</v>
      </c>
      <c r="E328" s="737">
        <f t="shared" si="17"/>
        <v>430531.39215686277</v>
      </c>
      <c r="F328" s="683">
        <f t="shared" si="12"/>
        <v>1435104.6405228721</v>
      </c>
      <c r="G328" s="1291">
        <f t="shared" si="14"/>
        <v>604683.13836536265</v>
      </c>
      <c r="H328" s="1294">
        <f t="shared" si="15"/>
        <v>604683.13836536265</v>
      </c>
      <c r="I328" s="734">
        <f t="shared" si="16"/>
        <v>0</v>
      </c>
      <c r="J328" s="734"/>
      <c r="K328" s="884"/>
      <c r="L328" s="740"/>
      <c r="M328" s="884"/>
      <c r="N328" s="740"/>
      <c r="O328" s="740"/>
    </row>
    <row r="329" spans="3:15">
      <c r="C329" s="730">
        <f>IF(D275="","-",+C328+1)</f>
        <v>2061</v>
      </c>
      <c r="D329" s="683">
        <f t="shared" si="13"/>
        <v>1435104.6405228721</v>
      </c>
      <c r="E329" s="737">
        <f t="shared" si="17"/>
        <v>430531.39215686277</v>
      </c>
      <c r="F329" s="683">
        <f t="shared" si="12"/>
        <v>1004573.2483660093</v>
      </c>
      <c r="G329" s="1291">
        <f t="shared" si="14"/>
        <v>559252.24805010168</v>
      </c>
      <c r="H329" s="1294">
        <f t="shared" si="15"/>
        <v>559252.24805010168</v>
      </c>
      <c r="I329" s="734">
        <f t="shared" si="16"/>
        <v>0</v>
      </c>
      <c r="J329" s="734"/>
      <c r="K329" s="884"/>
      <c r="L329" s="740"/>
      <c r="M329" s="884"/>
      <c r="N329" s="740"/>
      <c r="O329" s="740"/>
    </row>
    <row r="330" spans="3:15">
      <c r="C330" s="730">
        <f>IF(D275="","-",+C329+1)</f>
        <v>2062</v>
      </c>
      <c r="D330" s="683">
        <f t="shared" si="13"/>
        <v>1004573.2483660093</v>
      </c>
      <c r="E330" s="737">
        <f t="shared" si="17"/>
        <v>430531.39215686277</v>
      </c>
      <c r="F330" s="683">
        <f t="shared" si="12"/>
        <v>574041.85620914656</v>
      </c>
      <c r="G330" s="1291">
        <f t="shared" si="14"/>
        <v>513821.35773484071</v>
      </c>
      <c r="H330" s="1294">
        <f t="shared" si="15"/>
        <v>513821.35773484071</v>
      </c>
      <c r="I330" s="734">
        <f t="shared" si="16"/>
        <v>0</v>
      </c>
      <c r="J330" s="734"/>
      <c r="K330" s="884"/>
      <c r="L330" s="740"/>
      <c r="M330" s="884"/>
      <c r="N330" s="740"/>
      <c r="O330" s="740"/>
    </row>
    <row r="331" spans="3:15">
      <c r="C331" s="730">
        <f>IF(D275="","-",+C330+1)</f>
        <v>2063</v>
      </c>
      <c r="D331" s="683">
        <f t="shared" si="13"/>
        <v>574041.85620914656</v>
      </c>
      <c r="E331" s="737">
        <f t="shared" si="17"/>
        <v>430531.39215686277</v>
      </c>
      <c r="F331" s="683">
        <f t="shared" si="12"/>
        <v>143510.46405228379</v>
      </c>
      <c r="G331" s="1291">
        <f t="shared" si="14"/>
        <v>468390.4674195798</v>
      </c>
      <c r="H331" s="1294">
        <f t="shared" si="15"/>
        <v>468390.4674195798</v>
      </c>
      <c r="I331" s="734">
        <f t="shared" si="16"/>
        <v>0</v>
      </c>
      <c r="J331" s="734"/>
      <c r="K331" s="884"/>
      <c r="L331" s="740"/>
      <c r="M331" s="884"/>
      <c r="N331" s="740"/>
      <c r="O331" s="740"/>
    </row>
    <row r="332" spans="3:15">
      <c r="C332" s="730">
        <f>IF(D275="","-",+C331+1)</f>
        <v>2064</v>
      </c>
      <c r="D332" s="683">
        <f t="shared" si="13"/>
        <v>143510.46405228379</v>
      </c>
      <c r="E332" s="737">
        <f t="shared" si="17"/>
        <v>143510.46405228379</v>
      </c>
      <c r="F332" s="683">
        <f t="shared" si="12"/>
        <v>0</v>
      </c>
      <c r="G332" s="1291">
        <f t="shared" si="14"/>
        <v>151082.27910482709</v>
      </c>
      <c r="H332" s="1294">
        <f t="shared" si="15"/>
        <v>151082.27910482709</v>
      </c>
      <c r="I332" s="734">
        <f t="shared" si="16"/>
        <v>0</v>
      </c>
      <c r="J332" s="734"/>
      <c r="K332" s="884"/>
      <c r="L332" s="740"/>
      <c r="M332" s="884"/>
      <c r="N332" s="740"/>
      <c r="O332" s="740"/>
    </row>
    <row r="333" spans="3:15">
      <c r="C333" s="730">
        <f>IF(D275="","-",+C332+1)</f>
        <v>2065</v>
      </c>
      <c r="D333" s="683">
        <f t="shared" si="13"/>
        <v>0</v>
      </c>
      <c r="E333" s="737">
        <f t="shared" si="17"/>
        <v>0</v>
      </c>
      <c r="F333" s="683">
        <f t="shared" si="12"/>
        <v>0</v>
      </c>
      <c r="G333" s="1291">
        <f t="shared" si="14"/>
        <v>0</v>
      </c>
      <c r="H333" s="1294">
        <f t="shared" si="15"/>
        <v>0</v>
      </c>
      <c r="I333" s="734">
        <f t="shared" si="16"/>
        <v>0</v>
      </c>
      <c r="J333" s="734"/>
      <c r="K333" s="884"/>
      <c r="L333" s="740"/>
      <c r="M333" s="884"/>
      <c r="N333" s="740"/>
      <c r="O333" s="740"/>
    </row>
    <row r="334" spans="3:15">
      <c r="C334" s="730">
        <f>IF(D275="","-",+C333+1)</f>
        <v>2066</v>
      </c>
      <c r="D334" s="683">
        <f t="shared" si="13"/>
        <v>0</v>
      </c>
      <c r="E334" s="737">
        <f t="shared" si="17"/>
        <v>0</v>
      </c>
      <c r="F334" s="683">
        <f t="shared" si="12"/>
        <v>0</v>
      </c>
      <c r="G334" s="1291">
        <f t="shared" si="14"/>
        <v>0</v>
      </c>
      <c r="H334" s="1294">
        <f t="shared" si="15"/>
        <v>0</v>
      </c>
      <c r="I334" s="734">
        <f t="shared" si="16"/>
        <v>0</v>
      </c>
      <c r="J334" s="734"/>
      <c r="K334" s="884"/>
      <c r="L334" s="740"/>
      <c r="M334" s="884"/>
      <c r="N334" s="740"/>
      <c r="O334" s="740"/>
    </row>
    <row r="335" spans="3:15">
      <c r="C335" s="730">
        <f>IF(D275="","-",+C334+1)</f>
        <v>2067</v>
      </c>
      <c r="D335" s="683">
        <f t="shared" si="13"/>
        <v>0</v>
      </c>
      <c r="E335" s="737">
        <f t="shared" si="17"/>
        <v>0</v>
      </c>
      <c r="F335" s="683">
        <f t="shared" si="12"/>
        <v>0</v>
      </c>
      <c r="G335" s="1291">
        <f t="shared" si="14"/>
        <v>0</v>
      </c>
      <c r="H335" s="1294">
        <f t="shared" si="15"/>
        <v>0</v>
      </c>
      <c r="I335" s="734">
        <f t="shared" si="16"/>
        <v>0</v>
      </c>
      <c r="J335" s="734"/>
      <c r="K335" s="884"/>
      <c r="L335" s="740"/>
      <c r="M335" s="884"/>
      <c r="N335" s="740"/>
      <c r="O335" s="740"/>
    </row>
    <row r="336" spans="3:15">
      <c r="C336" s="730">
        <f>IF(D275="","-",+C335+1)</f>
        <v>2068</v>
      </c>
      <c r="D336" s="683">
        <f t="shared" si="13"/>
        <v>0</v>
      </c>
      <c r="E336" s="737">
        <f t="shared" si="17"/>
        <v>0</v>
      </c>
      <c r="F336" s="683">
        <f t="shared" si="12"/>
        <v>0</v>
      </c>
      <c r="G336" s="1291">
        <f t="shared" si="14"/>
        <v>0</v>
      </c>
      <c r="H336" s="1294">
        <f t="shared" si="15"/>
        <v>0</v>
      </c>
      <c r="I336" s="734">
        <f t="shared" si="16"/>
        <v>0</v>
      </c>
      <c r="J336" s="734"/>
      <c r="K336" s="884"/>
      <c r="L336" s="740"/>
      <c r="M336" s="884"/>
      <c r="N336" s="740"/>
      <c r="O336" s="740"/>
    </row>
    <row r="337" spans="1:16">
      <c r="C337" s="730">
        <f>IF(D275="","-",+C336+1)</f>
        <v>2069</v>
      </c>
      <c r="D337" s="683">
        <f t="shared" si="13"/>
        <v>0</v>
      </c>
      <c r="E337" s="737">
        <f t="shared" si="17"/>
        <v>0</v>
      </c>
      <c r="F337" s="683">
        <f t="shared" si="12"/>
        <v>0</v>
      </c>
      <c r="G337" s="1291">
        <f t="shared" si="14"/>
        <v>0</v>
      </c>
      <c r="H337" s="1294">
        <f t="shared" si="15"/>
        <v>0</v>
      </c>
      <c r="I337" s="734">
        <f t="shared" si="16"/>
        <v>0</v>
      </c>
      <c r="J337" s="734"/>
      <c r="K337" s="884"/>
      <c r="L337" s="740"/>
      <c r="M337" s="884"/>
      <c r="N337" s="740"/>
      <c r="O337" s="740"/>
    </row>
    <row r="338" spans="1:16">
      <c r="C338" s="730">
        <f>IF(D275="","-",+C337+1)</f>
        <v>2070</v>
      </c>
      <c r="D338" s="683">
        <f t="shared" si="13"/>
        <v>0</v>
      </c>
      <c r="E338" s="737">
        <f t="shared" si="17"/>
        <v>0</v>
      </c>
      <c r="F338" s="683">
        <f t="shared" si="12"/>
        <v>0</v>
      </c>
      <c r="G338" s="1291">
        <f t="shared" si="14"/>
        <v>0</v>
      </c>
      <c r="H338" s="1294">
        <f t="shared" si="15"/>
        <v>0</v>
      </c>
      <c r="I338" s="734">
        <f t="shared" si="16"/>
        <v>0</v>
      </c>
      <c r="J338" s="734"/>
      <c r="K338" s="884"/>
      <c r="L338" s="740"/>
      <c r="M338" s="884"/>
      <c r="N338" s="740"/>
      <c r="O338" s="740"/>
    </row>
    <row r="339" spans="1:16">
      <c r="C339" s="730">
        <f>IF(D275="","-",+C338+1)</f>
        <v>2071</v>
      </c>
      <c r="D339" s="683">
        <f t="shared" si="13"/>
        <v>0</v>
      </c>
      <c r="E339" s="737">
        <f t="shared" si="17"/>
        <v>0</v>
      </c>
      <c r="F339" s="683">
        <f t="shared" si="12"/>
        <v>0</v>
      </c>
      <c r="G339" s="1291">
        <f t="shared" si="14"/>
        <v>0</v>
      </c>
      <c r="H339" s="1294">
        <f t="shared" si="15"/>
        <v>0</v>
      </c>
      <c r="I339" s="734">
        <f t="shared" si="16"/>
        <v>0</v>
      </c>
      <c r="J339" s="734"/>
      <c r="K339" s="884"/>
      <c r="L339" s="740"/>
      <c r="M339" s="884"/>
      <c r="N339" s="740"/>
      <c r="O339" s="740"/>
    </row>
    <row r="340" spans="1:16" ht="13" thickBot="1">
      <c r="C340" s="741">
        <f>IF(D275="","-",+C339+1)</f>
        <v>2072</v>
      </c>
      <c r="D340" s="742">
        <f t="shared" si="13"/>
        <v>0</v>
      </c>
      <c r="E340" s="743">
        <f t="shared" si="17"/>
        <v>0</v>
      </c>
      <c r="F340" s="742">
        <f t="shared" si="12"/>
        <v>0</v>
      </c>
      <c r="G340" s="1303">
        <f t="shared" si="14"/>
        <v>0</v>
      </c>
      <c r="H340" s="1303">
        <f t="shared" si="15"/>
        <v>0</v>
      </c>
      <c r="I340" s="745">
        <f t="shared" si="16"/>
        <v>0</v>
      </c>
      <c r="J340" s="734"/>
      <c r="K340" s="885"/>
      <c r="L340" s="747"/>
      <c r="M340" s="885"/>
      <c r="N340" s="747"/>
      <c r="O340" s="747"/>
    </row>
    <row r="341" spans="1:16">
      <c r="C341" s="683" t="s">
        <v>289</v>
      </c>
      <c r="D341" s="1272"/>
      <c r="E341" s="1272">
        <f>SUM(E281:E340)</f>
        <v>21957101</v>
      </c>
      <c r="F341" s="1272"/>
      <c r="G341" s="1272">
        <f>SUM(G281:G340)</f>
        <v>81812298.990356281</v>
      </c>
      <c r="H341" s="1272">
        <f>SUM(H281:H340)</f>
        <v>81812298.990356281</v>
      </c>
      <c r="I341" s="1272">
        <f>SUM(I281:I340)</f>
        <v>0</v>
      </c>
      <c r="J341" s="1272"/>
      <c r="K341" s="1272"/>
      <c r="L341" s="1272"/>
      <c r="M341" s="1272"/>
      <c r="N341" s="1272"/>
      <c r="O341" s="550"/>
    </row>
    <row r="342" spans="1:16">
      <c r="D342" s="573"/>
      <c r="E342" s="550"/>
      <c r="F342" s="550"/>
      <c r="G342" s="550"/>
      <c r="H342" s="1271"/>
      <c r="I342" s="1271"/>
      <c r="J342" s="1272"/>
      <c r="K342" s="1271"/>
      <c r="L342" s="1271"/>
      <c r="M342" s="1271"/>
      <c r="N342" s="1271"/>
      <c r="O342" s="550"/>
    </row>
    <row r="343" spans="1:16">
      <c r="C343" s="1304" t="s">
        <v>980</v>
      </c>
      <c r="D343" s="573"/>
      <c r="E343" s="550"/>
      <c r="F343" s="550"/>
      <c r="G343" s="550"/>
      <c r="H343" s="1271"/>
      <c r="I343" s="1271"/>
      <c r="J343" s="1272"/>
      <c r="K343" s="1271"/>
      <c r="L343" s="1271"/>
      <c r="M343" s="1271"/>
      <c r="N343" s="1271"/>
      <c r="O343" s="550"/>
    </row>
    <row r="344" spans="1:16">
      <c r="D344" s="573"/>
      <c r="E344" s="550"/>
      <c r="F344" s="550"/>
      <c r="G344" s="550"/>
      <c r="H344" s="1271"/>
      <c r="I344" s="1271"/>
      <c r="J344" s="1272"/>
      <c r="K344" s="1271"/>
      <c r="L344" s="1271"/>
      <c r="M344" s="1271"/>
      <c r="N344" s="1271"/>
      <c r="O344" s="550"/>
    </row>
    <row r="345" spans="1:16" ht="13">
      <c r="C345" s="696" t="s">
        <v>981</v>
      </c>
      <c r="D345" s="683"/>
      <c r="E345" s="683"/>
      <c r="F345" s="683"/>
      <c r="G345" s="1272"/>
      <c r="H345" s="1272"/>
      <c r="I345" s="684"/>
      <c r="J345" s="684"/>
      <c r="K345" s="684"/>
      <c r="L345" s="684"/>
      <c r="M345" s="684"/>
      <c r="N345" s="684"/>
      <c r="O345" s="550"/>
    </row>
    <row r="346" spans="1:16" ht="13">
      <c r="C346" s="682" t="s">
        <v>477</v>
      </c>
      <c r="D346" s="683"/>
      <c r="E346" s="683"/>
      <c r="F346" s="683"/>
      <c r="G346" s="1272"/>
      <c r="H346" s="1272"/>
      <c r="I346" s="684"/>
      <c r="J346" s="684"/>
      <c r="K346" s="684"/>
      <c r="L346" s="684"/>
      <c r="M346" s="684"/>
      <c r="N346" s="684"/>
      <c r="O346" s="550"/>
    </row>
    <row r="347" spans="1:16" ht="13">
      <c r="C347" s="682" t="s">
        <v>290</v>
      </c>
      <c r="D347" s="683"/>
      <c r="E347" s="683"/>
      <c r="F347" s="683"/>
      <c r="G347" s="1272"/>
      <c r="H347" s="1272"/>
      <c r="I347" s="684"/>
      <c r="J347" s="684"/>
      <c r="K347" s="684"/>
      <c r="L347" s="684"/>
      <c r="M347" s="684"/>
      <c r="N347" s="684"/>
      <c r="O347" s="550"/>
    </row>
    <row r="348" spans="1:16" ht="13">
      <c r="C348" s="682"/>
      <c r="D348" s="683"/>
      <c r="E348" s="683"/>
      <c r="F348" s="683"/>
      <c r="G348" s="1272"/>
      <c r="H348" s="1272"/>
      <c r="I348" s="684"/>
      <c r="J348" s="684"/>
      <c r="K348" s="684"/>
      <c r="L348" s="684"/>
      <c r="M348" s="684"/>
      <c r="N348" s="684"/>
      <c r="O348" s="550"/>
    </row>
    <row r="349" spans="1:16">
      <c r="C349" s="1546" t="s">
        <v>461</v>
      </c>
      <c r="D349" s="1546"/>
      <c r="E349" s="1546"/>
      <c r="F349" s="1546"/>
      <c r="G349" s="1546"/>
      <c r="H349" s="1546"/>
      <c r="I349" s="1546"/>
      <c r="J349" s="1546"/>
      <c r="K349" s="1546"/>
      <c r="L349" s="1546"/>
      <c r="M349" s="1546"/>
      <c r="N349" s="1546"/>
      <c r="O349" s="1546"/>
    </row>
    <row r="350" spans="1:16">
      <c r="C350" s="1546"/>
      <c r="D350" s="1546"/>
      <c r="E350" s="1546"/>
      <c r="F350" s="1546"/>
      <c r="G350" s="1546"/>
      <c r="H350" s="1546"/>
      <c r="I350" s="1546"/>
      <c r="J350" s="1546"/>
      <c r="K350" s="1546"/>
      <c r="L350" s="1546"/>
      <c r="M350" s="1546"/>
      <c r="N350" s="1546"/>
      <c r="O350" s="1546"/>
    </row>
    <row r="351" spans="1:16" ht="20">
      <c r="A351" s="685" t="s">
        <v>977</v>
      </c>
      <c r="B351" s="586"/>
      <c r="C351" s="665"/>
      <c r="D351" s="573"/>
      <c r="E351" s="550"/>
      <c r="F351" s="655"/>
      <c r="G351" s="550"/>
      <c r="H351" s="1271"/>
      <c r="K351" s="686"/>
      <c r="L351" s="686"/>
      <c r="M351" s="686"/>
      <c r="N351" s="601" t="str">
        <f>"Page "&amp;P351&amp;" of "</f>
        <v xml:space="preserve">Page 5 of </v>
      </c>
      <c r="O351" s="602">
        <f>COUNT(P$6:P$59527)</f>
        <v>9</v>
      </c>
      <c r="P351" s="550">
        <v>5</v>
      </c>
    </row>
    <row r="352" spans="1:16">
      <c r="B352" s="586"/>
      <c r="C352" s="550"/>
      <c r="D352" s="573"/>
      <c r="E352" s="550"/>
      <c r="F352" s="550"/>
      <c r="G352" s="550"/>
      <c r="H352" s="1271"/>
      <c r="I352" s="550"/>
      <c r="J352" s="598"/>
      <c r="K352" s="550"/>
      <c r="L352" s="550"/>
      <c r="M352" s="550"/>
      <c r="N352" s="550"/>
      <c r="O352" s="550"/>
    </row>
    <row r="353" spans="1:15" ht="17">
      <c r="B353" s="605" t="s">
        <v>175</v>
      </c>
      <c r="C353" s="687" t="s">
        <v>291</v>
      </c>
      <c r="D353" s="573"/>
      <c r="E353" s="550"/>
      <c r="F353" s="550"/>
      <c r="G353" s="550"/>
      <c r="H353" s="1271"/>
      <c r="I353" s="1271"/>
      <c r="J353" s="1272"/>
      <c r="K353" s="1271"/>
      <c r="L353" s="1271"/>
      <c r="M353" s="1271"/>
      <c r="N353" s="1271"/>
      <c r="O353" s="550"/>
    </row>
    <row r="354" spans="1:15" ht="18">
      <c r="B354" s="605"/>
      <c r="C354" s="604"/>
      <c r="D354" s="573"/>
      <c r="E354" s="550"/>
      <c r="F354" s="550"/>
      <c r="G354" s="550"/>
      <c r="H354" s="1271"/>
      <c r="I354" s="1271"/>
      <c r="J354" s="1272"/>
      <c r="K354" s="1271"/>
      <c r="L354" s="1271"/>
      <c r="M354" s="1271"/>
      <c r="N354" s="1271"/>
      <c r="O354" s="550"/>
    </row>
    <row r="355" spans="1:15" ht="18">
      <c r="B355" s="605"/>
      <c r="C355" s="604" t="s">
        <v>292</v>
      </c>
      <c r="D355" s="573"/>
      <c r="E355" s="550"/>
      <c r="F355" s="550"/>
      <c r="G355" s="550"/>
      <c r="H355" s="1271"/>
      <c r="I355" s="1271"/>
      <c r="J355" s="1272"/>
      <c r="K355" s="1271"/>
      <c r="L355" s="1271"/>
      <c r="M355" s="1271"/>
      <c r="N355" s="1271"/>
      <c r="O355" s="550"/>
    </row>
    <row r="356" spans="1:15" ht="16" thickBot="1">
      <c r="C356" s="403"/>
      <c r="D356" s="573"/>
      <c r="E356" s="550"/>
      <c r="F356" s="550"/>
      <c r="G356" s="550"/>
      <c r="H356" s="1271"/>
      <c r="I356" s="1271"/>
      <c r="J356" s="1272"/>
      <c r="K356" s="1271"/>
      <c r="L356" s="1271"/>
      <c r="M356" s="1271"/>
      <c r="N356" s="1271"/>
      <c r="O356" s="550"/>
    </row>
    <row r="357" spans="1:15" ht="15.5">
      <c r="C357" s="606" t="s">
        <v>293</v>
      </c>
      <c r="D357" s="573"/>
      <c r="E357" s="550"/>
      <c r="F357" s="550"/>
      <c r="G357" s="1273"/>
      <c r="H357" s="550" t="s">
        <v>272</v>
      </c>
      <c r="I357" s="550"/>
      <c r="J357" s="598"/>
      <c r="K357" s="688" t="s">
        <v>297</v>
      </c>
      <c r="L357" s="689"/>
      <c r="M357" s="690"/>
      <c r="N357" s="1274">
        <f>VLOOKUP(I363,C370:O429,5)</f>
        <v>17520.535166693178</v>
      </c>
      <c r="O357" s="550"/>
    </row>
    <row r="358" spans="1:15" ht="15.5">
      <c r="C358" s="606"/>
      <c r="D358" s="573"/>
      <c r="E358" s="550"/>
      <c r="F358" s="550"/>
      <c r="G358" s="550"/>
      <c r="H358" s="1275"/>
      <c r="I358" s="1275"/>
      <c r="J358" s="1276"/>
      <c r="K358" s="693" t="s">
        <v>298</v>
      </c>
      <c r="L358" s="1277"/>
      <c r="M358" s="598"/>
      <c r="N358" s="1278">
        <f>VLOOKUP(I363,C370:O429,6)</f>
        <v>17520.535166693178</v>
      </c>
      <c r="O358" s="550"/>
    </row>
    <row r="359" spans="1:15" ht="13.5" thickBot="1">
      <c r="C359" s="694" t="s">
        <v>294</v>
      </c>
      <c r="D359" s="1558" t="s">
        <v>984</v>
      </c>
      <c r="E359" s="1559"/>
      <c r="F359" s="1559"/>
      <c r="G359" s="1559"/>
      <c r="H359" s="1559"/>
      <c r="I359" s="1559"/>
      <c r="J359" s="1272"/>
      <c r="K359" s="1279" t="s">
        <v>451</v>
      </c>
      <c r="L359" s="1280"/>
      <c r="M359" s="1280"/>
      <c r="N359" s="1281">
        <f>+N358-N357</f>
        <v>0</v>
      </c>
      <c r="O359" s="550"/>
    </row>
    <row r="360" spans="1:15" ht="13">
      <c r="C360" s="696"/>
      <c r="D360" s="1559"/>
      <c r="E360" s="1559"/>
      <c r="F360" s="1559"/>
      <c r="G360" s="1559"/>
      <c r="H360" s="1559"/>
      <c r="I360" s="1559"/>
      <c r="J360" s="1272"/>
      <c r="K360" s="1271"/>
      <c r="L360" s="1271"/>
      <c r="M360" s="1271"/>
      <c r="N360" s="1271"/>
      <c r="O360" s="550"/>
    </row>
    <row r="361" spans="1:15" ht="13.5" thickBot="1">
      <c r="C361" s="698"/>
      <c r="D361" s="699"/>
      <c r="E361" s="697"/>
      <c r="F361" s="697"/>
      <c r="G361" s="697"/>
      <c r="H361" s="697"/>
      <c r="I361" s="697"/>
      <c r="J361" s="700"/>
      <c r="K361" s="697"/>
      <c r="L361" s="697"/>
      <c r="M361" s="697"/>
      <c r="N361" s="697"/>
      <c r="O361" s="586"/>
    </row>
    <row r="362" spans="1:15" ht="13" thickBot="1">
      <c r="C362" s="701" t="s">
        <v>295</v>
      </c>
      <c r="D362" s="702"/>
      <c r="E362" s="702"/>
      <c r="F362" s="702"/>
      <c r="G362" s="702"/>
      <c r="H362" s="702"/>
      <c r="I362" s="703"/>
      <c r="J362" s="704"/>
      <c r="K362" s="550"/>
      <c r="L362" s="550"/>
      <c r="M362" s="550"/>
      <c r="N362" s="550"/>
      <c r="O362" s="705"/>
    </row>
    <row r="363" spans="1:15" ht="16">
      <c r="C363" s="707" t="s">
        <v>273</v>
      </c>
      <c r="D363" s="1282">
        <v>143986</v>
      </c>
      <c r="E363" s="665" t="s">
        <v>274</v>
      </c>
      <c r="G363" s="708"/>
      <c r="H363" s="708"/>
      <c r="I363" s="709">
        <v>2018</v>
      </c>
      <c r="J363" s="596"/>
      <c r="K363" s="1557" t="s">
        <v>460</v>
      </c>
      <c r="L363" s="1557"/>
      <c r="M363" s="1557"/>
      <c r="N363" s="1557"/>
      <c r="O363" s="1557"/>
    </row>
    <row r="364" spans="1:15">
      <c r="C364" s="707" t="s">
        <v>276</v>
      </c>
      <c r="D364" s="879">
        <v>2016</v>
      </c>
      <c r="E364" s="707" t="s">
        <v>277</v>
      </c>
      <c r="F364" s="708"/>
      <c r="H364" s="337"/>
      <c r="I364" s="882">
        <f>IF(G357="",0,$F$15)</f>
        <v>0</v>
      </c>
      <c r="J364" s="710"/>
      <c r="K364" s="1272" t="s">
        <v>460</v>
      </c>
    </row>
    <row r="365" spans="1:15">
      <c r="C365" s="707" t="s">
        <v>278</v>
      </c>
      <c r="D365" s="1282">
        <v>10</v>
      </c>
      <c r="E365" s="707" t="s">
        <v>279</v>
      </c>
      <c r="F365" s="708"/>
      <c r="H365" s="337"/>
      <c r="I365" s="711">
        <f>$G$70</f>
        <v>0.10552282863199051</v>
      </c>
      <c r="J365" s="712"/>
      <c r="K365" s="337" t="str">
        <f>"          INPUT PROJECTED ARR (WITH &amp; WITHOUT INCENTIVES) FROM EACH PRIOR YEAR"</f>
        <v xml:space="preserve">          INPUT PROJECTED ARR (WITH &amp; WITHOUT INCENTIVES) FROM EACH PRIOR YEAR</v>
      </c>
    </row>
    <row r="366" spans="1:15">
      <c r="C366" s="707" t="s">
        <v>280</v>
      </c>
      <c r="D366" s="713">
        <f>G$79</f>
        <v>51</v>
      </c>
      <c r="E366" s="707" t="s">
        <v>281</v>
      </c>
      <c r="F366" s="708"/>
      <c r="H366" s="337"/>
      <c r="I366" s="711">
        <f>IF(G357="",I365,$G$67)</f>
        <v>0.10552282863199051</v>
      </c>
      <c r="J366" s="714"/>
      <c r="K366" s="337" t="s">
        <v>358</v>
      </c>
    </row>
    <row r="367" spans="1:15" ht="13" thickBot="1">
      <c r="C367" s="707" t="s">
        <v>282</v>
      </c>
      <c r="D367" s="881" t="s">
        <v>979</v>
      </c>
      <c r="E367" s="715" t="s">
        <v>283</v>
      </c>
      <c r="F367" s="716"/>
      <c r="G367" s="717"/>
      <c r="H367" s="717"/>
      <c r="I367" s="1281">
        <f>IF(D363=0,0,D363/D366)</f>
        <v>2823.2549019607845</v>
      </c>
      <c r="J367" s="1272"/>
      <c r="K367" s="1272" t="s">
        <v>364</v>
      </c>
      <c r="L367" s="1272"/>
      <c r="M367" s="1272"/>
      <c r="N367" s="1272"/>
      <c r="O367" s="598"/>
    </row>
    <row r="368" spans="1:15" ht="52">
      <c r="A368" s="537"/>
      <c r="B368" s="1283"/>
      <c r="C368" s="718" t="s">
        <v>273</v>
      </c>
      <c r="D368" s="1284" t="s">
        <v>284</v>
      </c>
      <c r="E368" s="1285" t="s">
        <v>285</v>
      </c>
      <c r="F368" s="1284" t="s">
        <v>286</v>
      </c>
      <c r="G368" s="1285" t="s">
        <v>357</v>
      </c>
      <c r="H368" s="1286" t="s">
        <v>357</v>
      </c>
      <c r="I368" s="718" t="s">
        <v>296</v>
      </c>
      <c r="J368" s="722"/>
      <c r="K368" s="1285" t="s">
        <v>366</v>
      </c>
      <c r="L368" s="1287"/>
      <c r="M368" s="1285" t="s">
        <v>366</v>
      </c>
      <c r="N368" s="1287"/>
      <c r="O368" s="1287"/>
    </row>
    <row r="369" spans="3:15" ht="13.5" thickBot="1">
      <c r="C369" s="724" t="s">
        <v>178</v>
      </c>
      <c r="D369" s="725" t="s">
        <v>179</v>
      </c>
      <c r="E369" s="724" t="s">
        <v>38</v>
      </c>
      <c r="F369" s="725" t="s">
        <v>179</v>
      </c>
      <c r="G369" s="1288" t="s">
        <v>299</v>
      </c>
      <c r="H369" s="1289" t="s">
        <v>301</v>
      </c>
      <c r="I369" s="728" t="s">
        <v>390</v>
      </c>
      <c r="J369" s="729"/>
      <c r="K369" s="1288" t="s">
        <v>288</v>
      </c>
      <c r="L369" s="1290"/>
      <c r="M369" s="1288" t="s">
        <v>301</v>
      </c>
      <c r="N369" s="1290"/>
      <c r="O369" s="1290"/>
    </row>
    <row r="370" spans="3:15">
      <c r="C370" s="730">
        <f>IF(D364= "","-",D364)</f>
        <v>2016</v>
      </c>
      <c r="D370" s="683">
        <f>+D363</f>
        <v>143986</v>
      </c>
      <c r="E370" s="1291">
        <f>+I367/12*(12-D365)</f>
        <v>470.54248366013076</v>
      </c>
      <c r="F370" s="683">
        <f t="shared" ref="F370:F429" si="18">+D370-E370</f>
        <v>143515.45751633987</v>
      </c>
      <c r="G370" s="1292">
        <f>+$I$365*((D370+F370)/2)+E370</f>
        <v>15639.526000132246</v>
      </c>
      <c r="H370" s="1293">
        <f>+$I$366*((D370+F370)/2)+E370</f>
        <v>15639.526000132246</v>
      </c>
      <c r="I370" s="734">
        <f>+H370-G370</f>
        <v>0</v>
      </c>
      <c r="J370" s="734"/>
      <c r="K370" s="884">
        <v>226163</v>
      </c>
      <c r="L370" s="736"/>
      <c r="M370" s="884">
        <v>226163</v>
      </c>
      <c r="N370" s="736"/>
      <c r="O370" s="736"/>
    </row>
    <row r="371" spans="3:15">
      <c r="C371" s="730">
        <f>IF(D364="","-",+C370+1)</f>
        <v>2017</v>
      </c>
      <c r="D371" s="683">
        <f t="shared" ref="D371:D429" si="19">F370</f>
        <v>143515.45751633987</v>
      </c>
      <c r="E371" s="737">
        <f>IF(D371&gt;$I$367,$I$367,D371)</f>
        <v>2823.2549019607845</v>
      </c>
      <c r="F371" s="683">
        <f t="shared" si="18"/>
        <v>140692.20261437909</v>
      </c>
      <c r="G371" s="1291">
        <f t="shared" ref="G371:G429" si="20">+$I$365*((D371+F371)/2)+E371</f>
        <v>17818.453009897214</v>
      </c>
      <c r="H371" s="1294">
        <f t="shared" ref="H371:H429" si="21">+$I$366*((D371+F371)/2)+E371</f>
        <v>17818.453009897214</v>
      </c>
      <c r="I371" s="734">
        <f t="shared" ref="I371:I429" si="22">+H371-G371</f>
        <v>0</v>
      </c>
      <c r="J371" s="734"/>
      <c r="K371" s="884">
        <v>7946</v>
      </c>
      <c r="L371" s="740"/>
      <c r="M371" s="884">
        <v>7946</v>
      </c>
      <c r="N371" s="740"/>
      <c r="O371" s="740"/>
    </row>
    <row r="372" spans="3:15">
      <c r="C372" s="1296">
        <f>IF(D364="","-",+C371+1)</f>
        <v>2018</v>
      </c>
      <c r="D372" s="1305">
        <f t="shared" si="19"/>
        <v>140692.20261437909</v>
      </c>
      <c r="E372" s="1298">
        <f t="shared" ref="E372:E429" si="23">IF(D372&gt;$I$367,$I$367,D372)</f>
        <v>2823.2549019607845</v>
      </c>
      <c r="F372" s="1297">
        <f t="shared" si="18"/>
        <v>137868.9477124183</v>
      </c>
      <c r="G372" s="1299">
        <f t="shared" si="20"/>
        <v>17520.535166693178</v>
      </c>
      <c r="H372" s="1300">
        <f t="shared" si="21"/>
        <v>17520.535166693178</v>
      </c>
      <c r="I372" s="1301">
        <f t="shared" si="22"/>
        <v>0</v>
      </c>
      <c r="J372" s="734"/>
      <c r="K372" s="884"/>
      <c r="L372" s="740"/>
      <c r="M372" s="884"/>
      <c r="N372" s="740"/>
      <c r="O372" s="740"/>
    </row>
    <row r="373" spans="3:15">
      <c r="C373" s="730">
        <f>IF(D364="","-",+C372+1)</f>
        <v>2019</v>
      </c>
      <c r="D373" s="683">
        <f t="shared" si="19"/>
        <v>137868.9477124183</v>
      </c>
      <c r="E373" s="737">
        <f t="shared" si="23"/>
        <v>2823.2549019607845</v>
      </c>
      <c r="F373" s="683">
        <f t="shared" si="18"/>
        <v>135045.69281045752</v>
      </c>
      <c r="G373" s="1291">
        <f t="shared" si="20"/>
        <v>17222.617323489143</v>
      </c>
      <c r="H373" s="1294">
        <f t="shared" si="21"/>
        <v>17222.617323489143</v>
      </c>
      <c r="I373" s="734">
        <f t="shared" si="22"/>
        <v>0</v>
      </c>
      <c r="J373" s="734"/>
      <c r="K373" s="884"/>
      <c r="L373" s="740"/>
      <c r="M373" s="884"/>
      <c r="N373" s="740"/>
      <c r="O373" s="740"/>
    </row>
    <row r="374" spans="3:15">
      <c r="C374" s="730">
        <f>IF(D364="","-",+C373+1)</f>
        <v>2020</v>
      </c>
      <c r="D374" s="683">
        <f t="shared" si="19"/>
        <v>135045.69281045752</v>
      </c>
      <c r="E374" s="737">
        <f t="shared" si="23"/>
        <v>2823.2549019607845</v>
      </c>
      <c r="F374" s="683">
        <f t="shared" si="18"/>
        <v>132222.43790849674</v>
      </c>
      <c r="G374" s="1291">
        <f t="shared" si="20"/>
        <v>16924.699480285108</v>
      </c>
      <c r="H374" s="1294">
        <f t="shared" si="21"/>
        <v>16924.699480285108</v>
      </c>
      <c r="I374" s="734">
        <f t="shared" si="22"/>
        <v>0</v>
      </c>
      <c r="J374" s="734"/>
      <c r="K374" s="884"/>
      <c r="L374" s="740"/>
      <c r="M374" s="884"/>
      <c r="N374" s="740"/>
      <c r="O374" s="740"/>
    </row>
    <row r="375" spans="3:15">
      <c r="C375" s="730">
        <f>IF(D364="","-",+C374+1)</f>
        <v>2021</v>
      </c>
      <c r="D375" s="683">
        <f t="shared" si="19"/>
        <v>132222.43790849674</v>
      </c>
      <c r="E375" s="737">
        <f t="shared" si="23"/>
        <v>2823.2549019607845</v>
      </c>
      <c r="F375" s="683">
        <f t="shared" si="18"/>
        <v>129399.18300653595</v>
      </c>
      <c r="G375" s="1291">
        <f t="shared" si="20"/>
        <v>16626.781637081072</v>
      </c>
      <c r="H375" s="1294">
        <f t="shared" si="21"/>
        <v>16626.781637081072</v>
      </c>
      <c r="I375" s="734">
        <f t="shared" si="22"/>
        <v>0</v>
      </c>
      <c r="J375" s="734"/>
      <c r="K375" s="884"/>
      <c r="L375" s="740"/>
      <c r="M375" s="884"/>
      <c r="N375" s="740"/>
      <c r="O375" s="740"/>
    </row>
    <row r="376" spans="3:15">
      <c r="C376" s="730">
        <f>IF(D364="","-",+C375+1)</f>
        <v>2022</v>
      </c>
      <c r="D376" s="683">
        <f t="shared" si="19"/>
        <v>129399.18300653595</v>
      </c>
      <c r="E376" s="737">
        <f t="shared" si="23"/>
        <v>2823.2549019607845</v>
      </c>
      <c r="F376" s="683">
        <f t="shared" si="18"/>
        <v>126575.92810457517</v>
      </c>
      <c r="G376" s="1291">
        <f t="shared" si="20"/>
        <v>16328.863793877041</v>
      </c>
      <c r="H376" s="1294">
        <f t="shared" si="21"/>
        <v>16328.863793877041</v>
      </c>
      <c r="I376" s="734">
        <f t="shared" si="22"/>
        <v>0</v>
      </c>
      <c r="J376" s="734"/>
      <c r="K376" s="884"/>
      <c r="L376" s="740"/>
      <c r="M376" s="884"/>
      <c r="N376" s="740"/>
      <c r="O376" s="740"/>
    </row>
    <row r="377" spans="3:15">
      <c r="C377" s="730">
        <f>IF(D364="","-",+C376+1)</f>
        <v>2023</v>
      </c>
      <c r="D377" s="683">
        <f t="shared" si="19"/>
        <v>126575.92810457517</v>
      </c>
      <c r="E377" s="737">
        <f t="shared" si="23"/>
        <v>2823.2549019607845</v>
      </c>
      <c r="F377" s="683">
        <f t="shared" si="18"/>
        <v>123752.67320261439</v>
      </c>
      <c r="G377" s="1291">
        <f t="shared" si="20"/>
        <v>16030.945950673005</v>
      </c>
      <c r="H377" s="1294">
        <f t="shared" si="21"/>
        <v>16030.945950673005</v>
      </c>
      <c r="I377" s="734">
        <f t="shared" si="22"/>
        <v>0</v>
      </c>
      <c r="J377" s="734"/>
      <c r="K377" s="884"/>
      <c r="L377" s="740"/>
      <c r="M377" s="884"/>
      <c r="N377" s="740"/>
      <c r="O377" s="740"/>
    </row>
    <row r="378" spans="3:15">
      <c r="C378" s="730">
        <f>IF(D364="","-",+C377+1)</f>
        <v>2024</v>
      </c>
      <c r="D378" s="683">
        <f t="shared" si="19"/>
        <v>123752.67320261439</v>
      </c>
      <c r="E378" s="737">
        <f t="shared" si="23"/>
        <v>2823.2549019607845</v>
      </c>
      <c r="F378" s="683">
        <f t="shared" si="18"/>
        <v>120929.4183006536</v>
      </c>
      <c r="G378" s="1291">
        <f t="shared" si="20"/>
        <v>15733.02810746897</v>
      </c>
      <c r="H378" s="1294">
        <f t="shared" si="21"/>
        <v>15733.02810746897</v>
      </c>
      <c r="I378" s="734">
        <f t="shared" si="22"/>
        <v>0</v>
      </c>
      <c r="J378" s="734"/>
      <c r="K378" s="884"/>
      <c r="L378" s="740"/>
      <c r="M378" s="884"/>
      <c r="N378" s="740"/>
      <c r="O378" s="740"/>
    </row>
    <row r="379" spans="3:15">
      <c r="C379" s="730">
        <f>IF(D364="","-",+C378+1)</f>
        <v>2025</v>
      </c>
      <c r="D379" s="683">
        <f t="shared" si="19"/>
        <v>120929.4183006536</v>
      </c>
      <c r="E379" s="737">
        <f t="shared" si="23"/>
        <v>2823.2549019607845</v>
      </c>
      <c r="F379" s="683">
        <f t="shared" si="18"/>
        <v>118106.16339869282</v>
      </c>
      <c r="G379" s="1291">
        <f t="shared" si="20"/>
        <v>15435.110264264935</v>
      </c>
      <c r="H379" s="1294">
        <f t="shared" si="21"/>
        <v>15435.110264264935</v>
      </c>
      <c r="I379" s="734">
        <f t="shared" si="22"/>
        <v>0</v>
      </c>
      <c r="J379" s="734"/>
      <c r="K379" s="884"/>
      <c r="L379" s="740"/>
      <c r="M379" s="884"/>
      <c r="N379" s="740"/>
      <c r="O379" s="740"/>
    </row>
    <row r="380" spans="3:15">
      <c r="C380" s="730">
        <f>IF(D364="","-",+C379+1)</f>
        <v>2026</v>
      </c>
      <c r="D380" s="683">
        <f t="shared" si="19"/>
        <v>118106.16339869282</v>
      </c>
      <c r="E380" s="737">
        <f t="shared" si="23"/>
        <v>2823.2549019607845</v>
      </c>
      <c r="F380" s="683">
        <f t="shared" si="18"/>
        <v>115282.90849673204</v>
      </c>
      <c r="G380" s="1291">
        <f t="shared" si="20"/>
        <v>15137.192421060901</v>
      </c>
      <c r="H380" s="1294">
        <f t="shared" si="21"/>
        <v>15137.192421060901</v>
      </c>
      <c r="I380" s="734">
        <f t="shared" si="22"/>
        <v>0</v>
      </c>
      <c r="J380" s="734"/>
      <c r="K380" s="884"/>
      <c r="L380" s="740"/>
      <c r="M380" s="884"/>
      <c r="N380" s="740"/>
      <c r="O380" s="740"/>
    </row>
    <row r="381" spans="3:15">
      <c r="C381" s="730">
        <f>IF(D364="","-",+C380+1)</f>
        <v>2027</v>
      </c>
      <c r="D381" s="683">
        <f t="shared" si="19"/>
        <v>115282.90849673204</v>
      </c>
      <c r="E381" s="737">
        <f t="shared" si="23"/>
        <v>2823.2549019607845</v>
      </c>
      <c r="F381" s="683">
        <f t="shared" si="18"/>
        <v>112459.65359477125</v>
      </c>
      <c r="G381" s="1291">
        <f t="shared" si="20"/>
        <v>14839.274577856866</v>
      </c>
      <c r="H381" s="1294">
        <f t="shared" si="21"/>
        <v>14839.274577856866</v>
      </c>
      <c r="I381" s="734">
        <f t="shared" si="22"/>
        <v>0</v>
      </c>
      <c r="J381" s="734"/>
      <c r="K381" s="884"/>
      <c r="L381" s="740"/>
      <c r="M381" s="884"/>
      <c r="N381" s="740"/>
      <c r="O381" s="740"/>
    </row>
    <row r="382" spans="3:15">
      <c r="C382" s="730">
        <f>IF(D364="","-",+C381+1)</f>
        <v>2028</v>
      </c>
      <c r="D382" s="683">
        <f t="shared" si="19"/>
        <v>112459.65359477125</v>
      </c>
      <c r="E382" s="737">
        <f t="shared" si="23"/>
        <v>2823.2549019607845</v>
      </c>
      <c r="F382" s="683">
        <f t="shared" si="18"/>
        <v>109636.39869281047</v>
      </c>
      <c r="G382" s="1291">
        <f t="shared" si="20"/>
        <v>14541.356734652831</v>
      </c>
      <c r="H382" s="1294">
        <f t="shared" si="21"/>
        <v>14541.356734652831</v>
      </c>
      <c r="I382" s="734">
        <f t="shared" si="22"/>
        <v>0</v>
      </c>
      <c r="J382" s="734"/>
      <c r="K382" s="884"/>
      <c r="L382" s="740"/>
      <c r="M382" s="884"/>
      <c r="N382" s="740"/>
      <c r="O382" s="740"/>
    </row>
    <row r="383" spans="3:15">
      <c r="C383" s="730">
        <f>IF(D364="","-",+C382+1)</f>
        <v>2029</v>
      </c>
      <c r="D383" s="683">
        <f t="shared" si="19"/>
        <v>109636.39869281047</v>
      </c>
      <c r="E383" s="737">
        <f t="shared" si="23"/>
        <v>2823.2549019607845</v>
      </c>
      <c r="F383" s="683">
        <f t="shared" si="18"/>
        <v>106813.14379084969</v>
      </c>
      <c r="G383" s="1291">
        <f t="shared" si="20"/>
        <v>14243.438891448795</v>
      </c>
      <c r="H383" s="1294">
        <f t="shared" si="21"/>
        <v>14243.438891448795</v>
      </c>
      <c r="I383" s="734">
        <f t="shared" si="22"/>
        <v>0</v>
      </c>
      <c r="J383" s="734"/>
      <c r="K383" s="884"/>
      <c r="L383" s="740"/>
      <c r="M383" s="884"/>
      <c r="N383" s="740"/>
      <c r="O383" s="740"/>
    </row>
    <row r="384" spans="3:15">
      <c r="C384" s="730">
        <f>IF(D364="","-",+C383+1)</f>
        <v>2030</v>
      </c>
      <c r="D384" s="683">
        <f t="shared" si="19"/>
        <v>106813.14379084969</v>
      </c>
      <c r="E384" s="737">
        <f t="shared" si="23"/>
        <v>2823.2549019607845</v>
      </c>
      <c r="F384" s="683">
        <f t="shared" si="18"/>
        <v>103989.88888888891</v>
      </c>
      <c r="G384" s="1291">
        <f t="shared" si="20"/>
        <v>13945.52104824476</v>
      </c>
      <c r="H384" s="1294">
        <f t="shared" si="21"/>
        <v>13945.52104824476</v>
      </c>
      <c r="I384" s="734">
        <f t="shared" si="22"/>
        <v>0</v>
      </c>
      <c r="J384" s="734"/>
      <c r="K384" s="884"/>
      <c r="L384" s="740"/>
      <c r="M384" s="884"/>
      <c r="N384" s="740"/>
      <c r="O384" s="740"/>
    </row>
    <row r="385" spans="3:15">
      <c r="C385" s="730">
        <f>IF(D364="","-",+C384+1)</f>
        <v>2031</v>
      </c>
      <c r="D385" s="683">
        <f t="shared" si="19"/>
        <v>103989.88888888891</v>
      </c>
      <c r="E385" s="737">
        <f t="shared" si="23"/>
        <v>2823.2549019607845</v>
      </c>
      <c r="F385" s="683">
        <f t="shared" si="18"/>
        <v>101166.63398692812</v>
      </c>
      <c r="G385" s="1291">
        <f t="shared" si="20"/>
        <v>13647.603205040727</v>
      </c>
      <c r="H385" s="1294">
        <f t="shared" si="21"/>
        <v>13647.603205040727</v>
      </c>
      <c r="I385" s="734">
        <f t="shared" si="22"/>
        <v>0</v>
      </c>
      <c r="J385" s="734"/>
      <c r="K385" s="884"/>
      <c r="L385" s="740"/>
      <c r="M385" s="884"/>
      <c r="N385" s="740"/>
      <c r="O385" s="740"/>
    </row>
    <row r="386" spans="3:15">
      <c r="C386" s="730">
        <f>IF(D364="","-",+C385+1)</f>
        <v>2032</v>
      </c>
      <c r="D386" s="683">
        <f t="shared" si="19"/>
        <v>101166.63398692812</v>
      </c>
      <c r="E386" s="737">
        <f t="shared" si="23"/>
        <v>2823.2549019607845</v>
      </c>
      <c r="F386" s="683">
        <f t="shared" si="18"/>
        <v>98343.379084967339</v>
      </c>
      <c r="G386" s="1291">
        <f t="shared" si="20"/>
        <v>13349.685361836691</v>
      </c>
      <c r="H386" s="1294">
        <f t="shared" si="21"/>
        <v>13349.685361836691</v>
      </c>
      <c r="I386" s="734">
        <f t="shared" si="22"/>
        <v>0</v>
      </c>
      <c r="J386" s="734"/>
      <c r="K386" s="884"/>
      <c r="L386" s="740"/>
      <c r="M386" s="884"/>
      <c r="N386" s="740"/>
      <c r="O386" s="740"/>
    </row>
    <row r="387" spans="3:15">
      <c r="C387" s="730">
        <f>IF(D364="","-",+C386+1)</f>
        <v>2033</v>
      </c>
      <c r="D387" s="683">
        <f t="shared" si="19"/>
        <v>98343.379084967339</v>
      </c>
      <c r="E387" s="737">
        <f t="shared" si="23"/>
        <v>2823.2549019607845</v>
      </c>
      <c r="F387" s="683">
        <f t="shared" si="18"/>
        <v>95520.124183006556</v>
      </c>
      <c r="G387" s="1291">
        <f t="shared" si="20"/>
        <v>13051.767518632656</v>
      </c>
      <c r="H387" s="1294">
        <f t="shared" si="21"/>
        <v>13051.767518632656</v>
      </c>
      <c r="I387" s="734">
        <f t="shared" si="22"/>
        <v>0</v>
      </c>
      <c r="J387" s="734"/>
      <c r="K387" s="884"/>
      <c r="L387" s="740"/>
      <c r="M387" s="884"/>
      <c r="N387" s="740"/>
      <c r="O387" s="740"/>
    </row>
    <row r="388" spans="3:15">
      <c r="C388" s="730">
        <f>IF(D364="","-",+C387+1)</f>
        <v>2034</v>
      </c>
      <c r="D388" s="683">
        <f t="shared" si="19"/>
        <v>95520.124183006556</v>
      </c>
      <c r="E388" s="737">
        <f t="shared" si="23"/>
        <v>2823.2549019607845</v>
      </c>
      <c r="F388" s="683">
        <f t="shared" si="18"/>
        <v>92696.869281045772</v>
      </c>
      <c r="G388" s="1291">
        <f t="shared" si="20"/>
        <v>12753.849675428621</v>
      </c>
      <c r="H388" s="1294">
        <f t="shared" si="21"/>
        <v>12753.849675428621</v>
      </c>
      <c r="I388" s="734">
        <f t="shared" si="22"/>
        <v>0</v>
      </c>
      <c r="J388" s="734"/>
      <c r="K388" s="884"/>
      <c r="L388" s="740"/>
      <c r="M388" s="884"/>
      <c r="N388" s="740"/>
      <c r="O388" s="740"/>
    </row>
    <row r="389" spans="3:15">
      <c r="C389" s="730">
        <f>IF(D364="","-",+C388+1)</f>
        <v>2035</v>
      </c>
      <c r="D389" s="683">
        <f t="shared" si="19"/>
        <v>92696.869281045772</v>
      </c>
      <c r="E389" s="737">
        <f t="shared" si="23"/>
        <v>2823.2549019607845</v>
      </c>
      <c r="F389" s="683">
        <f t="shared" si="18"/>
        <v>89873.614379084989</v>
      </c>
      <c r="G389" s="1291">
        <f t="shared" si="20"/>
        <v>12455.931832224587</v>
      </c>
      <c r="H389" s="1294">
        <f t="shared" si="21"/>
        <v>12455.931832224587</v>
      </c>
      <c r="I389" s="734">
        <f t="shared" si="22"/>
        <v>0</v>
      </c>
      <c r="J389" s="734"/>
      <c r="K389" s="884"/>
      <c r="L389" s="740"/>
      <c r="M389" s="884"/>
      <c r="N389" s="740"/>
      <c r="O389" s="740"/>
    </row>
    <row r="390" spans="3:15">
      <c r="C390" s="730">
        <f>IF(D364="","-",+C389+1)</f>
        <v>2036</v>
      </c>
      <c r="D390" s="683">
        <f t="shared" si="19"/>
        <v>89873.614379084989</v>
      </c>
      <c r="E390" s="737">
        <f t="shared" si="23"/>
        <v>2823.2549019607845</v>
      </c>
      <c r="F390" s="683">
        <f t="shared" si="18"/>
        <v>87050.359477124206</v>
      </c>
      <c r="G390" s="1291">
        <f t="shared" si="20"/>
        <v>12158.013989020552</v>
      </c>
      <c r="H390" s="1294">
        <f t="shared" si="21"/>
        <v>12158.013989020552</v>
      </c>
      <c r="I390" s="734">
        <f t="shared" si="22"/>
        <v>0</v>
      </c>
      <c r="J390" s="734"/>
      <c r="K390" s="884"/>
      <c r="L390" s="740"/>
      <c r="M390" s="884"/>
      <c r="N390" s="740"/>
      <c r="O390" s="740"/>
    </row>
    <row r="391" spans="3:15">
      <c r="C391" s="730">
        <f>IF(D364="","-",+C390+1)</f>
        <v>2037</v>
      </c>
      <c r="D391" s="683">
        <f t="shared" si="19"/>
        <v>87050.359477124206</v>
      </c>
      <c r="E391" s="737">
        <f t="shared" si="23"/>
        <v>2823.2549019607845</v>
      </c>
      <c r="F391" s="683">
        <f t="shared" si="18"/>
        <v>84227.104575163423</v>
      </c>
      <c r="G391" s="1291">
        <f t="shared" si="20"/>
        <v>11860.096145816517</v>
      </c>
      <c r="H391" s="1294">
        <f t="shared" si="21"/>
        <v>11860.096145816517</v>
      </c>
      <c r="I391" s="734">
        <f t="shared" si="22"/>
        <v>0</v>
      </c>
      <c r="J391" s="734"/>
      <c r="K391" s="884"/>
      <c r="L391" s="740"/>
      <c r="M391" s="884"/>
      <c r="N391" s="740"/>
      <c r="O391" s="740"/>
    </row>
    <row r="392" spans="3:15">
      <c r="C392" s="730">
        <f>IF(D364="","-",+C391+1)</f>
        <v>2038</v>
      </c>
      <c r="D392" s="683">
        <f t="shared" si="19"/>
        <v>84227.104575163423</v>
      </c>
      <c r="E392" s="737">
        <f t="shared" si="23"/>
        <v>2823.2549019607845</v>
      </c>
      <c r="F392" s="683">
        <f t="shared" si="18"/>
        <v>81403.84967320264</v>
      </c>
      <c r="G392" s="1291">
        <f t="shared" si="20"/>
        <v>11562.178302612481</v>
      </c>
      <c r="H392" s="1294">
        <f t="shared" si="21"/>
        <v>11562.178302612481</v>
      </c>
      <c r="I392" s="734">
        <f t="shared" si="22"/>
        <v>0</v>
      </c>
      <c r="J392" s="734"/>
      <c r="K392" s="884"/>
      <c r="L392" s="740"/>
      <c r="M392" s="884"/>
      <c r="N392" s="740"/>
      <c r="O392" s="740"/>
    </row>
    <row r="393" spans="3:15">
      <c r="C393" s="730">
        <f>IF(D364="","-",+C392+1)</f>
        <v>2039</v>
      </c>
      <c r="D393" s="683">
        <f t="shared" si="19"/>
        <v>81403.84967320264</v>
      </c>
      <c r="E393" s="737">
        <f t="shared" si="23"/>
        <v>2823.2549019607845</v>
      </c>
      <c r="F393" s="683">
        <f t="shared" si="18"/>
        <v>78580.594771241857</v>
      </c>
      <c r="G393" s="1291">
        <f t="shared" si="20"/>
        <v>11264.260459408446</v>
      </c>
      <c r="H393" s="1294">
        <f t="shared" si="21"/>
        <v>11264.260459408446</v>
      </c>
      <c r="I393" s="734">
        <f t="shared" si="22"/>
        <v>0</v>
      </c>
      <c r="J393" s="734"/>
      <c r="K393" s="884"/>
      <c r="L393" s="740"/>
      <c r="M393" s="884"/>
      <c r="N393" s="740"/>
      <c r="O393" s="740"/>
    </row>
    <row r="394" spans="3:15">
      <c r="C394" s="730">
        <f>IF(D364="","-",+C393+1)</f>
        <v>2040</v>
      </c>
      <c r="D394" s="683">
        <f t="shared" si="19"/>
        <v>78580.594771241857</v>
      </c>
      <c r="E394" s="737">
        <f t="shared" si="23"/>
        <v>2823.2549019607845</v>
      </c>
      <c r="F394" s="683">
        <f t="shared" si="18"/>
        <v>75757.339869281073</v>
      </c>
      <c r="G394" s="1291">
        <f t="shared" si="20"/>
        <v>10966.342616204411</v>
      </c>
      <c r="H394" s="1294">
        <f t="shared" si="21"/>
        <v>10966.342616204411</v>
      </c>
      <c r="I394" s="734">
        <f t="shared" si="22"/>
        <v>0</v>
      </c>
      <c r="J394" s="734"/>
      <c r="K394" s="884"/>
      <c r="L394" s="740"/>
      <c r="M394" s="884"/>
      <c r="N394" s="740"/>
      <c r="O394" s="740"/>
    </row>
    <row r="395" spans="3:15">
      <c r="C395" s="730">
        <f>IF(D364="","-",+C394+1)</f>
        <v>2041</v>
      </c>
      <c r="D395" s="683">
        <f t="shared" si="19"/>
        <v>75757.339869281073</v>
      </c>
      <c r="E395" s="737">
        <f t="shared" si="23"/>
        <v>2823.2549019607845</v>
      </c>
      <c r="F395" s="683">
        <f t="shared" si="18"/>
        <v>72934.08496732029</v>
      </c>
      <c r="G395" s="1291">
        <f t="shared" si="20"/>
        <v>10668.424773000377</v>
      </c>
      <c r="H395" s="1294">
        <f t="shared" si="21"/>
        <v>10668.424773000377</v>
      </c>
      <c r="I395" s="734">
        <f t="shared" si="22"/>
        <v>0</v>
      </c>
      <c r="J395" s="734"/>
      <c r="K395" s="884"/>
      <c r="L395" s="740"/>
      <c r="M395" s="884"/>
      <c r="N395" s="740"/>
      <c r="O395" s="740"/>
    </row>
    <row r="396" spans="3:15">
      <c r="C396" s="730">
        <f>IF(D364="","-",+C395+1)</f>
        <v>2042</v>
      </c>
      <c r="D396" s="683">
        <f t="shared" si="19"/>
        <v>72934.08496732029</v>
      </c>
      <c r="E396" s="737">
        <f t="shared" si="23"/>
        <v>2823.2549019607845</v>
      </c>
      <c r="F396" s="683">
        <f t="shared" si="18"/>
        <v>70110.830065359507</v>
      </c>
      <c r="G396" s="1291">
        <f t="shared" si="20"/>
        <v>10370.506929796342</v>
      </c>
      <c r="H396" s="1294">
        <f t="shared" si="21"/>
        <v>10370.506929796342</v>
      </c>
      <c r="I396" s="734">
        <f t="shared" si="22"/>
        <v>0</v>
      </c>
      <c r="J396" s="734"/>
      <c r="K396" s="884"/>
      <c r="L396" s="740"/>
      <c r="M396" s="884"/>
      <c r="N396" s="740"/>
      <c r="O396" s="740"/>
    </row>
    <row r="397" spans="3:15">
      <c r="C397" s="730">
        <f>IF(D364="","-",+C396+1)</f>
        <v>2043</v>
      </c>
      <c r="D397" s="683">
        <f t="shared" si="19"/>
        <v>70110.830065359507</v>
      </c>
      <c r="E397" s="737">
        <f t="shared" si="23"/>
        <v>2823.2549019607845</v>
      </c>
      <c r="F397" s="683">
        <f t="shared" si="18"/>
        <v>67287.575163398724</v>
      </c>
      <c r="G397" s="1291">
        <f t="shared" si="20"/>
        <v>10072.589086592307</v>
      </c>
      <c r="H397" s="1294">
        <f t="shared" si="21"/>
        <v>10072.589086592307</v>
      </c>
      <c r="I397" s="734">
        <f t="shared" si="22"/>
        <v>0</v>
      </c>
      <c r="J397" s="734"/>
      <c r="K397" s="884"/>
      <c r="L397" s="740"/>
      <c r="M397" s="884"/>
      <c r="N397" s="740"/>
      <c r="O397" s="740"/>
    </row>
    <row r="398" spans="3:15">
      <c r="C398" s="730">
        <f>IF(D364="","-",+C397+1)</f>
        <v>2044</v>
      </c>
      <c r="D398" s="683">
        <f t="shared" si="19"/>
        <v>67287.575163398724</v>
      </c>
      <c r="E398" s="737">
        <f t="shared" si="23"/>
        <v>2823.2549019607845</v>
      </c>
      <c r="F398" s="683">
        <f t="shared" si="18"/>
        <v>64464.320261437941</v>
      </c>
      <c r="G398" s="1302">
        <f t="shared" si="20"/>
        <v>9774.6712433882713</v>
      </c>
      <c r="H398" s="1294">
        <f t="shared" si="21"/>
        <v>9774.6712433882713</v>
      </c>
      <c r="I398" s="734">
        <f t="shared" si="22"/>
        <v>0</v>
      </c>
      <c r="J398" s="734"/>
      <c r="K398" s="884"/>
      <c r="L398" s="740"/>
      <c r="M398" s="884"/>
      <c r="N398" s="740"/>
      <c r="O398" s="740"/>
    </row>
    <row r="399" spans="3:15">
      <c r="C399" s="730">
        <f>IF(D364="","-",+C398+1)</f>
        <v>2045</v>
      </c>
      <c r="D399" s="683">
        <f t="shared" si="19"/>
        <v>64464.320261437941</v>
      </c>
      <c r="E399" s="737">
        <f t="shared" si="23"/>
        <v>2823.2549019607845</v>
      </c>
      <c r="F399" s="683">
        <f t="shared" si="18"/>
        <v>61641.065359477157</v>
      </c>
      <c r="G399" s="1291">
        <f t="shared" si="20"/>
        <v>9476.7534001842378</v>
      </c>
      <c r="H399" s="1294">
        <f t="shared" si="21"/>
        <v>9476.7534001842378</v>
      </c>
      <c r="I399" s="734">
        <f t="shared" si="22"/>
        <v>0</v>
      </c>
      <c r="J399" s="734"/>
      <c r="K399" s="884"/>
      <c r="L399" s="740"/>
      <c r="M399" s="884"/>
      <c r="N399" s="740"/>
      <c r="O399" s="740"/>
    </row>
    <row r="400" spans="3:15">
      <c r="C400" s="730">
        <f>IF(D364="","-",+C399+1)</f>
        <v>2046</v>
      </c>
      <c r="D400" s="683">
        <f t="shared" si="19"/>
        <v>61641.065359477157</v>
      </c>
      <c r="E400" s="737">
        <f t="shared" si="23"/>
        <v>2823.2549019607845</v>
      </c>
      <c r="F400" s="683">
        <f t="shared" si="18"/>
        <v>58817.810457516374</v>
      </c>
      <c r="G400" s="1291">
        <f t="shared" si="20"/>
        <v>9178.8355569802025</v>
      </c>
      <c r="H400" s="1294">
        <f t="shared" si="21"/>
        <v>9178.8355569802025</v>
      </c>
      <c r="I400" s="734">
        <f t="shared" si="22"/>
        <v>0</v>
      </c>
      <c r="J400" s="734"/>
      <c r="K400" s="884"/>
      <c r="L400" s="740"/>
      <c r="M400" s="884"/>
      <c r="N400" s="740"/>
      <c r="O400" s="740"/>
    </row>
    <row r="401" spans="3:15">
      <c r="C401" s="730">
        <f>IF(D364="","-",+C400+1)</f>
        <v>2047</v>
      </c>
      <c r="D401" s="683">
        <f t="shared" si="19"/>
        <v>58817.810457516374</v>
      </c>
      <c r="E401" s="737">
        <f t="shared" si="23"/>
        <v>2823.2549019607845</v>
      </c>
      <c r="F401" s="683">
        <f t="shared" si="18"/>
        <v>55994.555555555591</v>
      </c>
      <c r="G401" s="1291">
        <f t="shared" si="20"/>
        <v>8880.9177137761671</v>
      </c>
      <c r="H401" s="1294">
        <f t="shared" si="21"/>
        <v>8880.9177137761671</v>
      </c>
      <c r="I401" s="734">
        <f t="shared" si="22"/>
        <v>0</v>
      </c>
      <c r="J401" s="734"/>
      <c r="K401" s="884"/>
      <c r="L401" s="740"/>
      <c r="M401" s="884"/>
      <c r="N401" s="740"/>
      <c r="O401" s="740"/>
    </row>
    <row r="402" spans="3:15">
      <c r="C402" s="730">
        <f>IF(D364="","-",+C401+1)</f>
        <v>2048</v>
      </c>
      <c r="D402" s="683">
        <f t="shared" si="19"/>
        <v>55994.555555555591</v>
      </c>
      <c r="E402" s="737">
        <f t="shared" si="23"/>
        <v>2823.2549019607845</v>
      </c>
      <c r="F402" s="683">
        <f t="shared" si="18"/>
        <v>53171.300653594808</v>
      </c>
      <c r="G402" s="1291">
        <f t="shared" si="20"/>
        <v>8582.9998705721318</v>
      </c>
      <c r="H402" s="1294">
        <f t="shared" si="21"/>
        <v>8582.9998705721318</v>
      </c>
      <c r="I402" s="734">
        <f t="shared" si="22"/>
        <v>0</v>
      </c>
      <c r="J402" s="734"/>
      <c r="K402" s="884"/>
      <c r="L402" s="740"/>
      <c r="M402" s="884"/>
      <c r="N402" s="740"/>
      <c r="O402" s="740"/>
    </row>
    <row r="403" spans="3:15">
      <c r="C403" s="730">
        <f>IF(D364="","-",+C402+1)</f>
        <v>2049</v>
      </c>
      <c r="D403" s="683">
        <f t="shared" si="19"/>
        <v>53171.300653594808</v>
      </c>
      <c r="E403" s="737">
        <f t="shared" si="23"/>
        <v>2823.2549019607845</v>
      </c>
      <c r="F403" s="683">
        <f t="shared" si="18"/>
        <v>50348.045751634025</v>
      </c>
      <c r="G403" s="1291">
        <f t="shared" si="20"/>
        <v>8285.0820273680965</v>
      </c>
      <c r="H403" s="1294">
        <f t="shared" si="21"/>
        <v>8285.0820273680965</v>
      </c>
      <c r="I403" s="734">
        <f t="shared" si="22"/>
        <v>0</v>
      </c>
      <c r="J403" s="734"/>
      <c r="K403" s="884"/>
      <c r="L403" s="740"/>
      <c r="M403" s="884"/>
      <c r="N403" s="740"/>
      <c r="O403" s="740"/>
    </row>
    <row r="404" spans="3:15">
      <c r="C404" s="730">
        <f>IF(D364="","-",+C403+1)</f>
        <v>2050</v>
      </c>
      <c r="D404" s="683">
        <f t="shared" si="19"/>
        <v>50348.045751634025</v>
      </c>
      <c r="E404" s="737">
        <f t="shared" si="23"/>
        <v>2823.2549019607845</v>
      </c>
      <c r="F404" s="683">
        <f t="shared" si="18"/>
        <v>47524.790849673242</v>
      </c>
      <c r="G404" s="1291">
        <f t="shared" si="20"/>
        <v>7987.164184164063</v>
      </c>
      <c r="H404" s="1294">
        <f t="shared" si="21"/>
        <v>7987.164184164063</v>
      </c>
      <c r="I404" s="734">
        <f t="shared" si="22"/>
        <v>0</v>
      </c>
      <c r="J404" s="734"/>
      <c r="K404" s="884"/>
      <c r="L404" s="740"/>
      <c r="M404" s="884"/>
      <c r="N404" s="740"/>
      <c r="O404" s="740"/>
    </row>
    <row r="405" spans="3:15">
      <c r="C405" s="730">
        <f>IF(D364="","-",+C404+1)</f>
        <v>2051</v>
      </c>
      <c r="D405" s="683">
        <f t="shared" si="19"/>
        <v>47524.790849673242</v>
      </c>
      <c r="E405" s="737">
        <f t="shared" si="23"/>
        <v>2823.2549019607845</v>
      </c>
      <c r="F405" s="683">
        <f t="shared" si="18"/>
        <v>44701.535947712458</v>
      </c>
      <c r="G405" s="1291">
        <f t="shared" si="20"/>
        <v>7689.2463409600277</v>
      </c>
      <c r="H405" s="1294">
        <f t="shared" si="21"/>
        <v>7689.2463409600277</v>
      </c>
      <c r="I405" s="734">
        <f t="shared" si="22"/>
        <v>0</v>
      </c>
      <c r="J405" s="734"/>
      <c r="K405" s="884"/>
      <c r="L405" s="740"/>
      <c r="M405" s="884"/>
      <c r="N405" s="740"/>
      <c r="O405" s="740"/>
    </row>
    <row r="406" spans="3:15">
      <c r="C406" s="730">
        <f>IF(D364="","-",+C405+1)</f>
        <v>2052</v>
      </c>
      <c r="D406" s="683">
        <f t="shared" si="19"/>
        <v>44701.535947712458</v>
      </c>
      <c r="E406" s="737">
        <f t="shared" si="23"/>
        <v>2823.2549019607845</v>
      </c>
      <c r="F406" s="683">
        <f t="shared" si="18"/>
        <v>41878.281045751675</v>
      </c>
      <c r="G406" s="1291">
        <f t="shared" si="20"/>
        <v>7391.3284977559924</v>
      </c>
      <c r="H406" s="1294">
        <f t="shared" si="21"/>
        <v>7391.3284977559924</v>
      </c>
      <c r="I406" s="734">
        <f t="shared" si="22"/>
        <v>0</v>
      </c>
      <c r="J406" s="734"/>
      <c r="K406" s="884"/>
      <c r="L406" s="740"/>
      <c r="M406" s="884"/>
      <c r="N406" s="740"/>
      <c r="O406" s="740"/>
    </row>
    <row r="407" spans="3:15">
      <c r="C407" s="730">
        <f>IF(D364="","-",+C406+1)</f>
        <v>2053</v>
      </c>
      <c r="D407" s="683">
        <f t="shared" si="19"/>
        <v>41878.281045751675</v>
      </c>
      <c r="E407" s="737">
        <f t="shared" si="23"/>
        <v>2823.2549019607845</v>
      </c>
      <c r="F407" s="683">
        <f t="shared" si="18"/>
        <v>39055.026143790892</v>
      </c>
      <c r="G407" s="1291">
        <f t="shared" si="20"/>
        <v>7093.4106545519571</v>
      </c>
      <c r="H407" s="1294">
        <f t="shared" si="21"/>
        <v>7093.4106545519571</v>
      </c>
      <c r="I407" s="734">
        <f t="shared" si="22"/>
        <v>0</v>
      </c>
      <c r="J407" s="734"/>
      <c r="K407" s="884"/>
      <c r="L407" s="740"/>
      <c r="M407" s="884"/>
      <c r="N407" s="740"/>
      <c r="O407" s="740"/>
    </row>
    <row r="408" spans="3:15">
      <c r="C408" s="730">
        <f>IF(D364="","-",+C407+1)</f>
        <v>2054</v>
      </c>
      <c r="D408" s="683">
        <f t="shared" si="19"/>
        <v>39055.026143790892</v>
      </c>
      <c r="E408" s="737">
        <f t="shared" si="23"/>
        <v>2823.2549019607845</v>
      </c>
      <c r="F408" s="683">
        <f t="shared" si="18"/>
        <v>36231.771241830109</v>
      </c>
      <c r="G408" s="1291">
        <f t="shared" si="20"/>
        <v>6795.4928113479227</v>
      </c>
      <c r="H408" s="1294">
        <f t="shared" si="21"/>
        <v>6795.4928113479227</v>
      </c>
      <c r="I408" s="734">
        <f t="shared" si="22"/>
        <v>0</v>
      </c>
      <c r="J408" s="734"/>
      <c r="K408" s="884"/>
      <c r="L408" s="740"/>
      <c r="M408" s="884"/>
      <c r="N408" s="740"/>
      <c r="O408" s="740"/>
    </row>
    <row r="409" spans="3:15">
      <c r="C409" s="730">
        <f>IF(D364="","-",+C408+1)</f>
        <v>2055</v>
      </c>
      <c r="D409" s="683">
        <f t="shared" si="19"/>
        <v>36231.771241830109</v>
      </c>
      <c r="E409" s="737">
        <f t="shared" si="23"/>
        <v>2823.2549019607845</v>
      </c>
      <c r="F409" s="683">
        <f t="shared" si="18"/>
        <v>33408.516339869326</v>
      </c>
      <c r="G409" s="1291">
        <f t="shared" si="20"/>
        <v>6497.5749681438883</v>
      </c>
      <c r="H409" s="1294">
        <f t="shared" si="21"/>
        <v>6497.5749681438883</v>
      </c>
      <c r="I409" s="734">
        <f t="shared" si="22"/>
        <v>0</v>
      </c>
      <c r="J409" s="734"/>
      <c r="K409" s="884"/>
      <c r="L409" s="740"/>
      <c r="M409" s="884"/>
      <c r="N409" s="740"/>
      <c r="O409" s="740"/>
    </row>
    <row r="410" spans="3:15">
      <c r="C410" s="730">
        <f>IF(D364="","-",+C409+1)</f>
        <v>2056</v>
      </c>
      <c r="D410" s="683">
        <f t="shared" si="19"/>
        <v>33408.516339869326</v>
      </c>
      <c r="E410" s="737">
        <f t="shared" si="23"/>
        <v>2823.2549019607845</v>
      </c>
      <c r="F410" s="683">
        <f t="shared" si="18"/>
        <v>30585.261437908543</v>
      </c>
      <c r="G410" s="1291">
        <f t="shared" si="20"/>
        <v>6199.657124939853</v>
      </c>
      <c r="H410" s="1294">
        <f t="shared" si="21"/>
        <v>6199.657124939853</v>
      </c>
      <c r="I410" s="734">
        <f t="shared" si="22"/>
        <v>0</v>
      </c>
      <c r="J410" s="734"/>
      <c r="K410" s="884"/>
      <c r="L410" s="740"/>
      <c r="M410" s="884"/>
      <c r="N410" s="740"/>
      <c r="O410" s="740"/>
    </row>
    <row r="411" spans="3:15">
      <c r="C411" s="730">
        <f>IF(D364="","-",+C410+1)</f>
        <v>2057</v>
      </c>
      <c r="D411" s="683">
        <f t="shared" si="19"/>
        <v>30585.261437908543</v>
      </c>
      <c r="E411" s="737">
        <f t="shared" si="23"/>
        <v>2823.2549019607845</v>
      </c>
      <c r="F411" s="683">
        <f t="shared" si="18"/>
        <v>27762.006535947759</v>
      </c>
      <c r="G411" s="1291">
        <f t="shared" si="20"/>
        <v>5901.7392817358177</v>
      </c>
      <c r="H411" s="1294">
        <f t="shared" si="21"/>
        <v>5901.7392817358177</v>
      </c>
      <c r="I411" s="734">
        <f t="shared" si="22"/>
        <v>0</v>
      </c>
      <c r="J411" s="734"/>
      <c r="K411" s="884"/>
      <c r="L411" s="740"/>
      <c r="M411" s="884"/>
      <c r="N411" s="740"/>
      <c r="O411" s="740"/>
    </row>
    <row r="412" spans="3:15">
      <c r="C412" s="730">
        <f>IF(D364="","-",+C411+1)</f>
        <v>2058</v>
      </c>
      <c r="D412" s="683">
        <f t="shared" si="19"/>
        <v>27762.006535947759</v>
      </c>
      <c r="E412" s="737">
        <f t="shared" si="23"/>
        <v>2823.2549019607845</v>
      </c>
      <c r="F412" s="683">
        <f t="shared" si="18"/>
        <v>24938.751633986976</v>
      </c>
      <c r="G412" s="1291">
        <f t="shared" si="20"/>
        <v>5603.8214385317833</v>
      </c>
      <c r="H412" s="1294">
        <f t="shared" si="21"/>
        <v>5603.8214385317833</v>
      </c>
      <c r="I412" s="734">
        <f t="shared" si="22"/>
        <v>0</v>
      </c>
      <c r="J412" s="734"/>
      <c r="K412" s="884"/>
      <c r="L412" s="740"/>
      <c r="M412" s="884"/>
      <c r="N412" s="740"/>
      <c r="O412" s="740"/>
    </row>
    <row r="413" spans="3:15">
      <c r="C413" s="730">
        <f>IF(D364="","-",+C412+1)</f>
        <v>2059</v>
      </c>
      <c r="D413" s="683">
        <f t="shared" si="19"/>
        <v>24938.751633986976</v>
      </c>
      <c r="E413" s="737">
        <f t="shared" si="23"/>
        <v>2823.2549019607845</v>
      </c>
      <c r="F413" s="683">
        <f t="shared" si="18"/>
        <v>22115.496732026193</v>
      </c>
      <c r="G413" s="1291">
        <f t="shared" si="20"/>
        <v>5305.903595327748</v>
      </c>
      <c r="H413" s="1294">
        <f t="shared" si="21"/>
        <v>5305.903595327748</v>
      </c>
      <c r="I413" s="734">
        <f t="shared" si="22"/>
        <v>0</v>
      </c>
      <c r="J413" s="734"/>
      <c r="K413" s="884"/>
      <c r="L413" s="740"/>
      <c r="M413" s="884"/>
      <c r="N413" s="740"/>
      <c r="O413" s="740"/>
    </row>
    <row r="414" spans="3:15">
      <c r="C414" s="730">
        <f>IF(D364="","-",+C413+1)</f>
        <v>2060</v>
      </c>
      <c r="D414" s="683">
        <f t="shared" si="19"/>
        <v>22115.496732026193</v>
      </c>
      <c r="E414" s="737">
        <f t="shared" si="23"/>
        <v>2823.2549019607845</v>
      </c>
      <c r="F414" s="683">
        <f t="shared" si="18"/>
        <v>19292.24183006541</v>
      </c>
      <c r="G414" s="1291">
        <f t="shared" si="20"/>
        <v>5007.9857521237136</v>
      </c>
      <c r="H414" s="1294">
        <f t="shared" si="21"/>
        <v>5007.9857521237136</v>
      </c>
      <c r="I414" s="734">
        <f t="shared" si="22"/>
        <v>0</v>
      </c>
      <c r="J414" s="734"/>
      <c r="K414" s="884"/>
      <c r="L414" s="740"/>
      <c r="M414" s="884"/>
      <c r="N414" s="740"/>
      <c r="O414" s="740"/>
    </row>
    <row r="415" spans="3:15">
      <c r="C415" s="730">
        <f>IF(D364="","-",+C414+1)</f>
        <v>2061</v>
      </c>
      <c r="D415" s="683">
        <f t="shared" si="19"/>
        <v>19292.24183006541</v>
      </c>
      <c r="E415" s="737">
        <f t="shared" si="23"/>
        <v>2823.2549019607845</v>
      </c>
      <c r="F415" s="683">
        <f t="shared" si="18"/>
        <v>16468.986928104627</v>
      </c>
      <c r="G415" s="1291">
        <f t="shared" si="20"/>
        <v>4710.0679089196783</v>
      </c>
      <c r="H415" s="1294">
        <f t="shared" si="21"/>
        <v>4710.0679089196783</v>
      </c>
      <c r="I415" s="734">
        <f t="shared" si="22"/>
        <v>0</v>
      </c>
      <c r="J415" s="734"/>
      <c r="K415" s="884"/>
      <c r="L415" s="740"/>
      <c r="M415" s="884"/>
      <c r="N415" s="740"/>
      <c r="O415" s="740"/>
    </row>
    <row r="416" spans="3:15">
      <c r="C416" s="730">
        <f>IF(D364="","-",+C415+1)</f>
        <v>2062</v>
      </c>
      <c r="D416" s="683">
        <f t="shared" si="19"/>
        <v>16468.986928104627</v>
      </c>
      <c r="E416" s="737">
        <f t="shared" si="23"/>
        <v>2823.2549019607845</v>
      </c>
      <c r="F416" s="683">
        <f t="shared" si="18"/>
        <v>13645.732026143842</v>
      </c>
      <c r="G416" s="1291">
        <f t="shared" si="20"/>
        <v>4412.150065715643</v>
      </c>
      <c r="H416" s="1294">
        <f t="shared" si="21"/>
        <v>4412.150065715643</v>
      </c>
      <c r="I416" s="734">
        <f t="shared" si="22"/>
        <v>0</v>
      </c>
      <c r="J416" s="734"/>
      <c r="K416" s="884"/>
      <c r="L416" s="740"/>
      <c r="M416" s="884"/>
      <c r="N416" s="740"/>
      <c r="O416" s="740"/>
    </row>
    <row r="417" spans="3:15">
      <c r="C417" s="730">
        <f>IF(D364="","-",+C416+1)</f>
        <v>2063</v>
      </c>
      <c r="D417" s="683">
        <f t="shared" si="19"/>
        <v>13645.732026143842</v>
      </c>
      <c r="E417" s="737">
        <f t="shared" si="23"/>
        <v>2823.2549019607845</v>
      </c>
      <c r="F417" s="683">
        <f t="shared" si="18"/>
        <v>10822.477124183057</v>
      </c>
      <c r="G417" s="1291">
        <f t="shared" si="20"/>
        <v>4114.2322225116077</v>
      </c>
      <c r="H417" s="1294">
        <f t="shared" si="21"/>
        <v>4114.2322225116077</v>
      </c>
      <c r="I417" s="734">
        <f t="shared" si="22"/>
        <v>0</v>
      </c>
      <c r="J417" s="734"/>
      <c r="K417" s="884"/>
      <c r="L417" s="740"/>
      <c r="M417" s="884"/>
      <c r="N417" s="740"/>
      <c r="O417" s="740"/>
    </row>
    <row r="418" spans="3:15">
      <c r="C418" s="730">
        <f>IF(D364="","-",+C417+1)</f>
        <v>2064</v>
      </c>
      <c r="D418" s="683">
        <f t="shared" si="19"/>
        <v>10822.477124183057</v>
      </c>
      <c r="E418" s="737">
        <f t="shared" si="23"/>
        <v>2823.2549019607845</v>
      </c>
      <c r="F418" s="683">
        <f t="shared" si="18"/>
        <v>7999.2222222222717</v>
      </c>
      <c r="G418" s="1291">
        <f t="shared" si="20"/>
        <v>3816.3143793075733</v>
      </c>
      <c r="H418" s="1294">
        <f t="shared" si="21"/>
        <v>3816.3143793075733</v>
      </c>
      <c r="I418" s="734">
        <f t="shared" si="22"/>
        <v>0</v>
      </c>
      <c r="J418" s="734"/>
      <c r="K418" s="884"/>
      <c r="L418" s="740"/>
      <c r="M418" s="884"/>
      <c r="N418" s="740"/>
      <c r="O418" s="740"/>
    </row>
    <row r="419" spans="3:15">
      <c r="C419" s="730">
        <f>IF(D364="","-",+C418+1)</f>
        <v>2065</v>
      </c>
      <c r="D419" s="683">
        <f t="shared" si="19"/>
        <v>7999.2222222222717</v>
      </c>
      <c r="E419" s="737">
        <f t="shared" si="23"/>
        <v>2823.2549019607845</v>
      </c>
      <c r="F419" s="683">
        <f t="shared" si="18"/>
        <v>5175.9673202614867</v>
      </c>
      <c r="G419" s="1291">
        <f t="shared" si="20"/>
        <v>3518.396536103538</v>
      </c>
      <c r="H419" s="1294">
        <f t="shared" si="21"/>
        <v>3518.396536103538</v>
      </c>
      <c r="I419" s="734">
        <f t="shared" si="22"/>
        <v>0</v>
      </c>
      <c r="J419" s="734"/>
      <c r="K419" s="884"/>
      <c r="L419" s="740"/>
      <c r="M419" s="884"/>
      <c r="N419" s="740"/>
      <c r="O419" s="740"/>
    </row>
    <row r="420" spans="3:15">
      <c r="C420" s="730">
        <f>IF(D364="","-",+C419+1)</f>
        <v>2066</v>
      </c>
      <c r="D420" s="683">
        <f t="shared" si="19"/>
        <v>5175.9673202614867</v>
      </c>
      <c r="E420" s="737">
        <f t="shared" si="23"/>
        <v>2823.2549019607845</v>
      </c>
      <c r="F420" s="683">
        <f t="shared" si="18"/>
        <v>2352.7124183007022</v>
      </c>
      <c r="G420" s="1291">
        <f t="shared" si="20"/>
        <v>3220.4786928995031</v>
      </c>
      <c r="H420" s="1294">
        <f t="shared" si="21"/>
        <v>3220.4786928995031</v>
      </c>
      <c r="I420" s="734">
        <f t="shared" si="22"/>
        <v>0</v>
      </c>
      <c r="J420" s="734"/>
      <c r="K420" s="884"/>
      <c r="L420" s="740"/>
      <c r="M420" s="884"/>
      <c r="N420" s="740"/>
      <c r="O420" s="740"/>
    </row>
    <row r="421" spans="3:15">
      <c r="C421" s="730">
        <f>IF(D364="","-",+C420+1)</f>
        <v>2067</v>
      </c>
      <c r="D421" s="683">
        <f t="shared" si="19"/>
        <v>2352.7124183007022</v>
      </c>
      <c r="E421" s="737">
        <f t="shared" si="23"/>
        <v>2352.7124183007022</v>
      </c>
      <c r="F421" s="683">
        <f t="shared" si="18"/>
        <v>0</v>
      </c>
      <c r="G421" s="1291">
        <f t="shared" si="20"/>
        <v>2476.8448529690527</v>
      </c>
      <c r="H421" s="1294">
        <f t="shared" si="21"/>
        <v>2476.8448529690527</v>
      </c>
      <c r="I421" s="734">
        <f t="shared" si="22"/>
        <v>0</v>
      </c>
      <c r="J421" s="734"/>
      <c r="K421" s="884"/>
      <c r="L421" s="740"/>
      <c r="M421" s="884"/>
      <c r="N421" s="740"/>
      <c r="O421" s="740"/>
    </row>
    <row r="422" spans="3:15">
      <c r="C422" s="730">
        <f>IF(D364="","-",+C421+1)</f>
        <v>2068</v>
      </c>
      <c r="D422" s="683">
        <f t="shared" si="19"/>
        <v>0</v>
      </c>
      <c r="E422" s="737">
        <f t="shared" si="23"/>
        <v>0</v>
      </c>
      <c r="F422" s="683">
        <f t="shared" si="18"/>
        <v>0</v>
      </c>
      <c r="G422" s="1291">
        <f t="shared" si="20"/>
        <v>0</v>
      </c>
      <c r="H422" s="1294">
        <f t="shared" si="21"/>
        <v>0</v>
      </c>
      <c r="I422" s="734">
        <f t="shared" si="22"/>
        <v>0</v>
      </c>
      <c r="J422" s="734"/>
      <c r="K422" s="884"/>
      <c r="L422" s="740"/>
      <c r="M422" s="884"/>
      <c r="N422" s="740"/>
      <c r="O422" s="740"/>
    </row>
    <row r="423" spans="3:15">
      <c r="C423" s="730">
        <f>IF(D364="","-",+C422+1)</f>
        <v>2069</v>
      </c>
      <c r="D423" s="683">
        <f t="shared" si="19"/>
        <v>0</v>
      </c>
      <c r="E423" s="737">
        <f t="shared" si="23"/>
        <v>0</v>
      </c>
      <c r="F423" s="683">
        <f t="shared" si="18"/>
        <v>0</v>
      </c>
      <c r="G423" s="1291">
        <f t="shared" si="20"/>
        <v>0</v>
      </c>
      <c r="H423" s="1294">
        <f t="shared" si="21"/>
        <v>0</v>
      </c>
      <c r="I423" s="734">
        <f t="shared" si="22"/>
        <v>0</v>
      </c>
      <c r="J423" s="734"/>
      <c r="K423" s="884"/>
      <c r="L423" s="740"/>
      <c r="M423" s="884"/>
      <c r="N423" s="740"/>
      <c r="O423" s="740"/>
    </row>
    <row r="424" spans="3:15">
      <c r="C424" s="730">
        <f>IF(D364="","-",+C423+1)</f>
        <v>2070</v>
      </c>
      <c r="D424" s="683">
        <f t="shared" si="19"/>
        <v>0</v>
      </c>
      <c r="E424" s="737">
        <f t="shared" si="23"/>
        <v>0</v>
      </c>
      <c r="F424" s="683">
        <f t="shared" si="18"/>
        <v>0</v>
      </c>
      <c r="G424" s="1291">
        <f t="shared" si="20"/>
        <v>0</v>
      </c>
      <c r="H424" s="1294">
        <f t="shared" si="21"/>
        <v>0</v>
      </c>
      <c r="I424" s="734">
        <f t="shared" si="22"/>
        <v>0</v>
      </c>
      <c r="J424" s="734"/>
      <c r="K424" s="884"/>
      <c r="L424" s="740"/>
      <c r="M424" s="884"/>
      <c r="N424" s="740"/>
      <c r="O424" s="740"/>
    </row>
    <row r="425" spans="3:15">
      <c r="C425" s="730">
        <f>IF(D364="","-",+C424+1)</f>
        <v>2071</v>
      </c>
      <c r="D425" s="683">
        <f t="shared" si="19"/>
        <v>0</v>
      </c>
      <c r="E425" s="737">
        <f t="shared" si="23"/>
        <v>0</v>
      </c>
      <c r="F425" s="683">
        <f t="shared" si="18"/>
        <v>0</v>
      </c>
      <c r="G425" s="1291">
        <f t="shared" si="20"/>
        <v>0</v>
      </c>
      <c r="H425" s="1294">
        <f t="shared" si="21"/>
        <v>0</v>
      </c>
      <c r="I425" s="734">
        <f t="shared" si="22"/>
        <v>0</v>
      </c>
      <c r="J425" s="734"/>
      <c r="K425" s="884"/>
      <c r="L425" s="740"/>
      <c r="M425" s="884"/>
      <c r="N425" s="740"/>
      <c r="O425" s="740"/>
    </row>
    <row r="426" spans="3:15">
      <c r="C426" s="730">
        <f>IF(D364="","-",+C425+1)</f>
        <v>2072</v>
      </c>
      <c r="D426" s="683">
        <f t="shared" si="19"/>
        <v>0</v>
      </c>
      <c r="E426" s="737">
        <f t="shared" si="23"/>
        <v>0</v>
      </c>
      <c r="F426" s="683">
        <f t="shared" si="18"/>
        <v>0</v>
      </c>
      <c r="G426" s="1291">
        <f t="shared" si="20"/>
        <v>0</v>
      </c>
      <c r="H426" s="1294">
        <f t="shared" si="21"/>
        <v>0</v>
      </c>
      <c r="I426" s="734">
        <f t="shared" si="22"/>
        <v>0</v>
      </c>
      <c r="J426" s="734"/>
      <c r="K426" s="884"/>
      <c r="L426" s="740"/>
      <c r="M426" s="884"/>
      <c r="N426" s="740"/>
      <c r="O426" s="740"/>
    </row>
    <row r="427" spans="3:15">
      <c r="C427" s="730">
        <f>IF(D364="","-",+C426+1)</f>
        <v>2073</v>
      </c>
      <c r="D427" s="683">
        <f t="shared" si="19"/>
        <v>0</v>
      </c>
      <c r="E427" s="737">
        <f t="shared" si="23"/>
        <v>0</v>
      </c>
      <c r="F427" s="683">
        <f t="shared" si="18"/>
        <v>0</v>
      </c>
      <c r="G427" s="1291">
        <f t="shared" si="20"/>
        <v>0</v>
      </c>
      <c r="H427" s="1294">
        <f t="shared" si="21"/>
        <v>0</v>
      </c>
      <c r="I427" s="734">
        <f t="shared" si="22"/>
        <v>0</v>
      </c>
      <c r="J427" s="734"/>
      <c r="K427" s="884"/>
      <c r="L427" s="740"/>
      <c r="M427" s="884"/>
      <c r="N427" s="740"/>
      <c r="O427" s="740"/>
    </row>
    <row r="428" spans="3:15">
      <c r="C428" s="730">
        <f>IF(D364="","-",+C427+1)</f>
        <v>2074</v>
      </c>
      <c r="D428" s="683">
        <f t="shared" si="19"/>
        <v>0</v>
      </c>
      <c r="E428" s="737">
        <f t="shared" si="23"/>
        <v>0</v>
      </c>
      <c r="F428" s="683">
        <f t="shared" si="18"/>
        <v>0</v>
      </c>
      <c r="G428" s="1291">
        <f t="shared" si="20"/>
        <v>0</v>
      </c>
      <c r="H428" s="1294">
        <f t="shared" si="21"/>
        <v>0</v>
      </c>
      <c r="I428" s="734">
        <f t="shared" si="22"/>
        <v>0</v>
      </c>
      <c r="J428" s="734"/>
      <c r="K428" s="884"/>
      <c r="L428" s="740"/>
      <c r="M428" s="884"/>
      <c r="N428" s="740"/>
      <c r="O428" s="740"/>
    </row>
    <row r="429" spans="3:15" ht="13" thickBot="1">
      <c r="C429" s="741">
        <f>IF(D364="","-",+C428+1)</f>
        <v>2075</v>
      </c>
      <c r="D429" s="742">
        <f t="shared" si="19"/>
        <v>0</v>
      </c>
      <c r="E429" s="743">
        <f t="shared" si="23"/>
        <v>0</v>
      </c>
      <c r="F429" s="742">
        <f t="shared" si="18"/>
        <v>0</v>
      </c>
      <c r="G429" s="1303">
        <f t="shared" si="20"/>
        <v>0</v>
      </c>
      <c r="H429" s="1303">
        <f t="shared" si="21"/>
        <v>0</v>
      </c>
      <c r="I429" s="745">
        <f t="shared" si="22"/>
        <v>0</v>
      </c>
      <c r="J429" s="734"/>
      <c r="K429" s="885"/>
      <c r="L429" s="747"/>
      <c r="M429" s="885"/>
      <c r="N429" s="747"/>
      <c r="O429" s="747"/>
    </row>
    <row r="430" spans="3:15">
      <c r="C430" s="683" t="s">
        <v>289</v>
      </c>
      <c r="D430" s="1272"/>
      <c r="E430" s="1272">
        <f>SUM(E370:E429)</f>
        <v>143986.00000000003</v>
      </c>
      <c r="F430" s="1272"/>
      <c r="G430" s="1272">
        <f>SUM(G370:G429)</f>
        <v>544089.66342301923</v>
      </c>
      <c r="H430" s="1272">
        <f>SUM(H370:H429)</f>
        <v>544089.66342301923</v>
      </c>
      <c r="I430" s="1272">
        <f>SUM(I370:I429)</f>
        <v>0</v>
      </c>
      <c r="J430" s="1272"/>
      <c r="K430" s="1272"/>
      <c r="L430" s="1272"/>
      <c r="M430" s="1272"/>
      <c r="N430" s="1272"/>
      <c r="O430" s="550"/>
    </row>
    <row r="431" spans="3:15">
      <c r="D431" s="573"/>
      <c r="E431" s="550"/>
      <c r="F431" s="550"/>
      <c r="G431" s="550"/>
      <c r="H431" s="1271"/>
      <c r="I431" s="1271"/>
      <c r="J431" s="1272"/>
      <c r="K431" s="1271"/>
      <c r="L431" s="1271"/>
      <c r="M431" s="1271"/>
      <c r="N431" s="1271"/>
      <c r="O431" s="550"/>
    </row>
    <row r="432" spans="3:15">
      <c r="C432" s="1304" t="s">
        <v>980</v>
      </c>
      <c r="D432" s="573"/>
      <c r="E432" s="550"/>
      <c r="F432" s="550"/>
      <c r="G432" s="550"/>
      <c r="H432" s="1271"/>
      <c r="I432" s="1271"/>
      <c r="J432" s="1272"/>
      <c r="K432" s="1271"/>
      <c r="L432" s="1271"/>
      <c r="M432" s="1271"/>
      <c r="N432" s="1271"/>
      <c r="O432" s="550"/>
    </row>
    <row r="433" spans="1:16">
      <c r="D433" s="573"/>
      <c r="E433" s="550"/>
      <c r="F433" s="550"/>
      <c r="G433" s="550"/>
      <c r="H433" s="1271"/>
      <c r="I433" s="1271"/>
      <c r="J433" s="1272"/>
      <c r="K433" s="1271"/>
      <c r="L433" s="1271"/>
      <c r="M433" s="1271"/>
      <c r="N433" s="1271"/>
      <c r="O433" s="550"/>
    </row>
    <row r="434" spans="1:16" ht="13">
      <c r="C434" s="696" t="s">
        <v>981</v>
      </c>
      <c r="D434" s="683"/>
      <c r="E434" s="683"/>
      <c r="F434" s="683"/>
      <c r="G434" s="1272"/>
      <c r="H434" s="1272"/>
      <c r="I434" s="684"/>
      <c r="J434" s="684"/>
      <c r="K434" s="684"/>
      <c r="L434" s="684"/>
      <c r="M434" s="684"/>
      <c r="N434" s="684"/>
      <c r="O434" s="550"/>
    </row>
    <row r="435" spans="1:16" ht="13">
      <c r="C435" s="682" t="s">
        <v>477</v>
      </c>
      <c r="D435" s="683"/>
      <c r="E435" s="683"/>
      <c r="F435" s="683"/>
      <c r="G435" s="1272"/>
      <c r="H435" s="1272"/>
      <c r="I435" s="684"/>
      <c r="J435" s="684"/>
      <c r="K435" s="684"/>
      <c r="L435" s="684"/>
      <c r="M435" s="684"/>
      <c r="N435" s="684"/>
      <c r="O435" s="550"/>
    </row>
    <row r="436" spans="1:16" ht="13">
      <c r="C436" s="682" t="s">
        <v>290</v>
      </c>
      <c r="D436" s="683"/>
      <c r="E436" s="683"/>
      <c r="F436" s="683"/>
      <c r="G436" s="1272"/>
      <c r="H436" s="1272"/>
      <c r="I436" s="684"/>
      <c r="J436" s="684"/>
      <c r="K436" s="684"/>
      <c r="L436" s="684"/>
      <c r="M436" s="684"/>
      <c r="N436" s="684"/>
      <c r="O436" s="550"/>
    </row>
    <row r="437" spans="1:16" ht="13">
      <c r="C437" s="682"/>
      <c r="D437" s="683"/>
      <c r="E437" s="683"/>
      <c r="F437" s="683"/>
      <c r="G437" s="1272"/>
      <c r="H437" s="1272"/>
      <c r="I437" s="684"/>
      <c r="J437" s="684"/>
      <c r="K437" s="684"/>
      <c r="L437" s="684"/>
      <c r="M437" s="684"/>
      <c r="N437" s="684"/>
      <c r="O437" s="550"/>
    </row>
    <row r="438" spans="1:16">
      <c r="C438" s="1546" t="s">
        <v>461</v>
      </c>
      <c r="D438" s="1546"/>
      <c r="E438" s="1546"/>
      <c r="F438" s="1546"/>
      <c r="G438" s="1546"/>
      <c r="H438" s="1546"/>
      <c r="I438" s="1546"/>
      <c r="J438" s="1546"/>
      <c r="K438" s="1546"/>
      <c r="L438" s="1546"/>
      <c r="M438" s="1546"/>
      <c r="N438" s="1546"/>
      <c r="O438" s="1546"/>
    </row>
    <row r="439" spans="1:16">
      <c r="C439" s="1546"/>
      <c r="D439" s="1546"/>
      <c r="E439" s="1546"/>
      <c r="F439" s="1546"/>
      <c r="G439" s="1546"/>
      <c r="H439" s="1546"/>
      <c r="I439" s="1546"/>
      <c r="J439" s="1546"/>
      <c r="K439" s="1546"/>
      <c r="L439" s="1546"/>
      <c r="M439" s="1546"/>
      <c r="N439" s="1546"/>
      <c r="O439" s="1546"/>
    </row>
    <row r="440" spans="1:16" ht="20">
      <c r="A440" s="685" t="s">
        <v>977</v>
      </c>
      <c r="B440" s="586"/>
      <c r="C440" s="665"/>
      <c r="D440" s="573"/>
      <c r="E440" s="550"/>
      <c r="F440" s="655"/>
      <c r="G440" s="550"/>
      <c r="H440" s="1271"/>
      <c r="K440" s="686"/>
      <c r="L440" s="686"/>
      <c r="M440" s="686"/>
      <c r="N440" s="601" t="str">
        <f>"Page "&amp;P440&amp;" of "</f>
        <v xml:space="preserve">Page 6 of </v>
      </c>
      <c r="O440" s="602">
        <f>COUNT(P$6:P$59527)</f>
        <v>9</v>
      </c>
      <c r="P440" s="550">
        <v>6</v>
      </c>
    </row>
    <row r="441" spans="1:16">
      <c r="B441" s="586"/>
      <c r="C441" s="550"/>
      <c r="D441" s="573"/>
      <c r="E441" s="550"/>
      <c r="F441" s="550"/>
      <c r="G441" s="550"/>
      <c r="H441" s="1271"/>
      <c r="I441" s="550"/>
      <c r="J441" s="598"/>
      <c r="K441" s="550"/>
      <c r="L441" s="550"/>
      <c r="M441" s="550"/>
      <c r="N441" s="550"/>
      <c r="O441" s="550"/>
    </row>
    <row r="442" spans="1:16" ht="17">
      <c r="B442" s="605" t="s">
        <v>175</v>
      </c>
      <c r="C442" s="687" t="s">
        <v>291</v>
      </c>
      <c r="D442" s="573"/>
      <c r="E442" s="550"/>
      <c r="F442" s="550"/>
      <c r="G442" s="550"/>
      <c r="H442" s="1271"/>
      <c r="I442" s="1271"/>
      <c r="J442" s="1272"/>
      <c r="K442" s="1271"/>
      <c r="L442" s="1271"/>
      <c r="M442" s="1271"/>
      <c r="N442" s="1271"/>
      <c r="O442" s="550"/>
    </row>
    <row r="443" spans="1:16" ht="18">
      <c r="B443" s="605"/>
      <c r="C443" s="604"/>
      <c r="D443" s="573"/>
      <c r="E443" s="550"/>
      <c r="F443" s="550"/>
      <c r="G443" s="550"/>
      <c r="H443" s="1271"/>
      <c r="I443" s="1271"/>
      <c r="J443" s="1272"/>
      <c r="K443" s="1271"/>
      <c r="L443" s="1271"/>
      <c r="M443" s="1271"/>
      <c r="N443" s="1271"/>
      <c r="O443" s="550"/>
    </row>
    <row r="444" spans="1:16" ht="18">
      <c r="B444" s="605"/>
      <c r="C444" s="604" t="s">
        <v>292</v>
      </c>
      <c r="D444" s="573"/>
      <c r="E444" s="550"/>
      <c r="F444" s="550"/>
      <c r="G444" s="550"/>
      <c r="H444" s="1271"/>
      <c r="I444" s="1271"/>
      <c r="J444" s="1272"/>
      <c r="K444" s="1271"/>
      <c r="L444" s="1271"/>
      <c r="M444" s="1271"/>
      <c r="N444" s="1271"/>
      <c r="O444" s="550"/>
    </row>
    <row r="445" spans="1:16" ht="16" thickBot="1">
      <c r="C445" s="403"/>
      <c r="D445" s="573"/>
      <c r="E445" s="550"/>
      <c r="F445" s="550"/>
      <c r="G445" s="550"/>
      <c r="H445" s="1271"/>
      <c r="I445" s="1271"/>
      <c r="J445" s="1272"/>
      <c r="K445" s="1271"/>
      <c r="L445" s="1271"/>
      <c r="M445" s="1271"/>
      <c r="N445" s="1271"/>
      <c r="O445" s="550"/>
    </row>
    <row r="446" spans="1:16" ht="15.5">
      <c r="C446" s="606" t="s">
        <v>293</v>
      </c>
      <c r="D446" s="573"/>
      <c r="E446" s="550"/>
      <c r="F446" s="550"/>
      <c r="G446" s="1273"/>
      <c r="H446" s="550" t="s">
        <v>272</v>
      </c>
      <c r="I446" s="550"/>
      <c r="J446" s="598"/>
      <c r="K446" s="688" t="s">
        <v>297</v>
      </c>
      <c r="L446" s="689"/>
      <c r="M446" s="690"/>
      <c r="N446" s="1274">
        <f>VLOOKUP(I452,C459:O518,5)</f>
        <v>94744.909503954594</v>
      </c>
      <c r="O446" s="550"/>
    </row>
    <row r="447" spans="1:16" ht="15.5">
      <c r="C447" s="606"/>
      <c r="D447" s="573"/>
      <c r="E447" s="550"/>
      <c r="F447" s="550"/>
      <c r="G447" s="550"/>
      <c r="H447" s="1275"/>
      <c r="I447" s="1275"/>
      <c r="J447" s="1276"/>
      <c r="K447" s="693" t="s">
        <v>298</v>
      </c>
      <c r="L447" s="1277"/>
      <c r="M447" s="598"/>
      <c r="N447" s="1278">
        <f>VLOOKUP(I452,C459:O518,6)</f>
        <v>94744.909503954594</v>
      </c>
      <c r="O447" s="550"/>
    </row>
    <row r="448" spans="1:16" ht="13.5" thickBot="1">
      <c r="C448" s="694" t="s">
        <v>294</v>
      </c>
      <c r="D448" s="1558" t="s">
        <v>985</v>
      </c>
      <c r="E448" s="1559"/>
      <c r="F448" s="1559"/>
      <c r="G448" s="1559"/>
      <c r="H448" s="1559"/>
      <c r="I448" s="1559"/>
      <c r="J448" s="1272"/>
      <c r="K448" s="1279" t="s">
        <v>451</v>
      </c>
      <c r="L448" s="1280"/>
      <c r="M448" s="1280"/>
      <c r="N448" s="1281">
        <f>+N447-N446</f>
        <v>0</v>
      </c>
      <c r="O448" s="550"/>
    </row>
    <row r="449" spans="1:15" ht="13">
      <c r="C449" s="696"/>
      <c r="D449" s="1559"/>
      <c r="E449" s="1559"/>
      <c r="F449" s="1559"/>
      <c r="G449" s="1559"/>
      <c r="H449" s="1559"/>
      <c r="I449" s="1559"/>
      <c r="J449" s="1272"/>
      <c r="K449" s="1271"/>
      <c r="L449" s="1271"/>
      <c r="M449" s="1271"/>
      <c r="N449" s="1271"/>
      <c r="O449" s="550"/>
    </row>
    <row r="450" spans="1:15" ht="13.5" thickBot="1">
      <c r="C450" s="698"/>
      <c r="D450" s="699"/>
      <c r="E450" s="697"/>
      <c r="F450" s="697"/>
      <c r="G450" s="697"/>
      <c r="H450" s="697"/>
      <c r="I450" s="697"/>
      <c r="J450" s="700"/>
      <c r="K450" s="697"/>
      <c r="L450" s="697"/>
      <c r="M450" s="697"/>
      <c r="N450" s="697"/>
      <c r="O450" s="586"/>
    </row>
    <row r="451" spans="1:15" ht="13" thickBot="1">
      <c r="C451" s="701" t="s">
        <v>295</v>
      </c>
      <c r="D451" s="702"/>
      <c r="E451" s="702"/>
      <c r="F451" s="702"/>
      <c r="G451" s="702"/>
      <c r="H451" s="702"/>
      <c r="I451" s="703"/>
      <c r="J451" s="704"/>
      <c r="K451" s="550"/>
      <c r="L451" s="550"/>
      <c r="M451" s="550"/>
      <c r="N451" s="550"/>
      <c r="O451" s="705"/>
    </row>
    <row r="452" spans="1:15" ht="16">
      <c r="C452" s="707" t="s">
        <v>273</v>
      </c>
      <c r="D452" s="1282">
        <v>818037</v>
      </c>
      <c r="E452" s="665" t="s">
        <v>274</v>
      </c>
      <c r="G452" s="708"/>
      <c r="H452" s="708"/>
      <c r="I452" s="709">
        <v>2018</v>
      </c>
      <c r="J452" s="596"/>
      <c r="K452" s="1557" t="s">
        <v>460</v>
      </c>
      <c r="L452" s="1557"/>
      <c r="M452" s="1557"/>
      <c r="N452" s="1557"/>
      <c r="O452" s="1557"/>
    </row>
    <row r="453" spans="1:15">
      <c r="C453" s="707" t="s">
        <v>276</v>
      </c>
      <c r="D453" s="879">
        <v>2013</v>
      </c>
      <c r="E453" s="707" t="s">
        <v>277</v>
      </c>
      <c r="F453" s="708"/>
      <c r="H453" s="337"/>
      <c r="I453" s="882">
        <f>IF(G446="",0,$F$15)</f>
        <v>0</v>
      </c>
      <c r="J453" s="710"/>
      <c r="K453" s="1272" t="s">
        <v>460</v>
      </c>
    </row>
    <row r="454" spans="1:15">
      <c r="C454" s="707" t="s">
        <v>278</v>
      </c>
      <c r="D454" s="1282">
        <v>12</v>
      </c>
      <c r="E454" s="707" t="s">
        <v>279</v>
      </c>
      <c r="F454" s="708"/>
      <c r="H454" s="337"/>
      <c r="I454" s="711">
        <f>$G$70</f>
        <v>0.10552282863199051</v>
      </c>
      <c r="J454" s="712"/>
      <c r="K454" s="337" t="str">
        <f>"          INPUT PROJECTED ARR (WITH &amp; WITHOUT INCENTIVES) FROM EACH PRIOR YEAR"</f>
        <v xml:space="preserve">          INPUT PROJECTED ARR (WITH &amp; WITHOUT INCENTIVES) FROM EACH PRIOR YEAR</v>
      </c>
    </row>
    <row r="455" spans="1:15">
      <c r="C455" s="707" t="s">
        <v>280</v>
      </c>
      <c r="D455" s="713">
        <f>G$79</f>
        <v>51</v>
      </c>
      <c r="E455" s="707" t="s">
        <v>281</v>
      </c>
      <c r="F455" s="708"/>
      <c r="H455" s="337"/>
      <c r="I455" s="711">
        <f>IF(G446="",I454,$G$67)</f>
        <v>0.10552282863199051</v>
      </c>
      <c r="J455" s="714"/>
      <c r="K455" s="337" t="s">
        <v>358</v>
      </c>
    </row>
    <row r="456" spans="1:15" ht="13" thickBot="1">
      <c r="C456" s="707" t="s">
        <v>282</v>
      </c>
      <c r="D456" s="881" t="s">
        <v>979</v>
      </c>
      <c r="E456" s="715" t="s">
        <v>283</v>
      </c>
      <c r="F456" s="716"/>
      <c r="G456" s="717"/>
      <c r="H456" s="717"/>
      <c r="I456" s="1281">
        <f>IF(D452=0,0,D452/D455)</f>
        <v>16039.941176470587</v>
      </c>
      <c r="J456" s="1272"/>
      <c r="K456" s="1272" t="s">
        <v>364</v>
      </c>
      <c r="L456" s="1272"/>
      <c r="M456" s="1272"/>
      <c r="N456" s="1272"/>
      <c r="O456" s="598"/>
    </row>
    <row r="457" spans="1:15" ht="52">
      <c r="A457" s="537"/>
      <c r="B457" s="1283"/>
      <c r="C457" s="718" t="s">
        <v>273</v>
      </c>
      <c r="D457" s="1284" t="s">
        <v>284</v>
      </c>
      <c r="E457" s="1285" t="s">
        <v>285</v>
      </c>
      <c r="F457" s="1284" t="s">
        <v>286</v>
      </c>
      <c r="G457" s="1285" t="s">
        <v>357</v>
      </c>
      <c r="H457" s="1286" t="s">
        <v>357</v>
      </c>
      <c r="I457" s="718" t="s">
        <v>296</v>
      </c>
      <c r="J457" s="722"/>
      <c r="K457" s="1285" t="s">
        <v>366</v>
      </c>
      <c r="L457" s="1287"/>
      <c r="M457" s="1285" t="s">
        <v>366</v>
      </c>
      <c r="N457" s="1287"/>
      <c r="O457" s="1287"/>
    </row>
    <row r="458" spans="1:15" ht="13.5" thickBot="1">
      <c r="C458" s="724" t="s">
        <v>178</v>
      </c>
      <c r="D458" s="725" t="s">
        <v>179</v>
      </c>
      <c r="E458" s="724" t="s">
        <v>38</v>
      </c>
      <c r="F458" s="725" t="s">
        <v>179</v>
      </c>
      <c r="G458" s="1288" t="s">
        <v>299</v>
      </c>
      <c r="H458" s="1289" t="s">
        <v>301</v>
      </c>
      <c r="I458" s="728" t="s">
        <v>390</v>
      </c>
      <c r="J458" s="729"/>
      <c r="K458" s="1288" t="s">
        <v>288</v>
      </c>
      <c r="L458" s="1290"/>
      <c r="M458" s="1288" t="s">
        <v>301</v>
      </c>
      <c r="N458" s="1290"/>
      <c r="O458" s="1290"/>
    </row>
    <row r="459" spans="1:15">
      <c r="C459" s="730">
        <f>IF(D453= "","-",D453)</f>
        <v>2013</v>
      </c>
      <c r="D459" s="683">
        <f>+D452</f>
        <v>818037</v>
      </c>
      <c r="E459" s="1291">
        <f>+I456/12*(12-D454)</f>
        <v>0</v>
      </c>
      <c r="F459" s="683">
        <f t="shared" ref="F459:F518" si="24">+D459-E459</f>
        <v>818037</v>
      </c>
      <c r="G459" s="1292">
        <f>+$I$454*((D459+F459)/2)+E459</f>
        <v>86321.578165627623</v>
      </c>
      <c r="H459" s="1293">
        <f>+$I$455*((D459+F459)/2)+E459</f>
        <v>86321.578165627623</v>
      </c>
      <c r="I459" s="734">
        <f>+H459-G459</f>
        <v>0</v>
      </c>
      <c r="J459" s="734"/>
      <c r="K459" s="884">
        <v>0</v>
      </c>
      <c r="L459" s="736"/>
      <c r="M459" s="884">
        <v>0</v>
      </c>
      <c r="N459" s="736"/>
      <c r="O459" s="736"/>
    </row>
    <row r="460" spans="1:15">
      <c r="C460" s="730">
        <f>IF(D453="","-",+C459+1)</f>
        <v>2014</v>
      </c>
      <c r="D460" s="683">
        <f t="shared" ref="D460:D518" si="25">F459</f>
        <v>818037</v>
      </c>
      <c r="E460" s="737">
        <f>IF(D460&gt;$I$456,$I$456,D460)</f>
        <v>16039.941176470587</v>
      </c>
      <c r="F460" s="683">
        <f t="shared" si="24"/>
        <v>801997.0588235294</v>
      </c>
      <c r="G460" s="1291">
        <f t="shared" ref="G460:G518" si="26">+$I$454*((D460+F460)/2)+E460</f>
        <v>101515.22936008226</v>
      </c>
      <c r="H460" s="1294">
        <f t="shared" ref="H460:H518" si="27">+$I$455*((D460+F460)/2)+E460</f>
        <v>101515.22936008226</v>
      </c>
      <c r="I460" s="734">
        <f t="shared" ref="I460:I518" si="28">+H460-G460</f>
        <v>0</v>
      </c>
      <c r="J460" s="734"/>
      <c r="K460" s="884">
        <v>139756</v>
      </c>
      <c r="L460" s="740"/>
      <c r="M460" s="884">
        <v>139756</v>
      </c>
      <c r="N460" s="740"/>
      <c r="O460" s="740"/>
    </row>
    <row r="461" spans="1:15">
      <c r="C461" s="730">
        <f>IF(D453="","-",+C460+1)</f>
        <v>2015</v>
      </c>
      <c r="D461" s="683">
        <f t="shared" si="25"/>
        <v>801997.0588235294</v>
      </c>
      <c r="E461" s="737">
        <f t="shared" ref="E461:E518" si="29">IF(D461&gt;$I$456,$I$456,D461)</f>
        <v>16039.941176470587</v>
      </c>
      <c r="F461" s="683">
        <f t="shared" si="24"/>
        <v>785957.1176470588</v>
      </c>
      <c r="G461" s="1291">
        <f t="shared" si="26"/>
        <v>99822.649396050343</v>
      </c>
      <c r="H461" s="1294">
        <f t="shared" si="27"/>
        <v>99822.649396050343</v>
      </c>
      <c r="I461" s="734">
        <f t="shared" si="28"/>
        <v>0</v>
      </c>
      <c r="J461" s="734"/>
      <c r="K461" s="884">
        <v>133078</v>
      </c>
      <c r="L461" s="740"/>
      <c r="M461" s="884">
        <v>133078</v>
      </c>
      <c r="N461" s="740"/>
      <c r="O461" s="740"/>
    </row>
    <row r="462" spans="1:15">
      <c r="C462" s="730">
        <f>IF(D453="","-",+C461+1)</f>
        <v>2016</v>
      </c>
      <c r="D462" s="683">
        <f t="shared" si="25"/>
        <v>785957.1176470588</v>
      </c>
      <c r="E462" s="737">
        <f t="shared" si="29"/>
        <v>16039.941176470587</v>
      </c>
      <c r="F462" s="683">
        <f t="shared" si="24"/>
        <v>769917.17647058819</v>
      </c>
      <c r="G462" s="1291">
        <f t="shared" si="26"/>
        <v>98130.069432018427</v>
      </c>
      <c r="H462" s="1294">
        <f t="shared" si="27"/>
        <v>98130.069432018427</v>
      </c>
      <c r="I462" s="734">
        <f t="shared" si="28"/>
        <v>0</v>
      </c>
      <c r="J462" s="734"/>
      <c r="K462" s="884">
        <v>132118</v>
      </c>
      <c r="L462" s="740"/>
      <c r="M462" s="884">
        <v>132118</v>
      </c>
      <c r="N462" s="740"/>
      <c r="O462" s="740"/>
    </row>
    <row r="463" spans="1:15">
      <c r="C463" s="730">
        <f>IF(D453="","-",+C462+1)</f>
        <v>2017</v>
      </c>
      <c r="D463" s="683">
        <f t="shared" si="25"/>
        <v>769917.17647058819</v>
      </c>
      <c r="E463" s="737">
        <f t="shared" si="29"/>
        <v>16039.941176470587</v>
      </c>
      <c r="F463" s="683">
        <f t="shared" si="24"/>
        <v>753877.23529411759</v>
      </c>
      <c r="G463" s="1291">
        <f t="shared" si="26"/>
        <v>96437.48946798651</v>
      </c>
      <c r="H463" s="1294">
        <f t="shared" si="27"/>
        <v>96437.48946798651</v>
      </c>
      <c r="I463" s="734">
        <f t="shared" si="28"/>
        <v>0</v>
      </c>
      <c r="J463" s="734"/>
      <c r="K463" s="884">
        <v>119121</v>
      </c>
      <c r="L463" s="740"/>
      <c r="M463" s="884">
        <v>119121</v>
      </c>
      <c r="N463" s="740"/>
      <c r="O463" s="740"/>
    </row>
    <row r="464" spans="1:15">
      <c r="C464" s="730">
        <f>IF(D453="","-",+C463+1)</f>
        <v>2018</v>
      </c>
      <c r="D464" s="683">
        <f t="shared" si="25"/>
        <v>753877.23529411759</v>
      </c>
      <c r="E464" s="737">
        <f t="shared" si="29"/>
        <v>16039.941176470587</v>
      </c>
      <c r="F464" s="683">
        <f t="shared" si="24"/>
        <v>737837.29411764699</v>
      </c>
      <c r="G464" s="1291">
        <f t="shared" si="26"/>
        <v>94744.909503954594</v>
      </c>
      <c r="H464" s="1294">
        <f t="shared" si="27"/>
        <v>94744.909503954594</v>
      </c>
      <c r="I464" s="734">
        <f t="shared" si="28"/>
        <v>0</v>
      </c>
      <c r="J464" s="734"/>
      <c r="K464" s="884"/>
      <c r="L464" s="740"/>
      <c r="M464" s="884"/>
      <c r="N464" s="740"/>
      <c r="O464" s="740"/>
    </row>
    <row r="465" spans="3:15">
      <c r="C465" s="730">
        <f>IF(D453="","-",+C464+1)</f>
        <v>2019</v>
      </c>
      <c r="D465" s="683">
        <f t="shared" si="25"/>
        <v>737837.29411764699</v>
      </c>
      <c r="E465" s="737">
        <f t="shared" si="29"/>
        <v>16039.941176470587</v>
      </c>
      <c r="F465" s="683">
        <f t="shared" si="24"/>
        <v>721797.35294117639</v>
      </c>
      <c r="G465" s="1291">
        <f t="shared" si="26"/>
        <v>93052.329539922677</v>
      </c>
      <c r="H465" s="1294">
        <f t="shared" si="27"/>
        <v>93052.329539922677</v>
      </c>
      <c r="I465" s="734">
        <f t="shared" si="28"/>
        <v>0</v>
      </c>
      <c r="J465" s="734"/>
      <c r="K465" s="884"/>
      <c r="L465" s="740"/>
      <c r="M465" s="884"/>
      <c r="N465" s="740"/>
      <c r="O465" s="740"/>
    </row>
    <row r="466" spans="3:15">
      <c r="C466" s="730">
        <f>IF(D453="","-",+C465+1)</f>
        <v>2020</v>
      </c>
      <c r="D466" s="683">
        <f t="shared" si="25"/>
        <v>721797.35294117639</v>
      </c>
      <c r="E466" s="737">
        <f t="shared" si="29"/>
        <v>16039.941176470587</v>
      </c>
      <c r="F466" s="683">
        <f t="shared" si="24"/>
        <v>705757.41176470579</v>
      </c>
      <c r="G466" s="1291">
        <f t="shared" si="26"/>
        <v>91359.749575890761</v>
      </c>
      <c r="H466" s="1294">
        <f t="shared" si="27"/>
        <v>91359.749575890761</v>
      </c>
      <c r="I466" s="734">
        <f t="shared" si="28"/>
        <v>0</v>
      </c>
      <c r="J466" s="734"/>
      <c r="K466" s="884"/>
      <c r="L466" s="740"/>
      <c r="M466" s="884"/>
      <c r="N466" s="740"/>
      <c r="O466" s="740"/>
    </row>
    <row r="467" spans="3:15">
      <c r="C467" s="730">
        <f>IF(D453="","-",+C466+1)</f>
        <v>2021</v>
      </c>
      <c r="D467" s="683">
        <f t="shared" si="25"/>
        <v>705757.41176470579</v>
      </c>
      <c r="E467" s="737">
        <f t="shared" si="29"/>
        <v>16039.941176470587</v>
      </c>
      <c r="F467" s="683">
        <f t="shared" si="24"/>
        <v>689717.47058823518</v>
      </c>
      <c r="G467" s="1291">
        <f t="shared" si="26"/>
        <v>89667.169611858844</v>
      </c>
      <c r="H467" s="1294">
        <f t="shared" si="27"/>
        <v>89667.169611858844</v>
      </c>
      <c r="I467" s="734">
        <f t="shared" si="28"/>
        <v>0</v>
      </c>
      <c r="J467" s="734"/>
      <c r="K467" s="884"/>
      <c r="L467" s="740"/>
      <c r="M467" s="884"/>
      <c r="N467" s="740"/>
      <c r="O467" s="740"/>
    </row>
    <row r="468" spans="3:15">
      <c r="C468" s="730">
        <f>IF(D453="","-",+C467+1)</f>
        <v>2022</v>
      </c>
      <c r="D468" s="683">
        <f t="shared" si="25"/>
        <v>689717.47058823518</v>
      </c>
      <c r="E468" s="737">
        <f t="shared" si="29"/>
        <v>16039.941176470587</v>
      </c>
      <c r="F468" s="683">
        <f t="shared" si="24"/>
        <v>673677.52941176458</v>
      </c>
      <c r="G468" s="1291">
        <f t="shared" si="26"/>
        <v>87974.589647826928</v>
      </c>
      <c r="H468" s="1294">
        <f t="shared" si="27"/>
        <v>87974.589647826928</v>
      </c>
      <c r="I468" s="734">
        <f t="shared" si="28"/>
        <v>0</v>
      </c>
      <c r="J468" s="734"/>
      <c r="K468" s="884"/>
      <c r="L468" s="740"/>
      <c r="M468" s="884"/>
      <c r="N468" s="740"/>
      <c r="O468" s="740"/>
    </row>
    <row r="469" spans="3:15">
      <c r="C469" s="730">
        <f>IF(D453="","-",+C468+1)</f>
        <v>2023</v>
      </c>
      <c r="D469" s="683">
        <f t="shared" si="25"/>
        <v>673677.52941176458</v>
      </c>
      <c r="E469" s="737">
        <f t="shared" si="29"/>
        <v>16039.941176470587</v>
      </c>
      <c r="F469" s="683">
        <f t="shared" si="24"/>
        <v>657637.58823529398</v>
      </c>
      <c r="G469" s="1291">
        <f t="shared" si="26"/>
        <v>86282.009683795011</v>
      </c>
      <c r="H469" s="1294">
        <f t="shared" si="27"/>
        <v>86282.009683795011</v>
      </c>
      <c r="I469" s="734">
        <f t="shared" si="28"/>
        <v>0</v>
      </c>
      <c r="J469" s="734"/>
      <c r="K469" s="884"/>
      <c r="L469" s="740"/>
      <c r="M469" s="884"/>
      <c r="N469" s="740"/>
      <c r="O469" s="740"/>
    </row>
    <row r="470" spans="3:15">
      <c r="C470" s="730">
        <f>IF(D453="","-",+C469+1)</f>
        <v>2024</v>
      </c>
      <c r="D470" s="683">
        <f t="shared" si="25"/>
        <v>657637.58823529398</v>
      </c>
      <c r="E470" s="737">
        <f t="shared" si="29"/>
        <v>16039.941176470587</v>
      </c>
      <c r="F470" s="683">
        <f t="shared" si="24"/>
        <v>641597.64705882338</v>
      </c>
      <c r="G470" s="1291">
        <f t="shared" si="26"/>
        <v>84589.429719763095</v>
      </c>
      <c r="H470" s="1294">
        <f t="shared" si="27"/>
        <v>84589.429719763095</v>
      </c>
      <c r="I470" s="734">
        <f t="shared" si="28"/>
        <v>0</v>
      </c>
      <c r="J470" s="734"/>
      <c r="K470" s="884"/>
      <c r="L470" s="740"/>
      <c r="M470" s="884"/>
      <c r="N470" s="740"/>
      <c r="O470" s="740"/>
    </row>
    <row r="471" spans="3:15">
      <c r="C471" s="730">
        <f>IF(D453="","-",+C470+1)</f>
        <v>2025</v>
      </c>
      <c r="D471" s="683">
        <f t="shared" si="25"/>
        <v>641597.64705882338</v>
      </c>
      <c r="E471" s="737">
        <f t="shared" si="29"/>
        <v>16039.941176470587</v>
      </c>
      <c r="F471" s="683">
        <f t="shared" si="24"/>
        <v>625557.70588235278</v>
      </c>
      <c r="G471" s="1291">
        <f t="shared" si="26"/>
        <v>82896.849755731178</v>
      </c>
      <c r="H471" s="1294">
        <f t="shared" si="27"/>
        <v>82896.849755731178</v>
      </c>
      <c r="I471" s="734">
        <f t="shared" si="28"/>
        <v>0</v>
      </c>
      <c r="J471" s="734"/>
      <c r="K471" s="884"/>
      <c r="L471" s="740"/>
      <c r="M471" s="884"/>
      <c r="N471" s="740"/>
      <c r="O471" s="740"/>
    </row>
    <row r="472" spans="3:15">
      <c r="C472" s="730">
        <f>IF(D453="","-",+C471+1)</f>
        <v>2026</v>
      </c>
      <c r="D472" s="683">
        <f t="shared" si="25"/>
        <v>625557.70588235278</v>
      </c>
      <c r="E472" s="737">
        <f t="shared" si="29"/>
        <v>16039.941176470587</v>
      </c>
      <c r="F472" s="683">
        <f t="shared" si="24"/>
        <v>609517.76470588217</v>
      </c>
      <c r="G472" s="1291">
        <f t="shared" si="26"/>
        <v>81204.269791699277</v>
      </c>
      <c r="H472" s="1294">
        <f t="shared" si="27"/>
        <v>81204.269791699277</v>
      </c>
      <c r="I472" s="734">
        <f t="shared" si="28"/>
        <v>0</v>
      </c>
      <c r="J472" s="734"/>
      <c r="K472" s="884"/>
      <c r="L472" s="740"/>
      <c r="M472" s="884"/>
      <c r="N472" s="740"/>
      <c r="O472" s="740"/>
    </row>
    <row r="473" spans="3:15">
      <c r="C473" s="730">
        <f>IF(D453="","-",+C472+1)</f>
        <v>2027</v>
      </c>
      <c r="D473" s="683">
        <f t="shared" si="25"/>
        <v>609517.76470588217</v>
      </c>
      <c r="E473" s="737">
        <f t="shared" si="29"/>
        <v>16039.941176470587</v>
      </c>
      <c r="F473" s="683">
        <f t="shared" si="24"/>
        <v>593477.82352941157</v>
      </c>
      <c r="G473" s="1291">
        <f t="shared" si="26"/>
        <v>79511.689827667346</v>
      </c>
      <c r="H473" s="1294">
        <f t="shared" si="27"/>
        <v>79511.689827667346</v>
      </c>
      <c r="I473" s="734">
        <f t="shared" si="28"/>
        <v>0</v>
      </c>
      <c r="J473" s="734"/>
      <c r="K473" s="884"/>
      <c r="L473" s="740"/>
      <c r="M473" s="884"/>
      <c r="N473" s="740"/>
      <c r="O473" s="740"/>
    </row>
    <row r="474" spans="3:15">
      <c r="C474" s="730">
        <f>IF(D453="","-",+C473+1)</f>
        <v>2028</v>
      </c>
      <c r="D474" s="683">
        <f t="shared" si="25"/>
        <v>593477.82352941157</v>
      </c>
      <c r="E474" s="737">
        <f t="shared" si="29"/>
        <v>16039.941176470587</v>
      </c>
      <c r="F474" s="683">
        <f t="shared" si="24"/>
        <v>577437.88235294097</v>
      </c>
      <c r="G474" s="1291">
        <f t="shared" si="26"/>
        <v>77819.109863635444</v>
      </c>
      <c r="H474" s="1294">
        <f t="shared" si="27"/>
        <v>77819.109863635444</v>
      </c>
      <c r="I474" s="734">
        <f t="shared" si="28"/>
        <v>0</v>
      </c>
      <c r="J474" s="734"/>
      <c r="K474" s="884"/>
      <c r="L474" s="740"/>
      <c r="M474" s="884"/>
      <c r="N474" s="740"/>
      <c r="O474" s="740"/>
    </row>
    <row r="475" spans="3:15">
      <c r="C475" s="730">
        <f>IF(D453="","-",+C474+1)</f>
        <v>2029</v>
      </c>
      <c r="D475" s="683">
        <f t="shared" si="25"/>
        <v>577437.88235294097</v>
      </c>
      <c r="E475" s="737">
        <f t="shared" si="29"/>
        <v>16039.941176470587</v>
      </c>
      <c r="F475" s="683">
        <f t="shared" si="24"/>
        <v>561397.94117647037</v>
      </c>
      <c r="G475" s="1291">
        <f t="shared" si="26"/>
        <v>76126.529899603513</v>
      </c>
      <c r="H475" s="1294">
        <f t="shared" si="27"/>
        <v>76126.529899603513</v>
      </c>
      <c r="I475" s="734">
        <f t="shared" si="28"/>
        <v>0</v>
      </c>
      <c r="J475" s="734"/>
      <c r="K475" s="884"/>
      <c r="L475" s="740"/>
      <c r="M475" s="884"/>
      <c r="N475" s="740"/>
      <c r="O475" s="740"/>
    </row>
    <row r="476" spans="3:15">
      <c r="C476" s="730">
        <f>IF(D453="","-",+C475+1)</f>
        <v>2030</v>
      </c>
      <c r="D476" s="683">
        <f t="shared" si="25"/>
        <v>561397.94117647037</v>
      </c>
      <c r="E476" s="737">
        <f t="shared" si="29"/>
        <v>16039.941176470587</v>
      </c>
      <c r="F476" s="683">
        <f t="shared" si="24"/>
        <v>545357.99999999977</v>
      </c>
      <c r="G476" s="1291">
        <f t="shared" si="26"/>
        <v>74433.949935571611</v>
      </c>
      <c r="H476" s="1294">
        <f t="shared" si="27"/>
        <v>74433.949935571611</v>
      </c>
      <c r="I476" s="734">
        <f t="shared" si="28"/>
        <v>0</v>
      </c>
      <c r="J476" s="734"/>
      <c r="K476" s="884"/>
      <c r="L476" s="740"/>
      <c r="M476" s="884"/>
      <c r="N476" s="740"/>
      <c r="O476" s="740"/>
    </row>
    <row r="477" spans="3:15">
      <c r="C477" s="730">
        <f>IF(D453="","-",+C476+1)</f>
        <v>2031</v>
      </c>
      <c r="D477" s="683">
        <f t="shared" si="25"/>
        <v>545357.99999999977</v>
      </c>
      <c r="E477" s="737">
        <f t="shared" si="29"/>
        <v>16039.941176470587</v>
      </c>
      <c r="F477" s="683">
        <f t="shared" si="24"/>
        <v>529318.05882352917</v>
      </c>
      <c r="G477" s="1291">
        <f t="shared" si="26"/>
        <v>72741.36997153968</v>
      </c>
      <c r="H477" s="1294">
        <f t="shared" si="27"/>
        <v>72741.36997153968</v>
      </c>
      <c r="I477" s="734">
        <f t="shared" si="28"/>
        <v>0</v>
      </c>
      <c r="J477" s="734"/>
      <c r="K477" s="884"/>
      <c r="L477" s="740"/>
      <c r="M477" s="884"/>
      <c r="N477" s="740"/>
      <c r="O477" s="740"/>
    </row>
    <row r="478" spans="3:15">
      <c r="C478" s="730">
        <f>IF(D453="","-",+C477+1)</f>
        <v>2032</v>
      </c>
      <c r="D478" s="683">
        <f t="shared" si="25"/>
        <v>529318.05882352917</v>
      </c>
      <c r="E478" s="737">
        <f t="shared" si="29"/>
        <v>16039.941176470587</v>
      </c>
      <c r="F478" s="683">
        <f t="shared" si="24"/>
        <v>513278.11764705856</v>
      </c>
      <c r="G478" s="1291">
        <f t="shared" si="26"/>
        <v>71048.790007507778</v>
      </c>
      <c r="H478" s="1294">
        <f t="shared" si="27"/>
        <v>71048.790007507778</v>
      </c>
      <c r="I478" s="734">
        <f t="shared" si="28"/>
        <v>0</v>
      </c>
      <c r="J478" s="734"/>
      <c r="K478" s="884"/>
      <c r="L478" s="740"/>
      <c r="M478" s="884"/>
      <c r="N478" s="740"/>
      <c r="O478" s="740"/>
    </row>
    <row r="479" spans="3:15">
      <c r="C479" s="730">
        <f>IF(D453="","-",+C478+1)</f>
        <v>2033</v>
      </c>
      <c r="D479" s="683">
        <f t="shared" si="25"/>
        <v>513278.11764705856</v>
      </c>
      <c r="E479" s="737">
        <f t="shared" si="29"/>
        <v>16039.941176470587</v>
      </c>
      <c r="F479" s="683">
        <f t="shared" si="24"/>
        <v>497238.17647058796</v>
      </c>
      <c r="G479" s="1291">
        <f t="shared" si="26"/>
        <v>69356.210043475847</v>
      </c>
      <c r="H479" s="1294">
        <f t="shared" si="27"/>
        <v>69356.210043475847</v>
      </c>
      <c r="I479" s="734">
        <f t="shared" si="28"/>
        <v>0</v>
      </c>
      <c r="J479" s="734"/>
      <c r="K479" s="884"/>
      <c r="L479" s="740"/>
      <c r="M479" s="884"/>
      <c r="N479" s="740"/>
      <c r="O479" s="740"/>
    </row>
    <row r="480" spans="3:15">
      <c r="C480" s="730">
        <f>IF(D453="","-",+C479+1)</f>
        <v>2034</v>
      </c>
      <c r="D480" s="683">
        <f t="shared" si="25"/>
        <v>497238.17647058796</v>
      </c>
      <c r="E480" s="737">
        <f t="shared" si="29"/>
        <v>16039.941176470587</v>
      </c>
      <c r="F480" s="683">
        <f t="shared" si="24"/>
        <v>481198.23529411736</v>
      </c>
      <c r="G480" s="1291">
        <f t="shared" si="26"/>
        <v>67663.630079443945</v>
      </c>
      <c r="H480" s="1294">
        <f t="shared" si="27"/>
        <v>67663.630079443945</v>
      </c>
      <c r="I480" s="734">
        <f t="shared" si="28"/>
        <v>0</v>
      </c>
      <c r="J480" s="734"/>
      <c r="K480" s="884"/>
      <c r="L480" s="740"/>
      <c r="M480" s="884"/>
      <c r="N480" s="740"/>
      <c r="O480" s="740"/>
    </row>
    <row r="481" spans="3:15">
      <c r="C481" s="730">
        <f>IF(D453="","-",+C480+1)</f>
        <v>2035</v>
      </c>
      <c r="D481" s="683">
        <f t="shared" si="25"/>
        <v>481198.23529411736</v>
      </c>
      <c r="E481" s="737">
        <f t="shared" si="29"/>
        <v>16039.941176470587</v>
      </c>
      <c r="F481" s="683">
        <f t="shared" si="24"/>
        <v>465158.29411764676</v>
      </c>
      <c r="G481" s="1291">
        <f t="shared" si="26"/>
        <v>65971.050115412028</v>
      </c>
      <c r="H481" s="1294">
        <f t="shared" si="27"/>
        <v>65971.050115412028</v>
      </c>
      <c r="I481" s="734">
        <f t="shared" si="28"/>
        <v>0</v>
      </c>
      <c r="J481" s="734"/>
      <c r="K481" s="884"/>
      <c r="L481" s="740"/>
      <c r="M481" s="884"/>
      <c r="N481" s="740"/>
      <c r="O481" s="740"/>
    </row>
    <row r="482" spans="3:15">
      <c r="C482" s="730">
        <f>IF(D453="","-",+C481+1)</f>
        <v>2036</v>
      </c>
      <c r="D482" s="683">
        <f t="shared" si="25"/>
        <v>465158.29411764676</v>
      </c>
      <c r="E482" s="737">
        <f t="shared" si="29"/>
        <v>16039.941176470587</v>
      </c>
      <c r="F482" s="683">
        <f t="shared" si="24"/>
        <v>449118.35294117616</v>
      </c>
      <c r="G482" s="1291">
        <f t="shared" si="26"/>
        <v>64278.470151380112</v>
      </c>
      <c r="H482" s="1294">
        <f t="shared" si="27"/>
        <v>64278.470151380112</v>
      </c>
      <c r="I482" s="734">
        <f t="shared" si="28"/>
        <v>0</v>
      </c>
      <c r="J482" s="734"/>
      <c r="K482" s="884"/>
      <c r="L482" s="740"/>
      <c r="M482" s="884"/>
      <c r="N482" s="740"/>
      <c r="O482" s="740"/>
    </row>
    <row r="483" spans="3:15">
      <c r="C483" s="730">
        <f>IF(D453="","-",+C482+1)</f>
        <v>2037</v>
      </c>
      <c r="D483" s="683">
        <f t="shared" si="25"/>
        <v>449118.35294117616</v>
      </c>
      <c r="E483" s="737">
        <f t="shared" si="29"/>
        <v>16039.941176470587</v>
      </c>
      <c r="F483" s="683">
        <f t="shared" si="24"/>
        <v>433078.41176470555</v>
      </c>
      <c r="G483" s="1291">
        <f t="shared" si="26"/>
        <v>62585.890187348195</v>
      </c>
      <c r="H483" s="1294">
        <f t="shared" si="27"/>
        <v>62585.890187348195</v>
      </c>
      <c r="I483" s="734">
        <f t="shared" si="28"/>
        <v>0</v>
      </c>
      <c r="J483" s="734"/>
      <c r="K483" s="884"/>
      <c r="L483" s="740"/>
      <c r="M483" s="884"/>
      <c r="N483" s="740"/>
      <c r="O483" s="740"/>
    </row>
    <row r="484" spans="3:15">
      <c r="C484" s="730">
        <f>IF(D453="","-",+C483+1)</f>
        <v>2038</v>
      </c>
      <c r="D484" s="683">
        <f t="shared" si="25"/>
        <v>433078.41176470555</v>
      </c>
      <c r="E484" s="737">
        <f t="shared" si="29"/>
        <v>16039.941176470587</v>
      </c>
      <c r="F484" s="683">
        <f t="shared" si="24"/>
        <v>417038.47058823495</v>
      </c>
      <c r="G484" s="1291">
        <f t="shared" si="26"/>
        <v>60893.310223316279</v>
      </c>
      <c r="H484" s="1294">
        <f t="shared" si="27"/>
        <v>60893.310223316279</v>
      </c>
      <c r="I484" s="734">
        <f t="shared" si="28"/>
        <v>0</v>
      </c>
      <c r="J484" s="734"/>
      <c r="K484" s="884"/>
      <c r="L484" s="740"/>
      <c r="M484" s="884"/>
      <c r="N484" s="740"/>
      <c r="O484" s="740"/>
    </row>
    <row r="485" spans="3:15">
      <c r="C485" s="730">
        <f>IF(D453="","-",+C484+1)</f>
        <v>2039</v>
      </c>
      <c r="D485" s="683">
        <f t="shared" si="25"/>
        <v>417038.47058823495</v>
      </c>
      <c r="E485" s="737">
        <f t="shared" si="29"/>
        <v>16039.941176470587</v>
      </c>
      <c r="F485" s="683">
        <f t="shared" si="24"/>
        <v>400998.52941176435</v>
      </c>
      <c r="G485" s="1291">
        <f t="shared" si="26"/>
        <v>59200.730259284363</v>
      </c>
      <c r="H485" s="1294">
        <f t="shared" si="27"/>
        <v>59200.730259284363</v>
      </c>
      <c r="I485" s="734">
        <f t="shared" si="28"/>
        <v>0</v>
      </c>
      <c r="J485" s="734"/>
      <c r="K485" s="884"/>
      <c r="L485" s="740"/>
      <c r="M485" s="884"/>
      <c r="N485" s="740"/>
      <c r="O485" s="740"/>
    </row>
    <row r="486" spans="3:15">
      <c r="C486" s="730">
        <f>IF(D453="","-",+C485+1)</f>
        <v>2040</v>
      </c>
      <c r="D486" s="683">
        <f t="shared" si="25"/>
        <v>400998.52941176435</v>
      </c>
      <c r="E486" s="737">
        <f t="shared" si="29"/>
        <v>16039.941176470587</v>
      </c>
      <c r="F486" s="683">
        <f t="shared" si="24"/>
        <v>384958.58823529375</v>
      </c>
      <c r="G486" s="1291">
        <f t="shared" si="26"/>
        <v>57508.150295252446</v>
      </c>
      <c r="H486" s="1294">
        <f t="shared" si="27"/>
        <v>57508.150295252446</v>
      </c>
      <c r="I486" s="734">
        <f t="shared" si="28"/>
        <v>0</v>
      </c>
      <c r="J486" s="734"/>
      <c r="K486" s="884"/>
      <c r="L486" s="740"/>
      <c r="M486" s="884"/>
      <c r="N486" s="740"/>
      <c r="O486" s="740"/>
    </row>
    <row r="487" spans="3:15">
      <c r="C487" s="730">
        <f>IF(D453="","-",+C486+1)</f>
        <v>2041</v>
      </c>
      <c r="D487" s="683">
        <f t="shared" si="25"/>
        <v>384958.58823529375</v>
      </c>
      <c r="E487" s="737">
        <f t="shared" si="29"/>
        <v>16039.941176470587</v>
      </c>
      <c r="F487" s="683">
        <f t="shared" si="24"/>
        <v>368918.64705882315</v>
      </c>
      <c r="G487" s="1302">
        <f t="shared" si="26"/>
        <v>55815.57033122053</v>
      </c>
      <c r="H487" s="1294">
        <f t="shared" si="27"/>
        <v>55815.57033122053</v>
      </c>
      <c r="I487" s="734">
        <f t="shared" si="28"/>
        <v>0</v>
      </c>
      <c r="J487" s="734"/>
      <c r="K487" s="884"/>
      <c r="L487" s="740"/>
      <c r="M487" s="884"/>
      <c r="N487" s="740"/>
      <c r="O487" s="740"/>
    </row>
    <row r="488" spans="3:15">
      <c r="C488" s="730">
        <f>IF(D453="","-",+C487+1)</f>
        <v>2042</v>
      </c>
      <c r="D488" s="683">
        <f t="shared" si="25"/>
        <v>368918.64705882315</v>
      </c>
      <c r="E488" s="737">
        <f t="shared" si="29"/>
        <v>16039.941176470587</v>
      </c>
      <c r="F488" s="683">
        <f t="shared" si="24"/>
        <v>352878.70588235254</v>
      </c>
      <c r="G488" s="1291">
        <f t="shared" si="26"/>
        <v>54122.990367188613</v>
      </c>
      <c r="H488" s="1294">
        <f t="shared" si="27"/>
        <v>54122.990367188613</v>
      </c>
      <c r="I488" s="734">
        <f t="shared" si="28"/>
        <v>0</v>
      </c>
      <c r="J488" s="734"/>
      <c r="K488" s="884"/>
      <c r="L488" s="740"/>
      <c r="M488" s="884"/>
      <c r="N488" s="740"/>
      <c r="O488" s="740"/>
    </row>
    <row r="489" spans="3:15">
      <c r="C489" s="730">
        <f>IF(D453="","-",+C488+1)</f>
        <v>2043</v>
      </c>
      <c r="D489" s="683">
        <f t="shared" si="25"/>
        <v>352878.70588235254</v>
      </c>
      <c r="E489" s="737">
        <f t="shared" si="29"/>
        <v>16039.941176470587</v>
      </c>
      <c r="F489" s="683">
        <f t="shared" si="24"/>
        <v>336838.76470588194</v>
      </c>
      <c r="G489" s="1291">
        <f t="shared" si="26"/>
        <v>52430.410403156697</v>
      </c>
      <c r="H489" s="1294">
        <f t="shared" si="27"/>
        <v>52430.410403156697</v>
      </c>
      <c r="I489" s="734">
        <f t="shared" si="28"/>
        <v>0</v>
      </c>
      <c r="J489" s="734"/>
      <c r="K489" s="884"/>
      <c r="L489" s="740"/>
      <c r="M489" s="884"/>
      <c r="N489" s="740"/>
      <c r="O489" s="740"/>
    </row>
    <row r="490" spans="3:15">
      <c r="C490" s="730">
        <f>IF(D453="","-",+C489+1)</f>
        <v>2044</v>
      </c>
      <c r="D490" s="683">
        <f t="shared" si="25"/>
        <v>336838.76470588194</v>
      </c>
      <c r="E490" s="737">
        <f t="shared" si="29"/>
        <v>16039.941176470587</v>
      </c>
      <c r="F490" s="683">
        <f t="shared" si="24"/>
        <v>320798.82352941134</v>
      </c>
      <c r="G490" s="1291">
        <f t="shared" si="26"/>
        <v>50737.830439124788</v>
      </c>
      <c r="H490" s="1294">
        <f t="shared" si="27"/>
        <v>50737.830439124788</v>
      </c>
      <c r="I490" s="734">
        <f t="shared" si="28"/>
        <v>0</v>
      </c>
      <c r="J490" s="734"/>
      <c r="K490" s="884"/>
      <c r="L490" s="740"/>
      <c r="M490" s="884"/>
      <c r="N490" s="740"/>
      <c r="O490" s="740"/>
    </row>
    <row r="491" spans="3:15">
      <c r="C491" s="730">
        <f>IF(D453="","-",+C490+1)</f>
        <v>2045</v>
      </c>
      <c r="D491" s="683">
        <f t="shared" si="25"/>
        <v>320798.82352941134</v>
      </c>
      <c r="E491" s="737">
        <f t="shared" si="29"/>
        <v>16039.941176470587</v>
      </c>
      <c r="F491" s="683">
        <f t="shared" si="24"/>
        <v>304758.88235294074</v>
      </c>
      <c r="G491" s="1291">
        <f t="shared" si="26"/>
        <v>49045.250475092871</v>
      </c>
      <c r="H491" s="1294">
        <f t="shared" si="27"/>
        <v>49045.250475092871</v>
      </c>
      <c r="I491" s="734">
        <f t="shared" si="28"/>
        <v>0</v>
      </c>
      <c r="J491" s="734"/>
      <c r="K491" s="884"/>
      <c r="L491" s="740"/>
      <c r="M491" s="884"/>
      <c r="N491" s="740"/>
      <c r="O491" s="740"/>
    </row>
    <row r="492" spans="3:15">
      <c r="C492" s="730">
        <f>IF(D453="","-",+C491+1)</f>
        <v>2046</v>
      </c>
      <c r="D492" s="683">
        <f t="shared" si="25"/>
        <v>304758.88235294074</v>
      </c>
      <c r="E492" s="737">
        <f t="shared" si="29"/>
        <v>16039.941176470587</v>
      </c>
      <c r="F492" s="683">
        <f t="shared" si="24"/>
        <v>288718.94117647014</v>
      </c>
      <c r="G492" s="1291">
        <f t="shared" si="26"/>
        <v>47352.670511060955</v>
      </c>
      <c r="H492" s="1294">
        <f t="shared" si="27"/>
        <v>47352.670511060955</v>
      </c>
      <c r="I492" s="734">
        <f t="shared" si="28"/>
        <v>0</v>
      </c>
      <c r="J492" s="734"/>
      <c r="K492" s="884"/>
      <c r="L492" s="740"/>
      <c r="M492" s="884"/>
      <c r="N492" s="740"/>
      <c r="O492" s="740"/>
    </row>
    <row r="493" spans="3:15">
      <c r="C493" s="730">
        <f>IF(D453="","-",+C492+1)</f>
        <v>2047</v>
      </c>
      <c r="D493" s="683">
        <f t="shared" si="25"/>
        <v>288718.94117647014</v>
      </c>
      <c r="E493" s="737">
        <f t="shared" si="29"/>
        <v>16039.941176470587</v>
      </c>
      <c r="F493" s="683">
        <f t="shared" si="24"/>
        <v>272678.99999999953</v>
      </c>
      <c r="G493" s="1291">
        <f t="shared" si="26"/>
        <v>45660.090547029038</v>
      </c>
      <c r="H493" s="1294">
        <f t="shared" si="27"/>
        <v>45660.090547029038</v>
      </c>
      <c r="I493" s="734">
        <f t="shared" si="28"/>
        <v>0</v>
      </c>
      <c r="J493" s="734"/>
      <c r="K493" s="884"/>
      <c r="L493" s="740"/>
      <c r="M493" s="884"/>
      <c r="N493" s="740"/>
      <c r="O493" s="740"/>
    </row>
    <row r="494" spans="3:15">
      <c r="C494" s="730">
        <f>IF(D453="","-",+C493+1)</f>
        <v>2048</v>
      </c>
      <c r="D494" s="683">
        <f t="shared" si="25"/>
        <v>272678.99999999953</v>
      </c>
      <c r="E494" s="737">
        <f t="shared" si="29"/>
        <v>16039.941176470587</v>
      </c>
      <c r="F494" s="683">
        <f t="shared" si="24"/>
        <v>256639.05882352893</v>
      </c>
      <c r="G494" s="1291">
        <f t="shared" si="26"/>
        <v>43967.510582997122</v>
      </c>
      <c r="H494" s="1294">
        <f t="shared" si="27"/>
        <v>43967.510582997122</v>
      </c>
      <c r="I494" s="734">
        <f t="shared" si="28"/>
        <v>0</v>
      </c>
      <c r="J494" s="734"/>
      <c r="K494" s="884"/>
      <c r="L494" s="740"/>
      <c r="M494" s="884"/>
      <c r="N494" s="740"/>
      <c r="O494" s="740"/>
    </row>
    <row r="495" spans="3:15">
      <c r="C495" s="730">
        <f>IF(D453="","-",+C494+1)</f>
        <v>2049</v>
      </c>
      <c r="D495" s="683">
        <f t="shared" si="25"/>
        <v>256639.05882352893</v>
      </c>
      <c r="E495" s="737">
        <f t="shared" si="29"/>
        <v>16039.941176470587</v>
      </c>
      <c r="F495" s="683">
        <f t="shared" si="24"/>
        <v>240599.11764705833</v>
      </c>
      <c r="G495" s="1291">
        <f t="shared" si="26"/>
        <v>42274.930618965205</v>
      </c>
      <c r="H495" s="1294">
        <f t="shared" si="27"/>
        <v>42274.930618965205</v>
      </c>
      <c r="I495" s="734">
        <f t="shared" si="28"/>
        <v>0</v>
      </c>
      <c r="J495" s="734"/>
      <c r="K495" s="884"/>
      <c r="L495" s="740"/>
      <c r="M495" s="884"/>
      <c r="N495" s="740"/>
      <c r="O495" s="740"/>
    </row>
    <row r="496" spans="3:15">
      <c r="C496" s="730">
        <f>IF(D453="","-",+C495+1)</f>
        <v>2050</v>
      </c>
      <c r="D496" s="683">
        <f t="shared" si="25"/>
        <v>240599.11764705833</v>
      </c>
      <c r="E496" s="737">
        <f t="shared" si="29"/>
        <v>16039.941176470587</v>
      </c>
      <c r="F496" s="683">
        <f t="shared" si="24"/>
        <v>224559.17647058773</v>
      </c>
      <c r="G496" s="1291">
        <f t="shared" si="26"/>
        <v>40582.350654933296</v>
      </c>
      <c r="H496" s="1294">
        <f t="shared" si="27"/>
        <v>40582.350654933296</v>
      </c>
      <c r="I496" s="734">
        <f t="shared" si="28"/>
        <v>0</v>
      </c>
      <c r="J496" s="734"/>
      <c r="K496" s="884"/>
      <c r="L496" s="740"/>
      <c r="M496" s="884"/>
      <c r="N496" s="740"/>
      <c r="O496" s="740"/>
    </row>
    <row r="497" spans="3:15">
      <c r="C497" s="730">
        <f>IF(D453="","-",+C496+1)</f>
        <v>2051</v>
      </c>
      <c r="D497" s="683">
        <f t="shared" si="25"/>
        <v>224559.17647058773</v>
      </c>
      <c r="E497" s="737">
        <f t="shared" si="29"/>
        <v>16039.941176470587</v>
      </c>
      <c r="F497" s="683">
        <f t="shared" si="24"/>
        <v>208519.23529411713</v>
      </c>
      <c r="G497" s="1291">
        <f t="shared" si="26"/>
        <v>38889.77069090138</v>
      </c>
      <c r="H497" s="1294">
        <f t="shared" si="27"/>
        <v>38889.77069090138</v>
      </c>
      <c r="I497" s="734">
        <f t="shared" si="28"/>
        <v>0</v>
      </c>
      <c r="J497" s="734"/>
      <c r="K497" s="884"/>
      <c r="L497" s="740"/>
      <c r="M497" s="884"/>
      <c r="N497" s="740"/>
      <c r="O497" s="740"/>
    </row>
    <row r="498" spans="3:15">
      <c r="C498" s="730">
        <f>IF(D453="","-",+C497+1)</f>
        <v>2052</v>
      </c>
      <c r="D498" s="683">
        <f t="shared" si="25"/>
        <v>208519.23529411713</v>
      </c>
      <c r="E498" s="737">
        <f t="shared" si="29"/>
        <v>16039.941176470587</v>
      </c>
      <c r="F498" s="683">
        <f t="shared" si="24"/>
        <v>192479.29411764652</v>
      </c>
      <c r="G498" s="1291">
        <f t="shared" si="26"/>
        <v>37197.190726869463</v>
      </c>
      <c r="H498" s="1294">
        <f t="shared" si="27"/>
        <v>37197.190726869463</v>
      </c>
      <c r="I498" s="734">
        <f t="shared" si="28"/>
        <v>0</v>
      </c>
      <c r="J498" s="734"/>
      <c r="K498" s="884"/>
      <c r="L498" s="740"/>
      <c r="M498" s="884"/>
      <c r="N498" s="740"/>
      <c r="O498" s="740"/>
    </row>
    <row r="499" spans="3:15">
      <c r="C499" s="730">
        <f>IF(D453="","-",+C498+1)</f>
        <v>2053</v>
      </c>
      <c r="D499" s="683">
        <f t="shared" si="25"/>
        <v>192479.29411764652</v>
      </c>
      <c r="E499" s="737">
        <f t="shared" si="29"/>
        <v>16039.941176470587</v>
      </c>
      <c r="F499" s="683">
        <f t="shared" si="24"/>
        <v>176439.35294117592</v>
      </c>
      <c r="G499" s="1291">
        <f t="shared" si="26"/>
        <v>35504.610762837547</v>
      </c>
      <c r="H499" s="1294">
        <f t="shared" si="27"/>
        <v>35504.610762837547</v>
      </c>
      <c r="I499" s="734">
        <f t="shared" si="28"/>
        <v>0</v>
      </c>
      <c r="J499" s="734"/>
      <c r="K499" s="884"/>
      <c r="L499" s="740"/>
      <c r="M499" s="884"/>
      <c r="N499" s="740"/>
      <c r="O499" s="740"/>
    </row>
    <row r="500" spans="3:15">
      <c r="C500" s="730">
        <f>IF(D453="","-",+C499+1)</f>
        <v>2054</v>
      </c>
      <c r="D500" s="683">
        <f t="shared" si="25"/>
        <v>176439.35294117592</v>
      </c>
      <c r="E500" s="737">
        <f t="shared" si="29"/>
        <v>16039.941176470587</v>
      </c>
      <c r="F500" s="683">
        <f t="shared" si="24"/>
        <v>160399.41176470532</v>
      </c>
      <c r="G500" s="1291">
        <f t="shared" si="26"/>
        <v>33812.03079880563</v>
      </c>
      <c r="H500" s="1294">
        <f t="shared" si="27"/>
        <v>33812.03079880563</v>
      </c>
      <c r="I500" s="734">
        <f t="shared" si="28"/>
        <v>0</v>
      </c>
      <c r="J500" s="734"/>
      <c r="K500" s="884"/>
      <c r="L500" s="740"/>
      <c r="M500" s="884"/>
      <c r="N500" s="740"/>
      <c r="O500" s="740"/>
    </row>
    <row r="501" spans="3:15">
      <c r="C501" s="730">
        <f>IF(D453="","-",+C500+1)</f>
        <v>2055</v>
      </c>
      <c r="D501" s="683">
        <f t="shared" si="25"/>
        <v>160399.41176470532</v>
      </c>
      <c r="E501" s="737">
        <f t="shared" si="29"/>
        <v>16039.941176470587</v>
      </c>
      <c r="F501" s="683">
        <f t="shared" si="24"/>
        <v>144359.47058823472</v>
      </c>
      <c r="G501" s="1291">
        <f t="shared" si="26"/>
        <v>32119.450834773714</v>
      </c>
      <c r="H501" s="1294">
        <f t="shared" si="27"/>
        <v>32119.450834773714</v>
      </c>
      <c r="I501" s="734">
        <f t="shared" si="28"/>
        <v>0</v>
      </c>
      <c r="J501" s="734"/>
      <c r="K501" s="884"/>
      <c r="L501" s="740"/>
      <c r="M501" s="884"/>
      <c r="N501" s="740"/>
      <c r="O501" s="740"/>
    </row>
    <row r="502" spans="3:15">
      <c r="C502" s="730">
        <f>IF(D453="","-",+C501+1)</f>
        <v>2056</v>
      </c>
      <c r="D502" s="683">
        <f t="shared" si="25"/>
        <v>144359.47058823472</v>
      </c>
      <c r="E502" s="737">
        <f t="shared" si="29"/>
        <v>16039.941176470587</v>
      </c>
      <c r="F502" s="683">
        <f t="shared" si="24"/>
        <v>128319.52941176413</v>
      </c>
      <c r="G502" s="1291">
        <f t="shared" si="26"/>
        <v>30426.870870741797</v>
      </c>
      <c r="H502" s="1294">
        <f t="shared" si="27"/>
        <v>30426.870870741797</v>
      </c>
      <c r="I502" s="734">
        <f t="shared" si="28"/>
        <v>0</v>
      </c>
      <c r="J502" s="734"/>
      <c r="K502" s="884"/>
      <c r="L502" s="740"/>
      <c r="M502" s="884"/>
      <c r="N502" s="740"/>
      <c r="O502" s="740"/>
    </row>
    <row r="503" spans="3:15">
      <c r="C503" s="730">
        <f>IF(D453="","-",+C502+1)</f>
        <v>2057</v>
      </c>
      <c r="D503" s="683">
        <f t="shared" si="25"/>
        <v>128319.52941176413</v>
      </c>
      <c r="E503" s="737">
        <f t="shared" si="29"/>
        <v>16039.941176470587</v>
      </c>
      <c r="F503" s="683">
        <f t="shared" si="24"/>
        <v>112279.58823529354</v>
      </c>
      <c r="G503" s="1291">
        <f t="shared" si="26"/>
        <v>28734.290906709884</v>
      </c>
      <c r="H503" s="1294">
        <f t="shared" si="27"/>
        <v>28734.290906709884</v>
      </c>
      <c r="I503" s="734">
        <f t="shared" si="28"/>
        <v>0</v>
      </c>
      <c r="J503" s="734"/>
      <c r="K503" s="884"/>
      <c r="L503" s="740"/>
      <c r="M503" s="884"/>
      <c r="N503" s="740"/>
      <c r="O503" s="740"/>
    </row>
    <row r="504" spans="3:15">
      <c r="C504" s="730">
        <f>IF(D453="","-",+C503+1)</f>
        <v>2058</v>
      </c>
      <c r="D504" s="683">
        <f t="shared" si="25"/>
        <v>112279.58823529354</v>
      </c>
      <c r="E504" s="737">
        <f t="shared" si="29"/>
        <v>16039.941176470587</v>
      </c>
      <c r="F504" s="683">
        <f t="shared" si="24"/>
        <v>96239.647058822957</v>
      </c>
      <c r="G504" s="1291">
        <f t="shared" si="26"/>
        <v>27041.710942677968</v>
      </c>
      <c r="H504" s="1294">
        <f t="shared" si="27"/>
        <v>27041.710942677968</v>
      </c>
      <c r="I504" s="734">
        <f t="shared" si="28"/>
        <v>0</v>
      </c>
      <c r="J504" s="734"/>
      <c r="K504" s="884"/>
      <c r="L504" s="740"/>
      <c r="M504" s="884"/>
      <c r="N504" s="740"/>
      <c r="O504" s="740"/>
    </row>
    <row r="505" spans="3:15">
      <c r="C505" s="730">
        <f>IF(D453="","-",+C504+1)</f>
        <v>2059</v>
      </c>
      <c r="D505" s="683">
        <f t="shared" si="25"/>
        <v>96239.647058822957</v>
      </c>
      <c r="E505" s="737">
        <f t="shared" si="29"/>
        <v>16039.941176470587</v>
      </c>
      <c r="F505" s="683">
        <f t="shared" si="24"/>
        <v>80199.705882352369</v>
      </c>
      <c r="G505" s="1291">
        <f t="shared" si="26"/>
        <v>25349.130978646055</v>
      </c>
      <c r="H505" s="1294">
        <f t="shared" si="27"/>
        <v>25349.130978646055</v>
      </c>
      <c r="I505" s="734">
        <f t="shared" si="28"/>
        <v>0</v>
      </c>
      <c r="J505" s="734"/>
      <c r="K505" s="884"/>
      <c r="L505" s="740"/>
      <c r="M505" s="884"/>
      <c r="N505" s="740"/>
      <c r="O505" s="740"/>
    </row>
    <row r="506" spans="3:15">
      <c r="C506" s="730">
        <f>IF(D453="","-",+C505+1)</f>
        <v>2060</v>
      </c>
      <c r="D506" s="683">
        <f t="shared" si="25"/>
        <v>80199.705882352369</v>
      </c>
      <c r="E506" s="737">
        <f t="shared" si="29"/>
        <v>16039.941176470587</v>
      </c>
      <c r="F506" s="683">
        <f t="shared" si="24"/>
        <v>64159.764705881782</v>
      </c>
      <c r="G506" s="1291">
        <f t="shared" si="26"/>
        <v>23656.551014614139</v>
      </c>
      <c r="H506" s="1294">
        <f t="shared" si="27"/>
        <v>23656.551014614139</v>
      </c>
      <c r="I506" s="734">
        <f t="shared" si="28"/>
        <v>0</v>
      </c>
      <c r="J506" s="734"/>
      <c r="K506" s="884"/>
      <c r="L506" s="740"/>
      <c r="M506" s="884"/>
      <c r="N506" s="740"/>
      <c r="O506" s="740"/>
    </row>
    <row r="507" spans="3:15">
      <c r="C507" s="730">
        <f>IF(D453="","-",+C506+1)</f>
        <v>2061</v>
      </c>
      <c r="D507" s="683">
        <f t="shared" si="25"/>
        <v>64159.764705881782</v>
      </c>
      <c r="E507" s="737">
        <f t="shared" si="29"/>
        <v>16039.941176470587</v>
      </c>
      <c r="F507" s="683">
        <f t="shared" si="24"/>
        <v>48119.823529411195</v>
      </c>
      <c r="G507" s="1291">
        <f t="shared" si="26"/>
        <v>21963.971050582226</v>
      </c>
      <c r="H507" s="1294">
        <f t="shared" si="27"/>
        <v>21963.971050582226</v>
      </c>
      <c r="I507" s="734">
        <f t="shared" si="28"/>
        <v>0</v>
      </c>
      <c r="J507" s="734"/>
      <c r="K507" s="884"/>
      <c r="L507" s="740"/>
      <c r="M507" s="884"/>
      <c r="N507" s="740"/>
      <c r="O507" s="740"/>
    </row>
    <row r="508" spans="3:15">
      <c r="C508" s="730">
        <f>IF(D453="","-",+C507+1)</f>
        <v>2062</v>
      </c>
      <c r="D508" s="683">
        <f t="shared" si="25"/>
        <v>48119.823529411195</v>
      </c>
      <c r="E508" s="737">
        <f t="shared" si="29"/>
        <v>16039.941176470587</v>
      </c>
      <c r="F508" s="683">
        <f t="shared" si="24"/>
        <v>32079.882352940607</v>
      </c>
      <c r="G508" s="1291">
        <f t="shared" si="26"/>
        <v>20271.391086550313</v>
      </c>
      <c r="H508" s="1294">
        <f t="shared" si="27"/>
        <v>20271.391086550313</v>
      </c>
      <c r="I508" s="734">
        <f t="shared" si="28"/>
        <v>0</v>
      </c>
      <c r="J508" s="734"/>
      <c r="K508" s="884"/>
      <c r="L508" s="740"/>
      <c r="M508" s="884"/>
      <c r="N508" s="740"/>
      <c r="O508" s="740"/>
    </row>
    <row r="509" spans="3:15">
      <c r="C509" s="730">
        <f>IF(D453="","-",+C508+1)</f>
        <v>2063</v>
      </c>
      <c r="D509" s="683">
        <f t="shared" si="25"/>
        <v>32079.882352940607</v>
      </c>
      <c r="E509" s="737">
        <f t="shared" si="29"/>
        <v>16039.941176470587</v>
      </c>
      <c r="F509" s="683">
        <f t="shared" si="24"/>
        <v>16039.94117647002</v>
      </c>
      <c r="G509" s="1291">
        <f t="shared" si="26"/>
        <v>18578.8111225184</v>
      </c>
      <c r="H509" s="1294">
        <f t="shared" si="27"/>
        <v>18578.8111225184</v>
      </c>
      <c r="I509" s="734">
        <f t="shared" si="28"/>
        <v>0</v>
      </c>
      <c r="J509" s="734"/>
      <c r="K509" s="884"/>
      <c r="L509" s="740"/>
      <c r="M509" s="884"/>
      <c r="N509" s="740"/>
      <c r="O509" s="740"/>
    </row>
    <row r="510" spans="3:15">
      <c r="C510" s="730">
        <f>IF(D453="","-",+C509+1)</f>
        <v>2064</v>
      </c>
      <c r="D510" s="683">
        <f t="shared" si="25"/>
        <v>16039.94117647002</v>
      </c>
      <c r="E510" s="737">
        <f t="shared" si="29"/>
        <v>16039.94117647002</v>
      </c>
      <c r="F510" s="683">
        <f t="shared" si="24"/>
        <v>0</v>
      </c>
      <c r="G510" s="1291">
        <f t="shared" si="26"/>
        <v>16886.231158485945</v>
      </c>
      <c r="H510" s="1294">
        <f t="shared" si="27"/>
        <v>16886.231158485945</v>
      </c>
      <c r="I510" s="734">
        <f t="shared" si="28"/>
        <v>0</v>
      </c>
      <c r="J510" s="734"/>
      <c r="K510" s="884"/>
      <c r="L510" s="740"/>
      <c r="M510" s="884"/>
      <c r="N510" s="740"/>
      <c r="O510" s="740"/>
    </row>
    <row r="511" spans="3:15">
      <c r="C511" s="730">
        <f>IF(D453="","-",+C510+1)</f>
        <v>2065</v>
      </c>
      <c r="D511" s="683">
        <f t="shared" si="25"/>
        <v>0</v>
      </c>
      <c r="E511" s="737">
        <f t="shared" si="29"/>
        <v>0</v>
      </c>
      <c r="F511" s="683">
        <f t="shared" si="24"/>
        <v>0</v>
      </c>
      <c r="G511" s="1291">
        <f t="shared" si="26"/>
        <v>0</v>
      </c>
      <c r="H511" s="1294">
        <f t="shared" si="27"/>
        <v>0</v>
      </c>
      <c r="I511" s="734">
        <f t="shared" si="28"/>
        <v>0</v>
      </c>
      <c r="J511" s="734"/>
      <c r="K511" s="884"/>
      <c r="L511" s="740"/>
      <c r="M511" s="884"/>
      <c r="N511" s="740"/>
      <c r="O511" s="740"/>
    </row>
    <row r="512" spans="3:15">
      <c r="C512" s="730">
        <f>IF(D453="","-",+C511+1)</f>
        <v>2066</v>
      </c>
      <c r="D512" s="683">
        <f t="shared" si="25"/>
        <v>0</v>
      </c>
      <c r="E512" s="737">
        <f t="shared" si="29"/>
        <v>0</v>
      </c>
      <c r="F512" s="683">
        <f t="shared" si="24"/>
        <v>0</v>
      </c>
      <c r="G512" s="1291">
        <f t="shared" si="26"/>
        <v>0</v>
      </c>
      <c r="H512" s="1294">
        <f t="shared" si="27"/>
        <v>0</v>
      </c>
      <c r="I512" s="734">
        <f t="shared" si="28"/>
        <v>0</v>
      </c>
      <c r="J512" s="734"/>
      <c r="K512" s="884"/>
      <c r="L512" s="740"/>
      <c r="M512" s="884"/>
      <c r="N512" s="740"/>
      <c r="O512" s="740"/>
    </row>
    <row r="513" spans="3:15">
      <c r="C513" s="730">
        <f>IF(D453="","-",+C512+1)</f>
        <v>2067</v>
      </c>
      <c r="D513" s="683">
        <f t="shared" si="25"/>
        <v>0</v>
      </c>
      <c r="E513" s="737">
        <f t="shared" si="29"/>
        <v>0</v>
      </c>
      <c r="F513" s="683">
        <f t="shared" si="24"/>
        <v>0</v>
      </c>
      <c r="G513" s="1291">
        <f t="shared" si="26"/>
        <v>0</v>
      </c>
      <c r="H513" s="1294">
        <f t="shared" si="27"/>
        <v>0</v>
      </c>
      <c r="I513" s="734">
        <f t="shared" si="28"/>
        <v>0</v>
      </c>
      <c r="J513" s="734"/>
      <c r="K513" s="884"/>
      <c r="L513" s="740"/>
      <c r="M513" s="884"/>
      <c r="N513" s="740"/>
      <c r="O513" s="740"/>
    </row>
    <row r="514" spans="3:15">
      <c r="C514" s="730">
        <f>IF(D453="","-",+C513+1)</f>
        <v>2068</v>
      </c>
      <c r="D514" s="683">
        <f t="shared" si="25"/>
        <v>0</v>
      </c>
      <c r="E514" s="737">
        <f t="shared" si="29"/>
        <v>0</v>
      </c>
      <c r="F514" s="683">
        <f t="shared" si="24"/>
        <v>0</v>
      </c>
      <c r="G514" s="1291">
        <f t="shared" si="26"/>
        <v>0</v>
      </c>
      <c r="H514" s="1294">
        <f t="shared" si="27"/>
        <v>0</v>
      </c>
      <c r="I514" s="734">
        <f t="shared" si="28"/>
        <v>0</v>
      </c>
      <c r="J514" s="734"/>
      <c r="K514" s="884"/>
      <c r="L514" s="740"/>
      <c r="M514" s="884"/>
      <c r="N514" s="740"/>
      <c r="O514" s="740"/>
    </row>
    <row r="515" spans="3:15">
      <c r="C515" s="730">
        <f>IF(D453="","-",+C514+1)</f>
        <v>2069</v>
      </c>
      <c r="D515" s="683">
        <f t="shared" si="25"/>
        <v>0</v>
      </c>
      <c r="E515" s="737">
        <f t="shared" si="29"/>
        <v>0</v>
      </c>
      <c r="F515" s="683">
        <f t="shared" si="24"/>
        <v>0</v>
      </c>
      <c r="G515" s="1291">
        <f t="shared" si="26"/>
        <v>0</v>
      </c>
      <c r="H515" s="1294">
        <f t="shared" si="27"/>
        <v>0</v>
      </c>
      <c r="I515" s="734">
        <f t="shared" si="28"/>
        <v>0</v>
      </c>
      <c r="J515" s="734"/>
      <c r="K515" s="884"/>
      <c r="L515" s="740"/>
      <c r="M515" s="884"/>
      <c r="N515" s="740"/>
      <c r="O515" s="740"/>
    </row>
    <row r="516" spans="3:15">
      <c r="C516" s="730">
        <f>IF(D453="","-",+C515+1)</f>
        <v>2070</v>
      </c>
      <c r="D516" s="683">
        <f t="shared" si="25"/>
        <v>0</v>
      </c>
      <c r="E516" s="737">
        <f t="shared" si="29"/>
        <v>0</v>
      </c>
      <c r="F516" s="683">
        <f t="shared" si="24"/>
        <v>0</v>
      </c>
      <c r="G516" s="1291">
        <f t="shared" si="26"/>
        <v>0</v>
      </c>
      <c r="H516" s="1294">
        <f t="shared" si="27"/>
        <v>0</v>
      </c>
      <c r="I516" s="734">
        <f t="shared" si="28"/>
        <v>0</v>
      </c>
      <c r="J516" s="734"/>
      <c r="K516" s="884"/>
      <c r="L516" s="740"/>
      <c r="M516" s="884"/>
      <c r="N516" s="740"/>
      <c r="O516" s="740"/>
    </row>
    <row r="517" spans="3:15">
      <c r="C517" s="730">
        <f>IF(D453="","-",+C516+1)</f>
        <v>2071</v>
      </c>
      <c r="D517" s="683">
        <f t="shared" si="25"/>
        <v>0</v>
      </c>
      <c r="E517" s="737">
        <f t="shared" si="29"/>
        <v>0</v>
      </c>
      <c r="F517" s="683">
        <f t="shared" si="24"/>
        <v>0</v>
      </c>
      <c r="G517" s="1291">
        <f t="shared" si="26"/>
        <v>0</v>
      </c>
      <c r="H517" s="1294">
        <f t="shared" si="27"/>
        <v>0</v>
      </c>
      <c r="I517" s="734">
        <f t="shared" si="28"/>
        <v>0</v>
      </c>
      <c r="J517" s="734"/>
      <c r="K517" s="884"/>
      <c r="L517" s="740"/>
      <c r="M517" s="884"/>
      <c r="N517" s="740"/>
      <c r="O517" s="740"/>
    </row>
    <row r="518" spans="3:15" ht="13" thickBot="1">
      <c r="C518" s="741">
        <f>IF(D453="","-",+C517+1)</f>
        <v>2072</v>
      </c>
      <c r="D518" s="742">
        <f t="shared" si="25"/>
        <v>0</v>
      </c>
      <c r="E518" s="743">
        <f t="shared" si="29"/>
        <v>0</v>
      </c>
      <c r="F518" s="742">
        <f t="shared" si="24"/>
        <v>0</v>
      </c>
      <c r="G518" s="1303">
        <f t="shared" si="26"/>
        <v>0</v>
      </c>
      <c r="H518" s="1303">
        <f t="shared" si="27"/>
        <v>0</v>
      </c>
      <c r="I518" s="745">
        <f t="shared" si="28"/>
        <v>0</v>
      </c>
      <c r="J518" s="734"/>
      <c r="K518" s="885"/>
      <c r="L518" s="747"/>
      <c r="M518" s="885"/>
      <c r="N518" s="747"/>
      <c r="O518" s="747"/>
    </row>
    <row r="519" spans="3:15">
      <c r="C519" s="683" t="s">
        <v>289</v>
      </c>
      <c r="D519" s="1272"/>
      <c r="E519" s="1272">
        <f>SUM(E459:E518)</f>
        <v>818037</v>
      </c>
      <c r="F519" s="1272"/>
      <c r="G519" s="1272">
        <f>SUM(G459:G518)</f>
        <v>3105558.8213891299</v>
      </c>
      <c r="H519" s="1272">
        <f>SUM(H459:H518)</f>
        <v>3105558.8213891299</v>
      </c>
      <c r="I519" s="1272">
        <f>SUM(I459:I518)</f>
        <v>0</v>
      </c>
      <c r="J519" s="1272"/>
      <c r="K519" s="1272"/>
      <c r="L519" s="1272"/>
      <c r="M519" s="1272"/>
      <c r="N519" s="1272"/>
      <c r="O519" s="550"/>
    </row>
    <row r="520" spans="3:15">
      <c r="D520" s="573"/>
      <c r="E520" s="550"/>
      <c r="F520" s="550"/>
      <c r="G520" s="550"/>
      <c r="H520" s="1271"/>
      <c r="I520" s="1271"/>
      <c r="J520" s="1272"/>
      <c r="K520" s="1271"/>
      <c r="L520" s="1271"/>
      <c r="M520" s="1271"/>
      <c r="N520" s="1271"/>
      <c r="O520" s="550"/>
    </row>
    <row r="521" spans="3:15">
      <c r="C521" s="1304" t="s">
        <v>980</v>
      </c>
      <c r="D521" s="573"/>
      <c r="E521" s="550"/>
      <c r="F521" s="550"/>
      <c r="G521" s="550"/>
      <c r="H521" s="1271"/>
      <c r="I521" s="1271"/>
      <c r="J521" s="1272"/>
      <c r="K521" s="1271"/>
      <c r="L521" s="1271"/>
      <c r="M521" s="1271"/>
      <c r="N521" s="1271"/>
      <c r="O521" s="550"/>
    </row>
    <row r="522" spans="3:15">
      <c r="D522" s="573"/>
      <c r="E522" s="550"/>
      <c r="F522" s="550"/>
      <c r="G522" s="550"/>
      <c r="H522" s="1271"/>
      <c r="I522" s="1271"/>
      <c r="J522" s="1272"/>
      <c r="K522" s="1271"/>
      <c r="L522" s="1271"/>
      <c r="M522" s="1271"/>
      <c r="N522" s="1271"/>
      <c r="O522" s="550"/>
    </row>
    <row r="523" spans="3:15" ht="13">
      <c r="C523" s="696" t="s">
        <v>981</v>
      </c>
      <c r="D523" s="683"/>
      <c r="E523" s="683"/>
      <c r="F523" s="683"/>
      <c r="G523" s="1272"/>
      <c r="H523" s="1272"/>
      <c r="I523" s="684"/>
      <c r="J523" s="684"/>
      <c r="K523" s="684"/>
      <c r="L523" s="684"/>
      <c r="M523" s="684"/>
      <c r="N523" s="684"/>
      <c r="O523" s="550"/>
    </row>
    <row r="524" spans="3:15" ht="13">
      <c r="C524" s="682" t="s">
        <v>477</v>
      </c>
      <c r="D524" s="683"/>
      <c r="E524" s="683"/>
      <c r="F524" s="683"/>
      <c r="G524" s="1272"/>
      <c r="H524" s="1272"/>
      <c r="I524" s="684"/>
      <c r="J524" s="684"/>
      <c r="K524" s="684"/>
      <c r="L524" s="684"/>
      <c r="M524" s="684"/>
      <c r="N524" s="684"/>
      <c r="O524" s="550"/>
    </row>
    <row r="525" spans="3:15" ht="13">
      <c r="C525" s="682" t="s">
        <v>290</v>
      </c>
      <c r="D525" s="683"/>
      <c r="E525" s="683"/>
      <c r="F525" s="683"/>
      <c r="G525" s="1272"/>
      <c r="H525" s="1272"/>
      <c r="I525" s="684"/>
      <c r="J525" s="684"/>
      <c r="K525" s="684"/>
      <c r="L525" s="684"/>
      <c r="M525" s="684"/>
      <c r="N525" s="684"/>
      <c r="O525" s="550"/>
    </row>
    <row r="526" spans="3:15" ht="13">
      <c r="C526" s="682"/>
      <c r="D526" s="683"/>
      <c r="E526" s="683"/>
      <c r="F526" s="683"/>
      <c r="G526" s="1272"/>
      <c r="H526" s="1272"/>
      <c r="I526" s="684"/>
      <c r="J526" s="684"/>
      <c r="K526" s="684"/>
      <c r="L526" s="684"/>
      <c r="M526" s="684"/>
      <c r="N526" s="684"/>
      <c r="O526" s="550"/>
    </row>
    <row r="527" spans="3:15">
      <c r="C527" s="1546" t="s">
        <v>461</v>
      </c>
      <c r="D527" s="1546"/>
      <c r="E527" s="1546"/>
      <c r="F527" s="1546"/>
      <c r="G527" s="1546"/>
      <c r="H527" s="1546"/>
      <c r="I527" s="1546"/>
      <c r="J527" s="1546"/>
      <c r="K527" s="1546"/>
      <c r="L527" s="1546"/>
      <c r="M527" s="1546"/>
      <c r="N527" s="1546"/>
      <c r="O527" s="1546"/>
    </row>
    <row r="528" spans="3:15">
      <c r="C528" s="1546"/>
      <c r="D528" s="1546"/>
      <c r="E528" s="1546"/>
      <c r="F528" s="1546"/>
      <c r="G528" s="1546"/>
      <c r="H528" s="1546"/>
      <c r="I528" s="1546"/>
      <c r="J528" s="1546"/>
      <c r="K528" s="1546"/>
      <c r="L528" s="1546"/>
      <c r="M528" s="1546"/>
      <c r="N528" s="1546"/>
      <c r="O528" s="1546"/>
    </row>
    <row r="529" spans="1:16" ht="20">
      <c r="A529" s="685" t="s">
        <v>977</v>
      </c>
      <c r="B529" s="586"/>
      <c r="C529" s="665"/>
      <c r="D529" s="573"/>
      <c r="E529" s="550"/>
      <c r="F529" s="655"/>
      <c r="G529" s="550"/>
      <c r="H529" s="1271"/>
      <c r="K529" s="686"/>
      <c r="L529" s="686"/>
      <c r="M529" s="686"/>
      <c r="N529" s="601" t="str">
        <f>"Page "&amp;P529&amp;" of "</f>
        <v xml:space="preserve">Page 7 of </v>
      </c>
      <c r="O529" s="602">
        <f>COUNT(P$6:P$59527)</f>
        <v>9</v>
      </c>
      <c r="P529" s="550">
        <v>7</v>
      </c>
    </row>
    <row r="530" spans="1:16">
      <c r="B530" s="586"/>
      <c r="C530" s="550"/>
      <c r="D530" s="573"/>
      <c r="E530" s="550"/>
      <c r="F530" s="550"/>
      <c r="G530" s="550"/>
      <c r="H530" s="1271"/>
      <c r="I530" s="550"/>
      <c r="J530" s="598"/>
      <c r="K530" s="550"/>
      <c r="L530" s="550"/>
      <c r="M530" s="550"/>
      <c r="N530" s="550"/>
      <c r="O530" s="550"/>
    </row>
    <row r="531" spans="1:16" ht="17">
      <c r="B531" s="605" t="s">
        <v>175</v>
      </c>
      <c r="C531" s="687" t="s">
        <v>291</v>
      </c>
      <c r="D531" s="573"/>
      <c r="E531" s="550"/>
      <c r="F531" s="550"/>
      <c r="G531" s="550"/>
      <c r="H531" s="1271"/>
      <c r="I531" s="1271"/>
      <c r="J531" s="1272"/>
      <c r="K531" s="1271"/>
      <c r="L531" s="1271"/>
      <c r="M531" s="1271"/>
      <c r="N531" s="1271"/>
      <c r="O531" s="550"/>
    </row>
    <row r="532" spans="1:16" ht="18">
      <c r="B532" s="605"/>
      <c r="C532" s="604"/>
      <c r="D532" s="573"/>
      <c r="E532" s="550"/>
      <c r="F532" s="550"/>
      <c r="G532" s="550"/>
      <c r="H532" s="1271"/>
      <c r="I532" s="1271"/>
      <c r="J532" s="1272"/>
      <c r="K532" s="1271"/>
      <c r="L532" s="1271"/>
      <c r="M532" s="1271"/>
      <c r="N532" s="1271"/>
      <c r="O532" s="550"/>
    </row>
    <row r="533" spans="1:16" ht="18">
      <c r="B533" s="605"/>
      <c r="C533" s="604" t="s">
        <v>292</v>
      </c>
      <c r="D533" s="573"/>
      <c r="E533" s="550"/>
      <c r="F533" s="550"/>
      <c r="G533" s="550"/>
      <c r="H533" s="1271"/>
      <c r="I533" s="1271"/>
      <c r="J533" s="1272"/>
      <c r="K533" s="1271"/>
      <c r="L533" s="1271"/>
      <c r="M533" s="1271"/>
      <c r="N533" s="1271"/>
      <c r="O533" s="550"/>
    </row>
    <row r="534" spans="1:16" ht="16" thickBot="1">
      <c r="C534" s="403"/>
      <c r="D534" s="573"/>
      <c r="E534" s="550"/>
      <c r="F534" s="550"/>
      <c r="G534" s="550"/>
      <c r="H534" s="1271"/>
      <c r="I534" s="1271"/>
      <c r="J534" s="1272"/>
      <c r="K534" s="1271"/>
      <c r="L534" s="1271"/>
      <c r="M534" s="1271"/>
      <c r="N534" s="1271"/>
      <c r="O534" s="550"/>
    </row>
    <row r="535" spans="1:16" ht="15.5">
      <c r="C535" s="606" t="s">
        <v>293</v>
      </c>
      <c r="D535" s="573"/>
      <c r="E535" s="550"/>
      <c r="F535" s="550"/>
      <c r="G535" s="1273"/>
      <c r="H535" s="550" t="s">
        <v>272</v>
      </c>
      <c r="I535" s="550"/>
      <c r="J535" s="598"/>
      <c r="K535" s="688" t="s">
        <v>297</v>
      </c>
      <c r="L535" s="689"/>
      <c r="M535" s="690"/>
      <c r="N535" s="1274">
        <f>VLOOKUP(I541,C548:O607,5)</f>
        <v>1220906.7929279576</v>
      </c>
      <c r="O535" s="550"/>
    </row>
    <row r="536" spans="1:16" ht="15.5">
      <c r="C536" s="606"/>
      <c r="D536" s="573"/>
      <c r="E536" s="550"/>
      <c r="F536" s="550"/>
      <c r="G536" s="550"/>
      <c r="H536" s="1275"/>
      <c r="I536" s="1275"/>
      <c r="J536" s="1276"/>
      <c r="K536" s="693" t="s">
        <v>298</v>
      </c>
      <c r="L536" s="1277"/>
      <c r="M536" s="598"/>
      <c r="N536" s="1278">
        <f>VLOOKUP(I541,C548:O607,6)</f>
        <v>1220906.7929279576</v>
      </c>
      <c r="O536" s="550"/>
    </row>
    <row r="537" spans="1:16" ht="13.5" thickBot="1">
      <c r="C537" s="694" t="s">
        <v>294</v>
      </c>
      <c r="D537" s="1547" t="s">
        <v>986</v>
      </c>
      <c r="E537" s="1548"/>
      <c r="F537" s="1548"/>
      <c r="G537" s="1548"/>
      <c r="H537" s="1548"/>
      <c r="I537" s="1548"/>
      <c r="J537" s="1272"/>
      <c r="K537" s="1279" t="s">
        <v>451</v>
      </c>
      <c r="L537" s="1280"/>
      <c r="M537" s="1280"/>
      <c r="N537" s="1281">
        <f>+N536-N535</f>
        <v>0</v>
      </c>
      <c r="O537" s="550"/>
    </row>
    <row r="538" spans="1:16" ht="13">
      <c r="C538" s="696"/>
      <c r="D538" s="1548"/>
      <c r="E538" s="1548"/>
      <c r="F538" s="1548"/>
      <c r="G538" s="1548"/>
      <c r="H538" s="1548"/>
      <c r="I538" s="1548"/>
      <c r="J538" s="1272"/>
      <c r="K538" s="1271"/>
      <c r="L538" s="1271"/>
      <c r="M538" s="1271"/>
      <c r="N538" s="1271"/>
      <c r="O538" s="550"/>
    </row>
    <row r="539" spans="1:16" ht="13.5" thickBot="1">
      <c r="C539" s="698"/>
      <c r="D539" s="699"/>
      <c r="E539" s="697"/>
      <c r="F539" s="697"/>
      <c r="G539" s="697"/>
      <c r="H539" s="697"/>
      <c r="I539" s="697"/>
      <c r="J539" s="700"/>
      <c r="K539" s="697"/>
      <c r="L539" s="697"/>
      <c r="M539" s="697"/>
      <c r="N539" s="697"/>
      <c r="O539" s="586"/>
    </row>
    <row r="540" spans="1:16" ht="13" thickBot="1">
      <c r="C540" s="701" t="s">
        <v>295</v>
      </c>
      <c r="D540" s="702"/>
      <c r="E540" s="702"/>
      <c r="F540" s="702"/>
      <c r="G540" s="702"/>
      <c r="H540" s="702"/>
      <c r="I540" s="703"/>
      <c r="J540" s="704"/>
      <c r="K540" s="550"/>
      <c r="L540" s="550"/>
      <c r="M540" s="550"/>
      <c r="N540" s="550"/>
      <c r="O540" s="705"/>
    </row>
    <row r="541" spans="1:16" ht="16">
      <c r="C541" s="707" t="s">
        <v>273</v>
      </c>
      <c r="D541" s="1282">
        <v>10386801</v>
      </c>
      <c r="E541" s="665" t="s">
        <v>274</v>
      </c>
      <c r="G541" s="708"/>
      <c r="H541" s="708"/>
      <c r="I541" s="709">
        <v>2018</v>
      </c>
      <c r="J541" s="596"/>
      <c r="K541" s="1557" t="s">
        <v>460</v>
      </c>
      <c r="L541" s="1557"/>
      <c r="M541" s="1557"/>
      <c r="N541" s="1557"/>
      <c r="O541" s="1557"/>
    </row>
    <row r="542" spans="1:16">
      <c r="C542" s="707" t="s">
        <v>276</v>
      </c>
      <c r="D542" s="879">
        <v>2014</v>
      </c>
      <c r="E542" s="707" t="s">
        <v>277</v>
      </c>
      <c r="F542" s="708"/>
      <c r="H542" s="337"/>
      <c r="I542" s="882">
        <f>IF(G535="",0,$F$15)</f>
        <v>0</v>
      </c>
      <c r="J542" s="710"/>
      <c r="K542" s="1272" t="s">
        <v>460</v>
      </c>
    </row>
    <row r="543" spans="1:16">
      <c r="C543" s="707" t="s">
        <v>278</v>
      </c>
      <c r="D543" s="1282">
        <v>10</v>
      </c>
      <c r="E543" s="707" t="s">
        <v>279</v>
      </c>
      <c r="F543" s="708"/>
      <c r="H543" s="337"/>
      <c r="I543" s="711">
        <f>$G$70</f>
        <v>0.10552282863199051</v>
      </c>
      <c r="J543" s="712"/>
      <c r="K543" s="337" t="str">
        <f>"          INPUT PROJECTED ARR (WITH &amp; WITHOUT INCENTIVES) FROM EACH PRIOR YEAR"</f>
        <v xml:space="preserve">          INPUT PROJECTED ARR (WITH &amp; WITHOUT INCENTIVES) FROM EACH PRIOR YEAR</v>
      </c>
    </row>
    <row r="544" spans="1:16">
      <c r="C544" s="707" t="s">
        <v>280</v>
      </c>
      <c r="D544" s="713">
        <f>G$79</f>
        <v>51</v>
      </c>
      <c r="E544" s="707" t="s">
        <v>281</v>
      </c>
      <c r="F544" s="708"/>
      <c r="H544" s="337"/>
      <c r="I544" s="711">
        <f>IF(G535="",I543,$G$67)</f>
        <v>0.10552282863199051</v>
      </c>
      <c r="J544" s="714"/>
      <c r="K544" s="337" t="s">
        <v>358</v>
      </c>
    </row>
    <row r="545" spans="1:15" ht="13" thickBot="1">
      <c r="C545" s="707" t="s">
        <v>282</v>
      </c>
      <c r="D545" s="881" t="s">
        <v>979</v>
      </c>
      <c r="E545" s="715" t="s">
        <v>283</v>
      </c>
      <c r="F545" s="716"/>
      <c r="G545" s="717"/>
      <c r="H545" s="717"/>
      <c r="I545" s="1281">
        <f>IF(D541=0,0,D541/D544)</f>
        <v>203662.76470588235</v>
      </c>
      <c r="J545" s="1272"/>
      <c r="K545" s="1272" t="s">
        <v>364</v>
      </c>
      <c r="L545" s="1272"/>
      <c r="M545" s="1272"/>
      <c r="N545" s="1272"/>
      <c r="O545" s="598"/>
    </row>
    <row r="546" spans="1:15" ht="52">
      <c r="A546" s="537"/>
      <c r="B546" s="1283"/>
      <c r="C546" s="718" t="s">
        <v>273</v>
      </c>
      <c r="D546" s="1284" t="s">
        <v>284</v>
      </c>
      <c r="E546" s="1285" t="s">
        <v>285</v>
      </c>
      <c r="F546" s="1284" t="s">
        <v>286</v>
      </c>
      <c r="G546" s="1285" t="s">
        <v>357</v>
      </c>
      <c r="H546" s="1286" t="s">
        <v>357</v>
      </c>
      <c r="I546" s="718" t="s">
        <v>296</v>
      </c>
      <c r="J546" s="722"/>
      <c r="K546" s="1285" t="s">
        <v>366</v>
      </c>
      <c r="L546" s="1287"/>
      <c r="M546" s="1285" t="s">
        <v>366</v>
      </c>
      <c r="N546" s="1287"/>
      <c r="O546" s="1287"/>
    </row>
    <row r="547" spans="1:15" ht="13.5" thickBot="1">
      <c r="C547" s="724" t="s">
        <v>178</v>
      </c>
      <c r="D547" s="725" t="s">
        <v>179</v>
      </c>
      <c r="E547" s="724" t="s">
        <v>38</v>
      </c>
      <c r="F547" s="725" t="s">
        <v>179</v>
      </c>
      <c r="G547" s="1288" t="s">
        <v>299</v>
      </c>
      <c r="H547" s="1289" t="s">
        <v>301</v>
      </c>
      <c r="I547" s="728" t="s">
        <v>390</v>
      </c>
      <c r="J547" s="729"/>
      <c r="K547" s="1288" t="s">
        <v>288</v>
      </c>
      <c r="L547" s="1290"/>
      <c r="M547" s="1288" t="s">
        <v>301</v>
      </c>
      <c r="N547" s="1290"/>
      <c r="O547" s="1290"/>
    </row>
    <row r="548" spans="1:15">
      <c r="C548" s="730">
        <f>IF(D542= "","-",D542)</f>
        <v>2014</v>
      </c>
      <c r="D548" s="683">
        <f>+D541</f>
        <v>10386801</v>
      </c>
      <c r="E548" s="1306">
        <f>+I545/12*(12-D543)</f>
        <v>33943.794117647056</v>
      </c>
      <c r="F548" s="683">
        <f t="shared" ref="F548:F607" si="30">+D548-E548</f>
        <v>10352857.205882354</v>
      </c>
      <c r="G548" s="1292">
        <f>+$I$543*((D548+F548)/2)+E548</f>
        <v>1128197.4934903369</v>
      </c>
      <c r="H548" s="1293">
        <f>+$I$544*((D548+F548)/2)+E548</f>
        <v>1128197.4934903369</v>
      </c>
      <c r="I548" s="734">
        <f>+H548-G548</f>
        <v>0</v>
      </c>
      <c r="J548" s="734"/>
      <c r="K548" s="884">
        <v>0</v>
      </c>
      <c r="L548" s="736"/>
      <c r="M548" s="884">
        <v>0</v>
      </c>
      <c r="N548" s="736"/>
      <c r="O548" s="736"/>
    </row>
    <row r="549" spans="1:15">
      <c r="C549" s="730">
        <f>IF(D542="","-",+C548+1)</f>
        <v>2015</v>
      </c>
      <c r="D549" s="683">
        <f t="shared" ref="D549:D607" si="31">F548</f>
        <v>10352857.205882354</v>
      </c>
      <c r="E549" s="737">
        <f>IF(D549&gt;$I$545,$I$545,D549)</f>
        <v>203662.76470588235</v>
      </c>
      <c r="F549" s="683">
        <f t="shared" si="30"/>
        <v>10149194.441176472</v>
      </c>
      <c r="G549" s="1291">
        <f t="shared" ref="G549:G607" si="32">+$I$543*((D549+F549)/2)+E549</f>
        <v>1285380.0059842861</v>
      </c>
      <c r="H549" s="1294">
        <f t="shared" ref="H549:H607" si="33">+$I$544*((D549+F549)/2)+E549</f>
        <v>1285380.0059842861</v>
      </c>
      <c r="I549" s="734">
        <f t="shared" ref="I549:I607" si="34">+H549-G549</f>
        <v>0</v>
      </c>
      <c r="J549" s="734"/>
      <c r="K549" s="884">
        <v>248467</v>
      </c>
      <c r="L549" s="740"/>
      <c r="M549" s="884">
        <v>248467</v>
      </c>
      <c r="N549" s="740"/>
      <c r="O549" s="740"/>
    </row>
    <row r="550" spans="1:15">
      <c r="C550" s="730">
        <f>IF(D542="","-",+C549+1)</f>
        <v>2016</v>
      </c>
      <c r="D550" s="683">
        <f t="shared" si="31"/>
        <v>10149194.441176472</v>
      </c>
      <c r="E550" s="737">
        <f t="shared" ref="E550:E607" si="35">IF(D550&gt;$I$545,$I$545,D550)</f>
        <v>203662.76470588235</v>
      </c>
      <c r="F550" s="683">
        <f t="shared" si="30"/>
        <v>9945531.6764705908</v>
      </c>
      <c r="G550" s="1291">
        <f t="shared" si="32"/>
        <v>1263888.9349655099</v>
      </c>
      <c r="H550" s="1294">
        <f t="shared" si="33"/>
        <v>1263888.9349655099</v>
      </c>
      <c r="I550" s="734">
        <f t="shared" si="34"/>
        <v>0</v>
      </c>
      <c r="J550" s="734"/>
      <c r="K550" s="884">
        <v>562247</v>
      </c>
      <c r="L550" s="740"/>
      <c r="M550" s="884">
        <v>562247</v>
      </c>
      <c r="N550" s="740"/>
      <c r="O550" s="740"/>
    </row>
    <row r="551" spans="1:15">
      <c r="C551" s="730">
        <f>IF(D542="","-",+C550+1)</f>
        <v>2017</v>
      </c>
      <c r="D551" s="683">
        <f t="shared" si="31"/>
        <v>9945531.6764705908</v>
      </c>
      <c r="E551" s="737">
        <f t="shared" si="35"/>
        <v>203662.76470588235</v>
      </c>
      <c r="F551" s="683">
        <f t="shared" si="30"/>
        <v>9741868.9117647093</v>
      </c>
      <c r="G551" s="1291">
        <f t="shared" si="32"/>
        <v>1242397.8639467338</v>
      </c>
      <c r="H551" s="1294">
        <f t="shared" si="33"/>
        <v>1242397.8639467338</v>
      </c>
      <c r="I551" s="734">
        <f t="shared" si="34"/>
        <v>0</v>
      </c>
      <c r="J551" s="734"/>
      <c r="K551" s="884">
        <v>1427903</v>
      </c>
      <c r="L551" s="740"/>
      <c r="M551" s="884">
        <v>1427903</v>
      </c>
      <c r="N551" s="740"/>
      <c r="O551" s="740"/>
    </row>
    <row r="552" spans="1:15">
      <c r="C552" s="1296">
        <f>IF(D542="","-",+C551+1)</f>
        <v>2018</v>
      </c>
      <c r="D552" s="1297">
        <f t="shared" si="31"/>
        <v>9741868.9117647093</v>
      </c>
      <c r="E552" s="1298">
        <f t="shared" si="35"/>
        <v>203662.76470588235</v>
      </c>
      <c r="F552" s="1297">
        <f t="shared" si="30"/>
        <v>9538206.1470588278</v>
      </c>
      <c r="G552" s="1299">
        <f t="shared" si="32"/>
        <v>1220906.7929279576</v>
      </c>
      <c r="H552" s="1300">
        <f t="shared" si="33"/>
        <v>1220906.7929279576</v>
      </c>
      <c r="I552" s="1301">
        <f t="shared" si="34"/>
        <v>0</v>
      </c>
      <c r="J552" s="734"/>
      <c r="K552" s="884"/>
      <c r="L552" s="740"/>
      <c r="M552" s="884"/>
      <c r="N552" s="740"/>
      <c r="O552" s="740"/>
    </row>
    <row r="553" spans="1:15">
      <c r="C553" s="730">
        <f>IF(D542="","-",+C552+1)</f>
        <v>2019</v>
      </c>
      <c r="D553" s="683">
        <f t="shared" si="31"/>
        <v>9538206.1470588278</v>
      </c>
      <c r="E553" s="737">
        <f t="shared" si="35"/>
        <v>203662.76470588235</v>
      </c>
      <c r="F553" s="683">
        <f t="shared" si="30"/>
        <v>9334543.3823529463</v>
      </c>
      <c r="G553" s="1291">
        <f t="shared" si="32"/>
        <v>1199415.7219091814</v>
      </c>
      <c r="H553" s="1294">
        <f t="shared" si="33"/>
        <v>1199415.7219091814</v>
      </c>
      <c r="I553" s="734">
        <f t="shared" si="34"/>
        <v>0</v>
      </c>
      <c r="J553" s="734"/>
      <c r="K553" s="884"/>
      <c r="L553" s="740"/>
      <c r="M553" s="884"/>
      <c r="N553" s="740"/>
      <c r="O553" s="740"/>
    </row>
    <row r="554" spans="1:15">
      <c r="C554" s="730">
        <f>IF(D542="","-",+C553+1)</f>
        <v>2020</v>
      </c>
      <c r="D554" s="683">
        <f t="shared" si="31"/>
        <v>9334543.3823529463</v>
      </c>
      <c r="E554" s="737">
        <f t="shared" si="35"/>
        <v>203662.76470588235</v>
      </c>
      <c r="F554" s="683">
        <f t="shared" si="30"/>
        <v>9130880.6176470648</v>
      </c>
      <c r="G554" s="1291">
        <f t="shared" si="32"/>
        <v>1177924.6508904053</v>
      </c>
      <c r="H554" s="1294">
        <f t="shared" si="33"/>
        <v>1177924.6508904053</v>
      </c>
      <c r="I554" s="734">
        <f t="shared" si="34"/>
        <v>0</v>
      </c>
      <c r="J554" s="734"/>
      <c r="K554" s="884"/>
      <c r="L554" s="740"/>
      <c r="M554" s="884"/>
      <c r="N554" s="740"/>
      <c r="O554" s="740"/>
    </row>
    <row r="555" spans="1:15">
      <c r="C555" s="730">
        <f>IF(D542="","-",+C554+1)</f>
        <v>2021</v>
      </c>
      <c r="D555" s="683">
        <f t="shared" si="31"/>
        <v>9130880.6176470648</v>
      </c>
      <c r="E555" s="737">
        <f t="shared" si="35"/>
        <v>203662.76470588235</v>
      </c>
      <c r="F555" s="683">
        <f t="shared" si="30"/>
        <v>8927217.8529411834</v>
      </c>
      <c r="G555" s="1291">
        <f t="shared" si="32"/>
        <v>1156433.5798716291</v>
      </c>
      <c r="H555" s="1294">
        <f t="shared" si="33"/>
        <v>1156433.5798716291</v>
      </c>
      <c r="I555" s="734">
        <f t="shared" si="34"/>
        <v>0</v>
      </c>
      <c r="J555" s="734"/>
      <c r="K555" s="884"/>
      <c r="L555" s="740"/>
      <c r="M555" s="884"/>
      <c r="N555" s="740"/>
      <c r="O555" s="740"/>
    </row>
    <row r="556" spans="1:15">
      <c r="C556" s="730">
        <f>IF(D542="","-",+C555+1)</f>
        <v>2022</v>
      </c>
      <c r="D556" s="683">
        <f t="shared" si="31"/>
        <v>8927217.8529411834</v>
      </c>
      <c r="E556" s="737">
        <f t="shared" si="35"/>
        <v>203662.76470588235</v>
      </c>
      <c r="F556" s="683">
        <f t="shared" si="30"/>
        <v>8723555.0882353019</v>
      </c>
      <c r="G556" s="1291">
        <f t="shared" si="32"/>
        <v>1134942.508852853</v>
      </c>
      <c r="H556" s="1294">
        <f t="shared" si="33"/>
        <v>1134942.508852853</v>
      </c>
      <c r="I556" s="734">
        <f t="shared" si="34"/>
        <v>0</v>
      </c>
      <c r="J556" s="734"/>
      <c r="K556" s="884"/>
      <c r="L556" s="740"/>
      <c r="M556" s="884"/>
      <c r="N556" s="740"/>
      <c r="O556" s="740"/>
    </row>
    <row r="557" spans="1:15">
      <c r="C557" s="730">
        <f>IF(D542="","-",+C556+1)</f>
        <v>2023</v>
      </c>
      <c r="D557" s="683">
        <f t="shared" si="31"/>
        <v>8723555.0882353019</v>
      </c>
      <c r="E557" s="737">
        <f t="shared" si="35"/>
        <v>203662.76470588235</v>
      </c>
      <c r="F557" s="683">
        <f t="shared" si="30"/>
        <v>8519892.3235294204</v>
      </c>
      <c r="G557" s="1291">
        <f t="shared" si="32"/>
        <v>1113451.437834077</v>
      </c>
      <c r="H557" s="1294">
        <f t="shared" si="33"/>
        <v>1113451.437834077</v>
      </c>
      <c r="I557" s="734">
        <f t="shared" si="34"/>
        <v>0</v>
      </c>
      <c r="J557" s="734"/>
      <c r="K557" s="884"/>
      <c r="L557" s="740"/>
      <c r="M557" s="884"/>
      <c r="N557" s="740"/>
      <c r="O557" s="740"/>
    </row>
    <row r="558" spans="1:15">
      <c r="C558" s="730">
        <f>IF(D542="","-",+C557+1)</f>
        <v>2024</v>
      </c>
      <c r="D558" s="683">
        <f t="shared" si="31"/>
        <v>8519892.3235294204</v>
      </c>
      <c r="E558" s="737">
        <f t="shared" si="35"/>
        <v>203662.76470588235</v>
      </c>
      <c r="F558" s="683">
        <f t="shared" si="30"/>
        <v>8316229.558823538</v>
      </c>
      <c r="G558" s="1291">
        <f t="shared" si="32"/>
        <v>1091960.3668153009</v>
      </c>
      <c r="H558" s="1294">
        <f t="shared" si="33"/>
        <v>1091960.3668153009</v>
      </c>
      <c r="I558" s="734">
        <f t="shared" si="34"/>
        <v>0</v>
      </c>
      <c r="J558" s="734"/>
      <c r="K558" s="884"/>
      <c r="L558" s="740"/>
      <c r="M558" s="884"/>
      <c r="N558" s="740"/>
      <c r="O558" s="740"/>
    </row>
    <row r="559" spans="1:15">
      <c r="C559" s="730">
        <f>IF(D542="","-",+C558+1)</f>
        <v>2025</v>
      </c>
      <c r="D559" s="683">
        <f t="shared" si="31"/>
        <v>8316229.558823538</v>
      </c>
      <c r="E559" s="737">
        <f t="shared" si="35"/>
        <v>203662.76470588235</v>
      </c>
      <c r="F559" s="683">
        <f t="shared" si="30"/>
        <v>8112566.7941176556</v>
      </c>
      <c r="G559" s="1291">
        <f t="shared" si="32"/>
        <v>1070469.2957965245</v>
      </c>
      <c r="H559" s="1294">
        <f t="shared" si="33"/>
        <v>1070469.2957965245</v>
      </c>
      <c r="I559" s="734">
        <f t="shared" si="34"/>
        <v>0</v>
      </c>
      <c r="J559" s="734"/>
      <c r="K559" s="884"/>
      <c r="L559" s="740"/>
      <c r="M559" s="884"/>
      <c r="N559" s="740"/>
      <c r="O559" s="740"/>
    </row>
    <row r="560" spans="1:15">
      <c r="C560" s="730">
        <f>IF(D542="","-",+C559+1)</f>
        <v>2026</v>
      </c>
      <c r="D560" s="683">
        <f t="shared" si="31"/>
        <v>8112566.7941176556</v>
      </c>
      <c r="E560" s="737">
        <f t="shared" si="35"/>
        <v>203662.76470588235</v>
      </c>
      <c r="F560" s="683">
        <f t="shared" si="30"/>
        <v>7908904.0294117732</v>
      </c>
      <c r="G560" s="1291">
        <f t="shared" si="32"/>
        <v>1048978.2247777483</v>
      </c>
      <c r="H560" s="1294">
        <f t="shared" si="33"/>
        <v>1048978.2247777483</v>
      </c>
      <c r="I560" s="734">
        <f t="shared" si="34"/>
        <v>0</v>
      </c>
      <c r="J560" s="734"/>
      <c r="K560" s="884"/>
      <c r="L560" s="740"/>
      <c r="M560" s="884"/>
      <c r="N560" s="740"/>
      <c r="O560" s="740"/>
    </row>
    <row r="561" spans="3:15">
      <c r="C561" s="730">
        <f>IF(D542="","-",+C560+1)</f>
        <v>2027</v>
      </c>
      <c r="D561" s="683">
        <f t="shared" si="31"/>
        <v>7908904.0294117732</v>
      </c>
      <c r="E561" s="737">
        <f t="shared" si="35"/>
        <v>203662.76470588235</v>
      </c>
      <c r="F561" s="683">
        <f t="shared" si="30"/>
        <v>7705241.2647058908</v>
      </c>
      <c r="G561" s="1291">
        <f t="shared" si="32"/>
        <v>1027487.153758972</v>
      </c>
      <c r="H561" s="1294">
        <f t="shared" si="33"/>
        <v>1027487.153758972</v>
      </c>
      <c r="I561" s="734">
        <f t="shared" si="34"/>
        <v>0</v>
      </c>
      <c r="J561" s="734"/>
      <c r="K561" s="884"/>
      <c r="L561" s="740"/>
      <c r="M561" s="884"/>
      <c r="N561" s="740"/>
      <c r="O561" s="740"/>
    </row>
    <row r="562" spans="3:15">
      <c r="C562" s="730">
        <f>IF(D542="","-",+C561+1)</f>
        <v>2028</v>
      </c>
      <c r="D562" s="683">
        <f t="shared" si="31"/>
        <v>7705241.2647058908</v>
      </c>
      <c r="E562" s="737">
        <f t="shared" si="35"/>
        <v>203662.76470588235</v>
      </c>
      <c r="F562" s="683">
        <f t="shared" si="30"/>
        <v>7501578.5000000084</v>
      </c>
      <c r="G562" s="1291">
        <f t="shared" si="32"/>
        <v>1005996.0827401958</v>
      </c>
      <c r="H562" s="1294">
        <f t="shared" si="33"/>
        <v>1005996.0827401958</v>
      </c>
      <c r="I562" s="734">
        <f t="shared" si="34"/>
        <v>0</v>
      </c>
      <c r="J562" s="734"/>
      <c r="K562" s="884"/>
      <c r="L562" s="740"/>
      <c r="M562" s="884"/>
      <c r="N562" s="740"/>
      <c r="O562" s="740"/>
    </row>
    <row r="563" spans="3:15">
      <c r="C563" s="730">
        <f>IF(D542="","-",+C562+1)</f>
        <v>2029</v>
      </c>
      <c r="D563" s="683">
        <f t="shared" si="31"/>
        <v>7501578.5000000084</v>
      </c>
      <c r="E563" s="737">
        <f t="shared" si="35"/>
        <v>203662.76470588235</v>
      </c>
      <c r="F563" s="683">
        <f t="shared" si="30"/>
        <v>7297915.735294126</v>
      </c>
      <c r="G563" s="1291">
        <f t="shared" si="32"/>
        <v>984505.01172141964</v>
      </c>
      <c r="H563" s="1294">
        <f t="shared" si="33"/>
        <v>984505.01172141964</v>
      </c>
      <c r="I563" s="734">
        <f t="shared" si="34"/>
        <v>0</v>
      </c>
      <c r="J563" s="734"/>
      <c r="K563" s="884"/>
      <c r="L563" s="740"/>
      <c r="M563" s="884"/>
      <c r="N563" s="740"/>
      <c r="O563" s="740"/>
    </row>
    <row r="564" spans="3:15">
      <c r="C564" s="730">
        <f>IF(D542="","-",+C563+1)</f>
        <v>2030</v>
      </c>
      <c r="D564" s="683">
        <f t="shared" si="31"/>
        <v>7297915.735294126</v>
      </c>
      <c r="E564" s="737">
        <f t="shared" si="35"/>
        <v>203662.76470588235</v>
      </c>
      <c r="F564" s="683">
        <f t="shared" si="30"/>
        <v>7094252.9705882436</v>
      </c>
      <c r="G564" s="1291">
        <f t="shared" si="32"/>
        <v>963013.94070264348</v>
      </c>
      <c r="H564" s="1294">
        <f t="shared" si="33"/>
        <v>963013.94070264348</v>
      </c>
      <c r="I564" s="734">
        <f t="shared" si="34"/>
        <v>0</v>
      </c>
      <c r="J564" s="734"/>
      <c r="K564" s="884"/>
      <c r="L564" s="740"/>
      <c r="M564" s="884"/>
      <c r="N564" s="740"/>
      <c r="O564" s="740"/>
    </row>
    <row r="565" spans="3:15">
      <c r="C565" s="730">
        <f>IF(D542="","-",+C564+1)</f>
        <v>2031</v>
      </c>
      <c r="D565" s="683">
        <f t="shared" si="31"/>
        <v>7094252.9705882436</v>
      </c>
      <c r="E565" s="737">
        <f t="shared" si="35"/>
        <v>203662.76470588235</v>
      </c>
      <c r="F565" s="683">
        <f t="shared" si="30"/>
        <v>6890590.2058823612</v>
      </c>
      <c r="G565" s="1291">
        <f t="shared" si="32"/>
        <v>941522.86968386709</v>
      </c>
      <c r="H565" s="1294">
        <f t="shared" si="33"/>
        <v>941522.86968386709</v>
      </c>
      <c r="I565" s="734">
        <f t="shared" si="34"/>
        <v>0</v>
      </c>
      <c r="J565" s="734"/>
      <c r="K565" s="884"/>
      <c r="L565" s="740"/>
      <c r="M565" s="884"/>
      <c r="N565" s="740"/>
      <c r="O565" s="740"/>
    </row>
    <row r="566" spans="3:15">
      <c r="C566" s="730">
        <f>IF(D542="","-",+C565+1)</f>
        <v>2032</v>
      </c>
      <c r="D566" s="683">
        <f t="shared" si="31"/>
        <v>6890590.2058823612</v>
      </c>
      <c r="E566" s="737">
        <f t="shared" si="35"/>
        <v>203662.76470588235</v>
      </c>
      <c r="F566" s="683">
        <f t="shared" si="30"/>
        <v>6686927.4411764788</v>
      </c>
      <c r="G566" s="1291">
        <f t="shared" si="32"/>
        <v>920031.79866509093</v>
      </c>
      <c r="H566" s="1294">
        <f t="shared" si="33"/>
        <v>920031.79866509093</v>
      </c>
      <c r="I566" s="734">
        <f t="shared" si="34"/>
        <v>0</v>
      </c>
      <c r="J566" s="734"/>
      <c r="K566" s="884"/>
      <c r="L566" s="740"/>
      <c r="M566" s="884"/>
      <c r="N566" s="740"/>
      <c r="O566" s="740"/>
    </row>
    <row r="567" spans="3:15">
      <c r="C567" s="730">
        <f>IF(D542="","-",+C566+1)</f>
        <v>2033</v>
      </c>
      <c r="D567" s="683">
        <f t="shared" si="31"/>
        <v>6686927.4411764788</v>
      </c>
      <c r="E567" s="737">
        <f t="shared" si="35"/>
        <v>203662.76470588235</v>
      </c>
      <c r="F567" s="683">
        <f t="shared" si="30"/>
        <v>6483264.6764705963</v>
      </c>
      <c r="G567" s="1291">
        <f t="shared" si="32"/>
        <v>898540.72764631454</v>
      </c>
      <c r="H567" s="1294">
        <f t="shared" si="33"/>
        <v>898540.72764631454</v>
      </c>
      <c r="I567" s="734">
        <f t="shared" si="34"/>
        <v>0</v>
      </c>
      <c r="J567" s="734"/>
      <c r="K567" s="884"/>
      <c r="L567" s="740"/>
      <c r="M567" s="884"/>
      <c r="N567" s="740"/>
      <c r="O567" s="740"/>
    </row>
    <row r="568" spans="3:15">
      <c r="C568" s="730">
        <f>IF(D542="","-",+C567+1)</f>
        <v>2034</v>
      </c>
      <c r="D568" s="683">
        <f t="shared" si="31"/>
        <v>6483264.6764705963</v>
      </c>
      <c r="E568" s="737">
        <f t="shared" si="35"/>
        <v>203662.76470588235</v>
      </c>
      <c r="F568" s="683">
        <f t="shared" si="30"/>
        <v>6279601.9117647139</v>
      </c>
      <c r="G568" s="1291">
        <f t="shared" si="32"/>
        <v>877049.65662753838</v>
      </c>
      <c r="H568" s="1294">
        <f t="shared" si="33"/>
        <v>877049.65662753838</v>
      </c>
      <c r="I568" s="734">
        <f t="shared" si="34"/>
        <v>0</v>
      </c>
      <c r="J568" s="734"/>
      <c r="K568" s="884"/>
      <c r="L568" s="740"/>
      <c r="M568" s="884"/>
      <c r="N568" s="740"/>
      <c r="O568" s="740"/>
    </row>
    <row r="569" spans="3:15">
      <c r="C569" s="730">
        <f>IF(D542="","-",+C568+1)</f>
        <v>2035</v>
      </c>
      <c r="D569" s="683">
        <f t="shared" si="31"/>
        <v>6279601.9117647139</v>
      </c>
      <c r="E569" s="737">
        <f t="shared" si="35"/>
        <v>203662.76470588235</v>
      </c>
      <c r="F569" s="683">
        <f t="shared" si="30"/>
        <v>6075939.1470588315</v>
      </c>
      <c r="G569" s="1291">
        <f t="shared" si="32"/>
        <v>855558.58560876222</v>
      </c>
      <c r="H569" s="1294">
        <f t="shared" si="33"/>
        <v>855558.58560876222</v>
      </c>
      <c r="I569" s="734">
        <f t="shared" si="34"/>
        <v>0</v>
      </c>
      <c r="J569" s="734"/>
      <c r="K569" s="884"/>
      <c r="L569" s="740"/>
      <c r="M569" s="884"/>
      <c r="N569" s="740"/>
      <c r="O569" s="740"/>
    </row>
    <row r="570" spans="3:15">
      <c r="C570" s="730">
        <f>IF(D542="","-",+C569+1)</f>
        <v>2036</v>
      </c>
      <c r="D570" s="683">
        <f t="shared" si="31"/>
        <v>6075939.1470588315</v>
      </c>
      <c r="E570" s="737">
        <f t="shared" si="35"/>
        <v>203662.76470588235</v>
      </c>
      <c r="F570" s="683">
        <f t="shared" si="30"/>
        <v>5872276.3823529491</v>
      </c>
      <c r="G570" s="1291">
        <f t="shared" si="32"/>
        <v>834067.51458998607</v>
      </c>
      <c r="H570" s="1294">
        <f t="shared" si="33"/>
        <v>834067.51458998607</v>
      </c>
      <c r="I570" s="734">
        <f t="shared" si="34"/>
        <v>0</v>
      </c>
      <c r="J570" s="734"/>
      <c r="K570" s="884"/>
      <c r="L570" s="740"/>
      <c r="M570" s="884"/>
      <c r="N570" s="740"/>
      <c r="O570" s="740"/>
    </row>
    <row r="571" spans="3:15">
      <c r="C571" s="730">
        <f>IF(D542="","-",+C570+1)</f>
        <v>2037</v>
      </c>
      <c r="D571" s="683">
        <f t="shared" si="31"/>
        <v>5872276.3823529491</v>
      </c>
      <c r="E571" s="737">
        <f t="shared" si="35"/>
        <v>203662.76470588235</v>
      </c>
      <c r="F571" s="683">
        <f t="shared" si="30"/>
        <v>5668613.6176470667</v>
      </c>
      <c r="G571" s="1291">
        <f t="shared" si="32"/>
        <v>812576.44357120967</v>
      </c>
      <c r="H571" s="1294">
        <f t="shared" si="33"/>
        <v>812576.44357120967</v>
      </c>
      <c r="I571" s="734">
        <f t="shared" si="34"/>
        <v>0</v>
      </c>
      <c r="J571" s="734"/>
      <c r="K571" s="884"/>
      <c r="L571" s="740"/>
      <c r="M571" s="884"/>
      <c r="N571" s="740"/>
      <c r="O571" s="740"/>
    </row>
    <row r="572" spans="3:15">
      <c r="C572" s="730">
        <f>IF(D542="","-",+C571+1)</f>
        <v>2038</v>
      </c>
      <c r="D572" s="683">
        <f t="shared" si="31"/>
        <v>5668613.6176470667</v>
      </c>
      <c r="E572" s="737">
        <f t="shared" si="35"/>
        <v>203662.76470588235</v>
      </c>
      <c r="F572" s="683">
        <f t="shared" si="30"/>
        <v>5464950.8529411843</v>
      </c>
      <c r="G572" s="1291">
        <f t="shared" si="32"/>
        <v>791085.37255243352</v>
      </c>
      <c r="H572" s="1294">
        <f t="shared" si="33"/>
        <v>791085.37255243352</v>
      </c>
      <c r="I572" s="734">
        <f t="shared" si="34"/>
        <v>0</v>
      </c>
      <c r="J572" s="734"/>
      <c r="K572" s="884"/>
      <c r="L572" s="740"/>
      <c r="M572" s="884"/>
      <c r="N572" s="740"/>
      <c r="O572" s="740"/>
    </row>
    <row r="573" spans="3:15">
      <c r="C573" s="730">
        <f>IF(D542="","-",+C572+1)</f>
        <v>2039</v>
      </c>
      <c r="D573" s="683">
        <f t="shared" si="31"/>
        <v>5464950.8529411843</v>
      </c>
      <c r="E573" s="737">
        <f t="shared" si="35"/>
        <v>203662.76470588235</v>
      </c>
      <c r="F573" s="683">
        <f t="shared" si="30"/>
        <v>5261288.0882353019</v>
      </c>
      <c r="G573" s="1291">
        <f t="shared" si="32"/>
        <v>769594.30153365713</v>
      </c>
      <c r="H573" s="1294">
        <f t="shared" si="33"/>
        <v>769594.30153365713</v>
      </c>
      <c r="I573" s="734">
        <f t="shared" si="34"/>
        <v>0</v>
      </c>
      <c r="J573" s="734"/>
      <c r="K573" s="884"/>
      <c r="L573" s="740"/>
      <c r="M573" s="884"/>
      <c r="N573" s="740"/>
      <c r="O573" s="740"/>
    </row>
    <row r="574" spans="3:15">
      <c r="C574" s="730">
        <f>IF(D542="","-",+C573+1)</f>
        <v>2040</v>
      </c>
      <c r="D574" s="683">
        <f t="shared" si="31"/>
        <v>5261288.0882353019</v>
      </c>
      <c r="E574" s="737">
        <f t="shared" si="35"/>
        <v>203662.76470588235</v>
      </c>
      <c r="F574" s="683">
        <f t="shared" si="30"/>
        <v>5057625.3235294195</v>
      </c>
      <c r="G574" s="1291">
        <f t="shared" si="32"/>
        <v>748103.23051488097</v>
      </c>
      <c r="H574" s="1294">
        <f t="shared" si="33"/>
        <v>748103.23051488097</v>
      </c>
      <c r="I574" s="734">
        <f t="shared" si="34"/>
        <v>0</v>
      </c>
      <c r="J574" s="734"/>
      <c r="K574" s="884"/>
      <c r="L574" s="740"/>
      <c r="M574" s="884"/>
      <c r="N574" s="740"/>
      <c r="O574" s="740"/>
    </row>
    <row r="575" spans="3:15">
      <c r="C575" s="730">
        <f>IF(D542="","-",+C574+1)</f>
        <v>2041</v>
      </c>
      <c r="D575" s="683">
        <f t="shared" si="31"/>
        <v>5057625.3235294195</v>
      </c>
      <c r="E575" s="737">
        <f t="shared" si="35"/>
        <v>203662.76470588235</v>
      </c>
      <c r="F575" s="683">
        <f t="shared" si="30"/>
        <v>4853962.5588235371</v>
      </c>
      <c r="G575" s="1291">
        <f t="shared" si="32"/>
        <v>726612.15949610469</v>
      </c>
      <c r="H575" s="1294">
        <f t="shared" si="33"/>
        <v>726612.15949610469</v>
      </c>
      <c r="I575" s="734">
        <f t="shared" si="34"/>
        <v>0</v>
      </c>
      <c r="J575" s="734"/>
      <c r="K575" s="884"/>
      <c r="L575" s="740"/>
      <c r="M575" s="884"/>
      <c r="N575" s="740"/>
      <c r="O575" s="740"/>
    </row>
    <row r="576" spans="3:15">
      <c r="C576" s="730">
        <f>IF(D542="","-",+C575+1)</f>
        <v>2042</v>
      </c>
      <c r="D576" s="683">
        <f t="shared" si="31"/>
        <v>4853962.5588235371</v>
      </c>
      <c r="E576" s="737">
        <f t="shared" si="35"/>
        <v>203662.76470588235</v>
      </c>
      <c r="F576" s="683">
        <f t="shared" si="30"/>
        <v>4650299.7941176547</v>
      </c>
      <c r="G576" s="1302">
        <f t="shared" si="32"/>
        <v>705121.08847732854</v>
      </c>
      <c r="H576" s="1294">
        <f t="shared" si="33"/>
        <v>705121.08847732854</v>
      </c>
      <c r="I576" s="734">
        <f t="shared" si="34"/>
        <v>0</v>
      </c>
      <c r="J576" s="734"/>
      <c r="K576" s="884"/>
      <c r="L576" s="740"/>
      <c r="M576" s="884"/>
      <c r="N576" s="740"/>
      <c r="O576" s="740"/>
    </row>
    <row r="577" spans="3:15">
      <c r="C577" s="730">
        <f>IF(D542="","-",+C576+1)</f>
        <v>2043</v>
      </c>
      <c r="D577" s="683">
        <f t="shared" si="31"/>
        <v>4650299.7941176547</v>
      </c>
      <c r="E577" s="737">
        <f t="shared" si="35"/>
        <v>203662.76470588235</v>
      </c>
      <c r="F577" s="683">
        <f t="shared" si="30"/>
        <v>4446637.0294117723</v>
      </c>
      <c r="G577" s="1291">
        <f t="shared" si="32"/>
        <v>683630.01745855226</v>
      </c>
      <c r="H577" s="1294">
        <f t="shared" si="33"/>
        <v>683630.01745855226</v>
      </c>
      <c r="I577" s="734">
        <f t="shared" si="34"/>
        <v>0</v>
      </c>
      <c r="J577" s="734"/>
      <c r="K577" s="884"/>
      <c r="L577" s="740"/>
      <c r="M577" s="884"/>
      <c r="N577" s="740"/>
      <c r="O577" s="740"/>
    </row>
    <row r="578" spans="3:15">
      <c r="C578" s="730">
        <f>IF(D542="","-",+C577+1)</f>
        <v>2044</v>
      </c>
      <c r="D578" s="683">
        <f t="shared" si="31"/>
        <v>4446637.0294117723</v>
      </c>
      <c r="E578" s="737">
        <f t="shared" si="35"/>
        <v>203662.76470588235</v>
      </c>
      <c r="F578" s="683">
        <f t="shared" si="30"/>
        <v>4242974.2647058899</v>
      </c>
      <c r="G578" s="1291">
        <f t="shared" si="32"/>
        <v>662138.9464397761</v>
      </c>
      <c r="H578" s="1294">
        <f t="shared" si="33"/>
        <v>662138.9464397761</v>
      </c>
      <c r="I578" s="734">
        <f t="shared" si="34"/>
        <v>0</v>
      </c>
      <c r="J578" s="734"/>
      <c r="K578" s="884"/>
      <c r="L578" s="740"/>
      <c r="M578" s="884"/>
      <c r="N578" s="740"/>
      <c r="O578" s="740"/>
    </row>
    <row r="579" spans="3:15">
      <c r="C579" s="730">
        <f>IF(D542="","-",+C578+1)</f>
        <v>2045</v>
      </c>
      <c r="D579" s="683">
        <f t="shared" si="31"/>
        <v>4242974.2647058899</v>
      </c>
      <c r="E579" s="737">
        <f t="shared" si="35"/>
        <v>203662.76470588235</v>
      </c>
      <c r="F579" s="683">
        <f t="shared" si="30"/>
        <v>4039311.5000000075</v>
      </c>
      <c r="G579" s="1291">
        <f t="shared" si="32"/>
        <v>640647.87542099983</v>
      </c>
      <c r="H579" s="1294">
        <f t="shared" si="33"/>
        <v>640647.87542099983</v>
      </c>
      <c r="I579" s="734">
        <f t="shared" si="34"/>
        <v>0</v>
      </c>
      <c r="J579" s="734"/>
      <c r="K579" s="884"/>
      <c r="L579" s="740"/>
      <c r="M579" s="884"/>
      <c r="N579" s="740"/>
      <c r="O579" s="740"/>
    </row>
    <row r="580" spans="3:15">
      <c r="C580" s="730">
        <f>IF(D542="","-",+C579+1)</f>
        <v>2046</v>
      </c>
      <c r="D580" s="683">
        <f t="shared" si="31"/>
        <v>4039311.5000000075</v>
      </c>
      <c r="E580" s="737">
        <f t="shared" si="35"/>
        <v>203662.76470588235</v>
      </c>
      <c r="F580" s="683">
        <f t="shared" si="30"/>
        <v>3835648.735294125</v>
      </c>
      <c r="G580" s="1291">
        <f t="shared" si="32"/>
        <v>619156.80440222356</v>
      </c>
      <c r="H580" s="1294">
        <f t="shared" si="33"/>
        <v>619156.80440222356</v>
      </c>
      <c r="I580" s="734">
        <f t="shared" si="34"/>
        <v>0</v>
      </c>
      <c r="J580" s="734"/>
      <c r="K580" s="884"/>
      <c r="L580" s="740"/>
      <c r="M580" s="884"/>
      <c r="N580" s="740"/>
      <c r="O580" s="740"/>
    </row>
    <row r="581" spans="3:15">
      <c r="C581" s="730">
        <f>IF(D542="","-",+C580+1)</f>
        <v>2047</v>
      </c>
      <c r="D581" s="683">
        <f t="shared" si="31"/>
        <v>3835648.735294125</v>
      </c>
      <c r="E581" s="737">
        <f t="shared" si="35"/>
        <v>203662.76470588235</v>
      </c>
      <c r="F581" s="683">
        <f t="shared" si="30"/>
        <v>3631985.9705882426</v>
      </c>
      <c r="G581" s="1291">
        <f t="shared" si="32"/>
        <v>597665.7333834474</v>
      </c>
      <c r="H581" s="1294">
        <f t="shared" si="33"/>
        <v>597665.7333834474</v>
      </c>
      <c r="I581" s="734">
        <f t="shared" si="34"/>
        <v>0</v>
      </c>
      <c r="J581" s="734"/>
      <c r="K581" s="884"/>
      <c r="L581" s="740"/>
      <c r="M581" s="884"/>
      <c r="N581" s="740"/>
      <c r="O581" s="740"/>
    </row>
    <row r="582" spans="3:15">
      <c r="C582" s="730">
        <f>IF(D542="","-",+C581+1)</f>
        <v>2048</v>
      </c>
      <c r="D582" s="683">
        <f t="shared" si="31"/>
        <v>3631985.9705882426</v>
      </c>
      <c r="E582" s="737">
        <f t="shared" si="35"/>
        <v>203662.76470588235</v>
      </c>
      <c r="F582" s="683">
        <f t="shared" si="30"/>
        <v>3428323.2058823602</v>
      </c>
      <c r="G582" s="1291">
        <f t="shared" si="32"/>
        <v>576174.66236467112</v>
      </c>
      <c r="H582" s="1294">
        <f t="shared" si="33"/>
        <v>576174.66236467112</v>
      </c>
      <c r="I582" s="734">
        <f t="shared" si="34"/>
        <v>0</v>
      </c>
      <c r="J582" s="734"/>
      <c r="K582" s="884"/>
      <c r="L582" s="740"/>
      <c r="M582" s="884"/>
      <c r="N582" s="740"/>
      <c r="O582" s="740"/>
    </row>
    <row r="583" spans="3:15">
      <c r="C583" s="730">
        <f>IF(D542="","-",+C582+1)</f>
        <v>2049</v>
      </c>
      <c r="D583" s="683">
        <f t="shared" si="31"/>
        <v>3428323.2058823602</v>
      </c>
      <c r="E583" s="737">
        <f t="shared" si="35"/>
        <v>203662.76470588235</v>
      </c>
      <c r="F583" s="683">
        <f t="shared" si="30"/>
        <v>3224660.4411764778</v>
      </c>
      <c r="G583" s="1291">
        <f t="shared" si="32"/>
        <v>554683.59134589485</v>
      </c>
      <c r="H583" s="1294">
        <f t="shared" si="33"/>
        <v>554683.59134589485</v>
      </c>
      <c r="I583" s="734">
        <f t="shared" si="34"/>
        <v>0</v>
      </c>
      <c r="J583" s="734"/>
      <c r="K583" s="884"/>
      <c r="L583" s="740"/>
      <c r="M583" s="884"/>
      <c r="N583" s="740"/>
      <c r="O583" s="740"/>
    </row>
    <row r="584" spans="3:15">
      <c r="C584" s="730">
        <f>IF(D542="","-",+C583+1)</f>
        <v>2050</v>
      </c>
      <c r="D584" s="683">
        <f t="shared" si="31"/>
        <v>3224660.4411764778</v>
      </c>
      <c r="E584" s="737">
        <f t="shared" si="35"/>
        <v>203662.76470588235</v>
      </c>
      <c r="F584" s="683">
        <f t="shared" si="30"/>
        <v>3020997.6764705954</v>
      </c>
      <c r="G584" s="1291">
        <f t="shared" si="32"/>
        <v>533192.52032711869</v>
      </c>
      <c r="H584" s="1294">
        <f t="shared" si="33"/>
        <v>533192.52032711869</v>
      </c>
      <c r="I584" s="734">
        <f t="shared" si="34"/>
        <v>0</v>
      </c>
      <c r="J584" s="734"/>
      <c r="K584" s="884"/>
      <c r="L584" s="740"/>
      <c r="M584" s="884"/>
      <c r="N584" s="740"/>
      <c r="O584" s="740"/>
    </row>
    <row r="585" spans="3:15">
      <c r="C585" s="730">
        <f>IF(D542="","-",+C584+1)</f>
        <v>2051</v>
      </c>
      <c r="D585" s="683">
        <f t="shared" si="31"/>
        <v>3020997.6764705954</v>
      </c>
      <c r="E585" s="737">
        <f t="shared" si="35"/>
        <v>203662.76470588235</v>
      </c>
      <c r="F585" s="683">
        <f t="shared" si="30"/>
        <v>2817334.911764713</v>
      </c>
      <c r="G585" s="1291">
        <f t="shared" si="32"/>
        <v>511701.44930834242</v>
      </c>
      <c r="H585" s="1294">
        <f t="shared" si="33"/>
        <v>511701.44930834242</v>
      </c>
      <c r="I585" s="734">
        <f t="shared" si="34"/>
        <v>0</v>
      </c>
      <c r="J585" s="734"/>
      <c r="K585" s="884"/>
      <c r="L585" s="740"/>
      <c r="M585" s="884"/>
      <c r="N585" s="740"/>
      <c r="O585" s="740"/>
    </row>
    <row r="586" spans="3:15">
      <c r="C586" s="730">
        <f>IF(D542="","-",+C585+1)</f>
        <v>2052</v>
      </c>
      <c r="D586" s="683">
        <f t="shared" si="31"/>
        <v>2817334.911764713</v>
      </c>
      <c r="E586" s="737">
        <f t="shared" si="35"/>
        <v>203662.76470588235</v>
      </c>
      <c r="F586" s="683">
        <f t="shared" si="30"/>
        <v>2613672.1470588306</v>
      </c>
      <c r="G586" s="1291">
        <f t="shared" si="32"/>
        <v>490210.37828956614</v>
      </c>
      <c r="H586" s="1294">
        <f t="shared" si="33"/>
        <v>490210.37828956614</v>
      </c>
      <c r="I586" s="734">
        <f t="shared" si="34"/>
        <v>0</v>
      </c>
      <c r="J586" s="734"/>
      <c r="K586" s="884"/>
      <c r="L586" s="740"/>
      <c r="M586" s="884"/>
      <c r="N586" s="740"/>
      <c r="O586" s="740"/>
    </row>
    <row r="587" spans="3:15">
      <c r="C587" s="730">
        <f>IF(D542="","-",+C586+1)</f>
        <v>2053</v>
      </c>
      <c r="D587" s="683">
        <f t="shared" si="31"/>
        <v>2613672.1470588306</v>
      </c>
      <c r="E587" s="737">
        <f t="shared" si="35"/>
        <v>203662.76470588235</v>
      </c>
      <c r="F587" s="683">
        <f t="shared" si="30"/>
        <v>2410009.3823529482</v>
      </c>
      <c r="G587" s="1291">
        <f t="shared" si="32"/>
        <v>468719.30727078993</v>
      </c>
      <c r="H587" s="1294">
        <f t="shared" si="33"/>
        <v>468719.30727078993</v>
      </c>
      <c r="I587" s="734">
        <f t="shared" si="34"/>
        <v>0</v>
      </c>
      <c r="J587" s="734"/>
      <c r="K587" s="884"/>
      <c r="L587" s="740"/>
      <c r="M587" s="884"/>
      <c r="N587" s="740"/>
      <c r="O587" s="740"/>
    </row>
    <row r="588" spans="3:15">
      <c r="C588" s="730">
        <f>IF(D542="","-",+C587+1)</f>
        <v>2054</v>
      </c>
      <c r="D588" s="683">
        <f t="shared" si="31"/>
        <v>2410009.3823529482</v>
      </c>
      <c r="E588" s="737">
        <f t="shared" si="35"/>
        <v>203662.76470588235</v>
      </c>
      <c r="F588" s="683">
        <f t="shared" si="30"/>
        <v>2206346.6176470658</v>
      </c>
      <c r="G588" s="1291">
        <f t="shared" si="32"/>
        <v>447228.23625201371</v>
      </c>
      <c r="H588" s="1294">
        <f t="shared" si="33"/>
        <v>447228.23625201371</v>
      </c>
      <c r="I588" s="734">
        <f t="shared" si="34"/>
        <v>0</v>
      </c>
      <c r="J588" s="734"/>
      <c r="K588" s="884"/>
      <c r="L588" s="740"/>
      <c r="M588" s="884"/>
      <c r="N588" s="740"/>
      <c r="O588" s="740"/>
    </row>
    <row r="589" spans="3:15">
      <c r="C589" s="730">
        <f>IF(D542="","-",+C588+1)</f>
        <v>2055</v>
      </c>
      <c r="D589" s="683">
        <f t="shared" si="31"/>
        <v>2206346.6176470658</v>
      </c>
      <c r="E589" s="737">
        <f t="shared" si="35"/>
        <v>203662.76470588235</v>
      </c>
      <c r="F589" s="683">
        <f t="shared" si="30"/>
        <v>2002683.8529411834</v>
      </c>
      <c r="G589" s="1291">
        <f t="shared" si="32"/>
        <v>425737.16523323744</v>
      </c>
      <c r="H589" s="1294">
        <f t="shared" si="33"/>
        <v>425737.16523323744</v>
      </c>
      <c r="I589" s="734">
        <f t="shared" si="34"/>
        <v>0</v>
      </c>
      <c r="J589" s="734"/>
      <c r="K589" s="884"/>
      <c r="L589" s="740"/>
      <c r="M589" s="884"/>
      <c r="N589" s="740"/>
      <c r="O589" s="740"/>
    </row>
    <row r="590" spans="3:15">
      <c r="C590" s="730">
        <f>IF(D542="","-",+C589+1)</f>
        <v>2056</v>
      </c>
      <c r="D590" s="683">
        <f t="shared" si="31"/>
        <v>2002683.8529411834</v>
      </c>
      <c r="E590" s="737">
        <f t="shared" si="35"/>
        <v>203662.76470588235</v>
      </c>
      <c r="F590" s="683">
        <f t="shared" si="30"/>
        <v>1799021.088235301</v>
      </c>
      <c r="G590" s="1291">
        <f t="shared" si="32"/>
        <v>404246.09421446122</v>
      </c>
      <c r="H590" s="1294">
        <f t="shared" si="33"/>
        <v>404246.09421446122</v>
      </c>
      <c r="I590" s="734">
        <f t="shared" si="34"/>
        <v>0</v>
      </c>
      <c r="J590" s="734"/>
      <c r="K590" s="884"/>
      <c r="L590" s="740"/>
      <c r="M590" s="884"/>
      <c r="N590" s="740"/>
      <c r="O590" s="740"/>
    </row>
    <row r="591" spans="3:15">
      <c r="C591" s="730">
        <f>IF(D542="","-",+C590+1)</f>
        <v>2057</v>
      </c>
      <c r="D591" s="683">
        <f t="shared" si="31"/>
        <v>1799021.088235301</v>
      </c>
      <c r="E591" s="737">
        <f t="shared" si="35"/>
        <v>203662.76470588235</v>
      </c>
      <c r="F591" s="683">
        <f t="shared" si="30"/>
        <v>1595358.3235294186</v>
      </c>
      <c r="G591" s="1291">
        <f t="shared" si="32"/>
        <v>382755.023195685</v>
      </c>
      <c r="H591" s="1294">
        <f t="shared" si="33"/>
        <v>382755.023195685</v>
      </c>
      <c r="I591" s="734">
        <f t="shared" si="34"/>
        <v>0</v>
      </c>
      <c r="J591" s="734"/>
      <c r="K591" s="884"/>
      <c r="L591" s="740"/>
      <c r="M591" s="884"/>
      <c r="N591" s="740"/>
      <c r="O591" s="740"/>
    </row>
    <row r="592" spans="3:15">
      <c r="C592" s="730">
        <f>IF(D542="","-",+C591+1)</f>
        <v>2058</v>
      </c>
      <c r="D592" s="683">
        <f t="shared" si="31"/>
        <v>1595358.3235294186</v>
      </c>
      <c r="E592" s="737">
        <f t="shared" si="35"/>
        <v>203662.76470588235</v>
      </c>
      <c r="F592" s="683">
        <f t="shared" si="30"/>
        <v>1391695.5588235362</v>
      </c>
      <c r="G592" s="1291">
        <f t="shared" si="32"/>
        <v>361263.95217690873</v>
      </c>
      <c r="H592" s="1294">
        <f t="shared" si="33"/>
        <v>361263.95217690873</v>
      </c>
      <c r="I592" s="734">
        <f t="shared" si="34"/>
        <v>0</v>
      </c>
      <c r="J592" s="734"/>
      <c r="K592" s="884"/>
      <c r="L592" s="740"/>
      <c r="M592" s="884"/>
      <c r="N592" s="740"/>
      <c r="O592" s="740"/>
    </row>
    <row r="593" spans="3:15">
      <c r="C593" s="730">
        <f>IF(D542="","-",+C592+1)</f>
        <v>2059</v>
      </c>
      <c r="D593" s="683">
        <f t="shared" si="31"/>
        <v>1391695.5588235362</v>
      </c>
      <c r="E593" s="737">
        <f t="shared" si="35"/>
        <v>203662.76470588235</v>
      </c>
      <c r="F593" s="683">
        <f t="shared" si="30"/>
        <v>1188032.7941176537</v>
      </c>
      <c r="G593" s="1291">
        <f t="shared" si="32"/>
        <v>339772.88115813251</v>
      </c>
      <c r="H593" s="1294">
        <f t="shared" si="33"/>
        <v>339772.88115813251</v>
      </c>
      <c r="I593" s="734">
        <f t="shared" si="34"/>
        <v>0</v>
      </c>
      <c r="J593" s="734"/>
      <c r="K593" s="884"/>
      <c r="L593" s="740"/>
      <c r="M593" s="884"/>
      <c r="N593" s="740"/>
      <c r="O593" s="740"/>
    </row>
    <row r="594" spans="3:15">
      <c r="C594" s="730">
        <f>IF(D542="","-",+C593+1)</f>
        <v>2060</v>
      </c>
      <c r="D594" s="683">
        <f t="shared" si="31"/>
        <v>1188032.7941176537</v>
      </c>
      <c r="E594" s="737">
        <f t="shared" si="35"/>
        <v>203662.76470588235</v>
      </c>
      <c r="F594" s="683">
        <f t="shared" si="30"/>
        <v>984370.02941177133</v>
      </c>
      <c r="G594" s="1291">
        <f t="shared" si="32"/>
        <v>318281.8101393563</v>
      </c>
      <c r="H594" s="1294">
        <f t="shared" si="33"/>
        <v>318281.8101393563</v>
      </c>
      <c r="I594" s="734">
        <f t="shared" si="34"/>
        <v>0</v>
      </c>
      <c r="J594" s="734"/>
      <c r="K594" s="884"/>
      <c r="L594" s="740"/>
      <c r="M594" s="884"/>
      <c r="N594" s="740"/>
      <c r="O594" s="740"/>
    </row>
    <row r="595" spans="3:15">
      <c r="C595" s="730">
        <f>IF(D542="","-",+C594+1)</f>
        <v>2061</v>
      </c>
      <c r="D595" s="683">
        <f t="shared" si="31"/>
        <v>984370.02941177133</v>
      </c>
      <c r="E595" s="737">
        <f t="shared" si="35"/>
        <v>203662.76470588235</v>
      </c>
      <c r="F595" s="683">
        <f t="shared" si="30"/>
        <v>780707.26470588893</v>
      </c>
      <c r="G595" s="1291">
        <f t="shared" si="32"/>
        <v>296790.73912058002</v>
      </c>
      <c r="H595" s="1294">
        <f t="shared" si="33"/>
        <v>296790.73912058002</v>
      </c>
      <c r="I595" s="734">
        <f t="shared" si="34"/>
        <v>0</v>
      </c>
      <c r="J595" s="734"/>
      <c r="K595" s="884"/>
      <c r="L595" s="740"/>
      <c r="M595" s="884"/>
      <c r="N595" s="740"/>
      <c r="O595" s="740"/>
    </row>
    <row r="596" spans="3:15">
      <c r="C596" s="730">
        <f>IF(D542="","-",+C595+1)</f>
        <v>2062</v>
      </c>
      <c r="D596" s="683">
        <f t="shared" si="31"/>
        <v>780707.26470588893</v>
      </c>
      <c r="E596" s="737">
        <f t="shared" si="35"/>
        <v>203662.76470588235</v>
      </c>
      <c r="F596" s="683">
        <f t="shared" si="30"/>
        <v>577044.50000000652</v>
      </c>
      <c r="G596" s="1291">
        <f t="shared" si="32"/>
        <v>275299.66810180381</v>
      </c>
      <c r="H596" s="1294">
        <f t="shared" si="33"/>
        <v>275299.66810180381</v>
      </c>
      <c r="I596" s="734">
        <f t="shared" si="34"/>
        <v>0</v>
      </c>
      <c r="J596" s="734"/>
      <c r="K596" s="884"/>
      <c r="L596" s="740"/>
      <c r="M596" s="884"/>
      <c r="N596" s="740"/>
      <c r="O596" s="740"/>
    </row>
    <row r="597" spans="3:15">
      <c r="C597" s="730">
        <f>IF(D542="","-",+C596+1)</f>
        <v>2063</v>
      </c>
      <c r="D597" s="683">
        <f t="shared" si="31"/>
        <v>577044.50000000652</v>
      </c>
      <c r="E597" s="737">
        <f t="shared" si="35"/>
        <v>203662.76470588235</v>
      </c>
      <c r="F597" s="683">
        <f t="shared" si="30"/>
        <v>373381.73529412417</v>
      </c>
      <c r="G597" s="1291">
        <f t="shared" si="32"/>
        <v>253808.59708302756</v>
      </c>
      <c r="H597" s="1294">
        <f t="shared" si="33"/>
        <v>253808.59708302756</v>
      </c>
      <c r="I597" s="734">
        <f t="shared" si="34"/>
        <v>0</v>
      </c>
      <c r="J597" s="734"/>
      <c r="K597" s="884"/>
      <c r="L597" s="740"/>
      <c r="M597" s="884"/>
      <c r="N597" s="740"/>
      <c r="O597" s="740"/>
    </row>
    <row r="598" spans="3:15">
      <c r="C598" s="730">
        <f>IF(D542="","-",+C597+1)</f>
        <v>2064</v>
      </c>
      <c r="D598" s="683">
        <f t="shared" si="31"/>
        <v>373381.73529412417</v>
      </c>
      <c r="E598" s="737">
        <f t="shared" si="35"/>
        <v>203662.76470588235</v>
      </c>
      <c r="F598" s="683">
        <f t="shared" si="30"/>
        <v>169718.97058824182</v>
      </c>
      <c r="G598" s="1291">
        <f t="shared" si="32"/>
        <v>232317.52606425135</v>
      </c>
      <c r="H598" s="1294">
        <f t="shared" si="33"/>
        <v>232317.52606425135</v>
      </c>
      <c r="I598" s="734">
        <f t="shared" si="34"/>
        <v>0</v>
      </c>
      <c r="J598" s="734"/>
      <c r="K598" s="884"/>
      <c r="L598" s="740"/>
      <c r="M598" s="884"/>
      <c r="N598" s="740"/>
      <c r="O598" s="740"/>
    </row>
    <row r="599" spans="3:15">
      <c r="C599" s="730">
        <f>IF(D542="","-",+C598+1)</f>
        <v>2065</v>
      </c>
      <c r="D599" s="683">
        <f t="shared" si="31"/>
        <v>169718.97058824182</v>
      </c>
      <c r="E599" s="737">
        <f t="shared" si="35"/>
        <v>169718.97058824182</v>
      </c>
      <c r="F599" s="683">
        <f t="shared" si="30"/>
        <v>0</v>
      </c>
      <c r="G599" s="1291">
        <f t="shared" si="32"/>
        <v>178673.58351273226</v>
      </c>
      <c r="H599" s="1294">
        <f t="shared" si="33"/>
        <v>178673.58351273226</v>
      </c>
      <c r="I599" s="734">
        <f t="shared" si="34"/>
        <v>0</v>
      </c>
      <c r="J599" s="734"/>
      <c r="K599" s="884"/>
      <c r="L599" s="740"/>
      <c r="M599" s="884"/>
      <c r="N599" s="740"/>
      <c r="O599" s="740"/>
    </row>
    <row r="600" spans="3:15">
      <c r="C600" s="730">
        <f>IF(D542="","-",+C599+1)</f>
        <v>2066</v>
      </c>
      <c r="D600" s="683">
        <f t="shared" si="31"/>
        <v>0</v>
      </c>
      <c r="E600" s="737">
        <f t="shared" si="35"/>
        <v>0</v>
      </c>
      <c r="F600" s="683">
        <f t="shared" si="30"/>
        <v>0</v>
      </c>
      <c r="G600" s="1291">
        <f t="shared" si="32"/>
        <v>0</v>
      </c>
      <c r="H600" s="1294">
        <f t="shared" si="33"/>
        <v>0</v>
      </c>
      <c r="I600" s="734">
        <f t="shared" si="34"/>
        <v>0</v>
      </c>
      <c r="J600" s="734"/>
      <c r="K600" s="884"/>
      <c r="L600" s="740"/>
      <c r="M600" s="884"/>
      <c r="N600" s="740"/>
      <c r="O600" s="740"/>
    </row>
    <row r="601" spans="3:15">
      <c r="C601" s="730">
        <f>IF(D542="","-",+C600+1)</f>
        <v>2067</v>
      </c>
      <c r="D601" s="683">
        <f t="shared" si="31"/>
        <v>0</v>
      </c>
      <c r="E601" s="737">
        <f t="shared" si="35"/>
        <v>0</v>
      </c>
      <c r="F601" s="683">
        <f t="shared" si="30"/>
        <v>0</v>
      </c>
      <c r="G601" s="1291">
        <f t="shared" si="32"/>
        <v>0</v>
      </c>
      <c r="H601" s="1294">
        <f t="shared" si="33"/>
        <v>0</v>
      </c>
      <c r="I601" s="734">
        <f t="shared" si="34"/>
        <v>0</v>
      </c>
      <c r="J601" s="734"/>
      <c r="K601" s="884"/>
      <c r="L601" s="740"/>
      <c r="M601" s="884"/>
      <c r="N601" s="740"/>
      <c r="O601" s="740"/>
    </row>
    <row r="602" spans="3:15">
      <c r="C602" s="730">
        <f>IF(D542="","-",+C601+1)</f>
        <v>2068</v>
      </c>
      <c r="D602" s="683">
        <f t="shared" si="31"/>
        <v>0</v>
      </c>
      <c r="E602" s="737">
        <f t="shared" si="35"/>
        <v>0</v>
      </c>
      <c r="F602" s="683">
        <f t="shared" si="30"/>
        <v>0</v>
      </c>
      <c r="G602" s="1291">
        <f t="shared" si="32"/>
        <v>0</v>
      </c>
      <c r="H602" s="1294">
        <f t="shared" si="33"/>
        <v>0</v>
      </c>
      <c r="I602" s="734">
        <f t="shared" si="34"/>
        <v>0</v>
      </c>
      <c r="J602" s="734"/>
      <c r="K602" s="884"/>
      <c r="L602" s="740"/>
      <c r="M602" s="884"/>
      <c r="N602" s="740"/>
      <c r="O602" s="740"/>
    </row>
    <row r="603" spans="3:15">
      <c r="C603" s="730">
        <f>IF(D542="","-",+C602+1)</f>
        <v>2069</v>
      </c>
      <c r="D603" s="683">
        <f t="shared" si="31"/>
        <v>0</v>
      </c>
      <c r="E603" s="737">
        <f t="shared" si="35"/>
        <v>0</v>
      </c>
      <c r="F603" s="683">
        <f t="shared" si="30"/>
        <v>0</v>
      </c>
      <c r="G603" s="1291">
        <f t="shared" si="32"/>
        <v>0</v>
      </c>
      <c r="H603" s="1294">
        <f t="shared" si="33"/>
        <v>0</v>
      </c>
      <c r="I603" s="734">
        <f t="shared" si="34"/>
        <v>0</v>
      </c>
      <c r="J603" s="734"/>
      <c r="K603" s="884"/>
      <c r="L603" s="740"/>
      <c r="M603" s="884"/>
      <c r="N603" s="740"/>
      <c r="O603" s="740"/>
    </row>
    <row r="604" spans="3:15">
      <c r="C604" s="730">
        <f>IF(D542="","-",+C603+1)</f>
        <v>2070</v>
      </c>
      <c r="D604" s="683">
        <f t="shared" si="31"/>
        <v>0</v>
      </c>
      <c r="E604" s="737">
        <f t="shared" si="35"/>
        <v>0</v>
      </c>
      <c r="F604" s="683">
        <f t="shared" si="30"/>
        <v>0</v>
      </c>
      <c r="G604" s="1291">
        <f t="shared" si="32"/>
        <v>0</v>
      </c>
      <c r="H604" s="1294">
        <f t="shared" si="33"/>
        <v>0</v>
      </c>
      <c r="I604" s="734">
        <f t="shared" si="34"/>
        <v>0</v>
      </c>
      <c r="J604" s="734"/>
      <c r="K604" s="884"/>
      <c r="L604" s="740"/>
      <c r="M604" s="884"/>
      <c r="N604" s="740"/>
      <c r="O604" s="740"/>
    </row>
    <row r="605" spans="3:15">
      <c r="C605" s="730">
        <f>IF(D542="","-",+C604+1)</f>
        <v>2071</v>
      </c>
      <c r="D605" s="683">
        <f t="shared" si="31"/>
        <v>0</v>
      </c>
      <c r="E605" s="737">
        <f t="shared" si="35"/>
        <v>0</v>
      </c>
      <c r="F605" s="683">
        <f t="shared" si="30"/>
        <v>0</v>
      </c>
      <c r="G605" s="1291">
        <f t="shared" si="32"/>
        <v>0</v>
      </c>
      <c r="H605" s="1294">
        <f t="shared" si="33"/>
        <v>0</v>
      </c>
      <c r="I605" s="734">
        <f t="shared" si="34"/>
        <v>0</v>
      </c>
      <c r="J605" s="734"/>
      <c r="K605" s="884"/>
      <c r="L605" s="740"/>
      <c r="M605" s="884"/>
      <c r="N605" s="740"/>
      <c r="O605" s="740"/>
    </row>
    <row r="606" spans="3:15">
      <c r="C606" s="730">
        <f>IF(D542="","-",+C605+1)</f>
        <v>2072</v>
      </c>
      <c r="D606" s="683">
        <f t="shared" si="31"/>
        <v>0</v>
      </c>
      <c r="E606" s="737">
        <f t="shared" si="35"/>
        <v>0</v>
      </c>
      <c r="F606" s="683">
        <f t="shared" si="30"/>
        <v>0</v>
      </c>
      <c r="G606" s="1291">
        <f t="shared" si="32"/>
        <v>0</v>
      </c>
      <c r="H606" s="1294">
        <f t="shared" si="33"/>
        <v>0</v>
      </c>
      <c r="I606" s="734">
        <f t="shared" si="34"/>
        <v>0</v>
      </c>
      <c r="J606" s="734"/>
      <c r="K606" s="884"/>
      <c r="L606" s="740"/>
      <c r="M606" s="884"/>
      <c r="N606" s="740"/>
      <c r="O606" s="740"/>
    </row>
    <row r="607" spans="3:15" ht="13" thickBot="1">
      <c r="C607" s="741">
        <f>IF(D542="","-",+C606+1)</f>
        <v>2073</v>
      </c>
      <c r="D607" s="742">
        <f t="shared" si="31"/>
        <v>0</v>
      </c>
      <c r="E607" s="743">
        <f t="shared" si="35"/>
        <v>0</v>
      </c>
      <c r="F607" s="742">
        <f t="shared" si="30"/>
        <v>0</v>
      </c>
      <c r="G607" s="1303">
        <f t="shared" si="32"/>
        <v>0</v>
      </c>
      <c r="H607" s="1303">
        <f t="shared" si="33"/>
        <v>0</v>
      </c>
      <c r="I607" s="745">
        <f t="shared" si="34"/>
        <v>0</v>
      </c>
      <c r="J607" s="734"/>
      <c r="K607" s="885"/>
      <c r="L607" s="747"/>
      <c r="M607" s="885"/>
      <c r="N607" s="747"/>
      <c r="O607" s="747"/>
    </row>
    <row r="608" spans="3:15">
      <c r="C608" s="683" t="s">
        <v>289</v>
      </c>
      <c r="D608" s="1272"/>
      <c r="E608" s="1272">
        <f>SUM(E548:E607)</f>
        <v>10386801.000000002</v>
      </c>
      <c r="F608" s="1272"/>
      <c r="G608" s="1272">
        <f>SUM(G548:G607)</f>
        <v>39249309.378216527</v>
      </c>
      <c r="H608" s="1272">
        <f>SUM(H548:H607)</f>
        <v>39249309.378216527</v>
      </c>
      <c r="I608" s="1272">
        <f>SUM(I548:I607)</f>
        <v>0</v>
      </c>
      <c r="J608" s="1272"/>
      <c r="K608" s="1272"/>
      <c r="L608" s="1272"/>
      <c r="M608" s="1272"/>
      <c r="N608" s="1272"/>
      <c r="O608" s="550"/>
    </row>
    <row r="609" spans="1:16">
      <c r="D609" s="573"/>
      <c r="E609" s="550"/>
      <c r="F609" s="550"/>
      <c r="G609" s="550"/>
      <c r="H609" s="1271"/>
      <c r="I609" s="1271"/>
      <c r="J609" s="1272"/>
      <c r="K609" s="1271"/>
      <c r="L609" s="1271"/>
      <c r="M609" s="1271"/>
      <c r="N609" s="1271"/>
      <c r="O609" s="550"/>
    </row>
    <row r="610" spans="1:16">
      <c r="C610" s="1304" t="s">
        <v>980</v>
      </c>
      <c r="D610" s="573"/>
      <c r="E610" s="550"/>
      <c r="F610" s="550"/>
      <c r="G610" s="550"/>
      <c r="H610" s="1271"/>
      <c r="I610" s="1271"/>
      <c r="J610" s="1272"/>
      <c r="K610" s="1271"/>
      <c r="L610" s="1271"/>
      <c r="M610" s="1271"/>
      <c r="N610" s="1271"/>
      <c r="O610" s="550"/>
    </row>
    <row r="611" spans="1:16">
      <c r="D611" s="573"/>
      <c r="E611" s="550"/>
      <c r="F611" s="550"/>
      <c r="G611" s="550"/>
      <c r="H611" s="1271"/>
      <c r="I611" s="1271"/>
      <c r="J611" s="1272"/>
      <c r="K611" s="1271"/>
      <c r="L611" s="1271"/>
      <c r="M611" s="1271"/>
      <c r="N611" s="1271"/>
      <c r="O611" s="550"/>
    </row>
    <row r="612" spans="1:16" ht="13">
      <c r="C612" s="696" t="s">
        <v>981</v>
      </c>
      <c r="D612" s="683"/>
      <c r="E612" s="683"/>
      <c r="F612" s="683"/>
      <c r="G612" s="1272"/>
      <c r="H612" s="1272"/>
      <c r="I612" s="684"/>
      <c r="J612" s="684"/>
      <c r="K612" s="684"/>
      <c r="L612" s="684"/>
      <c r="M612" s="684"/>
      <c r="N612" s="684"/>
      <c r="O612" s="550"/>
    </row>
    <row r="613" spans="1:16" ht="13">
      <c r="C613" s="682" t="s">
        <v>477</v>
      </c>
      <c r="D613" s="683"/>
      <c r="E613" s="683"/>
      <c r="F613" s="683"/>
      <c r="G613" s="1272"/>
      <c r="H613" s="1272"/>
      <c r="I613" s="684"/>
      <c r="J613" s="684"/>
      <c r="K613" s="684"/>
      <c r="L613" s="684"/>
      <c r="M613" s="684"/>
      <c r="N613" s="684"/>
      <c r="O613" s="550"/>
    </row>
    <row r="614" spans="1:16" ht="13">
      <c r="C614" s="682" t="s">
        <v>290</v>
      </c>
      <c r="D614" s="683"/>
      <c r="E614" s="683"/>
      <c r="F614" s="683"/>
      <c r="G614" s="1272"/>
      <c r="H614" s="1272"/>
      <c r="I614" s="684"/>
      <c r="J614" s="684"/>
      <c r="K614" s="684"/>
      <c r="L614" s="684"/>
      <c r="M614" s="684"/>
      <c r="N614" s="684"/>
      <c r="O614" s="550"/>
    </row>
    <row r="615" spans="1:16" ht="13">
      <c r="C615" s="682"/>
      <c r="D615" s="683"/>
      <c r="E615" s="683"/>
      <c r="F615" s="683"/>
      <c r="G615" s="1272"/>
      <c r="H615" s="1272"/>
      <c r="I615" s="684"/>
      <c r="J615" s="684"/>
      <c r="K615" s="684"/>
      <c r="L615" s="684"/>
      <c r="M615" s="684"/>
      <c r="N615" s="684"/>
      <c r="O615" s="550"/>
    </row>
    <row r="616" spans="1:16">
      <c r="C616" s="1546" t="s">
        <v>461</v>
      </c>
      <c r="D616" s="1546"/>
      <c r="E616" s="1546"/>
      <c r="F616" s="1546"/>
      <c r="G616" s="1546"/>
      <c r="H616" s="1546"/>
      <c r="I616" s="1546"/>
      <c r="J616" s="1546"/>
      <c r="K616" s="1546"/>
      <c r="L616" s="1546"/>
      <c r="M616" s="1546"/>
      <c r="N616" s="1546"/>
      <c r="O616" s="1546"/>
    </row>
    <row r="617" spans="1:16">
      <c r="C617" s="1546"/>
      <c r="D617" s="1546"/>
      <c r="E617" s="1546"/>
      <c r="F617" s="1546"/>
      <c r="G617" s="1546"/>
      <c r="H617" s="1546"/>
      <c r="I617" s="1546"/>
      <c r="J617" s="1546"/>
      <c r="K617" s="1546"/>
      <c r="L617" s="1546"/>
      <c r="M617" s="1546"/>
      <c r="N617" s="1546"/>
      <c r="O617" s="1546"/>
    </row>
    <row r="618" spans="1:16" ht="20">
      <c r="A618" s="685" t="s">
        <v>977</v>
      </c>
      <c r="B618" s="586"/>
      <c r="C618" s="665"/>
      <c r="D618" s="573"/>
      <c r="E618" s="550"/>
      <c r="F618" s="655"/>
      <c r="G618" s="550"/>
      <c r="H618" s="1271"/>
      <c r="K618" s="686"/>
      <c r="L618" s="686"/>
      <c r="M618" s="686"/>
      <c r="N618" s="601" t="str">
        <f>"Page "&amp;P618&amp;" of "</f>
        <v xml:space="preserve">Page 8 of </v>
      </c>
      <c r="O618" s="602">
        <f>COUNT(P$6:P$59527)</f>
        <v>9</v>
      </c>
      <c r="P618" s="550">
        <v>8</v>
      </c>
    </row>
    <row r="619" spans="1:16">
      <c r="B619" s="586"/>
      <c r="C619" s="550"/>
      <c r="D619" s="573"/>
      <c r="E619" s="550"/>
      <c r="F619" s="550"/>
      <c r="G619" s="550"/>
      <c r="H619" s="1271"/>
      <c r="I619" s="550"/>
      <c r="J619" s="598"/>
      <c r="K619" s="550"/>
      <c r="L619" s="550"/>
      <c r="M619" s="550"/>
      <c r="N619" s="550"/>
      <c r="O619" s="550"/>
    </row>
    <row r="620" spans="1:16" ht="17">
      <c r="B620" s="605" t="s">
        <v>175</v>
      </c>
      <c r="C620" s="687" t="s">
        <v>291</v>
      </c>
      <c r="D620" s="573"/>
      <c r="E620" s="550"/>
      <c r="F620" s="550"/>
      <c r="G620" s="550"/>
      <c r="H620" s="1271"/>
      <c r="I620" s="1271"/>
      <c r="J620" s="1272"/>
      <c r="K620" s="1271"/>
      <c r="L620" s="1271"/>
      <c r="M620" s="1271"/>
      <c r="N620" s="1271"/>
      <c r="O620" s="550"/>
    </row>
    <row r="621" spans="1:16" ht="18">
      <c r="B621" s="605"/>
      <c r="C621" s="604"/>
      <c r="D621" s="573"/>
      <c r="E621" s="550"/>
      <c r="F621" s="550"/>
      <c r="G621" s="550"/>
      <c r="H621" s="1271"/>
      <c r="I621" s="1271"/>
      <c r="J621" s="1272"/>
      <c r="K621" s="1271"/>
      <c r="L621" s="1271"/>
      <c r="M621" s="1271"/>
      <c r="N621" s="1271"/>
      <c r="O621" s="550"/>
    </row>
    <row r="622" spans="1:16" ht="18">
      <c r="B622" s="605"/>
      <c r="C622" s="604" t="s">
        <v>292</v>
      </c>
      <c r="D622" s="573"/>
      <c r="E622" s="550"/>
      <c r="F622" s="550"/>
      <c r="G622" s="550"/>
      <c r="H622" s="1271"/>
      <c r="I622" s="1271"/>
      <c r="J622" s="1272"/>
      <c r="K622" s="1271"/>
      <c r="L622" s="1271"/>
      <c r="M622" s="1271"/>
      <c r="N622" s="1271"/>
      <c r="O622" s="550"/>
    </row>
    <row r="623" spans="1:16" ht="16" thickBot="1">
      <c r="C623" s="403"/>
      <c r="D623" s="573"/>
      <c r="E623" s="550"/>
      <c r="F623" s="550"/>
      <c r="G623" s="550"/>
      <c r="H623" s="1271"/>
      <c r="I623" s="1271"/>
      <c r="J623" s="1272"/>
      <c r="K623" s="1271"/>
      <c r="L623" s="1271"/>
      <c r="M623" s="1271"/>
      <c r="N623" s="1271"/>
      <c r="O623" s="550"/>
    </row>
    <row r="624" spans="1:16" ht="15.5">
      <c r="C624" s="606" t="s">
        <v>293</v>
      </c>
      <c r="D624" s="573"/>
      <c r="E624" s="550"/>
      <c r="F624" s="550"/>
      <c r="G624" s="1273"/>
      <c r="H624" s="550" t="s">
        <v>272</v>
      </c>
      <c r="I624" s="550"/>
      <c r="J624" s="598"/>
      <c r="K624" s="688" t="s">
        <v>297</v>
      </c>
      <c r="L624" s="689"/>
      <c r="M624" s="690"/>
      <c r="N624" s="1274">
        <f>VLOOKUP(I630,C637:O696,5)</f>
        <v>342834.90068976587</v>
      </c>
      <c r="O624" s="550"/>
    </row>
    <row r="625" spans="1:15" ht="15.5">
      <c r="C625" s="606"/>
      <c r="D625" s="573"/>
      <c r="E625" s="550"/>
      <c r="F625" s="550"/>
      <c r="G625" s="550"/>
      <c r="H625" s="1275"/>
      <c r="I625" s="1275"/>
      <c r="J625" s="1276"/>
      <c r="K625" s="693" t="s">
        <v>298</v>
      </c>
      <c r="L625" s="1277"/>
      <c r="M625" s="598"/>
      <c r="N625" s="1278">
        <f>VLOOKUP(I630,C637:O696,6)</f>
        <v>342834.90068976587</v>
      </c>
      <c r="O625" s="550"/>
    </row>
    <row r="626" spans="1:15" ht="13.5" thickBot="1">
      <c r="C626" s="694" t="s">
        <v>294</v>
      </c>
      <c r="D626" s="1547" t="s">
        <v>987</v>
      </c>
      <c r="E626" s="1548"/>
      <c r="F626" s="1548"/>
      <c r="G626" s="1548"/>
      <c r="H626" s="1548"/>
      <c r="I626" s="1548"/>
      <c r="J626" s="1272"/>
      <c r="K626" s="1279" t="s">
        <v>451</v>
      </c>
      <c r="L626" s="1280"/>
      <c r="M626" s="1280"/>
      <c r="N626" s="1281">
        <f>+N625-N624</f>
        <v>0</v>
      </c>
      <c r="O626" s="550"/>
    </row>
    <row r="627" spans="1:15" ht="13">
      <c r="C627" s="696"/>
      <c r="D627" s="1548"/>
      <c r="E627" s="1548"/>
      <c r="F627" s="1548"/>
      <c r="G627" s="1548"/>
      <c r="H627" s="1548"/>
      <c r="I627" s="1548"/>
      <c r="J627" s="1272"/>
      <c r="K627" s="1271"/>
      <c r="L627" s="1271"/>
      <c r="M627" s="1271"/>
      <c r="N627" s="1271"/>
      <c r="O627" s="550"/>
    </row>
    <row r="628" spans="1:15" ht="13.5" thickBot="1">
      <c r="C628" s="698"/>
      <c r="D628" s="699"/>
      <c r="E628" s="697"/>
      <c r="F628" s="697"/>
      <c r="G628" s="697"/>
      <c r="H628" s="697"/>
      <c r="I628" s="697"/>
      <c r="J628" s="700"/>
      <c r="K628" s="697"/>
      <c r="L628" s="697"/>
      <c r="M628" s="697"/>
      <c r="N628" s="697"/>
      <c r="O628" s="586"/>
    </row>
    <row r="629" spans="1:15" ht="13" thickBot="1">
      <c r="C629" s="701" t="s">
        <v>295</v>
      </c>
      <c r="D629" s="702"/>
      <c r="E629" s="702"/>
      <c r="F629" s="702"/>
      <c r="G629" s="702"/>
      <c r="H629" s="702"/>
      <c r="I629" s="703"/>
      <c r="J629" s="704"/>
      <c r="K629" s="550"/>
      <c r="L629" s="550"/>
      <c r="M629" s="550"/>
      <c r="N629" s="550"/>
      <c r="O629" s="705"/>
    </row>
    <row r="630" spans="1:15" ht="16">
      <c r="C630" s="707" t="s">
        <v>273</v>
      </c>
      <c r="D630" s="1282">
        <v>2809499</v>
      </c>
      <c r="E630" s="665" t="s">
        <v>274</v>
      </c>
      <c r="G630" s="708"/>
      <c r="H630" s="708"/>
      <c r="I630" s="709">
        <v>2018</v>
      </c>
      <c r="J630" s="596"/>
      <c r="K630" s="1557" t="s">
        <v>460</v>
      </c>
      <c r="L630" s="1557"/>
      <c r="M630" s="1557"/>
      <c r="N630" s="1557"/>
      <c r="O630" s="1557"/>
    </row>
    <row r="631" spans="1:15">
      <c r="C631" s="707" t="s">
        <v>276</v>
      </c>
      <c r="D631" s="879">
        <v>2016</v>
      </c>
      <c r="E631" s="707" t="s">
        <v>277</v>
      </c>
      <c r="F631" s="708"/>
      <c r="H631" s="337"/>
      <c r="I631" s="882">
        <f>IF(G624="",0,$F$15)</f>
        <v>0</v>
      </c>
      <c r="J631" s="710"/>
      <c r="K631" s="1272" t="s">
        <v>460</v>
      </c>
    </row>
    <row r="632" spans="1:15">
      <c r="C632" s="707" t="s">
        <v>278</v>
      </c>
      <c r="D632" s="1282">
        <v>12</v>
      </c>
      <c r="E632" s="707" t="s">
        <v>279</v>
      </c>
      <c r="F632" s="708"/>
      <c r="H632" s="337"/>
      <c r="I632" s="711">
        <f>$G$70</f>
        <v>0.10552282863199051</v>
      </c>
      <c r="J632" s="712"/>
      <c r="K632" s="337" t="str">
        <f>"          INPUT PROJECTED ARR (WITH &amp; WITHOUT INCENTIVES) FROM EACH PRIOR YEAR"</f>
        <v xml:space="preserve">          INPUT PROJECTED ARR (WITH &amp; WITHOUT INCENTIVES) FROM EACH PRIOR YEAR</v>
      </c>
    </row>
    <row r="633" spans="1:15">
      <c r="C633" s="707" t="s">
        <v>280</v>
      </c>
      <c r="D633" s="713">
        <f>G$79</f>
        <v>51</v>
      </c>
      <c r="E633" s="707" t="s">
        <v>281</v>
      </c>
      <c r="F633" s="708"/>
      <c r="H633" s="337"/>
      <c r="I633" s="711">
        <f>IF(G624="",I632,$G$67)</f>
        <v>0.10552282863199051</v>
      </c>
      <c r="J633" s="714"/>
      <c r="K633" s="337" t="s">
        <v>358</v>
      </c>
    </row>
    <row r="634" spans="1:15" ht="13" thickBot="1">
      <c r="C634" s="707" t="s">
        <v>282</v>
      </c>
      <c r="D634" s="881" t="s">
        <v>979</v>
      </c>
      <c r="E634" s="715" t="s">
        <v>283</v>
      </c>
      <c r="F634" s="716"/>
      <c r="G634" s="717"/>
      <c r="H634" s="717"/>
      <c r="I634" s="1281">
        <f>IF(D630=0,0,D630/D633)</f>
        <v>55088.215686274511</v>
      </c>
      <c r="J634" s="1272"/>
      <c r="K634" s="1272" t="s">
        <v>364</v>
      </c>
      <c r="L634" s="1272"/>
      <c r="M634" s="1272"/>
      <c r="N634" s="1272"/>
      <c r="O634" s="598"/>
    </row>
    <row r="635" spans="1:15" ht="52">
      <c r="A635" s="537"/>
      <c r="B635" s="1283"/>
      <c r="C635" s="718" t="s">
        <v>273</v>
      </c>
      <c r="D635" s="1284" t="s">
        <v>284</v>
      </c>
      <c r="E635" s="1285" t="s">
        <v>285</v>
      </c>
      <c r="F635" s="1284" t="s">
        <v>286</v>
      </c>
      <c r="G635" s="1285" t="s">
        <v>357</v>
      </c>
      <c r="H635" s="1286" t="s">
        <v>357</v>
      </c>
      <c r="I635" s="718" t="s">
        <v>296</v>
      </c>
      <c r="J635" s="722"/>
      <c r="K635" s="1285" t="s">
        <v>366</v>
      </c>
      <c r="L635" s="1287"/>
      <c r="M635" s="1285" t="s">
        <v>366</v>
      </c>
      <c r="N635" s="1287"/>
      <c r="O635" s="1287"/>
    </row>
    <row r="636" spans="1:15" ht="13.5" thickBot="1">
      <c r="C636" s="724" t="s">
        <v>178</v>
      </c>
      <c r="D636" s="725" t="s">
        <v>179</v>
      </c>
      <c r="E636" s="724" t="s">
        <v>38</v>
      </c>
      <c r="F636" s="725" t="s">
        <v>179</v>
      </c>
      <c r="G636" s="1288" t="s">
        <v>299</v>
      </c>
      <c r="H636" s="1289" t="s">
        <v>301</v>
      </c>
      <c r="I636" s="728" t="s">
        <v>390</v>
      </c>
      <c r="J636" s="729"/>
      <c r="K636" s="1288" t="s">
        <v>288</v>
      </c>
      <c r="L636" s="1290"/>
      <c r="M636" s="1288" t="s">
        <v>301</v>
      </c>
      <c r="N636" s="1290"/>
      <c r="O636" s="1290"/>
    </row>
    <row r="637" spans="1:15">
      <c r="C637" s="730">
        <f>IF(D631= "","-",D631)</f>
        <v>2016</v>
      </c>
      <c r="D637" s="683">
        <f>+D630</f>
        <v>2809499</v>
      </c>
      <c r="E637" s="1291">
        <f>+I634/12*(12-D632)</f>
        <v>0</v>
      </c>
      <c r="F637" s="683">
        <f t="shared" ref="F637:F696" si="36">+D637-E637</f>
        <v>2809499</v>
      </c>
      <c r="G637" s="1292">
        <f>+$I$632*((D637+F637)/2)+E637</f>
        <v>296466.28151874873</v>
      </c>
      <c r="H637" s="1293">
        <f>+$I$633*((D637+F637)/2)+E637</f>
        <v>296466.28151874873</v>
      </c>
      <c r="I637" s="734">
        <f>+H637-G637</f>
        <v>0</v>
      </c>
      <c r="J637" s="734"/>
      <c r="K637" s="884">
        <v>486138</v>
      </c>
      <c r="L637" s="736"/>
      <c r="M637" s="884">
        <v>486138</v>
      </c>
      <c r="N637" s="736"/>
      <c r="O637" s="736"/>
    </row>
    <row r="638" spans="1:15">
      <c r="C638" s="730">
        <f>IF(D631="","-",+C637+1)</f>
        <v>2017</v>
      </c>
      <c r="D638" s="683">
        <f t="shared" ref="D638:D696" si="37">F637</f>
        <v>2809499</v>
      </c>
      <c r="E638" s="737">
        <f>IF(D638&gt;$I$634,$I$634,D638)</f>
        <v>55088.215686274511</v>
      </c>
      <c r="F638" s="683">
        <f t="shared" si="36"/>
        <v>2754410.7843137253</v>
      </c>
      <c r="G638" s="1291">
        <f t="shared" ref="G638:G696" si="38">+$I$632*((D638+F638)/2)+E638</f>
        <v>348647.96503327077</v>
      </c>
      <c r="H638" s="1294">
        <f t="shared" ref="H638:H696" si="39">+$I$633*((D638+F638)/2)+E638</f>
        <v>348647.96503327077</v>
      </c>
      <c r="I638" s="734">
        <f t="shared" ref="I638:I696" si="40">+H638-G638</f>
        <v>0</v>
      </c>
      <c r="J638" s="734"/>
      <c r="K638" s="884">
        <v>574408</v>
      </c>
      <c r="L638" s="740"/>
      <c r="M638" s="884">
        <v>574408</v>
      </c>
      <c r="N638" s="740"/>
      <c r="O638" s="740"/>
    </row>
    <row r="639" spans="1:15">
      <c r="C639" s="1296">
        <f>IF(D631="","-",+C638+1)</f>
        <v>2018</v>
      </c>
      <c r="D639" s="1297">
        <f t="shared" si="37"/>
        <v>2754410.7843137253</v>
      </c>
      <c r="E639" s="1298">
        <f t="shared" ref="E639:E696" si="41">IF(D639&gt;$I$634,$I$634,D639)</f>
        <v>55088.215686274511</v>
      </c>
      <c r="F639" s="1297">
        <f t="shared" si="36"/>
        <v>2699322.5686274506</v>
      </c>
      <c r="G639" s="1299">
        <f t="shared" si="38"/>
        <v>342834.90068976587</v>
      </c>
      <c r="H639" s="1300">
        <f t="shared" si="39"/>
        <v>342834.90068976587</v>
      </c>
      <c r="I639" s="1301">
        <f t="shared" si="40"/>
        <v>0</v>
      </c>
      <c r="J639" s="734"/>
      <c r="K639" s="884"/>
      <c r="L639" s="740"/>
      <c r="M639" s="884"/>
      <c r="N639" s="740"/>
      <c r="O639" s="740"/>
    </row>
    <row r="640" spans="1:15">
      <c r="C640" s="730">
        <f>IF(D631="","-",+C639+1)</f>
        <v>2019</v>
      </c>
      <c r="D640" s="683">
        <f t="shared" si="37"/>
        <v>2699322.5686274506</v>
      </c>
      <c r="E640" s="737">
        <f t="shared" si="41"/>
        <v>55088.215686274511</v>
      </c>
      <c r="F640" s="683">
        <f t="shared" si="36"/>
        <v>2644234.3529411759</v>
      </c>
      <c r="G640" s="1291">
        <f t="shared" si="38"/>
        <v>337021.83634626097</v>
      </c>
      <c r="H640" s="1294">
        <f t="shared" si="39"/>
        <v>337021.83634626097</v>
      </c>
      <c r="I640" s="734">
        <f t="shared" si="40"/>
        <v>0</v>
      </c>
      <c r="J640" s="734"/>
      <c r="K640" s="884"/>
      <c r="L640" s="740"/>
      <c r="M640" s="884"/>
      <c r="N640" s="740"/>
      <c r="O640" s="740"/>
    </row>
    <row r="641" spans="3:15">
      <c r="C641" s="730">
        <f>IF(D631="","-",+C640+1)</f>
        <v>2020</v>
      </c>
      <c r="D641" s="683">
        <f t="shared" si="37"/>
        <v>2644234.3529411759</v>
      </c>
      <c r="E641" s="737">
        <f t="shared" si="41"/>
        <v>55088.215686274511</v>
      </c>
      <c r="F641" s="683">
        <f t="shared" si="36"/>
        <v>2589146.1372549012</v>
      </c>
      <c r="G641" s="1291">
        <f t="shared" si="38"/>
        <v>331208.77200275607</v>
      </c>
      <c r="H641" s="1294">
        <f t="shared" si="39"/>
        <v>331208.77200275607</v>
      </c>
      <c r="I641" s="734">
        <f t="shared" si="40"/>
        <v>0</v>
      </c>
      <c r="J641" s="734"/>
      <c r="K641" s="884"/>
      <c r="L641" s="740"/>
      <c r="M641" s="884"/>
      <c r="N641" s="740"/>
      <c r="O641" s="740"/>
    </row>
    <row r="642" spans="3:15">
      <c r="C642" s="730">
        <f>IF(D631="","-",+C641+1)</f>
        <v>2021</v>
      </c>
      <c r="D642" s="683">
        <f t="shared" si="37"/>
        <v>2589146.1372549012</v>
      </c>
      <c r="E642" s="737">
        <f t="shared" si="41"/>
        <v>55088.215686274511</v>
      </c>
      <c r="F642" s="683">
        <f t="shared" si="36"/>
        <v>2534057.9215686265</v>
      </c>
      <c r="G642" s="1291">
        <f t="shared" si="38"/>
        <v>325395.70765925123</v>
      </c>
      <c r="H642" s="1294">
        <f t="shared" si="39"/>
        <v>325395.70765925123</v>
      </c>
      <c r="I642" s="734">
        <f t="shared" si="40"/>
        <v>0</v>
      </c>
      <c r="J642" s="734"/>
      <c r="K642" s="884"/>
      <c r="L642" s="740"/>
      <c r="M642" s="884"/>
      <c r="N642" s="740"/>
      <c r="O642" s="740"/>
    </row>
    <row r="643" spans="3:15">
      <c r="C643" s="730">
        <f>IF(D631="","-",+C642+1)</f>
        <v>2022</v>
      </c>
      <c r="D643" s="683">
        <f t="shared" si="37"/>
        <v>2534057.9215686265</v>
      </c>
      <c r="E643" s="737">
        <f t="shared" si="41"/>
        <v>55088.215686274511</v>
      </c>
      <c r="F643" s="683">
        <f t="shared" si="36"/>
        <v>2478969.7058823518</v>
      </c>
      <c r="G643" s="1291">
        <f t="shared" si="38"/>
        <v>319582.64331574633</v>
      </c>
      <c r="H643" s="1294">
        <f t="shared" si="39"/>
        <v>319582.64331574633</v>
      </c>
      <c r="I643" s="734">
        <f t="shared" si="40"/>
        <v>0</v>
      </c>
      <c r="J643" s="734"/>
      <c r="K643" s="884"/>
      <c r="L643" s="740"/>
      <c r="M643" s="884"/>
      <c r="N643" s="740"/>
      <c r="O643" s="740"/>
    </row>
    <row r="644" spans="3:15">
      <c r="C644" s="730">
        <f>IF(D631="","-",+C643+1)</f>
        <v>2023</v>
      </c>
      <c r="D644" s="683">
        <f t="shared" si="37"/>
        <v>2478969.7058823518</v>
      </c>
      <c r="E644" s="737">
        <f t="shared" si="41"/>
        <v>55088.215686274511</v>
      </c>
      <c r="F644" s="683">
        <f t="shared" si="36"/>
        <v>2423881.4901960772</v>
      </c>
      <c r="G644" s="1291">
        <f t="shared" si="38"/>
        <v>313769.57897224138</v>
      </c>
      <c r="H644" s="1294">
        <f t="shared" si="39"/>
        <v>313769.57897224138</v>
      </c>
      <c r="I644" s="734">
        <f t="shared" si="40"/>
        <v>0</v>
      </c>
      <c r="J644" s="734"/>
      <c r="K644" s="884"/>
      <c r="L644" s="740"/>
      <c r="M644" s="884"/>
      <c r="N644" s="740"/>
      <c r="O644" s="740"/>
    </row>
    <row r="645" spans="3:15">
      <c r="C645" s="730">
        <f>IF(D631="","-",+C644+1)</f>
        <v>2024</v>
      </c>
      <c r="D645" s="683">
        <f t="shared" si="37"/>
        <v>2423881.4901960772</v>
      </c>
      <c r="E645" s="737">
        <f t="shared" si="41"/>
        <v>55088.215686274511</v>
      </c>
      <c r="F645" s="683">
        <f t="shared" si="36"/>
        <v>2368793.2745098025</v>
      </c>
      <c r="G645" s="1291">
        <f t="shared" si="38"/>
        <v>307956.51462873648</v>
      </c>
      <c r="H645" s="1294">
        <f t="shared" si="39"/>
        <v>307956.51462873648</v>
      </c>
      <c r="I645" s="734">
        <f t="shared" si="40"/>
        <v>0</v>
      </c>
      <c r="J645" s="734"/>
      <c r="K645" s="884"/>
      <c r="L645" s="740"/>
      <c r="M645" s="884"/>
      <c r="N645" s="740"/>
      <c r="O645" s="740"/>
    </row>
    <row r="646" spans="3:15">
      <c r="C646" s="730">
        <f>IF(D631="","-",+C645+1)</f>
        <v>2025</v>
      </c>
      <c r="D646" s="683">
        <f t="shared" si="37"/>
        <v>2368793.2745098025</v>
      </c>
      <c r="E646" s="737">
        <f t="shared" si="41"/>
        <v>55088.215686274511</v>
      </c>
      <c r="F646" s="683">
        <f t="shared" si="36"/>
        <v>2313705.0588235278</v>
      </c>
      <c r="G646" s="1291">
        <f t="shared" si="38"/>
        <v>302143.45028523158</v>
      </c>
      <c r="H646" s="1294">
        <f t="shared" si="39"/>
        <v>302143.45028523158</v>
      </c>
      <c r="I646" s="734">
        <f t="shared" si="40"/>
        <v>0</v>
      </c>
      <c r="J646" s="734"/>
      <c r="K646" s="884"/>
      <c r="L646" s="740"/>
      <c r="M646" s="884"/>
      <c r="N646" s="740"/>
      <c r="O646" s="740"/>
    </row>
    <row r="647" spans="3:15">
      <c r="C647" s="730">
        <f>IF(D631="","-",+C646+1)</f>
        <v>2026</v>
      </c>
      <c r="D647" s="683">
        <f t="shared" si="37"/>
        <v>2313705.0588235278</v>
      </c>
      <c r="E647" s="737">
        <f t="shared" si="41"/>
        <v>55088.215686274511</v>
      </c>
      <c r="F647" s="683">
        <f t="shared" si="36"/>
        <v>2258616.8431372531</v>
      </c>
      <c r="G647" s="1291">
        <f t="shared" si="38"/>
        <v>296330.38594172674</v>
      </c>
      <c r="H647" s="1294">
        <f t="shared" si="39"/>
        <v>296330.38594172674</v>
      </c>
      <c r="I647" s="734">
        <f t="shared" si="40"/>
        <v>0</v>
      </c>
      <c r="J647" s="734"/>
      <c r="K647" s="884"/>
      <c r="L647" s="740"/>
      <c r="M647" s="884"/>
      <c r="N647" s="740"/>
      <c r="O647" s="740"/>
    </row>
    <row r="648" spans="3:15">
      <c r="C648" s="730">
        <f>IF(D631="","-",+C647+1)</f>
        <v>2027</v>
      </c>
      <c r="D648" s="683">
        <f t="shared" si="37"/>
        <v>2258616.8431372531</v>
      </c>
      <c r="E648" s="737">
        <f t="shared" si="41"/>
        <v>55088.215686274511</v>
      </c>
      <c r="F648" s="683">
        <f t="shared" si="36"/>
        <v>2203528.6274509784</v>
      </c>
      <c r="G648" s="1291">
        <f t="shared" si="38"/>
        <v>290517.32159822184</v>
      </c>
      <c r="H648" s="1294">
        <f t="shared" si="39"/>
        <v>290517.32159822184</v>
      </c>
      <c r="I648" s="734">
        <f t="shared" si="40"/>
        <v>0</v>
      </c>
      <c r="J648" s="734"/>
      <c r="K648" s="884"/>
      <c r="L648" s="740"/>
      <c r="M648" s="884"/>
      <c r="N648" s="740"/>
      <c r="O648" s="740"/>
    </row>
    <row r="649" spans="3:15">
      <c r="C649" s="730">
        <f>IF(D631="","-",+C648+1)</f>
        <v>2028</v>
      </c>
      <c r="D649" s="683">
        <f t="shared" si="37"/>
        <v>2203528.6274509784</v>
      </c>
      <c r="E649" s="737">
        <f t="shared" si="41"/>
        <v>55088.215686274511</v>
      </c>
      <c r="F649" s="683">
        <f t="shared" si="36"/>
        <v>2148440.4117647037</v>
      </c>
      <c r="G649" s="1291">
        <f t="shared" si="38"/>
        <v>284704.25725471694</v>
      </c>
      <c r="H649" s="1294">
        <f t="shared" si="39"/>
        <v>284704.25725471694</v>
      </c>
      <c r="I649" s="734">
        <f t="shared" si="40"/>
        <v>0</v>
      </c>
      <c r="J649" s="734"/>
      <c r="K649" s="884"/>
      <c r="L649" s="740"/>
      <c r="M649" s="884"/>
      <c r="N649" s="740"/>
      <c r="O649" s="740"/>
    </row>
    <row r="650" spans="3:15">
      <c r="C650" s="730">
        <f>IF(D631="","-",+C649+1)</f>
        <v>2029</v>
      </c>
      <c r="D650" s="683">
        <f t="shared" si="37"/>
        <v>2148440.4117647037</v>
      </c>
      <c r="E650" s="737">
        <f t="shared" si="41"/>
        <v>55088.215686274511</v>
      </c>
      <c r="F650" s="683">
        <f t="shared" si="36"/>
        <v>2093352.1960784292</v>
      </c>
      <c r="G650" s="1291">
        <f t="shared" si="38"/>
        <v>278891.19291121204</v>
      </c>
      <c r="H650" s="1294">
        <f t="shared" si="39"/>
        <v>278891.19291121204</v>
      </c>
      <c r="I650" s="734">
        <f t="shared" si="40"/>
        <v>0</v>
      </c>
      <c r="J650" s="734"/>
      <c r="K650" s="884"/>
      <c r="L650" s="740"/>
      <c r="M650" s="884"/>
      <c r="N650" s="740"/>
      <c r="O650" s="740"/>
    </row>
    <row r="651" spans="3:15">
      <c r="C651" s="730">
        <f>IF(D631="","-",+C650+1)</f>
        <v>2030</v>
      </c>
      <c r="D651" s="683">
        <f t="shared" si="37"/>
        <v>2093352.1960784292</v>
      </c>
      <c r="E651" s="737">
        <f t="shared" si="41"/>
        <v>55088.215686274511</v>
      </c>
      <c r="F651" s="683">
        <f t="shared" si="36"/>
        <v>2038263.9803921548</v>
      </c>
      <c r="G651" s="1291">
        <f t="shared" si="38"/>
        <v>273078.1285677072</v>
      </c>
      <c r="H651" s="1294">
        <f t="shared" si="39"/>
        <v>273078.1285677072</v>
      </c>
      <c r="I651" s="734">
        <f t="shared" si="40"/>
        <v>0</v>
      </c>
      <c r="J651" s="734"/>
      <c r="K651" s="884"/>
      <c r="L651" s="740"/>
      <c r="M651" s="884"/>
      <c r="N651" s="740"/>
      <c r="O651" s="740"/>
    </row>
    <row r="652" spans="3:15">
      <c r="C652" s="730">
        <f>IF(D631="","-",+C651+1)</f>
        <v>2031</v>
      </c>
      <c r="D652" s="683">
        <f t="shared" si="37"/>
        <v>2038263.9803921548</v>
      </c>
      <c r="E652" s="737">
        <f t="shared" si="41"/>
        <v>55088.215686274511</v>
      </c>
      <c r="F652" s="683">
        <f t="shared" si="36"/>
        <v>1983175.7647058803</v>
      </c>
      <c r="G652" s="1291">
        <f t="shared" si="38"/>
        <v>267265.0642242023</v>
      </c>
      <c r="H652" s="1294">
        <f t="shared" si="39"/>
        <v>267265.0642242023</v>
      </c>
      <c r="I652" s="734">
        <f t="shared" si="40"/>
        <v>0</v>
      </c>
      <c r="J652" s="734"/>
      <c r="K652" s="884"/>
      <c r="L652" s="740"/>
      <c r="M652" s="884"/>
      <c r="N652" s="740"/>
      <c r="O652" s="740"/>
    </row>
    <row r="653" spans="3:15">
      <c r="C653" s="730">
        <f>IF(D631="","-",+C652+1)</f>
        <v>2032</v>
      </c>
      <c r="D653" s="683">
        <f t="shared" si="37"/>
        <v>1983175.7647058803</v>
      </c>
      <c r="E653" s="737">
        <f t="shared" si="41"/>
        <v>55088.215686274511</v>
      </c>
      <c r="F653" s="683">
        <f t="shared" si="36"/>
        <v>1928087.5490196059</v>
      </c>
      <c r="G653" s="1291">
        <f t="shared" si="38"/>
        <v>261451.99988069743</v>
      </c>
      <c r="H653" s="1294">
        <f t="shared" si="39"/>
        <v>261451.99988069743</v>
      </c>
      <c r="I653" s="734">
        <f t="shared" si="40"/>
        <v>0</v>
      </c>
      <c r="J653" s="734"/>
      <c r="K653" s="884"/>
      <c r="L653" s="740"/>
      <c r="M653" s="884"/>
      <c r="N653" s="740"/>
      <c r="O653" s="740"/>
    </row>
    <row r="654" spans="3:15">
      <c r="C654" s="730">
        <f>IF(D631="","-",+C653+1)</f>
        <v>2033</v>
      </c>
      <c r="D654" s="683">
        <f t="shared" si="37"/>
        <v>1928087.5490196059</v>
      </c>
      <c r="E654" s="737">
        <f t="shared" si="41"/>
        <v>55088.215686274511</v>
      </c>
      <c r="F654" s="683">
        <f t="shared" si="36"/>
        <v>1872999.3333333314</v>
      </c>
      <c r="G654" s="1291">
        <f t="shared" si="38"/>
        <v>255638.93553719256</v>
      </c>
      <c r="H654" s="1294">
        <f t="shared" si="39"/>
        <v>255638.93553719256</v>
      </c>
      <c r="I654" s="734">
        <f t="shared" si="40"/>
        <v>0</v>
      </c>
      <c r="J654" s="734"/>
      <c r="K654" s="884"/>
      <c r="L654" s="740"/>
      <c r="M654" s="884"/>
      <c r="N654" s="740"/>
      <c r="O654" s="740"/>
    </row>
    <row r="655" spans="3:15">
      <c r="C655" s="730">
        <f>IF(D631="","-",+C654+1)</f>
        <v>2034</v>
      </c>
      <c r="D655" s="683">
        <f t="shared" si="37"/>
        <v>1872999.3333333314</v>
      </c>
      <c r="E655" s="737">
        <f t="shared" si="41"/>
        <v>55088.215686274511</v>
      </c>
      <c r="F655" s="683">
        <f t="shared" si="36"/>
        <v>1817911.1176470569</v>
      </c>
      <c r="G655" s="1291">
        <f t="shared" si="38"/>
        <v>249825.87119368769</v>
      </c>
      <c r="H655" s="1294">
        <f t="shared" si="39"/>
        <v>249825.87119368769</v>
      </c>
      <c r="I655" s="734">
        <f t="shared" si="40"/>
        <v>0</v>
      </c>
      <c r="J655" s="734"/>
      <c r="K655" s="884"/>
      <c r="L655" s="740"/>
      <c r="M655" s="884"/>
      <c r="N655" s="740"/>
      <c r="O655" s="740"/>
    </row>
    <row r="656" spans="3:15">
      <c r="C656" s="730">
        <f>IF(D631="","-",+C655+1)</f>
        <v>2035</v>
      </c>
      <c r="D656" s="683">
        <f t="shared" si="37"/>
        <v>1817911.1176470569</v>
      </c>
      <c r="E656" s="737">
        <f t="shared" si="41"/>
        <v>55088.215686274511</v>
      </c>
      <c r="F656" s="683">
        <f t="shared" si="36"/>
        <v>1762822.9019607825</v>
      </c>
      <c r="G656" s="1291">
        <f t="shared" si="38"/>
        <v>244012.80685018279</v>
      </c>
      <c r="H656" s="1294">
        <f t="shared" si="39"/>
        <v>244012.80685018279</v>
      </c>
      <c r="I656" s="734">
        <f t="shared" si="40"/>
        <v>0</v>
      </c>
      <c r="J656" s="734"/>
      <c r="K656" s="884"/>
      <c r="L656" s="740"/>
      <c r="M656" s="884"/>
      <c r="N656" s="740"/>
      <c r="O656" s="740"/>
    </row>
    <row r="657" spans="3:15">
      <c r="C657" s="730">
        <f>IF(D631="","-",+C656+1)</f>
        <v>2036</v>
      </c>
      <c r="D657" s="683">
        <f t="shared" si="37"/>
        <v>1762822.9019607825</v>
      </c>
      <c r="E657" s="737">
        <f t="shared" si="41"/>
        <v>55088.215686274511</v>
      </c>
      <c r="F657" s="683">
        <f t="shared" si="36"/>
        <v>1707734.686274508</v>
      </c>
      <c r="G657" s="1291">
        <f t="shared" si="38"/>
        <v>238199.74250667795</v>
      </c>
      <c r="H657" s="1294">
        <f t="shared" si="39"/>
        <v>238199.74250667795</v>
      </c>
      <c r="I657" s="734">
        <f t="shared" si="40"/>
        <v>0</v>
      </c>
      <c r="J657" s="734"/>
      <c r="K657" s="884"/>
      <c r="L657" s="740"/>
      <c r="M657" s="884"/>
      <c r="N657" s="740"/>
      <c r="O657" s="740"/>
    </row>
    <row r="658" spans="3:15">
      <c r="C658" s="730">
        <f>IF(D631="","-",+C657+1)</f>
        <v>2037</v>
      </c>
      <c r="D658" s="683">
        <f t="shared" si="37"/>
        <v>1707734.686274508</v>
      </c>
      <c r="E658" s="737">
        <f t="shared" si="41"/>
        <v>55088.215686274511</v>
      </c>
      <c r="F658" s="683">
        <f t="shared" si="36"/>
        <v>1652646.4705882336</v>
      </c>
      <c r="G658" s="1291">
        <f t="shared" si="38"/>
        <v>232386.67816317306</v>
      </c>
      <c r="H658" s="1294">
        <f t="shared" si="39"/>
        <v>232386.67816317306</v>
      </c>
      <c r="I658" s="734">
        <f t="shared" si="40"/>
        <v>0</v>
      </c>
      <c r="J658" s="734"/>
      <c r="K658" s="884"/>
      <c r="L658" s="740"/>
      <c r="M658" s="884"/>
      <c r="N658" s="740"/>
      <c r="O658" s="740"/>
    </row>
    <row r="659" spans="3:15">
      <c r="C659" s="730">
        <f>IF(D631="","-",+C658+1)</f>
        <v>2038</v>
      </c>
      <c r="D659" s="683">
        <f t="shared" si="37"/>
        <v>1652646.4705882336</v>
      </c>
      <c r="E659" s="737">
        <f t="shared" si="41"/>
        <v>55088.215686274511</v>
      </c>
      <c r="F659" s="683">
        <f t="shared" si="36"/>
        <v>1597558.2549019591</v>
      </c>
      <c r="G659" s="1291">
        <f t="shared" si="38"/>
        <v>226573.61381966822</v>
      </c>
      <c r="H659" s="1294">
        <f t="shared" si="39"/>
        <v>226573.61381966822</v>
      </c>
      <c r="I659" s="734">
        <f t="shared" si="40"/>
        <v>0</v>
      </c>
      <c r="J659" s="734"/>
      <c r="K659" s="884"/>
      <c r="L659" s="740"/>
      <c r="M659" s="884"/>
      <c r="N659" s="740"/>
      <c r="O659" s="740"/>
    </row>
    <row r="660" spans="3:15">
      <c r="C660" s="730">
        <f>IF(D631="","-",+C659+1)</f>
        <v>2039</v>
      </c>
      <c r="D660" s="683">
        <f t="shared" si="37"/>
        <v>1597558.2549019591</v>
      </c>
      <c r="E660" s="737">
        <f t="shared" si="41"/>
        <v>55088.215686274511</v>
      </c>
      <c r="F660" s="683">
        <f t="shared" si="36"/>
        <v>1542470.0392156846</v>
      </c>
      <c r="G660" s="1291">
        <f t="shared" si="38"/>
        <v>220760.54947616332</v>
      </c>
      <c r="H660" s="1294">
        <f t="shared" si="39"/>
        <v>220760.54947616332</v>
      </c>
      <c r="I660" s="734">
        <f t="shared" si="40"/>
        <v>0</v>
      </c>
      <c r="J660" s="734"/>
      <c r="K660" s="884"/>
      <c r="L660" s="740"/>
      <c r="M660" s="884"/>
      <c r="N660" s="740"/>
      <c r="O660" s="740"/>
    </row>
    <row r="661" spans="3:15">
      <c r="C661" s="730">
        <f>IF(D631="","-",+C660+1)</f>
        <v>2040</v>
      </c>
      <c r="D661" s="683">
        <f t="shared" si="37"/>
        <v>1542470.0392156846</v>
      </c>
      <c r="E661" s="737">
        <f t="shared" si="41"/>
        <v>55088.215686274511</v>
      </c>
      <c r="F661" s="683">
        <f t="shared" si="36"/>
        <v>1487381.8235294102</v>
      </c>
      <c r="G661" s="1291">
        <f t="shared" si="38"/>
        <v>214947.48513265848</v>
      </c>
      <c r="H661" s="1294">
        <f t="shared" si="39"/>
        <v>214947.48513265848</v>
      </c>
      <c r="I661" s="734">
        <f t="shared" si="40"/>
        <v>0</v>
      </c>
      <c r="J661" s="734"/>
      <c r="K661" s="884"/>
      <c r="L661" s="740"/>
      <c r="M661" s="884"/>
      <c r="N661" s="740"/>
      <c r="O661" s="740"/>
    </row>
    <row r="662" spans="3:15">
      <c r="C662" s="730">
        <f>IF(D631="","-",+C661+1)</f>
        <v>2041</v>
      </c>
      <c r="D662" s="683">
        <f t="shared" si="37"/>
        <v>1487381.8235294102</v>
      </c>
      <c r="E662" s="737">
        <f t="shared" si="41"/>
        <v>55088.215686274511</v>
      </c>
      <c r="F662" s="683">
        <f t="shared" si="36"/>
        <v>1432293.6078431357</v>
      </c>
      <c r="G662" s="1291">
        <f t="shared" si="38"/>
        <v>209134.42078915358</v>
      </c>
      <c r="H662" s="1294">
        <f t="shared" si="39"/>
        <v>209134.42078915358</v>
      </c>
      <c r="I662" s="734">
        <f t="shared" si="40"/>
        <v>0</v>
      </c>
      <c r="J662" s="734"/>
      <c r="K662" s="884"/>
      <c r="L662" s="740"/>
      <c r="M662" s="884"/>
      <c r="N662" s="740"/>
      <c r="O662" s="740"/>
    </row>
    <row r="663" spans="3:15">
      <c r="C663" s="730">
        <f>IF(D631="","-",+C662+1)</f>
        <v>2042</v>
      </c>
      <c r="D663" s="683">
        <f t="shared" si="37"/>
        <v>1432293.6078431357</v>
      </c>
      <c r="E663" s="737">
        <f t="shared" si="41"/>
        <v>55088.215686274511</v>
      </c>
      <c r="F663" s="683">
        <f t="shared" si="36"/>
        <v>1377205.3921568613</v>
      </c>
      <c r="G663" s="1291">
        <f t="shared" si="38"/>
        <v>203321.35644564874</v>
      </c>
      <c r="H663" s="1294">
        <f t="shared" si="39"/>
        <v>203321.35644564874</v>
      </c>
      <c r="I663" s="734">
        <f t="shared" si="40"/>
        <v>0</v>
      </c>
      <c r="J663" s="734"/>
      <c r="K663" s="884"/>
      <c r="L663" s="740"/>
      <c r="M663" s="884"/>
      <c r="N663" s="740"/>
      <c r="O663" s="740"/>
    </row>
    <row r="664" spans="3:15">
      <c r="C664" s="730">
        <f>IF(D631="","-",+C663+1)</f>
        <v>2043</v>
      </c>
      <c r="D664" s="683">
        <f t="shared" si="37"/>
        <v>1377205.3921568613</v>
      </c>
      <c r="E664" s="737">
        <f t="shared" si="41"/>
        <v>55088.215686274511</v>
      </c>
      <c r="F664" s="683">
        <f t="shared" si="36"/>
        <v>1322117.1764705868</v>
      </c>
      <c r="G664" s="1291">
        <f t="shared" si="38"/>
        <v>197508.29210214384</v>
      </c>
      <c r="H664" s="1294">
        <f t="shared" si="39"/>
        <v>197508.29210214384</v>
      </c>
      <c r="I664" s="734">
        <f t="shared" si="40"/>
        <v>0</v>
      </c>
      <c r="J664" s="734"/>
      <c r="K664" s="884"/>
      <c r="L664" s="740"/>
      <c r="M664" s="884"/>
      <c r="N664" s="740"/>
      <c r="O664" s="740"/>
    </row>
    <row r="665" spans="3:15">
      <c r="C665" s="730">
        <f>IF(D631="","-",+C664+1)</f>
        <v>2044</v>
      </c>
      <c r="D665" s="683">
        <f t="shared" si="37"/>
        <v>1322117.1764705868</v>
      </c>
      <c r="E665" s="737">
        <f t="shared" si="41"/>
        <v>55088.215686274511</v>
      </c>
      <c r="F665" s="683">
        <f t="shared" si="36"/>
        <v>1267028.9607843123</v>
      </c>
      <c r="G665" s="1302">
        <f t="shared" si="38"/>
        <v>191695.227758639</v>
      </c>
      <c r="H665" s="1294">
        <f t="shared" si="39"/>
        <v>191695.227758639</v>
      </c>
      <c r="I665" s="734">
        <f t="shared" si="40"/>
        <v>0</v>
      </c>
      <c r="J665" s="734"/>
      <c r="K665" s="884"/>
      <c r="L665" s="740"/>
      <c r="M665" s="884"/>
      <c r="N665" s="740"/>
      <c r="O665" s="740"/>
    </row>
    <row r="666" spans="3:15">
      <c r="C666" s="730">
        <f>IF(D631="","-",+C665+1)</f>
        <v>2045</v>
      </c>
      <c r="D666" s="683">
        <f t="shared" si="37"/>
        <v>1267028.9607843123</v>
      </c>
      <c r="E666" s="737">
        <f t="shared" si="41"/>
        <v>55088.215686274511</v>
      </c>
      <c r="F666" s="683">
        <f t="shared" si="36"/>
        <v>1211940.7450980379</v>
      </c>
      <c r="G666" s="1291">
        <f t="shared" si="38"/>
        <v>185882.16341513407</v>
      </c>
      <c r="H666" s="1294">
        <f t="shared" si="39"/>
        <v>185882.16341513407</v>
      </c>
      <c r="I666" s="734">
        <f t="shared" si="40"/>
        <v>0</v>
      </c>
      <c r="J666" s="734"/>
      <c r="K666" s="884"/>
      <c r="L666" s="740"/>
      <c r="M666" s="884"/>
      <c r="N666" s="740"/>
      <c r="O666" s="740"/>
    </row>
    <row r="667" spans="3:15">
      <c r="C667" s="730">
        <f>IF(D631="","-",+C666+1)</f>
        <v>2046</v>
      </c>
      <c r="D667" s="683">
        <f t="shared" si="37"/>
        <v>1211940.7450980379</v>
      </c>
      <c r="E667" s="737">
        <f t="shared" si="41"/>
        <v>55088.215686274511</v>
      </c>
      <c r="F667" s="683">
        <f t="shared" si="36"/>
        <v>1156852.5294117634</v>
      </c>
      <c r="G667" s="1291">
        <f t="shared" si="38"/>
        <v>180069.09907162923</v>
      </c>
      <c r="H667" s="1294">
        <f t="shared" si="39"/>
        <v>180069.09907162923</v>
      </c>
      <c r="I667" s="734">
        <f t="shared" si="40"/>
        <v>0</v>
      </c>
      <c r="J667" s="734"/>
      <c r="K667" s="884"/>
      <c r="L667" s="740"/>
      <c r="M667" s="884"/>
      <c r="N667" s="740"/>
      <c r="O667" s="740"/>
    </row>
    <row r="668" spans="3:15">
      <c r="C668" s="730">
        <f>IF(D631="","-",+C667+1)</f>
        <v>2047</v>
      </c>
      <c r="D668" s="683">
        <f t="shared" si="37"/>
        <v>1156852.5294117634</v>
      </c>
      <c r="E668" s="737">
        <f t="shared" si="41"/>
        <v>55088.215686274511</v>
      </c>
      <c r="F668" s="683">
        <f t="shared" si="36"/>
        <v>1101764.313725489</v>
      </c>
      <c r="G668" s="1291">
        <f t="shared" si="38"/>
        <v>174256.03472812433</v>
      </c>
      <c r="H668" s="1294">
        <f t="shared" si="39"/>
        <v>174256.03472812433</v>
      </c>
      <c r="I668" s="734">
        <f t="shared" si="40"/>
        <v>0</v>
      </c>
      <c r="J668" s="734"/>
      <c r="K668" s="884"/>
      <c r="L668" s="740"/>
      <c r="M668" s="884"/>
      <c r="N668" s="740"/>
      <c r="O668" s="740"/>
    </row>
    <row r="669" spans="3:15">
      <c r="C669" s="730">
        <f>IF(D631="","-",+C668+1)</f>
        <v>2048</v>
      </c>
      <c r="D669" s="683">
        <f t="shared" si="37"/>
        <v>1101764.313725489</v>
      </c>
      <c r="E669" s="737">
        <f t="shared" si="41"/>
        <v>55088.215686274511</v>
      </c>
      <c r="F669" s="683">
        <f t="shared" si="36"/>
        <v>1046676.0980392145</v>
      </c>
      <c r="G669" s="1291">
        <f t="shared" si="38"/>
        <v>168442.97038461949</v>
      </c>
      <c r="H669" s="1294">
        <f t="shared" si="39"/>
        <v>168442.97038461949</v>
      </c>
      <c r="I669" s="734">
        <f t="shared" si="40"/>
        <v>0</v>
      </c>
      <c r="J669" s="734"/>
      <c r="K669" s="884"/>
      <c r="L669" s="740"/>
      <c r="M669" s="884"/>
      <c r="N669" s="740"/>
      <c r="O669" s="740"/>
    </row>
    <row r="670" spans="3:15">
      <c r="C670" s="730">
        <f>IF(D631="","-",+C669+1)</f>
        <v>2049</v>
      </c>
      <c r="D670" s="683">
        <f t="shared" si="37"/>
        <v>1046676.0980392145</v>
      </c>
      <c r="E670" s="737">
        <f t="shared" si="41"/>
        <v>55088.215686274511</v>
      </c>
      <c r="F670" s="683">
        <f t="shared" si="36"/>
        <v>991587.88235294004</v>
      </c>
      <c r="G670" s="1291">
        <f t="shared" si="38"/>
        <v>162629.90604111462</v>
      </c>
      <c r="H670" s="1294">
        <f t="shared" si="39"/>
        <v>162629.90604111462</v>
      </c>
      <c r="I670" s="734">
        <f t="shared" si="40"/>
        <v>0</v>
      </c>
      <c r="J670" s="734"/>
      <c r="K670" s="884"/>
      <c r="L670" s="740"/>
      <c r="M670" s="884"/>
      <c r="N670" s="740"/>
      <c r="O670" s="740"/>
    </row>
    <row r="671" spans="3:15">
      <c r="C671" s="730">
        <f>IF(D631="","-",+C670+1)</f>
        <v>2050</v>
      </c>
      <c r="D671" s="683">
        <f t="shared" si="37"/>
        <v>991587.88235294004</v>
      </c>
      <c r="E671" s="737">
        <f t="shared" si="41"/>
        <v>55088.215686274511</v>
      </c>
      <c r="F671" s="683">
        <f t="shared" si="36"/>
        <v>936499.66666666558</v>
      </c>
      <c r="G671" s="1291">
        <f t="shared" si="38"/>
        <v>156816.84169760975</v>
      </c>
      <c r="H671" s="1294">
        <f t="shared" si="39"/>
        <v>156816.84169760975</v>
      </c>
      <c r="I671" s="734">
        <f t="shared" si="40"/>
        <v>0</v>
      </c>
      <c r="J671" s="734"/>
      <c r="K671" s="884"/>
      <c r="L671" s="740"/>
      <c r="M671" s="884"/>
      <c r="N671" s="740"/>
      <c r="O671" s="740"/>
    </row>
    <row r="672" spans="3:15">
      <c r="C672" s="730">
        <f>IF(D631="","-",+C671+1)</f>
        <v>2051</v>
      </c>
      <c r="D672" s="683">
        <f t="shared" si="37"/>
        <v>936499.66666666558</v>
      </c>
      <c r="E672" s="737">
        <f t="shared" si="41"/>
        <v>55088.215686274511</v>
      </c>
      <c r="F672" s="683">
        <f t="shared" si="36"/>
        <v>881411.45098039112</v>
      </c>
      <c r="G672" s="1291">
        <f t="shared" si="38"/>
        <v>151003.77735410485</v>
      </c>
      <c r="H672" s="1294">
        <f t="shared" si="39"/>
        <v>151003.77735410485</v>
      </c>
      <c r="I672" s="734">
        <f t="shared" si="40"/>
        <v>0</v>
      </c>
      <c r="J672" s="734"/>
      <c r="K672" s="884"/>
      <c r="L672" s="740"/>
      <c r="M672" s="884"/>
      <c r="N672" s="740"/>
      <c r="O672" s="740"/>
    </row>
    <row r="673" spans="3:15">
      <c r="C673" s="730">
        <f>IF(D631="","-",+C672+1)</f>
        <v>2052</v>
      </c>
      <c r="D673" s="683">
        <f t="shared" si="37"/>
        <v>881411.45098039112</v>
      </c>
      <c r="E673" s="737">
        <f t="shared" si="41"/>
        <v>55088.215686274511</v>
      </c>
      <c r="F673" s="683">
        <f t="shared" si="36"/>
        <v>826323.23529411666</v>
      </c>
      <c r="G673" s="1291">
        <f t="shared" si="38"/>
        <v>145190.71301059998</v>
      </c>
      <c r="H673" s="1294">
        <f t="shared" si="39"/>
        <v>145190.71301059998</v>
      </c>
      <c r="I673" s="734">
        <f t="shared" si="40"/>
        <v>0</v>
      </c>
      <c r="J673" s="734"/>
      <c r="K673" s="884"/>
      <c r="L673" s="740"/>
      <c r="M673" s="884"/>
      <c r="N673" s="740"/>
      <c r="O673" s="740"/>
    </row>
    <row r="674" spans="3:15">
      <c r="C674" s="730">
        <f>IF(D631="","-",+C673+1)</f>
        <v>2053</v>
      </c>
      <c r="D674" s="683">
        <f t="shared" si="37"/>
        <v>826323.23529411666</v>
      </c>
      <c r="E674" s="737">
        <f t="shared" si="41"/>
        <v>55088.215686274511</v>
      </c>
      <c r="F674" s="683">
        <f t="shared" si="36"/>
        <v>771235.0196078422</v>
      </c>
      <c r="G674" s="1291">
        <f t="shared" si="38"/>
        <v>139377.64866709511</v>
      </c>
      <c r="H674" s="1294">
        <f t="shared" si="39"/>
        <v>139377.64866709511</v>
      </c>
      <c r="I674" s="734">
        <f t="shared" si="40"/>
        <v>0</v>
      </c>
      <c r="J674" s="734"/>
      <c r="K674" s="884"/>
      <c r="L674" s="740"/>
      <c r="M674" s="884"/>
      <c r="N674" s="740"/>
      <c r="O674" s="740"/>
    </row>
    <row r="675" spans="3:15">
      <c r="C675" s="730">
        <f>IF(D631="","-",+C674+1)</f>
        <v>2054</v>
      </c>
      <c r="D675" s="683">
        <f t="shared" si="37"/>
        <v>771235.0196078422</v>
      </c>
      <c r="E675" s="737">
        <f t="shared" si="41"/>
        <v>55088.215686274511</v>
      </c>
      <c r="F675" s="683">
        <f t="shared" si="36"/>
        <v>716146.80392156774</v>
      </c>
      <c r="G675" s="1291">
        <f t="shared" si="38"/>
        <v>133564.58432359024</v>
      </c>
      <c r="H675" s="1294">
        <f t="shared" si="39"/>
        <v>133564.58432359024</v>
      </c>
      <c r="I675" s="734">
        <f t="shared" si="40"/>
        <v>0</v>
      </c>
      <c r="J675" s="734"/>
      <c r="K675" s="884"/>
      <c r="L675" s="740"/>
      <c r="M675" s="884"/>
      <c r="N675" s="740"/>
      <c r="O675" s="740"/>
    </row>
    <row r="676" spans="3:15">
      <c r="C676" s="730">
        <f>IF(D631="","-",+C675+1)</f>
        <v>2055</v>
      </c>
      <c r="D676" s="683">
        <f t="shared" si="37"/>
        <v>716146.80392156774</v>
      </c>
      <c r="E676" s="737">
        <f t="shared" si="41"/>
        <v>55088.215686274511</v>
      </c>
      <c r="F676" s="683">
        <f t="shared" si="36"/>
        <v>661058.58823529328</v>
      </c>
      <c r="G676" s="1291">
        <f t="shared" si="38"/>
        <v>127751.51998008537</v>
      </c>
      <c r="H676" s="1294">
        <f t="shared" si="39"/>
        <v>127751.51998008537</v>
      </c>
      <c r="I676" s="734">
        <f t="shared" si="40"/>
        <v>0</v>
      </c>
      <c r="J676" s="734"/>
      <c r="K676" s="884"/>
      <c r="L676" s="740"/>
      <c r="M676" s="884"/>
      <c r="N676" s="740"/>
      <c r="O676" s="740"/>
    </row>
    <row r="677" spans="3:15">
      <c r="C677" s="730">
        <f>IF(D631="","-",+C676+1)</f>
        <v>2056</v>
      </c>
      <c r="D677" s="683">
        <f t="shared" si="37"/>
        <v>661058.58823529328</v>
      </c>
      <c r="E677" s="737">
        <f t="shared" si="41"/>
        <v>55088.215686274511</v>
      </c>
      <c r="F677" s="683">
        <f t="shared" si="36"/>
        <v>605970.37254901882</v>
      </c>
      <c r="G677" s="1291">
        <f t="shared" si="38"/>
        <v>121938.4556365805</v>
      </c>
      <c r="H677" s="1294">
        <f t="shared" si="39"/>
        <v>121938.4556365805</v>
      </c>
      <c r="I677" s="734">
        <f t="shared" si="40"/>
        <v>0</v>
      </c>
      <c r="J677" s="734"/>
      <c r="K677" s="884"/>
      <c r="L677" s="740"/>
      <c r="M677" s="884"/>
      <c r="N677" s="740"/>
      <c r="O677" s="740"/>
    </row>
    <row r="678" spans="3:15">
      <c r="C678" s="730">
        <f>IF(D631="","-",+C677+1)</f>
        <v>2057</v>
      </c>
      <c r="D678" s="683">
        <f t="shared" si="37"/>
        <v>605970.37254901882</v>
      </c>
      <c r="E678" s="737">
        <f t="shared" si="41"/>
        <v>55088.215686274511</v>
      </c>
      <c r="F678" s="683">
        <f t="shared" si="36"/>
        <v>550882.15686274436</v>
      </c>
      <c r="G678" s="1291">
        <f t="shared" si="38"/>
        <v>116125.39129307563</v>
      </c>
      <c r="H678" s="1294">
        <f t="shared" si="39"/>
        <v>116125.39129307563</v>
      </c>
      <c r="I678" s="734">
        <f t="shared" si="40"/>
        <v>0</v>
      </c>
      <c r="J678" s="734"/>
      <c r="K678" s="884"/>
      <c r="L678" s="740"/>
      <c r="M678" s="884"/>
      <c r="N678" s="740"/>
      <c r="O678" s="740"/>
    </row>
    <row r="679" spans="3:15">
      <c r="C679" s="730">
        <f>IF(D631="","-",+C678+1)</f>
        <v>2058</v>
      </c>
      <c r="D679" s="683">
        <f t="shared" si="37"/>
        <v>550882.15686274436</v>
      </c>
      <c r="E679" s="737">
        <f t="shared" si="41"/>
        <v>55088.215686274511</v>
      </c>
      <c r="F679" s="683">
        <f t="shared" si="36"/>
        <v>495793.94117646985</v>
      </c>
      <c r="G679" s="1291">
        <f t="shared" si="38"/>
        <v>110312.32694957076</v>
      </c>
      <c r="H679" s="1294">
        <f t="shared" si="39"/>
        <v>110312.32694957076</v>
      </c>
      <c r="I679" s="734">
        <f t="shared" si="40"/>
        <v>0</v>
      </c>
      <c r="J679" s="734"/>
      <c r="K679" s="884"/>
      <c r="L679" s="740"/>
      <c r="M679" s="884"/>
      <c r="N679" s="740"/>
      <c r="O679" s="740"/>
    </row>
    <row r="680" spans="3:15">
      <c r="C680" s="730">
        <f>IF(D631="","-",+C679+1)</f>
        <v>2059</v>
      </c>
      <c r="D680" s="683">
        <f t="shared" si="37"/>
        <v>495793.94117646985</v>
      </c>
      <c r="E680" s="737">
        <f t="shared" si="41"/>
        <v>55088.215686274511</v>
      </c>
      <c r="F680" s="683">
        <f t="shared" si="36"/>
        <v>440705.72549019533</v>
      </c>
      <c r="G680" s="1291">
        <f t="shared" si="38"/>
        <v>104499.26260606588</v>
      </c>
      <c r="H680" s="1294">
        <f t="shared" si="39"/>
        <v>104499.26260606588</v>
      </c>
      <c r="I680" s="734">
        <f t="shared" si="40"/>
        <v>0</v>
      </c>
      <c r="J680" s="734"/>
      <c r="K680" s="884"/>
      <c r="L680" s="740"/>
      <c r="M680" s="884"/>
      <c r="N680" s="740"/>
      <c r="O680" s="740"/>
    </row>
    <row r="681" spans="3:15">
      <c r="C681" s="730">
        <f>IF(D631="","-",+C680+1)</f>
        <v>2060</v>
      </c>
      <c r="D681" s="683">
        <f t="shared" si="37"/>
        <v>440705.72549019533</v>
      </c>
      <c r="E681" s="737">
        <f t="shared" si="41"/>
        <v>55088.215686274511</v>
      </c>
      <c r="F681" s="683">
        <f t="shared" si="36"/>
        <v>385617.50980392081</v>
      </c>
      <c r="G681" s="1291">
        <f t="shared" si="38"/>
        <v>98686.198262561011</v>
      </c>
      <c r="H681" s="1294">
        <f t="shared" si="39"/>
        <v>98686.198262561011</v>
      </c>
      <c r="I681" s="734">
        <f t="shared" si="40"/>
        <v>0</v>
      </c>
      <c r="J681" s="734"/>
      <c r="K681" s="884"/>
      <c r="L681" s="740"/>
      <c r="M681" s="884"/>
      <c r="N681" s="740"/>
      <c r="O681" s="740"/>
    </row>
    <row r="682" spans="3:15">
      <c r="C682" s="730">
        <f>IF(D631="","-",+C681+1)</f>
        <v>2061</v>
      </c>
      <c r="D682" s="683">
        <f t="shared" si="37"/>
        <v>385617.50980392081</v>
      </c>
      <c r="E682" s="737">
        <f t="shared" si="41"/>
        <v>55088.215686274511</v>
      </c>
      <c r="F682" s="683">
        <f t="shared" si="36"/>
        <v>330529.29411764629</v>
      </c>
      <c r="G682" s="1291">
        <f t="shared" si="38"/>
        <v>92873.133919056127</v>
      </c>
      <c r="H682" s="1294">
        <f t="shared" si="39"/>
        <v>92873.133919056127</v>
      </c>
      <c r="I682" s="734">
        <f t="shared" si="40"/>
        <v>0</v>
      </c>
      <c r="J682" s="734"/>
      <c r="K682" s="884"/>
      <c r="L682" s="740"/>
      <c r="M682" s="884"/>
      <c r="N682" s="740"/>
      <c r="O682" s="740"/>
    </row>
    <row r="683" spans="3:15">
      <c r="C683" s="730">
        <f>IF(D631="","-",+C682+1)</f>
        <v>2062</v>
      </c>
      <c r="D683" s="683">
        <f t="shared" si="37"/>
        <v>330529.29411764629</v>
      </c>
      <c r="E683" s="737">
        <f t="shared" si="41"/>
        <v>55088.215686274511</v>
      </c>
      <c r="F683" s="683">
        <f t="shared" si="36"/>
        <v>275441.07843137177</v>
      </c>
      <c r="G683" s="1291">
        <f t="shared" si="38"/>
        <v>87060.069575551257</v>
      </c>
      <c r="H683" s="1294">
        <f t="shared" si="39"/>
        <v>87060.069575551257</v>
      </c>
      <c r="I683" s="734">
        <f t="shared" si="40"/>
        <v>0</v>
      </c>
      <c r="J683" s="734"/>
      <c r="K683" s="884"/>
      <c r="L683" s="740"/>
      <c r="M683" s="884"/>
      <c r="N683" s="740"/>
      <c r="O683" s="740"/>
    </row>
    <row r="684" spans="3:15">
      <c r="C684" s="730">
        <f>IF(D631="","-",+C683+1)</f>
        <v>2063</v>
      </c>
      <c r="D684" s="683">
        <f t="shared" si="37"/>
        <v>275441.07843137177</v>
      </c>
      <c r="E684" s="737">
        <f t="shared" si="41"/>
        <v>55088.215686274511</v>
      </c>
      <c r="F684" s="683">
        <f t="shared" si="36"/>
        <v>220352.86274509726</v>
      </c>
      <c r="G684" s="1291">
        <f t="shared" si="38"/>
        <v>81247.005232046373</v>
      </c>
      <c r="H684" s="1294">
        <f t="shared" si="39"/>
        <v>81247.005232046373</v>
      </c>
      <c r="I684" s="734">
        <f t="shared" si="40"/>
        <v>0</v>
      </c>
      <c r="J684" s="734"/>
      <c r="K684" s="884"/>
      <c r="L684" s="740"/>
      <c r="M684" s="884"/>
      <c r="N684" s="740"/>
      <c r="O684" s="740"/>
    </row>
    <row r="685" spans="3:15">
      <c r="C685" s="730">
        <f>IF(D631="","-",+C684+1)</f>
        <v>2064</v>
      </c>
      <c r="D685" s="683">
        <f t="shared" si="37"/>
        <v>220352.86274509726</v>
      </c>
      <c r="E685" s="737">
        <f t="shared" si="41"/>
        <v>55088.215686274511</v>
      </c>
      <c r="F685" s="683">
        <f t="shared" si="36"/>
        <v>165264.64705882274</v>
      </c>
      <c r="G685" s="1291">
        <f t="shared" si="38"/>
        <v>75433.940888541489</v>
      </c>
      <c r="H685" s="1294">
        <f t="shared" si="39"/>
        <v>75433.940888541489</v>
      </c>
      <c r="I685" s="734">
        <f t="shared" si="40"/>
        <v>0</v>
      </c>
      <c r="J685" s="734"/>
      <c r="K685" s="884"/>
      <c r="L685" s="740"/>
      <c r="M685" s="884"/>
      <c r="N685" s="740"/>
      <c r="O685" s="740"/>
    </row>
    <row r="686" spans="3:15">
      <c r="C686" s="730">
        <f>IF(D631="","-",+C685+1)</f>
        <v>2065</v>
      </c>
      <c r="D686" s="683">
        <f t="shared" si="37"/>
        <v>165264.64705882274</v>
      </c>
      <c r="E686" s="737">
        <f t="shared" si="41"/>
        <v>55088.215686274511</v>
      </c>
      <c r="F686" s="683">
        <f t="shared" si="36"/>
        <v>110176.43137254822</v>
      </c>
      <c r="G686" s="1291">
        <f t="shared" si="38"/>
        <v>69620.876545036619</v>
      </c>
      <c r="H686" s="1294">
        <f t="shared" si="39"/>
        <v>69620.876545036619</v>
      </c>
      <c r="I686" s="734">
        <f t="shared" si="40"/>
        <v>0</v>
      </c>
      <c r="J686" s="734"/>
      <c r="K686" s="884"/>
      <c r="L686" s="740"/>
      <c r="M686" s="884"/>
      <c r="N686" s="740"/>
      <c r="O686" s="740"/>
    </row>
    <row r="687" spans="3:15">
      <c r="C687" s="730">
        <f>IF(D631="","-",+C686+1)</f>
        <v>2066</v>
      </c>
      <c r="D687" s="683">
        <f t="shared" si="37"/>
        <v>110176.43137254822</v>
      </c>
      <c r="E687" s="737">
        <f t="shared" si="41"/>
        <v>55088.215686274511</v>
      </c>
      <c r="F687" s="683">
        <f t="shared" si="36"/>
        <v>55088.21568627371</v>
      </c>
      <c r="G687" s="1291">
        <f t="shared" si="38"/>
        <v>63807.812201531742</v>
      </c>
      <c r="H687" s="1294">
        <f t="shared" si="39"/>
        <v>63807.812201531742</v>
      </c>
      <c r="I687" s="734">
        <f t="shared" si="40"/>
        <v>0</v>
      </c>
      <c r="J687" s="734"/>
      <c r="K687" s="884"/>
      <c r="L687" s="740"/>
      <c r="M687" s="884"/>
      <c r="N687" s="740"/>
      <c r="O687" s="740"/>
    </row>
    <row r="688" spans="3:15">
      <c r="C688" s="730">
        <f>IF(D631="","-",+C687+1)</f>
        <v>2067</v>
      </c>
      <c r="D688" s="683">
        <f t="shared" si="37"/>
        <v>55088.21568627371</v>
      </c>
      <c r="E688" s="737">
        <f t="shared" si="41"/>
        <v>55088.21568627371</v>
      </c>
      <c r="F688" s="683">
        <f t="shared" si="36"/>
        <v>0</v>
      </c>
      <c r="G688" s="1291">
        <f t="shared" si="38"/>
        <v>57994.747858026109</v>
      </c>
      <c r="H688" s="1294">
        <f t="shared" si="39"/>
        <v>57994.747858026109</v>
      </c>
      <c r="I688" s="734">
        <f t="shared" si="40"/>
        <v>0</v>
      </c>
      <c r="J688" s="734"/>
      <c r="K688" s="884"/>
      <c r="L688" s="740"/>
      <c r="M688" s="884"/>
      <c r="N688" s="740"/>
      <c r="O688" s="740"/>
    </row>
    <row r="689" spans="3:15">
      <c r="C689" s="730">
        <f>IF(D631="","-",+C688+1)</f>
        <v>2068</v>
      </c>
      <c r="D689" s="683">
        <f t="shared" si="37"/>
        <v>0</v>
      </c>
      <c r="E689" s="737">
        <f t="shared" si="41"/>
        <v>0</v>
      </c>
      <c r="F689" s="683">
        <f t="shared" si="36"/>
        <v>0</v>
      </c>
      <c r="G689" s="1291">
        <f t="shared" si="38"/>
        <v>0</v>
      </c>
      <c r="H689" s="1294">
        <f t="shared" si="39"/>
        <v>0</v>
      </c>
      <c r="I689" s="734">
        <f t="shared" si="40"/>
        <v>0</v>
      </c>
      <c r="J689" s="734"/>
      <c r="K689" s="884"/>
      <c r="L689" s="740"/>
      <c r="M689" s="884"/>
      <c r="N689" s="740"/>
      <c r="O689" s="740"/>
    </row>
    <row r="690" spans="3:15">
      <c r="C690" s="730">
        <f>IF(D631="","-",+C689+1)</f>
        <v>2069</v>
      </c>
      <c r="D690" s="683">
        <f t="shared" si="37"/>
        <v>0</v>
      </c>
      <c r="E690" s="737">
        <f t="shared" si="41"/>
        <v>0</v>
      </c>
      <c r="F690" s="683">
        <f t="shared" si="36"/>
        <v>0</v>
      </c>
      <c r="G690" s="1291">
        <f t="shared" si="38"/>
        <v>0</v>
      </c>
      <c r="H690" s="1294">
        <f t="shared" si="39"/>
        <v>0</v>
      </c>
      <c r="I690" s="734">
        <f t="shared" si="40"/>
        <v>0</v>
      </c>
      <c r="J690" s="734"/>
      <c r="K690" s="884"/>
      <c r="L690" s="740"/>
      <c r="M690" s="884"/>
      <c r="N690" s="740"/>
      <c r="O690" s="740"/>
    </row>
    <row r="691" spans="3:15">
      <c r="C691" s="730">
        <f>IF(D631="","-",+C690+1)</f>
        <v>2070</v>
      </c>
      <c r="D691" s="683">
        <f t="shared" si="37"/>
        <v>0</v>
      </c>
      <c r="E691" s="737">
        <f t="shared" si="41"/>
        <v>0</v>
      </c>
      <c r="F691" s="683">
        <f t="shared" si="36"/>
        <v>0</v>
      </c>
      <c r="G691" s="1291">
        <f t="shared" si="38"/>
        <v>0</v>
      </c>
      <c r="H691" s="1294">
        <f t="shared" si="39"/>
        <v>0</v>
      </c>
      <c r="I691" s="734">
        <f t="shared" si="40"/>
        <v>0</v>
      </c>
      <c r="J691" s="734"/>
      <c r="K691" s="884"/>
      <c r="L691" s="740"/>
      <c r="M691" s="884"/>
      <c r="N691" s="740"/>
      <c r="O691" s="740"/>
    </row>
    <row r="692" spans="3:15">
      <c r="C692" s="730">
        <f>IF(D631="","-",+C691+1)</f>
        <v>2071</v>
      </c>
      <c r="D692" s="683">
        <f t="shared" si="37"/>
        <v>0</v>
      </c>
      <c r="E692" s="737">
        <f t="shared" si="41"/>
        <v>0</v>
      </c>
      <c r="F692" s="683">
        <f t="shared" si="36"/>
        <v>0</v>
      </c>
      <c r="G692" s="1291">
        <f t="shared" si="38"/>
        <v>0</v>
      </c>
      <c r="H692" s="1294">
        <f t="shared" si="39"/>
        <v>0</v>
      </c>
      <c r="I692" s="734">
        <f t="shared" si="40"/>
        <v>0</v>
      </c>
      <c r="J692" s="734"/>
      <c r="K692" s="884"/>
      <c r="L692" s="740"/>
      <c r="M692" s="884"/>
      <c r="N692" s="740"/>
      <c r="O692" s="740"/>
    </row>
    <row r="693" spans="3:15">
      <c r="C693" s="730">
        <f>IF(D631="","-",+C692+1)</f>
        <v>2072</v>
      </c>
      <c r="D693" s="683">
        <f t="shared" si="37"/>
        <v>0</v>
      </c>
      <c r="E693" s="737">
        <f t="shared" si="41"/>
        <v>0</v>
      </c>
      <c r="F693" s="683">
        <f t="shared" si="36"/>
        <v>0</v>
      </c>
      <c r="G693" s="1291">
        <f t="shared" si="38"/>
        <v>0</v>
      </c>
      <c r="H693" s="1294">
        <f t="shared" si="39"/>
        <v>0</v>
      </c>
      <c r="I693" s="734">
        <f t="shared" si="40"/>
        <v>0</v>
      </c>
      <c r="J693" s="734"/>
      <c r="K693" s="884"/>
      <c r="L693" s="740"/>
      <c r="M693" s="884"/>
      <c r="N693" s="740"/>
      <c r="O693" s="740"/>
    </row>
    <row r="694" spans="3:15">
      <c r="C694" s="730">
        <f>IF(D631="","-",+C693+1)</f>
        <v>2073</v>
      </c>
      <c r="D694" s="683">
        <f t="shared" si="37"/>
        <v>0</v>
      </c>
      <c r="E694" s="737">
        <f t="shared" si="41"/>
        <v>0</v>
      </c>
      <c r="F694" s="683">
        <f t="shared" si="36"/>
        <v>0</v>
      </c>
      <c r="G694" s="1291">
        <f t="shared" si="38"/>
        <v>0</v>
      </c>
      <c r="H694" s="1294">
        <f t="shared" si="39"/>
        <v>0</v>
      </c>
      <c r="I694" s="734">
        <f t="shared" si="40"/>
        <v>0</v>
      </c>
      <c r="J694" s="734"/>
      <c r="K694" s="884"/>
      <c r="L694" s="740"/>
      <c r="M694" s="884"/>
      <c r="N694" s="740"/>
      <c r="O694" s="740"/>
    </row>
    <row r="695" spans="3:15">
      <c r="C695" s="730">
        <f>IF(D631="","-",+C694+1)</f>
        <v>2074</v>
      </c>
      <c r="D695" s="683">
        <f t="shared" si="37"/>
        <v>0</v>
      </c>
      <c r="E695" s="737">
        <f t="shared" si="41"/>
        <v>0</v>
      </c>
      <c r="F695" s="683">
        <f t="shared" si="36"/>
        <v>0</v>
      </c>
      <c r="G695" s="1291">
        <f t="shared" si="38"/>
        <v>0</v>
      </c>
      <c r="H695" s="1294">
        <f t="shared" si="39"/>
        <v>0</v>
      </c>
      <c r="I695" s="734">
        <f t="shared" si="40"/>
        <v>0</v>
      </c>
      <c r="J695" s="734"/>
      <c r="K695" s="884"/>
      <c r="L695" s="740"/>
      <c r="M695" s="884"/>
      <c r="N695" s="740"/>
      <c r="O695" s="740"/>
    </row>
    <row r="696" spans="3:15" ht="13" thickBot="1">
      <c r="C696" s="741">
        <f>IF(D631="","-",+C695+1)</f>
        <v>2075</v>
      </c>
      <c r="D696" s="742">
        <f t="shared" si="37"/>
        <v>0</v>
      </c>
      <c r="E696" s="743">
        <f t="shared" si="41"/>
        <v>0</v>
      </c>
      <c r="F696" s="742">
        <f t="shared" si="36"/>
        <v>0</v>
      </c>
      <c r="G696" s="1303">
        <f t="shared" si="38"/>
        <v>0</v>
      </c>
      <c r="H696" s="1303">
        <f t="shared" si="39"/>
        <v>0</v>
      </c>
      <c r="I696" s="745">
        <f t="shared" si="40"/>
        <v>0</v>
      </c>
      <c r="J696" s="734"/>
      <c r="K696" s="885"/>
      <c r="L696" s="747"/>
      <c r="M696" s="885"/>
      <c r="N696" s="747"/>
      <c r="O696" s="747"/>
    </row>
    <row r="697" spans="3:15">
      <c r="C697" s="683" t="s">
        <v>289</v>
      </c>
      <c r="D697" s="1272"/>
      <c r="E697" s="1272">
        <f>SUM(E637:E696)</f>
        <v>2809499</v>
      </c>
      <c r="F697" s="1272"/>
      <c r="G697" s="1272">
        <f>SUM(G637:G696)</f>
        <v>10665855.460246837</v>
      </c>
      <c r="H697" s="1272">
        <f>SUM(H637:H696)</f>
        <v>10665855.460246837</v>
      </c>
      <c r="I697" s="1272">
        <f>SUM(I637:I696)</f>
        <v>0</v>
      </c>
      <c r="J697" s="1272"/>
      <c r="K697" s="1272"/>
      <c r="L697" s="1272"/>
      <c r="M697" s="1272"/>
      <c r="N697" s="1272"/>
      <c r="O697" s="550"/>
    </row>
    <row r="698" spans="3:15">
      <c r="D698" s="573"/>
      <c r="E698" s="550"/>
      <c r="F698" s="550"/>
      <c r="G698" s="550"/>
      <c r="H698" s="1271"/>
      <c r="I698" s="1271"/>
      <c r="J698" s="1272"/>
      <c r="K698" s="1271"/>
      <c r="L698" s="1271"/>
      <c r="M698" s="1271"/>
      <c r="N698" s="1271"/>
      <c r="O698" s="550"/>
    </row>
    <row r="699" spans="3:15">
      <c r="C699" s="1304" t="s">
        <v>980</v>
      </c>
      <c r="D699" s="573"/>
      <c r="E699" s="550"/>
      <c r="F699" s="550"/>
      <c r="G699" s="550"/>
      <c r="H699" s="1271"/>
      <c r="I699" s="1271"/>
      <c r="J699" s="1272"/>
      <c r="K699" s="1271"/>
      <c r="L699" s="1271"/>
      <c r="M699" s="1271"/>
      <c r="N699" s="1271"/>
      <c r="O699" s="550"/>
    </row>
    <row r="700" spans="3:15">
      <c r="D700" s="573"/>
      <c r="E700" s="550"/>
      <c r="F700" s="550"/>
      <c r="G700" s="550"/>
      <c r="H700" s="1271"/>
      <c r="I700" s="1271"/>
      <c r="J700" s="1272"/>
      <c r="K700" s="1271"/>
      <c r="L700" s="1271"/>
      <c r="M700" s="1271"/>
      <c r="N700" s="1271"/>
      <c r="O700" s="550"/>
    </row>
    <row r="701" spans="3:15" ht="13">
      <c r="C701" s="696" t="s">
        <v>981</v>
      </c>
      <c r="D701" s="683"/>
      <c r="E701" s="683"/>
      <c r="F701" s="683"/>
      <c r="G701" s="1272"/>
      <c r="H701" s="1272"/>
      <c r="I701" s="684"/>
      <c r="J701" s="684"/>
      <c r="K701" s="684"/>
      <c r="L701" s="684"/>
      <c r="M701" s="684"/>
      <c r="N701" s="684"/>
      <c r="O701" s="550"/>
    </row>
    <row r="702" spans="3:15" ht="13">
      <c r="C702" s="682" t="s">
        <v>477</v>
      </c>
      <c r="D702" s="683"/>
      <c r="E702" s="683"/>
      <c r="F702" s="683"/>
      <c r="G702" s="1272"/>
      <c r="H702" s="1272"/>
      <c r="I702" s="684"/>
      <c r="J702" s="684"/>
      <c r="K702" s="684"/>
      <c r="L702" s="684"/>
      <c r="M702" s="684"/>
      <c r="N702" s="684"/>
      <c r="O702" s="550"/>
    </row>
    <row r="703" spans="3:15" ht="13">
      <c r="C703" s="682" t="s">
        <v>290</v>
      </c>
      <c r="D703" s="683"/>
      <c r="E703" s="683"/>
      <c r="F703" s="683"/>
      <c r="G703" s="1272"/>
      <c r="H703" s="1272"/>
      <c r="I703" s="684"/>
      <c r="J703" s="684"/>
      <c r="K703" s="684"/>
      <c r="L703" s="684"/>
      <c r="M703" s="684"/>
      <c r="N703" s="684"/>
      <c r="O703" s="550"/>
    </row>
    <row r="704" spans="3:15" ht="13">
      <c r="C704" s="682"/>
      <c r="D704" s="683"/>
      <c r="E704" s="683"/>
      <c r="F704" s="683"/>
      <c r="G704" s="1272"/>
      <c r="H704" s="1272"/>
      <c r="I704" s="684"/>
      <c r="J704" s="684"/>
      <c r="K704" s="684"/>
      <c r="L704" s="684"/>
      <c r="M704" s="684"/>
      <c r="N704" s="684"/>
      <c r="O704" s="550"/>
    </row>
    <row r="705" spans="1:16">
      <c r="C705" s="1546" t="s">
        <v>461</v>
      </c>
      <c r="D705" s="1546"/>
      <c r="E705" s="1546"/>
      <c r="F705" s="1546"/>
      <c r="G705" s="1546"/>
      <c r="H705" s="1546"/>
      <c r="I705" s="1546"/>
      <c r="J705" s="1546"/>
      <c r="K705" s="1546"/>
      <c r="L705" s="1546"/>
      <c r="M705" s="1546"/>
      <c r="N705" s="1546"/>
      <c r="O705" s="1546"/>
    </row>
    <row r="706" spans="1:16">
      <c r="C706" s="1546"/>
      <c r="D706" s="1546"/>
      <c r="E706" s="1546"/>
      <c r="F706" s="1546"/>
      <c r="G706" s="1546"/>
      <c r="H706" s="1546"/>
      <c r="I706" s="1546"/>
      <c r="J706" s="1546"/>
      <c r="K706" s="1546"/>
      <c r="L706" s="1546"/>
      <c r="M706" s="1546"/>
      <c r="N706" s="1546"/>
      <c r="O706" s="1546"/>
    </row>
    <row r="707" spans="1:16" ht="20">
      <c r="A707" s="685" t="s">
        <v>977</v>
      </c>
      <c r="B707" s="586"/>
      <c r="C707" s="665"/>
      <c r="D707" s="573"/>
      <c r="E707" s="550"/>
      <c r="F707" s="655"/>
      <c r="G707" s="550"/>
      <c r="H707" s="1271"/>
      <c r="K707" s="686"/>
      <c r="L707" s="686"/>
      <c r="M707" s="686"/>
      <c r="N707" s="601" t="str">
        <f>"Page "&amp;P707&amp;" of "</f>
        <v xml:space="preserve">Page 9 of </v>
      </c>
      <c r="O707" s="602">
        <f>COUNT(P$6:P$59527)</f>
        <v>9</v>
      </c>
      <c r="P707" s="550">
        <v>9</v>
      </c>
    </row>
    <row r="708" spans="1:16">
      <c r="B708" s="586"/>
      <c r="C708" s="550"/>
      <c r="D708" s="573"/>
      <c r="E708" s="550"/>
      <c r="F708" s="550"/>
      <c r="G708" s="550"/>
      <c r="H708" s="1271"/>
      <c r="I708" s="550"/>
      <c r="J708" s="598"/>
      <c r="K708" s="550"/>
      <c r="L708" s="550"/>
      <c r="M708" s="550"/>
      <c r="N708" s="550"/>
      <c r="O708" s="550"/>
    </row>
    <row r="709" spans="1:16" ht="17">
      <c r="B709" s="605" t="s">
        <v>175</v>
      </c>
      <c r="C709" s="687" t="s">
        <v>291</v>
      </c>
      <c r="D709" s="573"/>
      <c r="E709" s="550"/>
      <c r="F709" s="550"/>
      <c r="G709" s="550"/>
      <c r="H709" s="1271"/>
      <c r="I709" s="1271"/>
      <c r="J709" s="1272"/>
      <c r="K709" s="1271"/>
      <c r="L709" s="1271"/>
      <c r="M709" s="1271"/>
      <c r="N709" s="1271"/>
      <c r="O709" s="550"/>
    </row>
    <row r="710" spans="1:16" ht="18">
      <c r="B710" s="605"/>
      <c r="C710" s="604"/>
      <c r="D710" s="573"/>
      <c r="E710" s="550"/>
      <c r="F710" s="550"/>
      <c r="G710" s="550"/>
      <c r="H710" s="1271"/>
      <c r="I710" s="1271"/>
      <c r="J710" s="1272"/>
      <c r="K710" s="1271"/>
      <c r="L710" s="1271"/>
      <c r="M710" s="1271"/>
      <c r="N710" s="1271"/>
      <c r="O710" s="550"/>
    </row>
    <row r="711" spans="1:16" ht="18">
      <c r="B711" s="605"/>
      <c r="C711" s="604" t="s">
        <v>292</v>
      </c>
      <c r="D711" s="573"/>
      <c r="E711" s="550"/>
      <c r="F711" s="550"/>
      <c r="G711" s="550"/>
      <c r="H711" s="1271"/>
      <c r="I711" s="1271"/>
      <c r="J711" s="1272"/>
      <c r="K711" s="1271"/>
      <c r="L711" s="1271"/>
      <c r="M711" s="1271"/>
      <c r="N711" s="1271"/>
      <c r="O711" s="550"/>
    </row>
    <row r="712" spans="1:16" ht="16" thickBot="1">
      <c r="C712" s="403"/>
      <c r="D712" s="573"/>
      <c r="E712" s="550"/>
      <c r="F712" s="550"/>
      <c r="G712" s="550"/>
      <c r="H712" s="1271"/>
      <c r="I712" s="1271"/>
      <c r="J712" s="1272"/>
      <c r="K712" s="1271"/>
      <c r="L712" s="1271"/>
      <c r="M712" s="1271"/>
      <c r="N712" s="1271"/>
      <c r="O712" s="550"/>
    </row>
    <row r="713" spans="1:16" ht="15.5">
      <c r="C713" s="606" t="s">
        <v>293</v>
      </c>
      <c r="D713" s="573"/>
      <c r="E713" s="550"/>
      <c r="F713" s="550"/>
      <c r="G713" s="1273"/>
      <c r="H713" s="550" t="s">
        <v>272</v>
      </c>
      <c r="I713" s="550"/>
      <c r="J713" s="598"/>
      <c r="K713" s="688" t="s">
        <v>297</v>
      </c>
      <c r="L713" s="689"/>
      <c r="M713" s="690"/>
      <c r="N713" s="1274">
        <f>VLOOKUP(I719,C726:O785,5)</f>
        <v>74379.18472991114</v>
      </c>
      <c r="O713" s="550"/>
    </row>
    <row r="714" spans="1:16" ht="15.5">
      <c r="C714" s="606"/>
      <c r="D714" s="573"/>
      <c r="E714" s="550"/>
      <c r="F714" s="550"/>
      <c r="G714" s="550"/>
      <c r="H714" s="1275"/>
      <c r="I714" s="1275"/>
      <c r="J714" s="1276"/>
      <c r="K714" s="693" t="s">
        <v>298</v>
      </c>
      <c r="L714" s="1277"/>
      <c r="M714" s="598"/>
      <c r="N714" s="1278">
        <f>VLOOKUP(I719,C726:O785,6)</f>
        <v>74379.18472991114</v>
      </c>
      <c r="O714" s="550"/>
    </row>
    <row r="715" spans="1:16" ht="13.5" thickBot="1">
      <c r="C715" s="694" t="s">
        <v>294</v>
      </c>
      <c r="D715" s="1558" t="s">
        <v>988</v>
      </c>
      <c r="E715" s="1559"/>
      <c r="F715" s="1559"/>
      <c r="G715" s="1559"/>
      <c r="H715" s="1559"/>
      <c r="I715" s="1559"/>
      <c r="J715" s="1272"/>
      <c r="K715" s="1279" t="s">
        <v>451</v>
      </c>
      <c r="L715" s="1280"/>
      <c r="M715" s="1280"/>
      <c r="N715" s="1281">
        <f>+N714-N713</f>
        <v>0</v>
      </c>
      <c r="O715" s="550"/>
    </row>
    <row r="716" spans="1:16" ht="13">
      <c r="C716" s="696"/>
      <c r="D716" s="1559"/>
      <c r="E716" s="1559"/>
      <c r="F716" s="1559"/>
      <c r="G716" s="1559"/>
      <c r="H716" s="1559"/>
      <c r="I716" s="1559"/>
      <c r="J716" s="1272"/>
      <c r="K716" s="1271"/>
      <c r="L716" s="1271"/>
      <c r="M716" s="1271"/>
      <c r="N716" s="1271"/>
      <c r="O716" s="550"/>
    </row>
    <row r="717" spans="1:16" ht="13.5" thickBot="1">
      <c r="C717" s="698"/>
      <c r="D717" s="699"/>
      <c r="E717" s="697"/>
      <c r="F717" s="697"/>
      <c r="G717" s="697"/>
      <c r="H717" s="697"/>
      <c r="I717" s="697"/>
      <c r="J717" s="700"/>
      <c r="K717" s="697"/>
      <c r="L717" s="697"/>
      <c r="M717" s="697"/>
      <c r="N717" s="697"/>
      <c r="O717" s="586"/>
    </row>
    <row r="718" spans="1:16" ht="13" thickBot="1">
      <c r="C718" s="701" t="s">
        <v>295</v>
      </c>
      <c r="D718" s="702"/>
      <c r="E718" s="702"/>
      <c r="F718" s="702"/>
      <c r="G718" s="702"/>
      <c r="H718" s="702"/>
      <c r="I718" s="703"/>
      <c r="J718" s="704"/>
      <c r="K718" s="550"/>
      <c r="L718" s="550"/>
      <c r="M718" s="550"/>
      <c r="N718" s="550"/>
      <c r="O718" s="705"/>
    </row>
    <row r="719" spans="1:16" ht="16">
      <c r="C719" s="707" t="s">
        <v>273</v>
      </c>
      <c r="D719" s="1282">
        <v>614742</v>
      </c>
      <c r="E719" s="665" t="s">
        <v>274</v>
      </c>
      <c r="G719" s="708"/>
      <c r="H719" s="708"/>
      <c r="I719" s="709">
        <v>2018</v>
      </c>
      <c r="J719" s="596"/>
      <c r="K719" s="1557" t="s">
        <v>460</v>
      </c>
      <c r="L719" s="1557"/>
      <c r="M719" s="1557"/>
      <c r="N719" s="1557"/>
      <c r="O719" s="1557"/>
    </row>
    <row r="720" spans="1:16">
      <c r="C720" s="707" t="s">
        <v>276</v>
      </c>
      <c r="D720" s="879">
        <v>2016</v>
      </c>
      <c r="E720" s="707" t="s">
        <v>277</v>
      </c>
      <c r="F720" s="708"/>
      <c r="H720" s="337"/>
      <c r="I720" s="882">
        <f>IF(G713="",0,$F$15)</f>
        <v>0</v>
      </c>
      <c r="J720" s="710"/>
      <c r="K720" s="1272" t="s">
        <v>460</v>
      </c>
    </row>
    <row r="721" spans="1:15">
      <c r="C721" s="707" t="s">
        <v>278</v>
      </c>
      <c r="D721" s="1282">
        <v>6</v>
      </c>
      <c r="E721" s="707" t="s">
        <v>279</v>
      </c>
      <c r="F721" s="708"/>
      <c r="H721" s="337"/>
      <c r="I721" s="711">
        <f>$G$70</f>
        <v>0.10552282863199051</v>
      </c>
      <c r="J721" s="712"/>
      <c r="K721" s="337" t="str">
        <f>"          INPUT PROJECTED ARR (WITH &amp; WITHOUT INCENTIVES) FROM EACH PRIOR YEAR"</f>
        <v xml:space="preserve">          INPUT PROJECTED ARR (WITH &amp; WITHOUT INCENTIVES) FROM EACH PRIOR YEAR</v>
      </c>
    </row>
    <row r="722" spans="1:15">
      <c r="C722" s="707" t="s">
        <v>280</v>
      </c>
      <c r="D722" s="713">
        <f>G$79</f>
        <v>51</v>
      </c>
      <c r="E722" s="707" t="s">
        <v>281</v>
      </c>
      <c r="F722" s="708"/>
      <c r="H722" s="337"/>
      <c r="I722" s="711">
        <f>IF(G713="",I721,$G$67)</f>
        <v>0.10552282863199051</v>
      </c>
      <c r="J722" s="714"/>
      <c r="K722" s="337" t="s">
        <v>358</v>
      </c>
    </row>
    <row r="723" spans="1:15" ht="13" thickBot="1">
      <c r="C723" s="707" t="s">
        <v>282</v>
      </c>
      <c r="D723" s="881" t="s">
        <v>979</v>
      </c>
      <c r="E723" s="715" t="s">
        <v>283</v>
      </c>
      <c r="F723" s="716"/>
      <c r="G723" s="717"/>
      <c r="H723" s="717"/>
      <c r="I723" s="1281">
        <f>IF(D719=0,0,D719/D722)</f>
        <v>12053.764705882353</v>
      </c>
      <c r="J723" s="1272"/>
      <c r="K723" s="1272" t="s">
        <v>364</v>
      </c>
      <c r="L723" s="1272"/>
      <c r="M723" s="1272"/>
      <c r="N723" s="1272"/>
      <c r="O723" s="598"/>
    </row>
    <row r="724" spans="1:15" ht="52">
      <c r="A724" s="537"/>
      <c r="B724" s="1283"/>
      <c r="C724" s="718" t="s">
        <v>273</v>
      </c>
      <c r="D724" s="1284" t="s">
        <v>284</v>
      </c>
      <c r="E724" s="1285" t="s">
        <v>285</v>
      </c>
      <c r="F724" s="1284" t="s">
        <v>286</v>
      </c>
      <c r="G724" s="1285" t="s">
        <v>357</v>
      </c>
      <c r="H724" s="1286" t="s">
        <v>357</v>
      </c>
      <c r="I724" s="718" t="s">
        <v>296</v>
      </c>
      <c r="J724" s="722"/>
      <c r="K724" s="1285" t="s">
        <v>366</v>
      </c>
      <c r="L724" s="1287"/>
      <c r="M724" s="1285" t="s">
        <v>366</v>
      </c>
      <c r="N724" s="1287"/>
      <c r="O724" s="1287"/>
    </row>
    <row r="725" spans="1:15" ht="13.5" thickBot="1">
      <c r="C725" s="724" t="s">
        <v>178</v>
      </c>
      <c r="D725" s="725" t="s">
        <v>179</v>
      </c>
      <c r="E725" s="724" t="s">
        <v>38</v>
      </c>
      <c r="F725" s="725" t="s">
        <v>179</v>
      </c>
      <c r="G725" s="1288" t="s">
        <v>299</v>
      </c>
      <c r="H725" s="1289" t="s">
        <v>301</v>
      </c>
      <c r="I725" s="728" t="s">
        <v>390</v>
      </c>
      <c r="J725" s="729"/>
      <c r="K725" s="1288" t="s">
        <v>288</v>
      </c>
      <c r="L725" s="1290"/>
      <c r="M725" s="1288" t="s">
        <v>301</v>
      </c>
      <c r="N725" s="1290"/>
      <c r="O725" s="1290"/>
    </row>
    <row r="726" spans="1:15">
      <c r="C726" s="730">
        <f>IF(D720= "","-",D720)</f>
        <v>2016</v>
      </c>
      <c r="D726" s="683">
        <f>+D719</f>
        <v>614742</v>
      </c>
      <c r="E726" s="1291">
        <f>+I723/12*(12-D721)</f>
        <v>6026.8823529411766</v>
      </c>
      <c r="F726" s="683">
        <f t="shared" ref="F726:F785" si="42">+D726-E726</f>
        <v>608715.1176470588</v>
      </c>
      <c r="G726" s="1292">
        <f>+$I$721*((D726+F726)/2)+E726</f>
        <v>70578.210234971004</v>
      </c>
      <c r="H726" s="1293">
        <f>+$I$722*((D726+F726)/2)+E726</f>
        <v>70578.210234971004</v>
      </c>
      <c r="I726" s="734">
        <f>+H726-G726</f>
        <v>0</v>
      </c>
      <c r="J726" s="734"/>
      <c r="K726" s="884">
        <v>149902</v>
      </c>
      <c r="L726" s="736"/>
      <c r="M726" s="884">
        <v>149902</v>
      </c>
      <c r="N726" s="736"/>
      <c r="O726" s="736"/>
    </row>
    <row r="727" spans="1:15">
      <c r="C727" s="730">
        <f>IF(D720="","-",+C726+1)</f>
        <v>2017</v>
      </c>
      <c r="D727" s="683">
        <f t="shared" ref="D727:D785" si="43">F726</f>
        <v>608715.1176470588</v>
      </c>
      <c r="E727" s="737">
        <f>IF(D727&gt;$I$723,$I$723,D727)</f>
        <v>12053.764705882353</v>
      </c>
      <c r="F727" s="683">
        <f t="shared" si="42"/>
        <v>596661.35294117639</v>
      </c>
      <c r="G727" s="1291">
        <f t="shared" ref="G727:G785" si="44">+$I$721*((D727+F727)/2)+E727</f>
        <v>75651.132077340299</v>
      </c>
      <c r="H727" s="1294">
        <f t="shared" ref="H727:H785" si="45">+$I$722*((D727+F727)/2)+E727</f>
        <v>75651.132077340299</v>
      </c>
      <c r="I727" s="734">
        <f t="shared" ref="I727:I785" si="46">+H727-G727</f>
        <v>0</v>
      </c>
      <c r="J727" s="734"/>
      <c r="K727" s="884">
        <v>92121</v>
      </c>
      <c r="L727" s="740"/>
      <c r="M727" s="884">
        <v>92121</v>
      </c>
      <c r="N727" s="740"/>
      <c r="O727" s="740"/>
    </row>
    <row r="728" spans="1:15">
      <c r="C728" s="1296">
        <f>IF(D720="","-",+C727+1)</f>
        <v>2018</v>
      </c>
      <c r="D728" s="1297">
        <f t="shared" si="43"/>
        <v>596661.35294117639</v>
      </c>
      <c r="E728" s="1298">
        <f t="shared" ref="E728:E785" si="47">IF(D728&gt;$I$723,$I$723,D728)</f>
        <v>12053.764705882353</v>
      </c>
      <c r="F728" s="1297">
        <f t="shared" si="42"/>
        <v>584607.58823529398</v>
      </c>
      <c r="G728" s="1299">
        <f t="shared" si="44"/>
        <v>74379.18472991114</v>
      </c>
      <c r="H728" s="1300">
        <f t="shared" si="45"/>
        <v>74379.18472991114</v>
      </c>
      <c r="I728" s="1301">
        <f t="shared" si="46"/>
        <v>0</v>
      </c>
      <c r="J728" s="734"/>
      <c r="K728" s="884"/>
      <c r="L728" s="740"/>
      <c r="M728" s="884"/>
      <c r="N728" s="740"/>
      <c r="O728" s="740"/>
    </row>
    <row r="729" spans="1:15">
      <c r="C729" s="730">
        <f>IF(D720="","-",+C728+1)</f>
        <v>2019</v>
      </c>
      <c r="D729" s="683">
        <f t="shared" si="43"/>
        <v>584607.58823529398</v>
      </c>
      <c r="E729" s="737">
        <f t="shared" si="47"/>
        <v>12053.764705882353</v>
      </c>
      <c r="F729" s="683">
        <f t="shared" si="42"/>
        <v>572553.82352941157</v>
      </c>
      <c r="G729" s="1291">
        <f t="shared" si="44"/>
        <v>73107.237382481966</v>
      </c>
      <c r="H729" s="1294">
        <f t="shared" si="45"/>
        <v>73107.237382481966</v>
      </c>
      <c r="I729" s="734">
        <f t="shared" si="46"/>
        <v>0</v>
      </c>
      <c r="J729" s="734"/>
      <c r="K729" s="884"/>
      <c r="L729" s="740"/>
      <c r="M729" s="884"/>
      <c r="N729" s="740"/>
      <c r="O729" s="740"/>
    </row>
    <row r="730" spans="1:15">
      <c r="C730" s="730">
        <f>IF(D720="","-",+C729+1)</f>
        <v>2020</v>
      </c>
      <c r="D730" s="683">
        <f t="shared" si="43"/>
        <v>572553.82352941157</v>
      </c>
      <c r="E730" s="737">
        <f t="shared" si="47"/>
        <v>12053.764705882353</v>
      </c>
      <c r="F730" s="683">
        <f t="shared" si="42"/>
        <v>560500.05882352917</v>
      </c>
      <c r="G730" s="1291">
        <f t="shared" si="44"/>
        <v>71835.290035052807</v>
      </c>
      <c r="H730" s="1294">
        <f t="shared" si="45"/>
        <v>71835.290035052807</v>
      </c>
      <c r="I730" s="734">
        <f t="shared" si="46"/>
        <v>0</v>
      </c>
      <c r="J730" s="734"/>
      <c r="K730" s="884"/>
      <c r="L730" s="740"/>
      <c r="M730" s="884"/>
      <c r="N730" s="740"/>
      <c r="O730" s="740"/>
    </row>
    <row r="731" spans="1:15">
      <c r="C731" s="730">
        <f>IF(D720="","-",+C730+1)</f>
        <v>2021</v>
      </c>
      <c r="D731" s="683">
        <f t="shared" si="43"/>
        <v>560500.05882352917</v>
      </c>
      <c r="E731" s="737">
        <f t="shared" si="47"/>
        <v>12053.764705882353</v>
      </c>
      <c r="F731" s="683">
        <f t="shared" si="42"/>
        <v>548446.29411764676</v>
      </c>
      <c r="G731" s="1291">
        <f t="shared" si="44"/>
        <v>70563.342687623648</v>
      </c>
      <c r="H731" s="1294">
        <f t="shared" si="45"/>
        <v>70563.342687623648</v>
      </c>
      <c r="I731" s="734">
        <f t="shared" si="46"/>
        <v>0</v>
      </c>
      <c r="J731" s="734"/>
      <c r="K731" s="884"/>
      <c r="L731" s="740"/>
      <c r="M731" s="884"/>
      <c r="N731" s="740"/>
      <c r="O731" s="740"/>
    </row>
    <row r="732" spans="1:15">
      <c r="C732" s="730">
        <f>IF(D720="","-",+C731+1)</f>
        <v>2022</v>
      </c>
      <c r="D732" s="683">
        <f t="shared" si="43"/>
        <v>548446.29411764676</v>
      </c>
      <c r="E732" s="737">
        <f t="shared" si="47"/>
        <v>12053.764705882353</v>
      </c>
      <c r="F732" s="683">
        <f t="shared" si="42"/>
        <v>536392.52941176435</v>
      </c>
      <c r="G732" s="1291">
        <f t="shared" si="44"/>
        <v>69291.395340194475</v>
      </c>
      <c r="H732" s="1294">
        <f t="shared" si="45"/>
        <v>69291.395340194475</v>
      </c>
      <c r="I732" s="734">
        <f t="shared" si="46"/>
        <v>0</v>
      </c>
      <c r="J732" s="734"/>
      <c r="K732" s="884"/>
      <c r="L732" s="740"/>
      <c r="M732" s="884"/>
      <c r="N732" s="740"/>
      <c r="O732" s="740"/>
    </row>
    <row r="733" spans="1:15">
      <c r="C733" s="730">
        <f>IF(D720="","-",+C732+1)</f>
        <v>2023</v>
      </c>
      <c r="D733" s="683">
        <f t="shared" si="43"/>
        <v>536392.52941176435</v>
      </c>
      <c r="E733" s="737">
        <f t="shared" si="47"/>
        <v>12053.764705882353</v>
      </c>
      <c r="F733" s="683">
        <f t="shared" si="42"/>
        <v>524338.76470588194</v>
      </c>
      <c r="G733" s="1291">
        <f t="shared" si="44"/>
        <v>68019.447992765316</v>
      </c>
      <c r="H733" s="1294">
        <f t="shared" si="45"/>
        <v>68019.447992765316</v>
      </c>
      <c r="I733" s="734">
        <f t="shared" si="46"/>
        <v>0</v>
      </c>
      <c r="J733" s="734"/>
      <c r="K733" s="884"/>
      <c r="L733" s="740"/>
      <c r="M733" s="884"/>
      <c r="N733" s="740"/>
      <c r="O733" s="740"/>
    </row>
    <row r="734" spans="1:15">
      <c r="C734" s="730">
        <f>IF(D720="","-",+C733+1)</f>
        <v>2024</v>
      </c>
      <c r="D734" s="683">
        <f t="shared" si="43"/>
        <v>524338.76470588194</v>
      </c>
      <c r="E734" s="737">
        <f t="shared" si="47"/>
        <v>12053.764705882353</v>
      </c>
      <c r="F734" s="683">
        <f t="shared" si="42"/>
        <v>512284.99999999959</v>
      </c>
      <c r="G734" s="1291">
        <f t="shared" si="44"/>
        <v>66747.500645336142</v>
      </c>
      <c r="H734" s="1294">
        <f t="shared" si="45"/>
        <v>66747.500645336142</v>
      </c>
      <c r="I734" s="734">
        <f t="shared" si="46"/>
        <v>0</v>
      </c>
      <c r="J734" s="734"/>
      <c r="K734" s="884"/>
      <c r="L734" s="740"/>
      <c r="M734" s="884"/>
      <c r="N734" s="740"/>
      <c r="O734" s="740"/>
    </row>
    <row r="735" spans="1:15">
      <c r="C735" s="730">
        <f>IF(D720="","-",+C734+1)</f>
        <v>2025</v>
      </c>
      <c r="D735" s="683">
        <f t="shared" si="43"/>
        <v>512284.99999999959</v>
      </c>
      <c r="E735" s="737">
        <f t="shared" si="47"/>
        <v>12053.764705882353</v>
      </c>
      <c r="F735" s="683">
        <f t="shared" si="42"/>
        <v>500231.23529411724</v>
      </c>
      <c r="G735" s="1291">
        <f t="shared" si="44"/>
        <v>65475.553297906998</v>
      </c>
      <c r="H735" s="1294">
        <f t="shared" si="45"/>
        <v>65475.553297906998</v>
      </c>
      <c r="I735" s="734">
        <f t="shared" si="46"/>
        <v>0</v>
      </c>
      <c r="J735" s="734"/>
      <c r="K735" s="884"/>
      <c r="L735" s="740"/>
      <c r="M735" s="884"/>
      <c r="N735" s="740"/>
      <c r="O735" s="740"/>
    </row>
    <row r="736" spans="1:15">
      <c r="C736" s="730">
        <f>IF(D720="","-",+C735+1)</f>
        <v>2026</v>
      </c>
      <c r="D736" s="683">
        <f t="shared" si="43"/>
        <v>500231.23529411724</v>
      </c>
      <c r="E736" s="737">
        <f t="shared" si="47"/>
        <v>12053.764705882353</v>
      </c>
      <c r="F736" s="683">
        <f t="shared" si="42"/>
        <v>488177.47058823489</v>
      </c>
      <c r="G736" s="1291">
        <f t="shared" si="44"/>
        <v>64203.605950477824</v>
      </c>
      <c r="H736" s="1294">
        <f t="shared" si="45"/>
        <v>64203.605950477824</v>
      </c>
      <c r="I736" s="734">
        <f t="shared" si="46"/>
        <v>0</v>
      </c>
      <c r="J736" s="734"/>
      <c r="K736" s="884"/>
      <c r="L736" s="740"/>
      <c r="M736" s="884"/>
      <c r="N736" s="740"/>
      <c r="O736" s="740"/>
    </row>
    <row r="737" spans="3:15">
      <c r="C737" s="730">
        <f>IF(D720="","-",+C736+1)</f>
        <v>2027</v>
      </c>
      <c r="D737" s="683">
        <f t="shared" si="43"/>
        <v>488177.47058823489</v>
      </c>
      <c r="E737" s="737">
        <f t="shared" si="47"/>
        <v>12053.764705882353</v>
      </c>
      <c r="F737" s="683">
        <f t="shared" si="42"/>
        <v>476123.70588235254</v>
      </c>
      <c r="G737" s="1291">
        <f t="shared" si="44"/>
        <v>62931.65860304868</v>
      </c>
      <c r="H737" s="1294">
        <f t="shared" si="45"/>
        <v>62931.65860304868</v>
      </c>
      <c r="I737" s="734">
        <f t="shared" si="46"/>
        <v>0</v>
      </c>
      <c r="J737" s="734"/>
      <c r="K737" s="884"/>
      <c r="L737" s="740"/>
      <c r="M737" s="884"/>
      <c r="N737" s="740"/>
      <c r="O737" s="740"/>
    </row>
    <row r="738" spans="3:15">
      <c r="C738" s="730">
        <f>IF(D720="","-",+C737+1)</f>
        <v>2028</v>
      </c>
      <c r="D738" s="683">
        <f t="shared" si="43"/>
        <v>476123.70588235254</v>
      </c>
      <c r="E738" s="737">
        <f t="shared" si="47"/>
        <v>12053.764705882353</v>
      </c>
      <c r="F738" s="683">
        <f t="shared" si="42"/>
        <v>464069.94117647019</v>
      </c>
      <c r="G738" s="1291">
        <f t="shared" si="44"/>
        <v>61659.711255619506</v>
      </c>
      <c r="H738" s="1294">
        <f t="shared" si="45"/>
        <v>61659.711255619506</v>
      </c>
      <c r="I738" s="734">
        <f t="shared" si="46"/>
        <v>0</v>
      </c>
      <c r="J738" s="734"/>
      <c r="K738" s="884"/>
      <c r="L738" s="740"/>
      <c r="M738" s="884"/>
      <c r="N738" s="740"/>
      <c r="O738" s="740"/>
    </row>
    <row r="739" spans="3:15">
      <c r="C739" s="730">
        <f>IF(D720="","-",+C738+1)</f>
        <v>2029</v>
      </c>
      <c r="D739" s="683">
        <f t="shared" si="43"/>
        <v>464069.94117647019</v>
      </c>
      <c r="E739" s="737">
        <f t="shared" si="47"/>
        <v>12053.764705882353</v>
      </c>
      <c r="F739" s="683">
        <f t="shared" si="42"/>
        <v>452016.17647058784</v>
      </c>
      <c r="G739" s="1291">
        <f t="shared" si="44"/>
        <v>60387.763908190362</v>
      </c>
      <c r="H739" s="1294">
        <f t="shared" si="45"/>
        <v>60387.763908190362</v>
      </c>
      <c r="I739" s="734">
        <f t="shared" si="46"/>
        <v>0</v>
      </c>
      <c r="J739" s="734"/>
      <c r="K739" s="884"/>
      <c r="L739" s="740"/>
      <c r="M739" s="884"/>
      <c r="N739" s="740"/>
      <c r="O739" s="740"/>
    </row>
    <row r="740" spans="3:15">
      <c r="C740" s="730">
        <f>IF(D720="","-",+C739+1)</f>
        <v>2030</v>
      </c>
      <c r="D740" s="683">
        <f t="shared" si="43"/>
        <v>452016.17647058784</v>
      </c>
      <c r="E740" s="737">
        <f t="shared" si="47"/>
        <v>12053.764705882353</v>
      </c>
      <c r="F740" s="683">
        <f t="shared" si="42"/>
        <v>439962.4117647055</v>
      </c>
      <c r="G740" s="1291">
        <f t="shared" si="44"/>
        <v>59115.816560761188</v>
      </c>
      <c r="H740" s="1294">
        <f t="shared" si="45"/>
        <v>59115.816560761188</v>
      </c>
      <c r="I740" s="734">
        <f t="shared" si="46"/>
        <v>0</v>
      </c>
      <c r="J740" s="734"/>
      <c r="K740" s="884"/>
      <c r="L740" s="740"/>
      <c r="M740" s="884"/>
      <c r="N740" s="740"/>
      <c r="O740" s="740"/>
    </row>
    <row r="741" spans="3:15">
      <c r="C741" s="730">
        <f>IF(D720="","-",+C740+1)</f>
        <v>2031</v>
      </c>
      <c r="D741" s="683">
        <f t="shared" si="43"/>
        <v>439962.4117647055</v>
      </c>
      <c r="E741" s="737">
        <f t="shared" si="47"/>
        <v>12053.764705882353</v>
      </c>
      <c r="F741" s="683">
        <f t="shared" si="42"/>
        <v>427908.64705882315</v>
      </c>
      <c r="G741" s="1291">
        <f t="shared" si="44"/>
        <v>57843.869213332044</v>
      </c>
      <c r="H741" s="1294">
        <f t="shared" si="45"/>
        <v>57843.869213332044</v>
      </c>
      <c r="I741" s="734">
        <f t="shared" si="46"/>
        <v>0</v>
      </c>
      <c r="J741" s="734"/>
      <c r="K741" s="884"/>
      <c r="L741" s="740"/>
      <c r="M741" s="884"/>
      <c r="N741" s="740"/>
      <c r="O741" s="740"/>
    </row>
    <row r="742" spans="3:15">
      <c r="C742" s="730">
        <f>IF(D720="","-",+C741+1)</f>
        <v>2032</v>
      </c>
      <c r="D742" s="683">
        <f t="shared" si="43"/>
        <v>427908.64705882315</v>
      </c>
      <c r="E742" s="737">
        <f t="shared" si="47"/>
        <v>12053.764705882353</v>
      </c>
      <c r="F742" s="683">
        <f t="shared" si="42"/>
        <v>415854.8823529408</v>
      </c>
      <c r="G742" s="1291">
        <f t="shared" si="44"/>
        <v>56571.92186590287</v>
      </c>
      <c r="H742" s="1294">
        <f t="shared" si="45"/>
        <v>56571.92186590287</v>
      </c>
      <c r="I742" s="734">
        <f t="shared" si="46"/>
        <v>0</v>
      </c>
      <c r="J742" s="734"/>
      <c r="K742" s="884"/>
      <c r="L742" s="740"/>
      <c r="M742" s="884"/>
      <c r="N742" s="740"/>
      <c r="O742" s="740"/>
    </row>
    <row r="743" spans="3:15">
      <c r="C743" s="730">
        <f>IF(D720="","-",+C742+1)</f>
        <v>2033</v>
      </c>
      <c r="D743" s="683">
        <f t="shared" si="43"/>
        <v>415854.8823529408</v>
      </c>
      <c r="E743" s="737">
        <f t="shared" si="47"/>
        <v>12053.764705882353</v>
      </c>
      <c r="F743" s="683">
        <f t="shared" si="42"/>
        <v>403801.11764705845</v>
      </c>
      <c r="G743" s="1291">
        <f t="shared" si="44"/>
        <v>55299.974518473726</v>
      </c>
      <c r="H743" s="1294">
        <f t="shared" si="45"/>
        <v>55299.974518473726</v>
      </c>
      <c r="I743" s="734">
        <f t="shared" si="46"/>
        <v>0</v>
      </c>
      <c r="J743" s="734"/>
      <c r="K743" s="884"/>
      <c r="L743" s="740"/>
      <c r="M743" s="884"/>
      <c r="N743" s="740"/>
      <c r="O743" s="740"/>
    </row>
    <row r="744" spans="3:15">
      <c r="C744" s="730">
        <f>IF(D720="","-",+C743+1)</f>
        <v>2034</v>
      </c>
      <c r="D744" s="683">
        <f t="shared" si="43"/>
        <v>403801.11764705845</v>
      </c>
      <c r="E744" s="737">
        <f t="shared" si="47"/>
        <v>12053.764705882353</v>
      </c>
      <c r="F744" s="683">
        <f t="shared" si="42"/>
        <v>391747.3529411761</v>
      </c>
      <c r="G744" s="1291">
        <f t="shared" si="44"/>
        <v>54028.027171044567</v>
      </c>
      <c r="H744" s="1294">
        <f t="shared" si="45"/>
        <v>54028.027171044567</v>
      </c>
      <c r="I744" s="734">
        <f t="shared" si="46"/>
        <v>0</v>
      </c>
      <c r="J744" s="734"/>
      <c r="K744" s="884"/>
      <c r="L744" s="740"/>
      <c r="M744" s="884"/>
      <c r="N744" s="740"/>
      <c r="O744" s="740"/>
    </row>
    <row r="745" spans="3:15">
      <c r="C745" s="730">
        <f>IF(D720="","-",+C744+1)</f>
        <v>2035</v>
      </c>
      <c r="D745" s="683">
        <f t="shared" si="43"/>
        <v>391747.3529411761</v>
      </c>
      <c r="E745" s="737">
        <f t="shared" si="47"/>
        <v>12053.764705882353</v>
      </c>
      <c r="F745" s="683">
        <f t="shared" si="42"/>
        <v>379693.58823529375</v>
      </c>
      <c r="G745" s="1291">
        <f t="shared" si="44"/>
        <v>52756.079823615408</v>
      </c>
      <c r="H745" s="1294">
        <f t="shared" si="45"/>
        <v>52756.079823615408</v>
      </c>
      <c r="I745" s="734">
        <f t="shared" si="46"/>
        <v>0</v>
      </c>
      <c r="J745" s="734"/>
      <c r="K745" s="884"/>
      <c r="L745" s="740"/>
      <c r="M745" s="884"/>
      <c r="N745" s="740"/>
      <c r="O745" s="740"/>
    </row>
    <row r="746" spans="3:15">
      <c r="C746" s="730">
        <f>IF(D720="","-",+C745+1)</f>
        <v>2036</v>
      </c>
      <c r="D746" s="683">
        <f t="shared" si="43"/>
        <v>379693.58823529375</v>
      </c>
      <c r="E746" s="737">
        <f t="shared" si="47"/>
        <v>12053.764705882353</v>
      </c>
      <c r="F746" s="683">
        <f t="shared" si="42"/>
        <v>367639.8235294114</v>
      </c>
      <c r="G746" s="1291">
        <f t="shared" si="44"/>
        <v>51484.132476186249</v>
      </c>
      <c r="H746" s="1294">
        <f t="shared" si="45"/>
        <v>51484.132476186249</v>
      </c>
      <c r="I746" s="734">
        <f t="shared" si="46"/>
        <v>0</v>
      </c>
      <c r="J746" s="734"/>
      <c r="K746" s="884"/>
      <c r="L746" s="740"/>
      <c r="M746" s="884"/>
      <c r="N746" s="740"/>
      <c r="O746" s="740"/>
    </row>
    <row r="747" spans="3:15">
      <c r="C747" s="730">
        <f>IF(D720="","-",+C746+1)</f>
        <v>2037</v>
      </c>
      <c r="D747" s="683">
        <f t="shared" si="43"/>
        <v>367639.8235294114</v>
      </c>
      <c r="E747" s="737">
        <f t="shared" si="47"/>
        <v>12053.764705882353</v>
      </c>
      <c r="F747" s="683">
        <f t="shared" si="42"/>
        <v>355586.05882352905</v>
      </c>
      <c r="G747" s="1291">
        <f t="shared" si="44"/>
        <v>50212.18512875709</v>
      </c>
      <c r="H747" s="1294">
        <f t="shared" si="45"/>
        <v>50212.18512875709</v>
      </c>
      <c r="I747" s="734">
        <f t="shared" si="46"/>
        <v>0</v>
      </c>
      <c r="J747" s="734"/>
      <c r="K747" s="884"/>
      <c r="L747" s="740"/>
      <c r="M747" s="884"/>
      <c r="N747" s="740"/>
      <c r="O747" s="740"/>
    </row>
    <row r="748" spans="3:15">
      <c r="C748" s="730">
        <f>IF(D720="","-",+C747+1)</f>
        <v>2038</v>
      </c>
      <c r="D748" s="683">
        <f t="shared" si="43"/>
        <v>355586.05882352905</v>
      </c>
      <c r="E748" s="737">
        <f t="shared" si="47"/>
        <v>12053.764705882353</v>
      </c>
      <c r="F748" s="683">
        <f t="shared" si="42"/>
        <v>343532.2941176467</v>
      </c>
      <c r="G748" s="1291">
        <f t="shared" si="44"/>
        <v>48940.237781327931</v>
      </c>
      <c r="H748" s="1294">
        <f t="shared" si="45"/>
        <v>48940.237781327931</v>
      </c>
      <c r="I748" s="734">
        <f t="shared" si="46"/>
        <v>0</v>
      </c>
      <c r="J748" s="734"/>
      <c r="K748" s="884"/>
      <c r="L748" s="740"/>
      <c r="M748" s="884"/>
      <c r="N748" s="740"/>
      <c r="O748" s="740"/>
    </row>
    <row r="749" spans="3:15">
      <c r="C749" s="730">
        <f>IF(D720="","-",+C748+1)</f>
        <v>2039</v>
      </c>
      <c r="D749" s="683">
        <f t="shared" si="43"/>
        <v>343532.2941176467</v>
      </c>
      <c r="E749" s="737">
        <f t="shared" si="47"/>
        <v>12053.764705882353</v>
      </c>
      <c r="F749" s="683">
        <f t="shared" si="42"/>
        <v>331478.52941176435</v>
      </c>
      <c r="G749" s="1291">
        <f t="shared" si="44"/>
        <v>47668.290433898772</v>
      </c>
      <c r="H749" s="1294">
        <f t="shared" si="45"/>
        <v>47668.290433898772</v>
      </c>
      <c r="I749" s="734">
        <f t="shared" si="46"/>
        <v>0</v>
      </c>
      <c r="J749" s="734"/>
      <c r="K749" s="884"/>
      <c r="L749" s="740"/>
      <c r="M749" s="884"/>
      <c r="N749" s="740"/>
      <c r="O749" s="740"/>
    </row>
    <row r="750" spans="3:15">
      <c r="C750" s="730">
        <f>IF(D720="","-",+C749+1)</f>
        <v>2040</v>
      </c>
      <c r="D750" s="683">
        <f t="shared" si="43"/>
        <v>331478.52941176435</v>
      </c>
      <c r="E750" s="737">
        <f t="shared" si="47"/>
        <v>12053.764705882353</v>
      </c>
      <c r="F750" s="683">
        <f t="shared" si="42"/>
        <v>319424.764705882</v>
      </c>
      <c r="G750" s="1291">
        <f t="shared" si="44"/>
        <v>46396.343086469613</v>
      </c>
      <c r="H750" s="1294">
        <f t="shared" si="45"/>
        <v>46396.343086469613</v>
      </c>
      <c r="I750" s="734">
        <f t="shared" si="46"/>
        <v>0</v>
      </c>
      <c r="J750" s="734"/>
      <c r="K750" s="884"/>
      <c r="L750" s="740"/>
      <c r="M750" s="884"/>
      <c r="N750" s="740"/>
      <c r="O750" s="740"/>
    </row>
    <row r="751" spans="3:15">
      <c r="C751" s="730">
        <f>IF(D720="","-",+C750+1)</f>
        <v>2041</v>
      </c>
      <c r="D751" s="683">
        <f t="shared" si="43"/>
        <v>319424.764705882</v>
      </c>
      <c r="E751" s="737">
        <f t="shared" si="47"/>
        <v>12053.764705882353</v>
      </c>
      <c r="F751" s="683">
        <f t="shared" si="42"/>
        <v>307370.99999999965</v>
      </c>
      <c r="G751" s="1291">
        <f t="shared" si="44"/>
        <v>45124.395739040454</v>
      </c>
      <c r="H751" s="1294">
        <f t="shared" si="45"/>
        <v>45124.395739040454</v>
      </c>
      <c r="I751" s="734">
        <f t="shared" si="46"/>
        <v>0</v>
      </c>
      <c r="J751" s="734"/>
      <c r="K751" s="884"/>
      <c r="L751" s="740"/>
      <c r="M751" s="884"/>
      <c r="N751" s="740"/>
      <c r="O751" s="740"/>
    </row>
    <row r="752" spans="3:15">
      <c r="C752" s="730">
        <f>IF(D720="","-",+C751+1)</f>
        <v>2042</v>
      </c>
      <c r="D752" s="683">
        <f t="shared" si="43"/>
        <v>307370.99999999965</v>
      </c>
      <c r="E752" s="737">
        <f t="shared" si="47"/>
        <v>12053.764705882353</v>
      </c>
      <c r="F752" s="683">
        <f t="shared" si="42"/>
        <v>295317.2352941173</v>
      </c>
      <c r="G752" s="1291">
        <f t="shared" si="44"/>
        <v>43852.448391611295</v>
      </c>
      <c r="H752" s="1294">
        <f t="shared" si="45"/>
        <v>43852.448391611295</v>
      </c>
      <c r="I752" s="734">
        <f t="shared" si="46"/>
        <v>0</v>
      </c>
      <c r="J752" s="734"/>
      <c r="K752" s="884"/>
      <c r="L752" s="740"/>
      <c r="M752" s="884"/>
      <c r="N752" s="740"/>
      <c r="O752" s="740"/>
    </row>
    <row r="753" spans="3:15">
      <c r="C753" s="730">
        <f>IF(D720="","-",+C752+1)</f>
        <v>2043</v>
      </c>
      <c r="D753" s="683">
        <f t="shared" si="43"/>
        <v>295317.2352941173</v>
      </c>
      <c r="E753" s="737">
        <f t="shared" si="47"/>
        <v>12053.764705882353</v>
      </c>
      <c r="F753" s="683">
        <f t="shared" si="42"/>
        <v>283263.47058823495</v>
      </c>
      <c r="G753" s="1291">
        <f t="shared" si="44"/>
        <v>42580.501044182136</v>
      </c>
      <c r="H753" s="1294">
        <f t="shared" si="45"/>
        <v>42580.501044182136</v>
      </c>
      <c r="I753" s="734">
        <f t="shared" si="46"/>
        <v>0</v>
      </c>
      <c r="J753" s="734"/>
      <c r="K753" s="884"/>
      <c r="L753" s="740"/>
      <c r="M753" s="884"/>
      <c r="N753" s="740"/>
      <c r="O753" s="740"/>
    </row>
    <row r="754" spans="3:15">
      <c r="C754" s="730">
        <f>IF(D720="","-",+C753+1)</f>
        <v>2044</v>
      </c>
      <c r="D754" s="683">
        <f t="shared" si="43"/>
        <v>283263.47058823495</v>
      </c>
      <c r="E754" s="737">
        <f t="shared" si="47"/>
        <v>12053.764705882353</v>
      </c>
      <c r="F754" s="683">
        <f t="shared" si="42"/>
        <v>271209.7058823526</v>
      </c>
      <c r="G754" s="1302">
        <f t="shared" si="44"/>
        <v>41308.553696752977</v>
      </c>
      <c r="H754" s="1294">
        <f t="shared" si="45"/>
        <v>41308.553696752977</v>
      </c>
      <c r="I754" s="734">
        <f t="shared" si="46"/>
        <v>0</v>
      </c>
      <c r="J754" s="734"/>
      <c r="K754" s="884"/>
      <c r="L754" s="740"/>
      <c r="M754" s="884"/>
      <c r="N754" s="740"/>
      <c r="O754" s="740"/>
    </row>
    <row r="755" spans="3:15">
      <c r="C755" s="730">
        <f>IF(D720="","-",+C754+1)</f>
        <v>2045</v>
      </c>
      <c r="D755" s="683">
        <f t="shared" si="43"/>
        <v>271209.7058823526</v>
      </c>
      <c r="E755" s="737">
        <f t="shared" si="47"/>
        <v>12053.764705882353</v>
      </c>
      <c r="F755" s="683">
        <f t="shared" si="42"/>
        <v>259155.94117647025</v>
      </c>
      <c r="G755" s="1291">
        <f t="shared" si="44"/>
        <v>40036.606349323818</v>
      </c>
      <c r="H755" s="1294">
        <f t="shared" si="45"/>
        <v>40036.606349323818</v>
      </c>
      <c r="I755" s="734">
        <f t="shared" si="46"/>
        <v>0</v>
      </c>
      <c r="J755" s="734"/>
      <c r="K755" s="884"/>
      <c r="L755" s="740"/>
      <c r="M755" s="884"/>
      <c r="N755" s="740"/>
      <c r="O755" s="740"/>
    </row>
    <row r="756" spans="3:15">
      <c r="C756" s="730">
        <f>IF(D720="","-",+C755+1)</f>
        <v>2046</v>
      </c>
      <c r="D756" s="683">
        <f t="shared" si="43"/>
        <v>259155.94117647025</v>
      </c>
      <c r="E756" s="737">
        <f t="shared" si="47"/>
        <v>12053.764705882353</v>
      </c>
      <c r="F756" s="683">
        <f t="shared" si="42"/>
        <v>247102.1764705879</v>
      </c>
      <c r="G756" s="1291">
        <f t="shared" si="44"/>
        <v>38764.659001894659</v>
      </c>
      <c r="H756" s="1294">
        <f t="shared" si="45"/>
        <v>38764.659001894659</v>
      </c>
      <c r="I756" s="734">
        <f t="shared" si="46"/>
        <v>0</v>
      </c>
      <c r="J756" s="734"/>
      <c r="K756" s="884"/>
      <c r="L756" s="740"/>
      <c r="M756" s="884"/>
      <c r="N756" s="740"/>
      <c r="O756" s="740"/>
    </row>
    <row r="757" spans="3:15">
      <c r="C757" s="730">
        <f>IF(D720="","-",+C756+1)</f>
        <v>2047</v>
      </c>
      <c r="D757" s="683">
        <f t="shared" si="43"/>
        <v>247102.1764705879</v>
      </c>
      <c r="E757" s="737">
        <f t="shared" si="47"/>
        <v>12053.764705882353</v>
      </c>
      <c r="F757" s="683">
        <f t="shared" si="42"/>
        <v>235048.41176470555</v>
      </c>
      <c r="G757" s="1291">
        <f t="shared" si="44"/>
        <v>37492.7116544655</v>
      </c>
      <c r="H757" s="1294">
        <f t="shared" si="45"/>
        <v>37492.7116544655</v>
      </c>
      <c r="I757" s="734">
        <f t="shared" si="46"/>
        <v>0</v>
      </c>
      <c r="J757" s="734"/>
      <c r="K757" s="884"/>
      <c r="L757" s="740"/>
      <c r="M757" s="884"/>
      <c r="N757" s="740"/>
      <c r="O757" s="740"/>
    </row>
    <row r="758" spans="3:15">
      <c r="C758" s="730">
        <f>IF(D720="","-",+C757+1)</f>
        <v>2048</v>
      </c>
      <c r="D758" s="683">
        <f t="shared" si="43"/>
        <v>235048.41176470555</v>
      </c>
      <c r="E758" s="737">
        <f t="shared" si="47"/>
        <v>12053.764705882353</v>
      </c>
      <c r="F758" s="683">
        <f t="shared" si="42"/>
        <v>222994.6470588232</v>
      </c>
      <c r="G758" s="1291">
        <f t="shared" si="44"/>
        <v>36220.764307036341</v>
      </c>
      <c r="H758" s="1294">
        <f t="shared" si="45"/>
        <v>36220.764307036341</v>
      </c>
      <c r="I758" s="734">
        <f t="shared" si="46"/>
        <v>0</v>
      </c>
      <c r="J758" s="734"/>
      <c r="K758" s="884"/>
      <c r="L758" s="740"/>
      <c r="M758" s="884"/>
      <c r="N758" s="740"/>
      <c r="O758" s="740"/>
    </row>
    <row r="759" spans="3:15">
      <c r="C759" s="730">
        <f>IF(D720="","-",+C758+1)</f>
        <v>2049</v>
      </c>
      <c r="D759" s="683">
        <f t="shared" si="43"/>
        <v>222994.6470588232</v>
      </c>
      <c r="E759" s="737">
        <f t="shared" si="47"/>
        <v>12053.764705882353</v>
      </c>
      <c r="F759" s="683">
        <f t="shared" si="42"/>
        <v>210940.88235294085</v>
      </c>
      <c r="G759" s="1291">
        <f t="shared" si="44"/>
        <v>34948.816959607182</v>
      </c>
      <c r="H759" s="1294">
        <f t="shared" si="45"/>
        <v>34948.816959607182</v>
      </c>
      <c r="I759" s="734">
        <f t="shared" si="46"/>
        <v>0</v>
      </c>
      <c r="J759" s="734"/>
      <c r="K759" s="884"/>
      <c r="L759" s="740"/>
      <c r="M759" s="884"/>
      <c r="N759" s="740"/>
      <c r="O759" s="740"/>
    </row>
    <row r="760" spans="3:15">
      <c r="C760" s="730">
        <f>IF(D720="","-",+C759+1)</f>
        <v>2050</v>
      </c>
      <c r="D760" s="683">
        <f t="shared" si="43"/>
        <v>210940.88235294085</v>
      </c>
      <c r="E760" s="737">
        <f t="shared" si="47"/>
        <v>12053.764705882353</v>
      </c>
      <c r="F760" s="683">
        <f t="shared" si="42"/>
        <v>198887.11764705851</v>
      </c>
      <c r="G760" s="1291">
        <f t="shared" si="44"/>
        <v>33676.869612178023</v>
      </c>
      <c r="H760" s="1294">
        <f t="shared" si="45"/>
        <v>33676.869612178023</v>
      </c>
      <c r="I760" s="734">
        <f t="shared" si="46"/>
        <v>0</v>
      </c>
      <c r="J760" s="734"/>
      <c r="K760" s="884"/>
      <c r="L760" s="740"/>
      <c r="M760" s="884"/>
      <c r="N760" s="740"/>
      <c r="O760" s="740"/>
    </row>
    <row r="761" spans="3:15">
      <c r="C761" s="730">
        <f>IF(D720="","-",+C760+1)</f>
        <v>2051</v>
      </c>
      <c r="D761" s="683">
        <f t="shared" si="43"/>
        <v>198887.11764705851</v>
      </c>
      <c r="E761" s="737">
        <f t="shared" si="47"/>
        <v>12053.764705882353</v>
      </c>
      <c r="F761" s="683">
        <f t="shared" si="42"/>
        <v>186833.35294117616</v>
      </c>
      <c r="G761" s="1291">
        <f t="shared" si="44"/>
        <v>32404.922264748864</v>
      </c>
      <c r="H761" s="1294">
        <f t="shared" si="45"/>
        <v>32404.922264748864</v>
      </c>
      <c r="I761" s="734">
        <f t="shared" si="46"/>
        <v>0</v>
      </c>
      <c r="J761" s="734"/>
      <c r="K761" s="884"/>
      <c r="L761" s="740"/>
      <c r="M761" s="884"/>
      <c r="N761" s="740"/>
      <c r="O761" s="740"/>
    </row>
    <row r="762" spans="3:15">
      <c r="C762" s="730">
        <f>IF(D720="","-",+C761+1)</f>
        <v>2052</v>
      </c>
      <c r="D762" s="683">
        <f t="shared" si="43"/>
        <v>186833.35294117616</v>
      </c>
      <c r="E762" s="737">
        <f t="shared" si="47"/>
        <v>12053.764705882353</v>
      </c>
      <c r="F762" s="683">
        <f t="shared" si="42"/>
        <v>174779.58823529381</v>
      </c>
      <c r="G762" s="1291">
        <f t="shared" si="44"/>
        <v>31132.974917319705</v>
      </c>
      <c r="H762" s="1294">
        <f t="shared" si="45"/>
        <v>31132.974917319705</v>
      </c>
      <c r="I762" s="734">
        <f t="shared" si="46"/>
        <v>0</v>
      </c>
      <c r="J762" s="734"/>
      <c r="K762" s="884"/>
      <c r="L762" s="740"/>
      <c r="M762" s="884"/>
      <c r="N762" s="740"/>
      <c r="O762" s="740"/>
    </row>
    <row r="763" spans="3:15">
      <c r="C763" s="730">
        <f>IF(D720="","-",+C762+1)</f>
        <v>2053</v>
      </c>
      <c r="D763" s="683">
        <f t="shared" si="43"/>
        <v>174779.58823529381</v>
      </c>
      <c r="E763" s="737">
        <f t="shared" si="47"/>
        <v>12053.764705882353</v>
      </c>
      <c r="F763" s="683">
        <f t="shared" si="42"/>
        <v>162725.82352941146</v>
      </c>
      <c r="G763" s="1291">
        <f t="shared" si="44"/>
        <v>29861.027569890546</v>
      </c>
      <c r="H763" s="1294">
        <f t="shared" si="45"/>
        <v>29861.027569890546</v>
      </c>
      <c r="I763" s="734">
        <f t="shared" si="46"/>
        <v>0</v>
      </c>
      <c r="J763" s="734"/>
      <c r="K763" s="884"/>
      <c r="L763" s="740"/>
      <c r="M763" s="884"/>
      <c r="N763" s="740"/>
      <c r="O763" s="740"/>
    </row>
    <row r="764" spans="3:15">
      <c r="C764" s="730">
        <f>IF(D720="","-",+C763+1)</f>
        <v>2054</v>
      </c>
      <c r="D764" s="683">
        <f t="shared" si="43"/>
        <v>162725.82352941146</v>
      </c>
      <c r="E764" s="737">
        <f t="shared" si="47"/>
        <v>12053.764705882353</v>
      </c>
      <c r="F764" s="683">
        <f t="shared" si="42"/>
        <v>150672.05882352911</v>
      </c>
      <c r="G764" s="1291">
        <f t="shared" si="44"/>
        <v>28589.080222461387</v>
      </c>
      <c r="H764" s="1294">
        <f t="shared" si="45"/>
        <v>28589.080222461387</v>
      </c>
      <c r="I764" s="734">
        <f t="shared" si="46"/>
        <v>0</v>
      </c>
      <c r="J764" s="734"/>
      <c r="K764" s="884"/>
      <c r="L764" s="740"/>
      <c r="M764" s="884"/>
      <c r="N764" s="740"/>
      <c r="O764" s="740"/>
    </row>
    <row r="765" spans="3:15">
      <c r="C765" s="730">
        <f>IF(D720="","-",+C764+1)</f>
        <v>2055</v>
      </c>
      <c r="D765" s="683">
        <f t="shared" si="43"/>
        <v>150672.05882352911</v>
      </c>
      <c r="E765" s="737">
        <f t="shared" si="47"/>
        <v>12053.764705882353</v>
      </c>
      <c r="F765" s="683">
        <f t="shared" si="42"/>
        <v>138618.29411764676</v>
      </c>
      <c r="G765" s="1291">
        <f t="shared" si="44"/>
        <v>27317.132875032228</v>
      </c>
      <c r="H765" s="1294">
        <f t="shared" si="45"/>
        <v>27317.132875032228</v>
      </c>
      <c r="I765" s="734">
        <f t="shared" si="46"/>
        <v>0</v>
      </c>
      <c r="J765" s="734"/>
      <c r="K765" s="884"/>
      <c r="L765" s="740"/>
      <c r="M765" s="884"/>
      <c r="N765" s="740"/>
      <c r="O765" s="740"/>
    </row>
    <row r="766" spans="3:15">
      <c r="C766" s="730">
        <f>IF(D720="","-",+C765+1)</f>
        <v>2056</v>
      </c>
      <c r="D766" s="683">
        <f t="shared" si="43"/>
        <v>138618.29411764676</v>
      </c>
      <c r="E766" s="737">
        <f t="shared" si="47"/>
        <v>12053.764705882353</v>
      </c>
      <c r="F766" s="683">
        <f t="shared" si="42"/>
        <v>126564.52941176441</v>
      </c>
      <c r="G766" s="1291">
        <f t="shared" si="44"/>
        <v>26045.185527603069</v>
      </c>
      <c r="H766" s="1294">
        <f t="shared" si="45"/>
        <v>26045.185527603069</v>
      </c>
      <c r="I766" s="734">
        <f t="shared" si="46"/>
        <v>0</v>
      </c>
      <c r="J766" s="734"/>
      <c r="K766" s="884"/>
      <c r="L766" s="740"/>
      <c r="M766" s="884"/>
      <c r="N766" s="740"/>
      <c r="O766" s="740"/>
    </row>
    <row r="767" spans="3:15">
      <c r="C767" s="730">
        <f>IF(D720="","-",+C766+1)</f>
        <v>2057</v>
      </c>
      <c r="D767" s="683">
        <f t="shared" si="43"/>
        <v>126564.52941176441</v>
      </c>
      <c r="E767" s="737">
        <f t="shared" si="47"/>
        <v>12053.764705882353</v>
      </c>
      <c r="F767" s="683">
        <f t="shared" si="42"/>
        <v>114510.76470588206</v>
      </c>
      <c r="G767" s="1291">
        <f t="shared" si="44"/>
        <v>24773.23818017391</v>
      </c>
      <c r="H767" s="1294">
        <f t="shared" si="45"/>
        <v>24773.23818017391</v>
      </c>
      <c r="I767" s="734">
        <f t="shared" si="46"/>
        <v>0</v>
      </c>
      <c r="J767" s="734"/>
      <c r="K767" s="884"/>
      <c r="L767" s="740"/>
      <c r="M767" s="884"/>
      <c r="N767" s="740"/>
      <c r="O767" s="740"/>
    </row>
    <row r="768" spans="3:15">
      <c r="C768" s="730">
        <f>IF(D720="","-",+C767+1)</f>
        <v>2058</v>
      </c>
      <c r="D768" s="683">
        <f t="shared" si="43"/>
        <v>114510.76470588206</v>
      </c>
      <c r="E768" s="737">
        <f t="shared" si="47"/>
        <v>12053.764705882353</v>
      </c>
      <c r="F768" s="683">
        <f t="shared" si="42"/>
        <v>102456.99999999971</v>
      </c>
      <c r="G768" s="1291">
        <f t="shared" si="44"/>
        <v>23501.290832744751</v>
      </c>
      <c r="H768" s="1294">
        <f t="shared" si="45"/>
        <v>23501.290832744751</v>
      </c>
      <c r="I768" s="734">
        <f t="shared" si="46"/>
        <v>0</v>
      </c>
      <c r="J768" s="734"/>
      <c r="K768" s="884"/>
      <c r="L768" s="740"/>
      <c r="M768" s="884"/>
      <c r="N768" s="740"/>
      <c r="O768" s="740"/>
    </row>
    <row r="769" spans="3:15">
      <c r="C769" s="730">
        <f>IF(D720="","-",+C768+1)</f>
        <v>2059</v>
      </c>
      <c r="D769" s="683">
        <f t="shared" si="43"/>
        <v>102456.99999999971</v>
      </c>
      <c r="E769" s="737">
        <f t="shared" si="47"/>
        <v>12053.764705882353</v>
      </c>
      <c r="F769" s="683">
        <f t="shared" si="42"/>
        <v>90403.235294117359</v>
      </c>
      <c r="G769" s="1291">
        <f t="shared" si="44"/>
        <v>22229.343485315596</v>
      </c>
      <c r="H769" s="1294">
        <f t="shared" si="45"/>
        <v>22229.343485315596</v>
      </c>
      <c r="I769" s="734">
        <f t="shared" si="46"/>
        <v>0</v>
      </c>
      <c r="J769" s="734"/>
      <c r="K769" s="884"/>
      <c r="L769" s="740"/>
      <c r="M769" s="884"/>
      <c r="N769" s="740"/>
      <c r="O769" s="740"/>
    </row>
    <row r="770" spans="3:15">
      <c r="C770" s="730">
        <f>IF(D720="","-",+C769+1)</f>
        <v>2060</v>
      </c>
      <c r="D770" s="683">
        <f t="shared" si="43"/>
        <v>90403.235294117359</v>
      </c>
      <c r="E770" s="737">
        <f t="shared" si="47"/>
        <v>12053.764705882353</v>
      </c>
      <c r="F770" s="683">
        <f t="shared" si="42"/>
        <v>78349.47058823501</v>
      </c>
      <c r="G770" s="1291">
        <f t="shared" si="44"/>
        <v>20957.396137886437</v>
      </c>
      <c r="H770" s="1294">
        <f t="shared" si="45"/>
        <v>20957.396137886437</v>
      </c>
      <c r="I770" s="734">
        <f t="shared" si="46"/>
        <v>0</v>
      </c>
      <c r="J770" s="734"/>
      <c r="K770" s="884"/>
      <c r="L770" s="740"/>
      <c r="M770" s="884"/>
      <c r="N770" s="740"/>
      <c r="O770" s="740"/>
    </row>
    <row r="771" spans="3:15">
      <c r="C771" s="730">
        <f>IF(D720="","-",+C770+1)</f>
        <v>2061</v>
      </c>
      <c r="D771" s="683">
        <f t="shared" si="43"/>
        <v>78349.47058823501</v>
      </c>
      <c r="E771" s="737">
        <f t="shared" si="47"/>
        <v>12053.764705882353</v>
      </c>
      <c r="F771" s="683">
        <f t="shared" si="42"/>
        <v>66295.70588235266</v>
      </c>
      <c r="G771" s="1291">
        <f t="shared" si="44"/>
        <v>19685.448790457278</v>
      </c>
      <c r="H771" s="1294">
        <f t="shared" si="45"/>
        <v>19685.448790457278</v>
      </c>
      <c r="I771" s="734">
        <f t="shared" si="46"/>
        <v>0</v>
      </c>
      <c r="J771" s="734"/>
      <c r="K771" s="884"/>
      <c r="L771" s="740"/>
      <c r="M771" s="884"/>
      <c r="N771" s="740"/>
      <c r="O771" s="740"/>
    </row>
    <row r="772" spans="3:15">
      <c r="C772" s="730">
        <f>IF(D720="","-",+C771+1)</f>
        <v>2062</v>
      </c>
      <c r="D772" s="683">
        <f t="shared" si="43"/>
        <v>66295.70588235266</v>
      </c>
      <c r="E772" s="737">
        <f t="shared" si="47"/>
        <v>12053.764705882353</v>
      </c>
      <c r="F772" s="683">
        <f t="shared" si="42"/>
        <v>54241.941176470311</v>
      </c>
      <c r="G772" s="1291">
        <f t="shared" si="44"/>
        <v>18413.501443028119</v>
      </c>
      <c r="H772" s="1294">
        <f t="shared" si="45"/>
        <v>18413.501443028119</v>
      </c>
      <c r="I772" s="734">
        <f t="shared" si="46"/>
        <v>0</v>
      </c>
      <c r="J772" s="734"/>
      <c r="K772" s="884"/>
      <c r="L772" s="740"/>
      <c r="M772" s="884"/>
      <c r="N772" s="740"/>
      <c r="O772" s="740"/>
    </row>
    <row r="773" spans="3:15">
      <c r="C773" s="730">
        <f>IF(D720="","-",+C772+1)</f>
        <v>2063</v>
      </c>
      <c r="D773" s="683">
        <f t="shared" si="43"/>
        <v>54241.941176470311</v>
      </c>
      <c r="E773" s="737">
        <f t="shared" si="47"/>
        <v>12053.764705882353</v>
      </c>
      <c r="F773" s="683">
        <f t="shared" si="42"/>
        <v>42188.176470587961</v>
      </c>
      <c r="G773" s="1291">
        <f t="shared" si="44"/>
        <v>17141.55409559896</v>
      </c>
      <c r="H773" s="1294">
        <f t="shared" si="45"/>
        <v>17141.55409559896</v>
      </c>
      <c r="I773" s="734">
        <f t="shared" si="46"/>
        <v>0</v>
      </c>
      <c r="J773" s="734"/>
      <c r="K773" s="884"/>
      <c r="L773" s="740"/>
      <c r="M773" s="884"/>
      <c r="N773" s="740"/>
      <c r="O773" s="740"/>
    </row>
    <row r="774" spans="3:15">
      <c r="C774" s="730">
        <f>IF(D720="","-",+C773+1)</f>
        <v>2064</v>
      </c>
      <c r="D774" s="683">
        <f t="shared" si="43"/>
        <v>42188.176470587961</v>
      </c>
      <c r="E774" s="737">
        <f t="shared" si="47"/>
        <v>12053.764705882353</v>
      </c>
      <c r="F774" s="683">
        <f t="shared" si="42"/>
        <v>30134.411764705608</v>
      </c>
      <c r="G774" s="1291">
        <f t="shared" si="44"/>
        <v>15869.606748169801</v>
      </c>
      <c r="H774" s="1294">
        <f t="shared" si="45"/>
        <v>15869.606748169801</v>
      </c>
      <c r="I774" s="734">
        <f t="shared" si="46"/>
        <v>0</v>
      </c>
      <c r="J774" s="734"/>
      <c r="K774" s="884"/>
      <c r="L774" s="740"/>
      <c r="M774" s="884"/>
      <c r="N774" s="740"/>
      <c r="O774" s="740"/>
    </row>
    <row r="775" spans="3:15">
      <c r="C775" s="730">
        <f>IF(D720="","-",+C774+1)</f>
        <v>2065</v>
      </c>
      <c r="D775" s="683">
        <f t="shared" si="43"/>
        <v>30134.411764705608</v>
      </c>
      <c r="E775" s="737">
        <f t="shared" si="47"/>
        <v>12053.764705882353</v>
      </c>
      <c r="F775" s="683">
        <f t="shared" si="42"/>
        <v>18080.647058823255</v>
      </c>
      <c r="G775" s="1291">
        <f t="shared" si="44"/>
        <v>14597.659400740642</v>
      </c>
      <c r="H775" s="1294">
        <f t="shared" si="45"/>
        <v>14597.659400740642</v>
      </c>
      <c r="I775" s="734">
        <f t="shared" si="46"/>
        <v>0</v>
      </c>
      <c r="J775" s="734"/>
      <c r="K775" s="884"/>
      <c r="L775" s="740"/>
      <c r="M775" s="884"/>
      <c r="N775" s="740"/>
      <c r="O775" s="740"/>
    </row>
    <row r="776" spans="3:15">
      <c r="C776" s="730">
        <f>IF(D720="","-",+C775+1)</f>
        <v>2066</v>
      </c>
      <c r="D776" s="683">
        <f t="shared" si="43"/>
        <v>18080.647058823255</v>
      </c>
      <c r="E776" s="737">
        <f t="shared" si="47"/>
        <v>12053.764705882353</v>
      </c>
      <c r="F776" s="683">
        <f t="shared" si="42"/>
        <v>6026.8823529409019</v>
      </c>
      <c r="G776" s="1291">
        <f t="shared" si="44"/>
        <v>13325.712053311483</v>
      </c>
      <c r="H776" s="1294">
        <f t="shared" si="45"/>
        <v>13325.712053311483</v>
      </c>
      <c r="I776" s="734">
        <f t="shared" si="46"/>
        <v>0</v>
      </c>
      <c r="J776" s="734"/>
      <c r="K776" s="884"/>
      <c r="L776" s="740"/>
      <c r="M776" s="884"/>
      <c r="N776" s="740"/>
      <c r="O776" s="740"/>
    </row>
    <row r="777" spans="3:15">
      <c r="C777" s="730">
        <f>IF(D720="","-",+C776+1)</f>
        <v>2067</v>
      </c>
      <c r="D777" s="683">
        <f t="shared" si="43"/>
        <v>6026.8823529409019</v>
      </c>
      <c r="E777" s="737">
        <f t="shared" si="47"/>
        <v>6026.8823529409019</v>
      </c>
      <c r="F777" s="683">
        <f t="shared" si="42"/>
        <v>0</v>
      </c>
      <c r="G777" s="1291">
        <f t="shared" si="44"/>
        <v>6344.8691897981771</v>
      </c>
      <c r="H777" s="1294">
        <f t="shared" si="45"/>
        <v>6344.8691897981771</v>
      </c>
      <c r="I777" s="734">
        <f t="shared" si="46"/>
        <v>0</v>
      </c>
      <c r="J777" s="734"/>
      <c r="K777" s="884"/>
      <c r="L777" s="740"/>
      <c r="M777" s="884"/>
      <c r="N777" s="740"/>
      <c r="O777" s="740"/>
    </row>
    <row r="778" spans="3:15">
      <c r="C778" s="730">
        <f>IF(D720="","-",+C777+1)</f>
        <v>2068</v>
      </c>
      <c r="D778" s="683">
        <f t="shared" si="43"/>
        <v>0</v>
      </c>
      <c r="E778" s="737">
        <f t="shared" si="47"/>
        <v>0</v>
      </c>
      <c r="F778" s="683">
        <f t="shared" si="42"/>
        <v>0</v>
      </c>
      <c r="G778" s="1291">
        <f t="shared" si="44"/>
        <v>0</v>
      </c>
      <c r="H778" s="1294">
        <f t="shared" si="45"/>
        <v>0</v>
      </c>
      <c r="I778" s="734">
        <f t="shared" si="46"/>
        <v>0</v>
      </c>
      <c r="J778" s="734"/>
      <c r="K778" s="884"/>
      <c r="L778" s="740"/>
      <c r="M778" s="884"/>
      <c r="N778" s="740"/>
      <c r="O778" s="740"/>
    </row>
    <row r="779" spans="3:15">
      <c r="C779" s="730">
        <f>IF(D720="","-",+C778+1)</f>
        <v>2069</v>
      </c>
      <c r="D779" s="683">
        <f t="shared" si="43"/>
        <v>0</v>
      </c>
      <c r="E779" s="737">
        <f t="shared" si="47"/>
        <v>0</v>
      </c>
      <c r="F779" s="683">
        <f t="shared" si="42"/>
        <v>0</v>
      </c>
      <c r="G779" s="1291">
        <f t="shared" si="44"/>
        <v>0</v>
      </c>
      <c r="H779" s="1294">
        <f t="shared" si="45"/>
        <v>0</v>
      </c>
      <c r="I779" s="734">
        <f t="shared" si="46"/>
        <v>0</v>
      </c>
      <c r="J779" s="734"/>
      <c r="K779" s="884"/>
      <c r="L779" s="740"/>
      <c r="M779" s="884"/>
      <c r="N779" s="740"/>
      <c r="O779" s="740"/>
    </row>
    <row r="780" spans="3:15">
      <c r="C780" s="730">
        <f>IF(D720="","-",+C779+1)</f>
        <v>2070</v>
      </c>
      <c r="D780" s="683">
        <f t="shared" si="43"/>
        <v>0</v>
      </c>
      <c r="E780" s="737">
        <f t="shared" si="47"/>
        <v>0</v>
      </c>
      <c r="F780" s="683">
        <f t="shared" si="42"/>
        <v>0</v>
      </c>
      <c r="G780" s="1291">
        <f t="shared" si="44"/>
        <v>0</v>
      </c>
      <c r="H780" s="1294">
        <f t="shared" si="45"/>
        <v>0</v>
      </c>
      <c r="I780" s="734">
        <f t="shared" si="46"/>
        <v>0</v>
      </c>
      <c r="J780" s="734"/>
      <c r="K780" s="884"/>
      <c r="L780" s="740"/>
      <c r="M780" s="884"/>
      <c r="N780" s="740"/>
      <c r="O780" s="740"/>
    </row>
    <row r="781" spans="3:15">
      <c r="C781" s="730">
        <f>IF(D720="","-",+C780+1)</f>
        <v>2071</v>
      </c>
      <c r="D781" s="683">
        <f t="shared" si="43"/>
        <v>0</v>
      </c>
      <c r="E781" s="737">
        <f t="shared" si="47"/>
        <v>0</v>
      </c>
      <c r="F781" s="683">
        <f t="shared" si="42"/>
        <v>0</v>
      </c>
      <c r="G781" s="1291">
        <f t="shared" si="44"/>
        <v>0</v>
      </c>
      <c r="H781" s="1294">
        <f t="shared" si="45"/>
        <v>0</v>
      </c>
      <c r="I781" s="734">
        <f t="shared" si="46"/>
        <v>0</v>
      </c>
      <c r="J781" s="734"/>
      <c r="K781" s="884"/>
      <c r="L781" s="740"/>
      <c r="M781" s="884"/>
      <c r="N781" s="740"/>
      <c r="O781" s="740"/>
    </row>
    <row r="782" spans="3:15">
      <c r="C782" s="730">
        <f>IF(D720="","-",+C781+1)</f>
        <v>2072</v>
      </c>
      <c r="D782" s="683">
        <f t="shared" si="43"/>
        <v>0</v>
      </c>
      <c r="E782" s="737">
        <f t="shared" si="47"/>
        <v>0</v>
      </c>
      <c r="F782" s="683">
        <f t="shared" si="42"/>
        <v>0</v>
      </c>
      <c r="G782" s="1291">
        <f t="shared" si="44"/>
        <v>0</v>
      </c>
      <c r="H782" s="1294">
        <f t="shared" si="45"/>
        <v>0</v>
      </c>
      <c r="I782" s="734">
        <f t="shared" si="46"/>
        <v>0</v>
      </c>
      <c r="J782" s="734"/>
      <c r="K782" s="884"/>
      <c r="L782" s="740"/>
      <c r="M782" s="884"/>
      <c r="N782" s="740"/>
      <c r="O782" s="740"/>
    </row>
    <row r="783" spans="3:15">
      <c r="C783" s="730">
        <f>IF(D720="","-",+C782+1)</f>
        <v>2073</v>
      </c>
      <c r="D783" s="683">
        <f t="shared" si="43"/>
        <v>0</v>
      </c>
      <c r="E783" s="737">
        <f t="shared" si="47"/>
        <v>0</v>
      </c>
      <c r="F783" s="683">
        <f t="shared" si="42"/>
        <v>0</v>
      </c>
      <c r="G783" s="1291">
        <f t="shared" si="44"/>
        <v>0</v>
      </c>
      <c r="H783" s="1294">
        <f t="shared" si="45"/>
        <v>0</v>
      </c>
      <c r="I783" s="734">
        <f t="shared" si="46"/>
        <v>0</v>
      </c>
      <c r="J783" s="734"/>
      <c r="K783" s="884"/>
      <c r="L783" s="740"/>
      <c r="M783" s="884"/>
      <c r="N783" s="740"/>
      <c r="O783" s="740"/>
    </row>
    <row r="784" spans="3:15">
      <c r="C784" s="730">
        <f>IF(D720="","-",+C783+1)</f>
        <v>2074</v>
      </c>
      <c r="D784" s="683">
        <f t="shared" si="43"/>
        <v>0</v>
      </c>
      <c r="E784" s="737">
        <f t="shared" si="47"/>
        <v>0</v>
      </c>
      <c r="F784" s="683">
        <f t="shared" si="42"/>
        <v>0</v>
      </c>
      <c r="G784" s="1291">
        <f t="shared" si="44"/>
        <v>0</v>
      </c>
      <c r="H784" s="1294">
        <f t="shared" si="45"/>
        <v>0</v>
      </c>
      <c r="I784" s="734">
        <f t="shared" si="46"/>
        <v>0</v>
      </c>
      <c r="J784" s="734"/>
      <c r="K784" s="884"/>
      <c r="L784" s="740"/>
      <c r="M784" s="884"/>
      <c r="N784" s="740"/>
      <c r="O784" s="740"/>
    </row>
    <row r="785" spans="3:15" ht="13" thickBot="1">
      <c r="C785" s="741">
        <f>IF(D720="","-",+C784+1)</f>
        <v>2075</v>
      </c>
      <c r="D785" s="742">
        <f t="shared" si="43"/>
        <v>0</v>
      </c>
      <c r="E785" s="743">
        <f t="shared" si="47"/>
        <v>0</v>
      </c>
      <c r="F785" s="742">
        <f t="shared" si="42"/>
        <v>0</v>
      </c>
      <c r="G785" s="1303">
        <f t="shared" si="44"/>
        <v>0</v>
      </c>
      <c r="H785" s="1303">
        <f t="shared" si="45"/>
        <v>0</v>
      </c>
      <c r="I785" s="745">
        <f t="shared" si="46"/>
        <v>0</v>
      </c>
      <c r="J785" s="734"/>
      <c r="K785" s="885"/>
      <c r="L785" s="747"/>
      <c r="M785" s="885"/>
      <c r="N785" s="747"/>
      <c r="O785" s="747"/>
    </row>
    <row r="786" spans="3:15">
      <c r="C786" s="683" t="s">
        <v>289</v>
      </c>
      <c r="D786" s="1272"/>
      <c r="E786" s="1272">
        <f>SUM(E726:E785)</f>
        <v>614742</v>
      </c>
      <c r="F786" s="1272"/>
      <c r="G786" s="1272">
        <f>SUM(G726:G785)</f>
        <v>2301344.1826910628</v>
      </c>
      <c r="H786" s="1272">
        <f>SUM(H726:H785)</f>
        <v>2301344.1826910628</v>
      </c>
      <c r="I786" s="1272">
        <f>SUM(I726:I785)</f>
        <v>0</v>
      </c>
      <c r="J786" s="1272"/>
      <c r="K786" s="1272"/>
      <c r="L786" s="1272"/>
      <c r="M786" s="1272"/>
      <c r="N786" s="1272"/>
      <c r="O786" s="550"/>
    </row>
    <row r="787" spans="3:15">
      <c r="D787" s="573"/>
      <c r="E787" s="550"/>
      <c r="F787" s="550"/>
      <c r="G787" s="550"/>
      <c r="H787" s="1271"/>
      <c r="I787" s="1271"/>
      <c r="J787" s="1272"/>
      <c r="K787" s="1271"/>
      <c r="L787" s="1271"/>
      <c r="M787" s="1271"/>
      <c r="N787" s="1271"/>
      <c r="O787" s="550"/>
    </row>
    <row r="788" spans="3:15">
      <c r="C788" s="1304" t="s">
        <v>980</v>
      </c>
      <c r="D788" s="573"/>
      <c r="E788" s="550"/>
      <c r="F788" s="550"/>
      <c r="G788" s="550"/>
      <c r="H788" s="1271"/>
      <c r="I788" s="1271"/>
      <c r="J788" s="1272"/>
      <c r="K788" s="1271"/>
      <c r="L788" s="1271"/>
      <c r="M788" s="1271"/>
      <c r="N788" s="1271"/>
      <c r="O788" s="550"/>
    </row>
    <row r="789" spans="3:15">
      <c r="D789" s="573"/>
      <c r="E789" s="550"/>
      <c r="F789" s="550"/>
      <c r="G789" s="550"/>
      <c r="H789" s="1271"/>
      <c r="I789" s="1271"/>
      <c r="J789" s="1272"/>
      <c r="K789" s="1271"/>
      <c r="L789" s="1271"/>
      <c r="M789" s="1271"/>
      <c r="N789" s="1271"/>
      <c r="O789" s="550"/>
    </row>
    <row r="790" spans="3:15" ht="13">
      <c r="C790" s="696" t="s">
        <v>981</v>
      </c>
      <c r="D790" s="683"/>
      <c r="E790" s="683"/>
      <c r="F790" s="683"/>
      <c r="G790" s="1272"/>
      <c r="H790" s="1272"/>
      <c r="I790" s="684"/>
      <c r="J790" s="684"/>
      <c r="K790" s="684"/>
      <c r="L790" s="684"/>
      <c r="M790" s="684"/>
      <c r="N790" s="684"/>
      <c r="O790" s="550"/>
    </row>
    <row r="791" spans="3:15" ht="13">
      <c r="C791" s="682" t="s">
        <v>477</v>
      </c>
      <c r="D791" s="683"/>
      <c r="E791" s="683"/>
      <c r="F791" s="683"/>
      <c r="G791" s="1272"/>
      <c r="H791" s="1272"/>
      <c r="I791" s="684"/>
      <c r="J791" s="684"/>
      <c r="K791" s="684"/>
      <c r="L791" s="684"/>
      <c r="M791" s="684"/>
      <c r="N791" s="684"/>
      <c r="O791" s="550"/>
    </row>
    <row r="792" spans="3:15" ht="13">
      <c r="C792" s="682" t="s">
        <v>290</v>
      </c>
      <c r="D792" s="683"/>
      <c r="E792" s="683"/>
      <c r="F792" s="683"/>
      <c r="G792" s="1272"/>
      <c r="H792" s="1272"/>
      <c r="I792" s="684"/>
      <c r="J792" s="684"/>
      <c r="K792" s="684"/>
      <c r="L792" s="684"/>
      <c r="M792" s="684"/>
      <c r="N792" s="684"/>
      <c r="O792" s="550"/>
    </row>
    <row r="793" spans="3:15" ht="13">
      <c r="C793" s="682"/>
      <c r="D793" s="683"/>
      <c r="E793" s="683"/>
      <c r="F793" s="683"/>
      <c r="G793" s="1272"/>
      <c r="H793" s="1272"/>
      <c r="I793" s="684"/>
      <c r="J793" s="684"/>
      <c r="K793" s="684"/>
      <c r="L793" s="684"/>
      <c r="M793" s="684"/>
      <c r="N793" s="684"/>
      <c r="O793" s="550"/>
    </row>
    <row r="794" spans="3:15">
      <c r="C794" s="1546" t="s">
        <v>461</v>
      </c>
      <c r="D794" s="1546"/>
      <c r="E794" s="1546"/>
      <c r="F794" s="1546"/>
      <c r="G794" s="1546"/>
      <c r="H794" s="1546"/>
      <c r="I794" s="1546"/>
      <c r="J794" s="1546"/>
      <c r="K794" s="1546"/>
      <c r="L794" s="1546"/>
      <c r="M794" s="1546"/>
      <c r="N794" s="1546"/>
      <c r="O794" s="1546"/>
    </row>
    <row r="795" spans="3:15">
      <c r="C795" s="1546"/>
      <c r="D795" s="1546"/>
      <c r="E795" s="1546"/>
      <c r="F795" s="1546"/>
      <c r="G795" s="1546"/>
      <c r="H795" s="1546"/>
      <c r="I795" s="1546"/>
      <c r="J795" s="1546"/>
      <c r="K795" s="1546"/>
      <c r="L795" s="1546"/>
      <c r="M795" s="1546"/>
      <c r="N795" s="1546"/>
      <c r="O795" s="1546"/>
    </row>
  </sheetData>
  <mergeCells count="30">
    <mergeCell ref="D626:I627"/>
    <mergeCell ref="K630:O630"/>
    <mergeCell ref="C705:O706"/>
    <mergeCell ref="D715:I716"/>
    <mergeCell ref="K719:O719"/>
    <mergeCell ref="C794:O795"/>
    <mergeCell ref="D92:I93"/>
    <mergeCell ref="K96:O96"/>
    <mergeCell ref="C171:O172"/>
    <mergeCell ref="D181:I182"/>
    <mergeCell ref="K185:O185"/>
    <mergeCell ref="K541:O541"/>
    <mergeCell ref="K363:O363"/>
    <mergeCell ref="C438:O439"/>
    <mergeCell ref="D448:I449"/>
    <mergeCell ref="K452:O452"/>
    <mergeCell ref="C616:O617"/>
    <mergeCell ref="D270:I271"/>
    <mergeCell ref="K274:O274"/>
    <mergeCell ref="C349:O350"/>
    <mergeCell ref="D359:I360"/>
    <mergeCell ref="C260:O261"/>
    <mergeCell ref="C527:O528"/>
    <mergeCell ref="D537:I538"/>
    <mergeCell ref="K22:O23"/>
    <mergeCell ref="A3:O3"/>
    <mergeCell ref="C11:H12"/>
    <mergeCell ref="A4:O4"/>
    <mergeCell ref="A5:O5"/>
    <mergeCell ref="A6:O6"/>
  </mergeCells>
  <phoneticPr fontId="0" type="noConversion"/>
  <conditionalFormatting sqref="C103:C162 C192:C251">
    <cfRule type="cellIs" dxfId="36" priority="7" stopIfTrue="1" operator="equal">
      <formula>$I$96</formula>
    </cfRule>
  </conditionalFormatting>
  <conditionalFormatting sqref="C281:C340">
    <cfRule type="cellIs" dxfId="35" priority="6" stopIfTrue="1" operator="equal">
      <formula>$I$96</formula>
    </cfRule>
  </conditionalFormatting>
  <conditionalFormatting sqref="C370:C429">
    <cfRule type="cellIs" dxfId="34" priority="5" stopIfTrue="1" operator="equal">
      <formula>$I$96</formula>
    </cfRule>
  </conditionalFormatting>
  <conditionalFormatting sqref="C459:C518">
    <cfRule type="cellIs" dxfId="33" priority="4" stopIfTrue="1" operator="equal">
      <formula>$I$96</formula>
    </cfRule>
  </conditionalFormatting>
  <conditionalFormatting sqref="C548:C607">
    <cfRule type="cellIs" dxfId="32" priority="3" stopIfTrue="1" operator="equal">
      <formula>$I$96</formula>
    </cfRule>
  </conditionalFormatting>
  <conditionalFormatting sqref="C637:C696">
    <cfRule type="cellIs" dxfId="31" priority="2" stopIfTrue="1" operator="equal">
      <formula>$I$96</formula>
    </cfRule>
  </conditionalFormatting>
  <conditionalFormatting sqref="C726:C785">
    <cfRule type="cellIs" dxfId="30" priority="1" stopIfTrue="1" operator="equal">
      <formula>$I$96</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7" manualBreakCount="7">
    <brk id="81" max="14" man="1"/>
    <brk id="261" max="16383" man="1"/>
    <brk id="350" max="16383" man="1"/>
    <brk id="439" max="16383" man="1"/>
    <brk id="528" max="16383" man="1"/>
    <brk id="617" max="16383" man="1"/>
    <brk id="70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951"/>
  <sheetViews>
    <sheetView view="pageBreakPreview" topLeftCell="A908" zoomScale="85" zoomScaleNormal="100" zoomScaleSheetLayoutView="85" workbookViewId="0">
      <selection activeCell="E636" sqref="E636"/>
    </sheetView>
  </sheetViews>
  <sheetFormatPr defaultColWidth="8.81640625" defaultRowHeight="12.5"/>
  <cols>
    <col min="1" max="1" width="4.54296875" style="337" customWidth="1"/>
    <col min="2" max="2" width="6.54296875" style="419" customWidth="1"/>
    <col min="3" max="3" width="32.453125" style="337" customWidth="1"/>
    <col min="4" max="4" width="17.54296875" style="431" customWidth="1"/>
    <col min="5" max="8" width="17.54296875" style="337" customWidth="1"/>
    <col min="9" max="9" width="17.54296875" style="599" customWidth="1"/>
    <col min="10" max="10" width="17.54296875" style="337" bestFit="1" customWidth="1"/>
    <col min="11" max="11" width="2.1796875" style="321" customWidth="1"/>
    <col min="12" max="12" width="17.54296875" style="550" customWidth="1"/>
    <col min="13" max="13" width="31.81640625" style="550" customWidth="1"/>
    <col min="14" max="15" width="17.54296875" style="550" customWidth="1"/>
    <col min="16" max="16" width="16.54296875" style="550" customWidth="1"/>
    <col min="17" max="17" width="2.1796875" style="550" customWidth="1"/>
    <col min="18" max="16384" width="8.81640625" style="337"/>
  </cols>
  <sheetData>
    <row r="1" spans="1:17" ht="15.5">
      <c r="A1" s="911" t="s">
        <v>115</v>
      </c>
    </row>
    <row r="2" spans="1:17" ht="15.5">
      <c r="A2" s="911" t="s">
        <v>115</v>
      </c>
    </row>
    <row r="3" spans="1:17" ht="15.5">
      <c r="A3" s="1532" t="s">
        <v>388</v>
      </c>
      <c r="B3" s="1532"/>
      <c r="C3" s="1532"/>
      <c r="D3" s="1532"/>
      <c r="E3" s="1532"/>
      <c r="F3" s="1532"/>
      <c r="G3" s="1532"/>
      <c r="H3" s="1532"/>
      <c r="I3" s="1532"/>
      <c r="J3" s="1532"/>
      <c r="K3" s="1532"/>
      <c r="L3" s="1532"/>
      <c r="M3" s="1532"/>
      <c r="N3" s="1532"/>
      <c r="O3" s="1532"/>
      <c r="P3" s="1532"/>
      <c r="Q3" s="598"/>
    </row>
    <row r="4" spans="1:17" ht="15.5">
      <c r="A4" s="1533" t="str">
        <f>"Cost of Service Formula Rate Using "&amp;TCOS!L4&amp;" FF1 Balances"</f>
        <v>Cost of Service Formula Rate Using 2019 FF1 Balances</v>
      </c>
      <c r="B4" s="1533"/>
      <c r="C4" s="1533"/>
      <c r="D4" s="1533"/>
      <c r="E4" s="1533"/>
      <c r="F4" s="1533"/>
      <c r="G4" s="1533"/>
      <c r="H4" s="1533"/>
      <c r="I4" s="1533"/>
      <c r="J4" s="1533"/>
      <c r="K4" s="1533"/>
      <c r="L4" s="1533"/>
      <c r="M4" s="1533"/>
      <c r="N4" s="1533"/>
      <c r="O4" s="1533"/>
      <c r="P4" s="1533"/>
      <c r="Q4" s="598"/>
    </row>
    <row r="5" spans="1:17" ht="15.5">
      <c r="A5" s="1533" t="s">
        <v>470</v>
      </c>
      <c r="B5" s="1533"/>
      <c r="C5" s="1533"/>
      <c r="D5" s="1533"/>
      <c r="E5" s="1533"/>
      <c r="F5" s="1533"/>
      <c r="G5" s="1533"/>
      <c r="H5" s="1533"/>
      <c r="I5" s="1533"/>
      <c r="J5" s="1533"/>
      <c r="K5" s="1533"/>
      <c r="L5" s="1533"/>
      <c r="M5" s="1533"/>
      <c r="N5" s="1533"/>
      <c r="O5" s="1533"/>
      <c r="P5" s="1533"/>
      <c r="Q5" s="598"/>
    </row>
    <row r="6" spans="1:17" ht="15.5">
      <c r="A6" s="1534" t="str">
        <f>TCOS!F9</f>
        <v xml:space="preserve">Indiana Michigan Power Company </v>
      </c>
      <c r="B6" s="1534"/>
      <c r="C6" s="1534"/>
      <c r="D6" s="1534"/>
      <c r="E6" s="1534"/>
      <c r="F6" s="1534"/>
      <c r="G6" s="1534"/>
      <c r="H6" s="1534"/>
      <c r="I6" s="1534"/>
      <c r="J6" s="1534"/>
      <c r="K6" s="1534"/>
      <c r="L6" s="1534"/>
      <c r="M6" s="1534"/>
      <c r="N6" s="1534"/>
      <c r="O6" s="1534"/>
      <c r="P6" s="1534"/>
      <c r="Q6" s="598"/>
    </row>
    <row r="7" spans="1:17">
      <c r="Q7" s="598"/>
    </row>
    <row r="8" spans="1:17" ht="20">
      <c r="A8" s="600"/>
      <c r="C8" s="419"/>
      <c r="O8" s="601" t="str">
        <f>"Page "&amp;Q8&amp;" of "</f>
        <v xml:space="preserve">Page 1 of </v>
      </c>
      <c r="P8" s="602">
        <f>COUNT(Q$8:Q$58123)</f>
        <v>11</v>
      </c>
      <c r="Q8" s="603">
        <v>1</v>
      </c>
    </row>
    <row r="9" spans="1:17" ht="18">
      <c r="C9" s="604"/>
      <c r="Q9" s="598"/>
    </row>
    <row r="10" spans="1:17">
      <c r="Q10" s="598"/>
    </row>
    <row r="11" spans="1:17" ht="17">
      <c r="B11" s="605" t="s">
        <v>172</v>
      </c>
      <c r="C11" s="1555" t="str">
        <f>"Calculate Return and Income Taxes with "&amp;F17&amp;" basis point ROE increase for Projects Qualified for Regional Billing."</f>
        <v>Calculate Return and Income Taxes with 0 basis point ROE increase for Projects Qualified for Regional Billing.</v>
      </c>
      <c r="D11" s="1556"/>
      <c r="E11" s="1556"/>
      <c r="F11" s="1556"/>
      <c r="G11" s="1556"/>
      <c r="H11" s="1556"/>
      <c r="I11" s="1556"/>
      <c r="Q11" s="598"/>
    </row>
    <row r="12" spans="1:17" ht="18.75" customHeight="1">
      <c r="C12" s="1556"/>
      <c r="D12" s="1556"/>
      <c r="E12" s="1556"/>
      <c r="F12" s="1556"/>
      <c r="G12" s="1556"/>
      <c r="H12" s="1556"/>
      <c r="I12" s="1556"/>
      <c r="Q12" s="598"/>
    </row>
    <row r="13" spans="1:17" ht="15.75" customHeight="1">
      <c r="C13" s="537"/>
      <c r="D13" s="537"/>
      <c r="E13" s="537"/>
      <c r="F13" s="537"/>
      <c r="G13" s="537"/>
      <c r="H13" s="537"/>
      <c r="I13" s="537"/>
      <c r="Q13" s="598"/>
    </row>
    <row r="14" spans="1:17" ht="15.5">
      <c r="C14" s="606" t="str">
        <f>"A.   Determine 'R' with hypothetical "&amp;F17&amp;" basis point increase in ROE for Identified Projects"</f>
        <v>A.   Determine 'R' with hypothetical 0 basis point increase in ROE for Identified Projects</v>
      </c>
      <c r="D14" s="386"/>
      <c r="Q14" s="598"/>
    </row>
    <row r="15" spans="1:17">
      <c r="C15" s="375"/>
      <c r="D15" s="386"/>
      <c r="Q15" s="598"/>
    </row>
    <row r="16" spans="1:17">
      <c r="C16" s="607" t="str">
        <f>"   ROE w/o incentives  (TCOS, ln "&amp;TCOS!B257&amp;")"</f>
        <v xml:space="preserve">   ROE w/o incentives  (TCOS, ln 156)</v>
      </c>
      <c r="D16" s="386"/>
      <c r="E16" s="608"/>
      <c r="F16" s="748">
        <f>TCOS!J257</f>
        <v>0.10349999999999999</v>
      </c>
      <c r="G16" s="748"/>
      <c r="H16" s="608"/>
      <c r="I16" s="610"/>
      <c r="J16" s="610"/>
      <c r="K16" s="611"/>
      <c r="L16" s="610"/>
      <c r="M16" s="610"/>
      <c r="N16" s="610"/>
      <c r="O16" s="610"/>
      <c r="P16" s="610"/>
      <c r="Q16" s="611"/>
    </row>
    <row r="17" spans="3:17" ht="13" thickBot="1">
      <c r="C17" s="629" t="s">
        <v>253</v>
      </c>
      <c r="D17" s="386"/>
      <c r="E17" s="608"/>
      <c r="F17" s="875">
        <v>0</v>
      </c>
      <c r="G17" s="608"/>
      <c r="H17" s="608"/>
      <c r="I17" s="610"/>
      <c r="J17" s="610"/>
      <c r="K17" s="611"/>
      <c r="L17" s="610"/>
      <c r="M17" s="610"/>
      <c r="N17" s="610"/>
      <c r="O17" s="610"/>
      <c r="P17" s="610"/>
      <c r="Q17" s="611"/>
    </row>
    <row r="18" spans="3:17" ht="13">
      <c r="C18" s="629" t="str">
        <f>"   ROE with additional "&amp;F17&amp;" basis point incentive"</f>
        <v xml:space="preserve">   ROE with additional 0 basis point incentive</v>
      </c>
      <c r="D18" s="608"/>
      <c r="E18" s="608"/>
      <c r="F18" s="613">
        <f>IF((F16+(F17/10000)&gt;0.125),"ERROR",F16+(F17/10000))</f>
        <v>0.10349999999999999</v>
      </c>
      <c r="G18" s="614"/>
      <c r="H18" s="608"/>
      <c r="I18" s="610"/>
      <c r="J18" s="610"/>
      <c r="K18" s="611"/>
      <c r="L18" s="749" t="s">
        <v>455</v>
      </c>
      <c r="M18" s="750"/>
      <c r="N18" s="750"/>
      <c r="O18" s="750"/>
      <c r="P18" s="751"/>
      <c r="Q18" s="611"/>
    </row>
    <row r="19" spans="3:17">
      <c r="C19" s="60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86"/>
      <c r="E19" s="608"/>
      <c r="F19" s="615"/>
      <c r="G19" s="615"/>
      <c r="H19" s="608"/>
      <c r="I19" s="610"/>
      <c r="J19" s="610"/>
      <c r="K19" s="611"/>
      <c r="L19" s="752"/>
      <c r="M19" s="611"/>
      <c r="N19" s="611" t="s">
        <v>255</v>
      </c>
      <c r="O19" s="611" t="s">
        <v>256</v>
      </c>
      <c r="P19" s="753" t="s">
        <v>257</v>
      </c>
      <c r="Q19" s="611"/>
    </row>
    <row r="20" spans="3:17">
      <c r="C20" s="611"/>
      <c r="D20" s="616" t="s">
        <v>147</v>
      </c>
      <c r="E20" s="616" t="s">
        <v>146</v>
      </c>
      <c r="F20" s="617" t="s">
        <v>254</v>
      </c>
      <c r="G20" s="617"/>
      <c r="H20" s="608"/>
      <c r="I20" s="610"/>
      <c r="J20" s="610"/>
      <c r="K20" s="611"/>
      <c r="L20" s="752" t="s">
        <v>453</v>
      </c>
      <c r="M20" s="754">
        <f>+TCOS!L4</f>
        <v>2019</v>
      </c>
      <c r="N20" s="598"/>
      <c r="O20" s="598"/>
      <c r="P20" s="755"/>
      <c r="Q20" s="611"/>
    </row>
    <row r="21" spans="3:17">
      <c r="C21" s="618" t="s">
        <v>258</v>
      </c>
      <c r="D21" s="756">
        <f>TCOS!H255</f>
        <v>0.51549583920022157</v>
      </c>
      <c r="E21" s="620">
        <f>TCOS!J255</f>
        <v>4.3159910367829971E-2</v>
      </c>
      <c r="F21" s="621">
        <f>E21*D21</f>
        <v>2.2248754214870853E-2</v>
      </c>
      <c r="G21" s="621"/>
      <c r="H21" s="608"/>
      <c r="I21" s="610"/>
      <c r="J21" s="622"/>
      <c r="K21" s="623"/>
      <c r="L21" s="757"/>
      <c r="M21" s="758" t="s">
        <v>454</v>
      </c>
      <c r="N21" s="886">
        <f>M90+M177+M264+M351+M438+M525+M612+M699+M786+M873</f>
        <v>5249720.788200831</v>
      </c>
      <c r="O21" s="886">
        <f>N90+N177+N264+N351+N438+N525+N612+N699+N786+N873</f>
        <v>5249720.788200831</v>
      </c>
      <c r="P21" s="759">
        <f>+O21-N21</f>
        <v>0</v>
      </c>
      <c r="Q21" s="623"/>
    </row>
    <row r="22" spans="3:17" ht="13" thickBot="1">
      <c r="C22" s="618" t="s">
        <v>259</v>
      </c>
      <c r="D22" s="756">
        <f>TCOS!H256</f>
        <v>0</v>
      </c>
      <c r="E22" s="620">
        <f>TCOS!J256</f>
        <v>0</v>
      </c>
      <c r="F22" s="621">
        <f>E22*D22</f>
        <v>0</v>
      </c>
      <c r="G22" s="621"/>
      <c r="H22" s="624"/>
      <c r="I22" s="624"/>
      <c r="J22" s="625"/>
      <c r="K22" s="626"/>
      <c r="L22" s="757"/>
      <c r="M22" s="758" t="s">
        <v>260</v>
      </c>
      <c r="N22" s="887">
        <f>M91+M178+M265+M352+M439+M526+M613+M700+M787+M874</f>
        <v>5686028.9302719319</v>
      </c>
      <c r="O22" s="887">
        <f>N91+N178+N265+N352+N439+N526+N613+N700+N787+N874</f>
        <v>5686028.9302719319</v>
      </c>
      <c r="P22" s="760">
        <f>+O22-N22</f>
        <v>0</v>
      </c>
      <c r="Q22" s="626"/>
    </row>
    <row r="23" spans="3:17">
      <c r="C23" s="627" t="s">
        <v>245</v>
      </c>
      <c r="D23" s="756">
        <f>TCOS!H257</f>
        <v>0.48450416079977854</v>
      </c>
      <c r="E23" s="620">
        <f>+F18</f>
        <v>0.10349999999999999</v>
      </c>
      <c r="F23" s="628">
        <f>E23*D23</f>
        <v>5.0146180642777073E-2</v>
      </c>
      <c r="G23" s="628"/>
      <c r="H23" s="624"/>
      <c r="I23" s="624"/>
      <c r="J23" s="625"/>
      <c r="K23" s="626"/>
      <c r="L23" s="757"/>
      <c r="M23" s="758" t="str">
        <f>"True-up of ARR For "&amp;TCOS!L4&amp;""</f>
        <v>True-up of ARR For 2019</v>
      </c>
      <c r="N23" s="683">
        <f>+N22-N21</f>
        <v>436308.14207110088</v>
      </c>
      <c r="O23" s="683">
        <f>+O22-O21</f>
        <v>436308.14207110088</v>
      </c>
      <c r="P23" s="761">
        <f>+P22-P21</f>
        <v>0</v>
      </c>
      <c r="Q23" s="626"/>
    </row>
    <row r="24" spans="3:17">
      <c r="C24" s="629"/>
      <c r="D24" s="337"/>
      <c r="E24" s="630" t="s">
        <v>261</v>
      </c>
      <c r="F24" s="621">
        <f>SUM(F21:F23)</f>
        <v>7.2394934857647919E-2</v>
      </c>
      <c r="G24" s="621"/>
      <c r="H24" s="624"/>
      <c r="I24" s="624"/>
      <c r="J24" s="625"/>
      <c r="K24" s="626"/>
      <c r="L24" s="757"/>
      <c r="M24" s="598"/>
      <c r="N24" s="598"/>
      <c r="O24" s="598"/>
      <c r="P24" s="755"/>
      <c r="Q24" s="626"/>
    </row>
    <row r="25" spans="3:17" ht="13" thickBot="1">
      <c r="C25" s="375"/>
      <c r="D25" s="635"/>
      <c r="E25" s="635"/>
      <c r="F25" s="624"/>
      <c r="G25" s="624"/>
      <c r="H25" s="624"/>
      <c r="I25" s="624"/>
      <c r="J25" s="624"/>
      <c r="K25" s="636"/>
      <c r="L25" s="762"/>
      <c r="M25" s="763"/>
      <c r="N25" s="764"/>
      <c r="O25" s="764"/>
      <c r="P25" s="760"/>
      <c r="Q25" s="636"/>
    </row>
    <row r="26" spans="3:17" ht="15.5">
      <c r="C26" s="606" t="str">
        <f>"B.   Determine Return using 'R' with hypothetical "&amp;F17&amp;" basis point ROE increase for Identified Projects."</f>
        <v>B.   Determine Return using 'R' with hypothetical 0 basis point ROE increase for Identified Projects.</v>
      </c>
      <c r="D26" s="635"/>
      <c r="E26" s="635"/>
      <c r="F26" s="640"/>
      <c r="G26" s="640"/>
      <c r="H26" s="624"/>
      <c r="I26" s="608"/>
      <c r="J26" s="624"/>
      <c r="K26" s="636"/>
      <c r="L26" s="624"/>
      <c r="M26" s="624"/>
      <c r="N26" s="624"/>
      <c r="O26" s="624"/>
      <c r="P26" s="624"/>
      <c r="Q26" s="636"/>
    </row>
    <row r="27" spans="3:17">
      <c r="C27" s="611"/>
      <c r="D27" s="635"/>
      <c r="E27" s="635"/>
      <c r="F27" s="636"/>
      <c r="G27" s="636"/>
      <c r="H27" s="636"/>
      <c r="I27" s="636"/>
      <c r="J27" s="636"/>
      <c r="K27" s="636"/>
      <c r="L27" s="636"/>
      <c r="M27" s="636"/>
      <c r="N27" s="636"/>
      <c r="O27" s="636"/>
      <c r="P27" s="636"/>
      <c r="Q27" s="636"/>
    </row>
    <row r="28" spans="3:17">
      <c r="C28" s="645" t="str">
        <f>"   Rate Base  (TCOS, ln "&amp;TCOS!B125&amp;")"</f>
        <v xml:space="preserve">   Rate Base  (TCOS, ln 68)</v>
      </c>
      <c r="D28" s="608"/>
      <c r="E28" s="646">
        <f>TCOS!L125</f>
        <v>846991324.32954597</v>
      </c>
      <c r="F28" s="765"/>
      <c r="G28" s="765"/>
      <c r="H28" s="636"/>
      <c r="I28" s="636"/>
      <c r="J28" s="636"/>
      <c r="K28" s="636"/>
      <c r="L28" s="636"/>
      <c r="M28" s="636"/>
      <c r="N28" s="636"/>
      <c r="O28" s="636"/>
      <c r="P28" s="765"/>
      <c r="Q28" s="636"/>
    </row>
    <row r="29" spans="3:17">
      <c r="C29" s="611" t="s">
        <v>475</v>
      </c>
      <c r="D29" s="648"/>
      <c r="E29" s="621">
        <f>F24</f>
        <v>7.2394934857647919E-2</v>
      </c>
      <c r="F29" s="636"/>
      <c r="G29" s="636"/>
      <c r="H29" s="636"/>
      <c r="I29" s="636"/>
      <c r="J29" s="636"/>
      <c r="K29" s="636"/>
      <c r="L29" s="636"/>
      <c r="M29" s="636"/>
      <c r="N29" s="636"/>
      <c r="O29" s="636"/>
      <c r="P29" s="636"/>
      <c r="Q29" s="636"/>
    </row>
    <row r="30" spans="3:17">
      <c r="C30" s="649" t="s">
        <v>263</v>
      </c>
      <c r="D30" s="649"/>
      <c r="E30" s="625">
        <f>E28*E29</f>
        <v>61317881.749830425</v>
      </c>
      <c r="F30" s="636"/>
      <c r="G30" s="636"/>
      <c r="H30" s="636"/>
      <c r="I30" s="636"/>
      <c r="J30" s="626"/>
      <c r="K30" s="626"/>
      <c r="L30" s="626"/>
      <c r="M30" s="626"/>
      <c r="N30" s="626"/>
      <c r="O30" s="626"/>
      <c r="P30" s="636"/>
      <c r="Q30" s="626"/>
    </row>
    <row r="31" spans="3:17">
      <c r="C31" s="650"/>
      <c r="D31" s="610"/>
      <c r="E31" s="610"/>
      <c r="F31" s="636"/>
      <c r="G31" s="636"/>
      <c r="H31" s="636"/>
      <c r="I31" s="636"/>
      <c r="J31" s="626"/>
      <c r="K31" s="626"/>
      <c r="L31" s="626"/>
      <c r="M31" s="626"/>
      <c r="N31" s="626"/>
      <c r="O31" s="626"/>
      <c r="P31" s="636"/>
      <c r="Q31" s="626"/>
    </row>
    <row r="32" spans="3:17" ht="15.5">
      <c r="C32" s="606" t="str">
        <f>"C.   Determine Income Taxes using Return with hypothetical "&amp;F17&amp;" basis point ROE increase for Identified Projects."</f>
        <v>C.   Determine Income Taxes using Return with hypothetical 0 basis point ROE increase for Identified Projects.</v>
      </c>
      <c r="D32" s="651"/>
      <c r="E32" s="651"/>
      <c r="F32" s="652"/>
      <c r="G32" s="652"/>
      <c r="H32" s="652"/>
      <c r="I32" s="652"/>
      <c r="J32" s="653"/>
      <c r="K32" s="653"/>
      <c r="L32" s="653"/>
      <c r="M32" s="653"/>
      <c r="N32" s="653"/>
      <c r="O32" s="653"/>
      <c r="P32" s="652"/>
      <c r="Q32" s="653"/>
    </row>
    <row r="33" spans="2:17">
      <c r="C33" s="629"/>
      <c r="D33" s="610"/>
      <c r="E33" s="610"/>
      <c r="F33" s="636"/>
      <c r="G33" s="636"/>
      <c r="H33" s="636"/>
      <c r="I33" s="636"/>
      <c r="J33" s="626"/>
      <c r="K33" s="626"/>
      <c r="L33" s="626"/>
      <c r="M33" s="626"/>
      <c r="N33" s="626"/>
      <c r="O33" s="626"/>
      <c r="P33" s="636"/>
      <c r="Q33" s="626"/>
    </row>
    <row r="34" spans="2:17">
      <c r="C34" s="611" t="s">
        <v>264</v>
      </c>
      <c r="D34" s="630"/>
      <c r="E34" s="654">
        <f>E30</f>
        <v>61317881.749830425</v>
      </c>
      <c r="F34" s="636"/>
      <c r="G34" s="636"/>
      <c r="H34" s="636"/>
      <c r="I34" s="636"/>
      <c r="J34" s="636"/>
      <c r="K34" s="636"/>
      <c r="L34" s="636"/>
      <c r="M34" s="636"/>
      <c r="N34" s="636"/>
      <c r="O34" s="636"/>
      <c r="P34" s="636"/>
      <c r="Q34" s="636"/>
    </row>
    <row r="35" spans="2:17">
      <c r="C35" s="645" t="str">
        <f>"   Effective Tax Rate  (TCOS, ln "&amp;TCOS!B190&amp;")"</f>
        <v xml:space="preserve">   Effective Tax Rate  (TCOS, ln 114)</v>
      </c>
      <c r="D35" s="573"/>
      <c r="E35" s="655">
        <f>TCOS!G190</f>
        <v>0.23368937600955342</v>
      </c>
      <c r="F35" s="550"/>
      <c r="G35" s="550"/>
      <c r="H35" s="550"/>
      <c r="I35" s="656"/>
      <c r="J35" s="550"/>
      <c r="K35" s="598"/>
      <c r="Q35" s="598"/>
    </row>
    <row r="36" spans="2:17">
      <c r="C36" s="650" t="s">
        <v>265</v>
      </c>
      <c r="D36" s="573"/>
      <c r="E36" s="657">
        <f>E34*E35</f>
        <v>14329337.524345456</v>
      </c>
      <c r="F36" s="550"/>
      <c r="G36" s="550"/>
      <c r="H36" s="550"/>
      <c r="I36" s="656"/>
      <c r="J36" s="550"/>
      <c r="K36" s="598"/>
      <c r="Q36" s="598"/>
    </row>
    <row r="37" spans="2:17" ht="15.5">
      <c r="C37" s="629" t="s">
        <v>303</v>
      </c>
      <c r="D37" s="483"/>
      <c r="E37" s="658">
        <f>TCOS!L199</f>
        <v>-865825.5215539604</v>
      </c>
      <c r="F37" s="483"/>
      <c r="G37" s="483"/>
      <c r="H37" s="483"/>
      <c r="I37" s="483"/>
      <c r="J37" s="483"/>
      <c r="K37" s="483"/>
      <c r="L37" s="483"/>
      <c r="M37" s="483"/>
      <c r="N37" s="483"/>
      <c r="O37" s="483"/>
      <c r="P37" s="395"/>
      <c r="Q37" s="483"/>
    </row>
    <row r="38" spans="2:17" ht="15.5">
      <c r="C38" s="629" t="s">
        <v>534</v>
      </c>
      <c r="D38" s="483"/>
      <c r="E38" s="658">
        <f>TCOS!L200</f>
        <v>-6157689.5557918241</v>
      </c>
      <c r="F38" s="483"/>
      <c r="G38" s="483"/>
      <c r="H38" s="483"/>
      <c r="I38" s="483"/>
      <c r="J38" s="483"/>
      <c r="K38" s="483"/>
      <c r="L38" s="483"/>
      <c r="M38" s="483"/>
      <c r="N38" s="483"/>
      <c r="O38" s="483"/>
      <c r="P38" s="395"/>
      <c r="Q38" s="483"/>
    </row>
    <row r="39" spans="2:17" ht="15.5">
      <c r="C39" s="629" t="s">
        <v>535</v>
      </c>
      <c r="D39" s="483"/>
      <c r="E39" s="659">
        <f>TCOS!L201</f>
        <v>1980852.8422502624</v>
      </c>
      <c r="F39" s="483"/>
      <c r="G39" s="483"/>
      <c r="H39" s="483"/>
      <c r="I39" s="483"/>
      <c r="J39" s="483"/>
      <c r="K39" s="483"/>
      <c r="L39" s="483"/>
      <c r="M39" s="483"/>
      <c r="N39" s="483"/>
      <c r="O39" s="483"/>
      <c r="P39" s="395"/>
      <c r="Q39" s="483"/>
    </row>
    <row r="40" spans="2:17" ht="15.5">
      <c r="C40" s="650" t="s">
        <v>266</v>
      </c>
      <c r="D40" s="483"/>
      <c r="E40" s="658">
        <f>E36+E37+E38+E39</f>
        <v>9286675.2892499343</v>
      </c>
      <c r="F40" s="483"/>
      <c r="G40" s="483"/>
      <c r="H40" s="483"/>
      <c r="I40" s="483"/>
      <c r="J40" s="483"/>
      <c r="K40" s="483"/>
      <c r="L40" s="483"/>
      <c r="M40" s="483"/>
      <c r="N40" s="483"/>
      <c r="O40" s="483"/>
      <c r="P40" s="353"/>
      <c r="Q40" s="483"/>
    </row>
    <row r="41" spans="2:17" ht="12.75" customHeight="1">
      <c r="C41" s="403"/>
      <c r="D41" s="483"/>
      <c r="E41" s="483"/>
      <c r="F41" s="483"/>
      <c r="G41" s="483"/>
      <c r="H41" s="483"/>
      <c r="I41" s="483"/>
      <c r="J41" s="483"/>
      <c r="K41" s="483"/>
      <c r="L41" s="483"/>
      <c r="M41" s="483"/>
      <c r="N41" s="483"/>
      <c r="O41" s="483"/>
      <c r="P41" s="353"/>
      <c r="Q41" s="483"/>
    </row>
    <row r="42" spans="2:17" ht="18">
      <c r="B42" s="605" t="s">
        <v>173</v>
      </c>
      <c r="C42" s="604" t="str">
        <f>"Calculate Net Plant Carrying Charge Rate (Fixed Charge Rate or FCR) with hypothetical "&amp;F17&amp;""</f>
        <v>Calculate Net Plant Carrying Charge Rate (Fixed Charge Rate or FCR) with hypothetical 0</v>
      </c>
      <c r="D42" s="483"/>
      <c r="E42" s="483"/>
      <c r="F42" s="483"/>
      <c r="G42" s="483"/>
      <c r="H42" s="483"/>
      <c r="I42" s="483"/>
      <c r="J42" s="483"/>
      <c r="K42" s="483"/>
      <c r="L42" s="483"/>
      <c r="M42" s="483"/>
      <c r="N42" s="483"/>
      <c r="O42" s="483"/>
      <c r="P42" s="353"/>
      <c r="Q42" s="483"/>
    </row>
    <row r="43" spans="2:17" ht="18.75" customHeight="1">
      <c r="C43" s="604" t="str">
        <f>"basis point ROE increase."</f>
        <v>basis point ROE increase.</v>
      </c>
      <c r="D43" s="483"/>
      <c r="E43" s="483"/>
      <c r="F43" s="483"/>
      <c r="G43" s="483"/>
      <c r="H43" s="483"/>
      <c r="I43" s="483"/>
      <c r="J43" s="483"/>
      <c r="K43" s="483"/>
      <c r="L43" s="483"/>
      <c r="M43" s="483"/>
      <c r="N43" s="483"/>
      <c r="O43" s="483"/>
      <c r="P43" s="353"/>
      <c r="Q43" s="483"/>
    </row>
    <row r="44" spans="2:17" ht="12.75" customHeight="1">
      <c r="C44" s="604"/>
      <c r="D44" s="483"/>
      <c r="E44" s="483"/>
      <c r="F44" s="483"/>
      <c r="G44" s="483"/>
      <c r="H44" s="483"/>
      <c r="I44" s="483"/>
      <c r="J44" s="483"/>
      <c r="K44" s="483"/>
      <c r="L44" s="483"/>
      <c r="M44" s="483"/>
      <c r="N44" s="483"/>
      <c r="O44" s="483"/>
      <c r="P44" s="353"/>
      <c r="Q44" s="483"/>
    </row>
    <row r="45" spans="2:17" ht="15.5">
      <c r="C45" s="606" t="s">
        <v>466</v>
      </c>
      <c r="D45" s="483"/>
      <c r="E45" s="483"/>
      <c r="F45" s="482"/>
      <c r="G45" s="482"/>
      <c r="H45" s="483"/>
      <c r="I45" s="483"/>
      <c r="J45" s="483"/>
      <c r="K45" s="483"/>
      <c r="L45" s="483"/>
      <c r="M45" s="483"/>
      <c r="N45" s="483"/>
      <c r="O45" s="483"/>
      <c r="P45" s="353"/>
      <c r="Q45" s="483"/>
    </row>
    <row r="46" spans="2:17">
      <c r="B46" s="586"/>
      <c r="C46" s="607"/>
      <c r="D46" s="660"/>
      <c r="E46" s="660"/>
      <c r="F46" s="660"/>
      <c r="G46" s="660"/>
      <c r="H46" s="660"/>
      <c r="I46" s="660"/>
      <c r="J46" s="660"/>
      <c r="K46" s="660"/>
      <c r="L46" s="660"/>
      <c r="M46" s="660"/>
      <c r="N46" s="660"/>
      <c r="O46" s="660"/>
      <c r="P46" s="658"/>
      <c r="Q46" s="660"/>
    </row>
    <row r="47" spans="2:17" ht="12.75" customHeight="1">
      <c r="B47" s="586"/>
      <c r="C47" s="645" t="str">
        <f>"   Annual Revenue Requirement  (TCOS, ln "&amp;TCOS!B13&amp;")"</f>
        <v xml:space="preserve">   Annual Revenue Requirement  (TCOS, ln 1)</v>
      </c>
      <c r="D47" s="660"/>
      <c r="E47" s="660"/>
      <c r="F47" s="658">
        <f>TCOS!L13</f>
        <v>142571242.57434335</v>
      </c>
      <c r="G47" s="658"/>
      <c r="H47" s="766" t="s">
        <v>115</v>
      </c>
      <c r="I47" s="660"/>
      <c r="J47" s="660"/>
      <c r="K47" s="660"/>
      <c r="L47" s="660"/>
      <c r="M47" s="660"/>
      <c r="N47" s="660"/>
      <c r="O47" s="660"/>
      <c r="P47" s="658"/>
      <c r="Q47" s="660"/>
    </row>
    <row r="48" spans="2:17" ht="12.75" customHeight="1">
      <c r="B48" s="586"/>
      <c r="C48" s="645" t="str">
        <f>"   Lease Payments (TCOS, Ln "&amp;TCOS!B168&amp;")"</f>
        <v xml:space="preserve">   Lease Payments (TCOS, Ln 95)</v>
      </c>
      <c r="D48" s="660"/>
      <c r="E48" s="660"/>
      <c r="F48" s="658">
        <f>TCOS!L168</f>
        <v>0</v>
      </c>
      <c r="G48" s="658"/>
      <c r="H48" s="766"/>
      <c r="I48" s="660"/>
      <c r="J48" s="660"/>
      <c r="K48" s="660"/>
      <c r="L48" s="660"/>
      <c r="M48" s="660"/>
      <c r="N48" s="660"/>
      <c r="O48" s="660"/>
      <c r="P48" s="658"/>
      <c r="Q48" s="660"/>
    </row>
    <row r="49" spans="2:17">
      <c r="B49" s="586"/>
      <c r="C49" s="645" t="str">
        <f>"   Return  (TCOS, ln "&amp;TCOS!B205&amp;")"</f>
        <v xml:space="preserve">   Return  (TCOS, ln 126)</v>
      </c>
      <c r="D49" s="660"/>
      <c r="E49" s="660"/>
      <c r="F49" s="661">
        <f>TCOS!L205</f>
        <v>61317881.749830425</v>
      </c>
      <c r="G49" s="661"/>
      <c r="H49" s="662"/>
      <c r="I49" s="662"/>
      <c r="J49" s="662"/>
      <c r="K49" s="662"/>
      <c r="L49" s="662"/>
      <c r="M49" s="662"/>
      <c r="N49" s="662"/>
      <c r="O49" s="662"/>
      <c r="P49" s="658"/>
      <c r="Q49" s="662"/>
    </row>
    <row r="50" spans="2:17">
      <c r="B50" s="586"/>
      <c r="C50" s="645" t="str">
        <f>"   Income Taxes  (TCOS, ln "&amp;TCOS!B203&amp;")"</f>
        <v xml:space="preserve">   Income Taxes  (TCOS, ln 125)</v>
      </c>
      <c r="D50" s="660"/>
      <c r="E50" s="660"/>
      <c r="F50" s="663">
        <f>TCOS!L203</f>
        <v>9286675.2892499343</v>
      </c>
      <c r="G50" s="663"/>
      <c r="H50" s="660"/>
      <c r="I50" s="660"/>
      <c r="J50" s="664"/>
      <c r="K50" s="664"/>
      <c r="L50" s="664"/>
      <c r="M50" s="664"/>
      <c r="N50" s="664"/>
      <c r="O50" s="664"/>
      <c r="P50" s="660"/>
      <c r="Q50" s="664"/>
    </row>
    <row r="51" spans="2:17">
      <c r="B51" s="586"/>
      <c r="C51" s="1561" t="s">
        <v>592</v>
      </c>
      <c r="D51" s="1556"/>
      <c r="E51" s="660"/>
      <c r="F51" s="661">
        <f>F47-F49-F50-F48</f>
        <v>71966685.535263002</v>
      </c>
      <c r="G51" s="661"/>
      <c r="H51" s="666"/>
      <c r="I51" s="660"/>
      <c r="J51" s="666"/>
      <c r="K51" s="666"/>
      <c r="L51" s="666"/>
      <c r="M51" s="666"/>
      <c r="N51" s="666"/>
      <c r="O51" s="666"/>
      <c r="P51" s="666"/>
      <c r="Q51" s="666"/>
    </row>
    <row r="52" spans="2:17">
      <c r="B52" s="586"/>
      <c r="C52" s="1556"/>
      <c r="D52" s="1556"/>
      <c r="E52" s="660"/>
      <c r="F52" s="658"/>
      <c r="G52" s="658"/>
      <c r="H52" s="667"/>
      <c r="I52" s="668"/>
      <c r="J52" s="668"/>
      <c r="K52" s="668"/>
      <c r="L52" s="668"/>
      <c r="M52" s="668"/>
      <c r="N52" s="668"/>
      <c r="O52" s="668"/>
      <c r="P52" s="668"/>
      <c r="Q52" s="668"/>
    </row>
    <row r="53" spans="2:17" ht="15.5">
      <c r="B53" s="586"/>
      <c r="C53" s="606" t="str">
        <f>"B.   Determine Annual Revenue Requirement with hypothetical "&amp;F17&amp;" basis point increase in ROE."</f>
        <v>B.   Determine Annual Revenue Requirement with hypothetical 0 basis point increase in ROE.</v>
      </c>
      <c r="D53" s="669"/>
      <c r="E53" s="669"/>
      <c r="F53" s="658"/>
      <c r="G53" s="658"/>
      <c r="H53" s="667"/>
      <c r="I53" s="668"/>
      <c r="J53" s="668"/>
      <c r="K53" s="668"/>
      <c r="L53" s="668"/>
      <c r="M53" s="668"/>
      <c r="N53" s="668"/>
      <c r="O53" s="668"/>
      <c r="P53" s="668"/>
      <c r="Q53" s="668"/>
    </row>
    <row r="54" spans="2:17">
      <c r="B54" s="586"/>
      <c r="C54" s="607"/>
      <c r="D54" s="669"/>
      <c r="E54" s="669"/>
      <c r="F54" s="658"/>
      <c r="G54" s="658"/>
      <c r="H54" s="667"/>
      <c r="I54" s="668"/>
      <c r="J54" s="668"/>
      <c r="K54" s="668"/>
      <c r="L54" s="668"/>
      <c r="M54" s="668"/>
      <c r="N54" s="668"/>
      <c r="O54" s="668"/>
      <c r="P54" s="668"/>
      <c r="Q54" s="668"/>
    </row>
    <row r="55" spans="2:17" ht="13">
      <c r="B55" s="586"/>
      <c r="C55" s="607" t="str">
        <f>C51</f>
        <v xml:space="preserve">   Annual Revenue Requirement, Less Lease Payments, Return and Taxes</v>
      </c>
      <c r="D55" s="669"/>
      <c r="E55" s="669"/>
      <c r="F55" s="658">
        <f>F51</f>
        <v>71966685.535263002</v>
      </c>
      <c r="G55" s="658"/>
      <c r="H55" s="660"/>
      <c r="I55" s="660"/>
      <c r="J55" s="660"/>
      <c r="K55" s="660"/>
      <c r="L55" s="660"/>
      <c r="M55" s="660"/>
      <c r="N55" s="660"/>
      <c r="O55" s="660"/>
      <c r="P55" s="670"/>
      <c r="Q55" s="660"/>
    </row>
    <row r="56" spans="2:17" ht="13">
      <c r="B56" s="586"/>
      <c r="C56" s="611" t="s">
        <v>300</v>
      </c>
      <c r="D56" s="671"/>
      <c r="E56" s="665"/>
      <c r="F56" s="672">
        <f>E30</f>
        <v>61317881.749830425</v>
      </c>
      <c r="G56" s="672"/>
      <c r="H56" s="665"/>
      <c r="I56" s="673"/>
      <c r="J56" s="665"/>
      <c r="K56" s="665"/>
      <c r="L56" s="665"/>
      <c r="M56" s="665"/>
      <c r="N56" s="665"/>
      <c r="O56" s="665"/>
      <c r="P56" s="665"/>
      <c r="Q56" s="665"/>
    </row>
    <row r="57" spans="2:17" ht="12.75" customHeight="1">
      <c r="B57" s="586"/>
      <c r="C57" s="629" t="s">
        <v>267</v>
      </c>
      <c r="D57" s="660"/>
      <c r="E57" s="660"/>
      <c r="F57" s="663">
        <f>E40</f>
        <v>9286675.2892499343</v>
      </c>
      <c r="G57" s="663"/>
      <c r="H57" s="550"/>
      <c r="I57" s="656"/>
      <c r="J57" s="550"/>
      <c r="K57" s="598"/>
      <c r="Q57" s="598"/>
    </row>
    <row r="58" spans="2:17">
      <c r="B58" s="586"/>
      <c r="C58" s="665" t="str">
        <f>"   Annual Revenue Requirement, with "&amp;F17&amp;" Basis Point ROE increase"</f>
        <v xml:space="preserve">   Annual Revenue Requirement, with 0 Basis Point ROE increase</v>
      </c>
      <c r="D58" s="573"/>
      <c r="E58" s="550"/>
      <c r="F58" s="657">
        <f>SUM(F55:F57)</f>
        <v>142571242.57434335</v>
      </c>
      <c r="G58" s="657"/>
      <c r="H58" s="550"/>
      <c r="I58" s="656"/>
      <c r="J58" s="550"/>
      <c r="K58" s="598"/>
      <c r="Q58" s="598"/>
    </row>
    <row r="59" spans="2:17">
      <c r="B59" s="586"/>
      <c r="C59" s="645" t="str">
        <f>"   Depreciation  (TCOS, ln "&amp;TCOS!B174&amp;")"</f>
        <v xml:space="preserve">   Depreciation  (TCOS, ln 100)</v>
      </c>
      <c r="D59" s="573"/>
      <c r="E59" s="550"/>
      <c r="F59" s="674">
        <f>TCOS!L174</f>
        <v>30229400.520023137</v>
      </c>
      <c r="G59" s="674"/>
      <c r="H59" s="657"/>
      <c r="I59" s="656"/>
      <c r="J59" s="550"/>
      <c r="K59" s="598"/>
      <c r="Q59" s="598"/>
    </row>
    <row r="60" spans="2:17">
      <c r="B60" s="586"/>
      <c r="C60" s="1561" t="str">
        <f>"   Annual Rev. Req, w/ "&amp;F17&amp;" Basis Point ROE increase, less Depreciation"</f>
        <v xml:space="preserve">   Annual Rev. Req, w/ 0 Basis Point ROE increase, less Depreciation</v>
      </c>
      <c r="D60" s="1556"/>
      <c r="E60" s="550"/>
      <c r="F60" s="657">
        <f>F58-F59</f>
        <v>112341842.05432022</v>
      </c>
      <c r="G60" s="657"/>
      <c r="H60" s="550"/>
      <c r="I60" s="656"/>
      <c r="J60" s="550"/>
      <c r="K60" s="598"/>
      <c r="Q60" s="598"/>
    </row>
    <row r="61" spans="2:17">
      <c r="B61" s="586"/>
      <c r="C61" s="1556"/>
      <c r="D61" s="1556"/>
      <c r="E61" s="550"/>
      <c r="F61" s="550"/>
      <c r="G61" s="550"/>
      <c r="H61" s="550"/>
      <c r="I61" s="656"/>
      <c r="J61" s="550"/>
      <c r="K61" s="598"/>
      <c r="Q61" s="598"/>
    </row>
    <row r="62" spans="2:17" ht="15.5">
      <c r="B62" s="586"/>
      <c r="C62" s="606" t="str">
        <f>"C.   Determine FCR with hypothetical "&amp;F17&amp;" basis point ROE increase."</f>
        <v>C.   Determine FCR with hypothetical 0 basis point ROE increase.</v>
      </c>
      <c r="D62" s="573"/>
      <c r="E62" s="550"/>
      <c r="F62" s="550"/>
      <c r="G62" s="550"/>
      <c r="H62" s="550"/>
      <c r="I62" s="656"/>
      <c r="J62" s="550"/>
      <c r="K62" s="598"/>
      <c r="Q62" s="598"/>
    </row>
    <row r="63" spans="2:17">
      <c r="B63" s="586"/>
      <c r="C63" s="550"/>
      <c r="D63" s="573"/>
      <c r="E63" s="550"/>
      <c r="F63" s="550"/>
      <c r="G63" s="550"/>
      <c r="H63" s="550"/>
      <c r="I63" s="656"/>
      <c r="J63" s="550"/>
      <c r="K63" s="598"/>
      <c r="Q63" s="598"/>
    </row>
    <row r="64" spans="2:17">
      <c r="B64" s="586"/>
      <c r="C64" s="645" t="str">
        <f>"   Net Transmission Plant  (TCOS, ln "&amp;TCOS!B91&amp;")"</f>
        <v xml:space="preserve">   Net Transmission Plant  (TCOS, ln 42)</v>
      </c>
      <c r="D64" s="573"/>
      <c r="E64" s="550"/>
      <c r="F64" s="657">
        <f>TCOS!L91</f>
        <v>1064621215.2453847</v>
      </c>
      <c r="G64" s="657"/>
      <c r="H64" s="657"/>
      <c r="I64" s="675"/>
      <c r="J64" s="550"/>
      <c r="K64" s="598"/>
      <c r="Q64" s="598"/>
    </row>
    <row r="65" spans="2:17">
      <c r="B65" s="586"/>
      <c r="C65" s="665" t="str">
        <f>"   Annual Revenue Requirement, with "&amp;F17&amp;" Basis Point ROE increase"</f>
        <v xml:space="preserve">   Annual Revenue Requirement, with 0 Basis Point ROE increase</v>
      </c>
      <c r="D65" s="573"/>
      <c r="E65" s="550"/>
      <c r="F65" s="657">
        <f>F58</f>
        <v>142571242.57434335</v>
      </c>
      <c r="G65" s="657"/>
      <c r="H65" s="550"/>
      <c r="I65" s="656"/>
      <c r="J65" s="550"/>
      <c r="K65" s="598"/>
      <c r="Q65" s="598"/>
    </row>
    <row r="66" spans="2:17">
      <c r="B66" s="586"/>
      <c r="C66" s="665" t="str">
        <f>"   FCR with "&amp;F17&amp;" Basis Point increase in ROE"</f>
        <v xml:space="preserve">   FCR with 0 Basis Point increase in ROE</v>
      </c>
      <c r="D66" s="573"/>
      <c r="E66" s="550"/>
      <c r="F66" s="655">
        <f>F65/F64</f>
        <v>0.13391734124092397</v>
      </c>
      <c r="G66" s="655"/>
      <c r="H66" s="655"/>
      <c r="I66" s="656"/>
      <c r="J66" s="550"/>
      <c r="K66" s="598"/>
      <c r="Q66" s="598"/>
    </row>
    <row r="67" spans="2:17">
      <c r="B67" s="586"/>
      <c r="C67" s="375"/>
      <c r="D67" s="573"/>
      <c r="E67" s="550"/>
      <c r="F67" s="586"/>
      <c r="G67" s="586"/>
      <c r="H67" s="550"/>
      <c r="I67" s="656"/>
      <c r="J67" s="550"/>
      <c r="K67" s="598"/>
      <c r="Q67" s="598"/>
    </row>
    <row r="68" spans="2:17">
      <c r="B68" s="586"/>
      <c r="C68" s="665" t="str">
        <f>"   Annual Rev. Req, w / "&amp;F17&amp;" Basis Point ROE increase, less Dep."</f>
        <v xml:space="preserve">   Annual Rev. Req, w / 0 Basis Point ROE increase, less Dep.</v>
      </c>
      <c r="D68" s="573"/>
      <c r="E68" s="550"/>
      <c r="F68" s="657">
        <f>F60</f>
        <v>112341842.05432022</v>
      </c>
      <c r="G68" s="657"/>
      <c r="H68" s="550"/>
      <c r="I68" s="656"/>
      <c r="J68" s="550"/>
      <c r="K68" s="598"/>
      <c r="Q68" s="598"/>
    </row>
    <row r="69" spans="2:17">
      <c r="B69" s="586"/>
      <c r="C69" s="665" t="str">
        <f>"   FCR with "&amp;F17&amp;" Basis Point ROE increase, less Depreciation"</f>
        <v xml:space="preserve">   FCR with 0 Basis Point ROE increase, less Depreciation</v>
      </c>
      <c r="D69" s="573"/>
      <c r="E69" s="550"/>
      <c r="F69" s="655">
        <f>F68/F64</f>
        <v>0.10552282863199051</v>
      </c>
      <c r="G69" s="655"/>
      <c r="H69" s="550"/>
      <c r="I69" s="656"/>
      <c r="J69" s="550"/>
      <c r="K69" s="598"/>
      <c r="Q69" s="598"/>
    </row>
    <row r="70" spans="2:17">
      <c r="B70" s="586"/>
      <c r="C70" s="645" t="str">
        <f>"   FCR less Depreciation  (TCOS, ln "&amp;TCOS!B34&amp;")"</f>
        <v xml:space="preserve">   FCR less Depreciation  (TCOS, ln 10)</v>
      </c>
      <c r="D70" s="573"/>
      <c r="E70" s="550"/>
      <c r="F70" s="676">
        <f>TCOS!L34</f>
        <v>0.10552282863199051</v>
      </c>
      <c r="G70" s="676"/>
      <c r="H70" s="550"/>
      <c r="I70" s="656"/>
      <c r="J70" s="550"/>
      <c r="K70" s="598"/>
      <c r="Q70" s="598"/>
    </row>
    <row r="71" spans="2:17">
      <c r="B71" s="586"/>
      <c r="C71" s="1561" t="str">
        <f>"   Incremental FCR with "&amp;F17&amp;" Basis Point ROE increase, less Depreciation"</f>
        <v xml:space="preserve">   Incremental FCR with 0 Basis Point ROE increase, less Depreciation</v>
      </c>
      <c r="D71" s="1556"/>
      <c r="E71" s="550"/>
      <c r="F71" s="655">
        <f>F69-F70</f>
        <v>0</v>
      </c>
      <c r="G71" s="655"/>
      <c r="H71" s="550"/>
      <c r="I71" s="656"/>
      <c r="J71" s="550"/>
      <c r="K71" s="598"/>
      <c r="Q71" s="598"/>
    </row>
    <row r="72" spans="2:17">
      <c r="B72" s="586"/>
      <c r="C72" s="1556"/>
      <c r="D72" s="1556"/>
      <c r="E72" s="550"/>
      <c r="F72" s="655"/>
      <c r="G72" s="655"/>
      <c r="H72" s="550"/>
      <c r="I72" s="656"/>
      <c r="J72" s="550"/>
      <c r="K72" s="598"/>
      <c r="Q72" s="598"/>
    </row>
    <row r="73" spans="2:17" ht="18">
      <c r="B73" s="605" t="s">
        <v>174</v>
      </c>
      <c r="C73" s="604" t="s">
        <v>268</v>
      </c>
      <c r="D73" s="573"/>
      <c r="E73" s="550"/>
      <c r="F73" s="655"/>
      <c r="G73" s="655"/>
      <c r="H73" s="550"/>
      <c r="I73" s="656"/>
      <c r="J73" s="550"/>
      <c r="K73" s="598"/>
      <c r="Q73" s="598"/>
    </row>
    <row r="74" spans="2:17">
      <c r="B74" s="586"/>
      <c r="C74" s="665"/>
      <c r="D74" s="573"/>
      <c r="E74" s="550"/>
      <c r="F74" s="655"/>
      <c r="G74" s="655"/>
      <c r="H74" s="550"/>
      <c r="I74" s="656"/>
      <c r="J74" s="550"/>
      <c r="K74" s="598"/>
      <c r="Q74" s="598"/>
    </row>
    <row r="75" spans="2:17">
      <c r="B75" s="586"/>
      <c r="C75" s="665" t="str">
        <f>+"Average Transmission Plant Balance for "&amp;TCOS!L4&amp;" (TCOS, ln "&amp;TCOS!B68&amp;")"</f>
        <v>Average Transmission Plant Balance for 2019 (TCOS, ln 21)</v>
      </c>
      <c r="D75" s="573"/>
      <c r="H75" s="656">
        <f>TCOS!L68</f>
        <v>1545033460.3099999</v>
      </c>
      <c r="J75" s="550"/>
      <c r="K75" s="598"/>
      <c r="Q75" s="598"/>
    </row>
    <row r="76" spans="2:17">
      <c r="B76" s="586"/>
      <c r="C76" s="677" t="str">
        <f>"Annual Depreciation and Amortization Expense (TCOS, ln "&amp;TCOS!B174&amp;")"</f>
        <v>Annual Depreciation and Amortization Expense (TCOS, ln 100)</v>
      </c>
      <c r="D76" s="573"/>
      <c r="E76" s="550"/>
      <c r="H76" s="678">
        <f>TCOS!L174</f>
        <v>30229400.520023137</v>
      </c>
      <c r="I76" s="656"/>
      <c r="J76" s="550"/>
      <c r="K76" s="598"/>
      <c r="Q76" s="598"/>
    </row>
    <row r="77" spans="2:17">
      <c r="B77" s="586"/>
      <c r="C77" s="665" t="s">
        <v>269</v>
      </c>
      <c r="D77" s="573"/>
      <c r="E77" s="550"/>
      <c r="H77" s="655">
        <f>+H76/H75</f>
        <v>1.9565531295327301E-2</v>
      </c>
      <c r="I77" s="680"/>
      <c r="J77" s="550"/>
      <c r="K77" s="598"/>
      <c r="Q77" s="598"/>
    </row>
    <row r="78" spans="2:17">
      <c r="B78" s="586"/>
      <c r="C78" s="665" t="s">
        <v>270</v>
      </c>
      <c r="D78" s="573"/>
      <c r="E78" s="550"/>
      <c r="H78" s="680">
        <f>1/H77</f>
        <v>51.110291098449395</v>
      </c>
      <c r="I78" s="656"/>
      <c r="J78" s="550"/>
      <c r="K78" s="598"/>
      <c r="Q78" s="598"/>
    </row>
    <row r="79" spans="2:17">
      <c r="B79" s="586"/>
      <c r="C79" s="665" t="s">
        <v>271</v>
      </c>
      <c r="D79" s="573"/>
      <c r="E79" s="550"/>
      <c r="H79" s="681">
        <f>ROUND(H78,0)</f>
        <v>51</v>
      </c>
      <c r="I79" s="656"/>
      <c r="J79" s="550"/>
      <c r="K79" s="598"/>
      <c r="Q79" s="598"/>
    </row>
    <row r="80" spans="2:17">
      <c r="B80" s="586"/>
      <c r="C80" s="665"/>
      <c r="D80" s="573"/>
      <c r="E80" s="550"/>
      <c r="H80" s="681"/>
      <c r="I80" s="656"/>
      <c r="J80" s="550"/>
      <c r="K80" s="598"/>
      <c r="Q80" s="598"/>
    </row>
    <row r="81" spans="1:17" ht="13">
      <c r="C81" s="682"/>
      <c r="D81" s="683"/>
      <c r="E81" s="683"/>
      <c r="F81" s="683"/>
      <c r="G81" s="683"/>
      <c r="H81" s="679"/>
      <c r="I81" s="679"/>
      <c r="J81" s="684"/>
      <c r="K81" s="684"/>
      <c r="L81" s="684"/>
      <c r="M81" s="684"/>
      <c r="N81" s="684"/>
      <c r="O81" s="684"/>
      <c r="Q81" s="684"/>
    </row>
    <row r="82" spans="1:17" ht="13">
      <c r="B82" s="337"/>
      <c r="C82" s="682"/>
      <c r="D82" s="683"/>
      <c r="E82" s="683"/>
      <c r="F82" s="683"/>
      <c r="G82" s="683"/>
      <c r="H82" s="679"/>
      <c r="I82" s="679"/>
      <c r="J82" s="684"/>
      <c r="K82" s="684"/>
      <c r="L82" s="684"/>
      <c r="M82" s="684"/>
      <c r="N82" s="684"/>
      <c r="O82" s="684"/>
      <c r="Q82" s="684"/>
    </row>
    <row r="83" spans="1:17" ht="20">
      <c r="A83" s="685" t="s">
        <v>774</v>
      </c>
      <c r="B83" s="550"/>
      <c r="C83" s="665"/>
      <c r="D83" s="573"/>
      <c r="E83" s="550"/>
      <c r="F83" s="655"/>
      <c r="G83" s="655"/>
      <c r="H83" s="550"/>
      <c r="I83" s="656"/>
      <c r="L83" s="686"/>
      <c r="M83" s="686"/>
      <c r="N83" s="686"/>
      <c r="O83" s="601" t="str">
        <f>"Page "&amp;SUM(Q$3:Q83)&amp;" of "</f>
        <v xml:space="preserve">Page 2 of </v>
      </c>
      <c r="P83" s="602">
        <f>COUNT(Q$8:Q$58123)</f>
        <v>11</v>
      </c>
      <c r="Q83" s="767">
        <v>1</v>
      </c>
    </row>
    <row r="84" spans="1:17">
      <c r="B84" s="550"/>
      <c r="C84" s="550"/>
      <c r="D84" s="573"/>
      <c r="E84" s="550"/>
      <c r="F84" s="550"/>
      <c r="G84" s="550"/>
      <c r="H84" s="550"/>
      <c r="I84" s="656"/>
      <c r="J84" s="550"/>
      <c r="K84" s="598"/>
      <c r="Q84" s="598"/>
    </row>
    <row r="85" spans="1:17" ht="17">
      <c r="B85" s="605" t="s">
        <v>175</v>
      </c>
      <c r="C85" s="687" t="s">
        <v>291</v>
      </c>
      <c r="D85" s="573"/>
      <c r="E85" s="550"/>
      <c r="F85" s="550"/>
      <c r="G85" s="550"/>
      <c r="H85" s="550"/>
      <c r="I85" s="656"/>
      <c r="J85" s="656"/>
      <c r="K85" s="679"/>
      <c r="L85" s="656"/>
      <c r="M85" s="656"/>
      <c r="N85" s="656"/>
      <c r="O85" s="656"/>
      <c r="Q85" s="679"/>
    </row>
    <row r="86" spans="1:17" ht="18">
      <c r="B86" s="605"/>
      <c r="C86" s="604"/>
      <c r="D86" s="573"/>
      <c r="E86" s="550"/>
      <c r="F86" s="550"/>
      <c r="G86" s="550"/>
      <c r="H86" s="550"/>
      <c r="I86" s="656"/>
      <c r="J86" s="656"/>
      <c r="K86" s="679"/>
      <c r="L86" s="656"/>
      <c r="M86" s="656"/>
      <c r="N86" s="656"/>
      <c r="O86" s="656"/>
      <c r="Q86" s="679"/>
    </row>
    <row r="87" spans="1:17" ht="18">
      <c r="B87" s="605"/>
      <c r="C87" s="604" t="s">
        <v>292</v>
      </c>
      <c r="D87" s="573"/>
      <c r="E87" s="550"/>
      <c r="F87" s="550"/>
      <c r="G87" s="550"/>
      <c r="H87" s="550"/>
      <c r="I87" s="656"/>
      <c r="J87" s="656"/>
      <c r="K87" s="679"/>
      <c r="L87" s="656"/>
      <c r="M87" s="656"/>
      <c r="N87" s="656"/>
      <c r="O87" s="656"/>
      <c r="Q87" s="679"/>
    </row>
    <row r="88" spans="1:17" ht="16" thickBot="1">
      <c r="B88" s="337"/>
      <c r="C88" s="403"/>
      <c r="D88" s="573"/>
      <c r="E88" s="550"/>
      <c r="F88" s="550"/>
      <c r="G88" s="550"/>
      <c r="H88" s="550"/>
      <c r="I88" s="656"/>
      <c r="J88" s="656"/>
      <c r="K88" s="679"/>
      <c r="L88" s="656"/>
      <c r="M88" s="656"/>
      <c r="N88" s="656"/>
      <c r="O88" s="656"/>
      <c r="Q88" s="679"/>
    </row>
    <row r="89" spans="1:17" ht="15.5">
      <c r="B89" s="337"/>
      <c r="C89" s="606" t="s">
        <v>293</v>
      </c>
      <c r="D89" s="573"/>
      <c r="E89" s="550"/>
      <c r="F89" s="550"/>
      <c r="G89" s="550"/>
      <c r="H89" s="877"/>
      <c r="I89" s="550" t="s">
        <v>272</v>
      </c>
      <c r="J89" s="550"/>
      <c r="K89" s="598"/>
      <c r="L89" s="768">
        <f>+J95</f>
        <v>2019</v>
      </c>
      <c r="M89" s="750" t="s">
        <v>255</v>
      </c>
      <c r="N89" s="750" t="s">
        <v>256</v>
      </c>
      <c r="O89" s="751" t="s">
        <v>257</v>
      </c>
      <c r="Q89" s="598"/>
    </row>
    <row r="90" spans="1:17" ht="15.5">
      <c r="B90" s="337"/>
      <c r="C90" s="606"/>
      <c r="D90" s="573"/>
      <c r="E90" s="550"/>
      <c r="F90" s="550"/>
      <c r="H90" s="550"/>
      <c r="I90" s="691"/>
      <c r="J90" s="691"/>
      <c r="K90" s="692"/>
      <c r="L90" s="769" t="s">
        <v>456</v>
      </c>
      <c r="M90" s="770">
        <f>VLOOKUP(J95,C102:P161,10)</f>
        <v>856880.08063543122</v>
      </c>
      <c r="N90" s="770">
        <f>VLOOKUP(J95,C102:P161,12)</f>
        <v>856880.08063543122</v>
      </c>
      <c r="O90" s="771">
        <f>+N90-M90</f>
        <v>0</v>
      </c>
      <c r="Q90" s="692"/>
    </row>
    <row r="91" spans="1:17" ht="13">
      <c r="B91" s="337"/>
      <c r="C91" s="694" t="s">
        <v>294</v>
      </c>
      <c r="D91" s="1547" t="s">
        <v>978</v>
      </c>
      <c r="E91" s="1548"/>
      <c r="F91" s="1548"/>
      <c r="G91" s="1548"/>
      <c r="H91" s="1548"/>
      <c r="I91" s="1548"/>
      <c r="J91" s="656"/>
      <c r="K91" s="679"/>
      <c r="L91" s="769" t="s">
        <v>457</v>
      </c>
      <c r="M91" s="772">
        <f>VLOOKUP(J95,C102:P161,6)</f>
        <v>869686.88863055035</v>
      </c>
      <c r="N91" s="772">
        <f>VLOOKUP(J95,C102:P161,7)</f>
        <v>869686.88863055035</v>
      </c>
      <c r="O91" s="773">
        <f>+N91-M91</f>
        <v>0</v>
      </c>
      <c r="Q91" s="679"/>
    </row>
    <row r="92" spans="1:17" ht="13.5" thickBot="1">
      <c r="B92" s="337"/>
      <c r="C92" s="696"/>
      <c r="D92" s="1548"/>
      <c r="E92" s="1548"/>
      <c r="F92" s="1548"/>
      <c r="G92" s="1548"/>
      <c r="H92" s="1548"/>
      <c r="I92" s="1548"/>
      <c r="J92" s="656"/>
      <c r="K92" s="679"/>
      <c r="L92" s="715" t="s">
        <v>458</v>
      </c>
      <c r="M92" s="774">
        <f>+M91-M90</f>
        <v>12806.807995119132</v>
      </c>
      <c r="N92" s="774">
        <f>+N91-N90</f>
        <v>12806.807995119132</v>
      </c>
      <c r="O92" s="775">
        <f>+O91-O90</f>
        <v>0</v>
      </c>
      <c r="Q92" s="679"/>
    </row>
    <row r="93" spans="1:17" ht="13.5" thickBot="1">
      <c r="B93" s="337"/>
      <c r="C93" s="698"/>
      <c r="D93" s="699"/>
      <c r="E93" s="697"/>
      <c r="F93" s="697"/>
      <c r="G93" s="697"/>
      <c r="H93" s="697"/>
      <c r="I93" s="697"/>
      <c r="J93" s="697"/>
      <c r="K93" s="700"/>
      <c r="L93" s="697"/>
      <c r="M93" s="697"/>
      <c r="N93" s="697"/>
      <c r="O93" s="697"/>
      <c r="P93" s="586"/>
      <c r="Q93" s="700"/>
    </row>
    <row r="94" spans="1:17" ht="13" thickBot="1">
      <c r="A94" s="1324"/>
      <c r="B94" s="337"/>
      <c r="C94" s="701" t="s">
        <v>295</v>
      </c>
      <c r="D94" s="702"/>
      <c r="E94" s="702"/>
      <c r="F94" s="702"/>
      <c r="G94" s="702"/>
      <c r="H94" s="702"/>
      <c r="I94" s="702"/>
      <c r="J94" s="702"/>
      <c r="K94" s="704"/>
      <c r="P94" s="705"/>
      <c r="Q94" s="704"/>
    </row>
    <row r="95" spans="1:17" ht="16">
      <c r="A95" s="1324"/>
      <c r="B95" s="337"/>
      <c r="C95" s="707" t="s">
        <v>273</v>
      </c>
      <c r="D95" s="1282">
        <v>8327150</v>
      </c>
      <c r="E95" s="665" t="s">
        <v>274</v>
      </c>
      <c r="H95" s="708"/>
      <c r="I95" s="708"/>
      <c r="J95" s="709">
        <v>2019</v>
      </c>
      <c r="K95" s="596"/>
      <c r="L95" s="1560" t="s">
        <v>275</v>
      </c>
      <c r="M95" s="1560"/>
      <c r="N95" s="1560"/>
      <c r="O95" s="1560"/>
      <c r="P95" s="598"/>
      <c r="Q95" s="596"/>
    </row>
    <row r="96" spans="1:17">
      <c r="A96" s="1324"/>
      <c r="B96" s="337"/>
      <c r="C96" s="707" t="s">
        <v>276</v>
      </c>
      <c r="D96" s="879">
        <v>2009</v>
      </c>
      <c r="E96" s="707" t="s">
        <v>277</v>
      </c>
      <c r="F96" s="708"/>
      <c r="G96" s="708"/>
      <c r="I96" s="337"/>
      <c r="J96" s="882">
        <v>0</v>
      </c>
      <c r="K96" s="710"/>
      <c r="L96" s="679" t="s">
        <v>476</v>
      </c>
      <c r="P96" s="598"/>
      <c r="Q96" s="710"/>
    </row>
    <row r="97" spans="1:17">
      <c r="A97" s="1324"/>
      <c r="B97" s="337"/>
      <c r="C97" s="707" t="s">
        <v>278</v>
      </c>
      <c r="D97" s="1282">
        <v>6</v>
      </c>
      <c r="E97" s="707" t="s">
        <v>279</v>
      </c>
      <c r="F97" s="708"/>
      <c r="G97" s="708"/>
      <c r="I97" s="337"/>
      <c r="J97" s="711">
        <f>$F$70</f>
        <v>0.10552282863199051</v>
      </c>
      <c r="K97" s="712"/>
      <c r="L97" s="550" t="str">
        <f>"          INPUT TRUE-UP ARR (WITH &amp; WITHOUT INCENTIVES) FROM EACH PRIOR YEAR"</f>
        <v xml:space="preserve">          INPUT TRUE-UP ARR (WITH &amp; WITHOUT INCENTIVES) FROM EACH PRIOR YEAR</v>
      </c>
      <c r="P97" s="598"/>
      <c r="Q97" s="712"/>
    </row>
    <row r="98" spans="1:17">
      <c r="A98" s="1324"/>
      <c r="B98" s="337"/>
      <c r="C98" s="707" t="s">
        <v>280</v>
      </c>
      <c r="D98" s="713">
        <f>H79</f>
        <v>51</v>
      </c>
      <c r="E98" s="707" t="s">
        <v>281</v>
      </c>
      <c r="F98" s="708"/>
      <c r="G98" s="708"/>
      <c r="I98" s="337"/>
      <c r="J98" s="711">
        <f>IF(H89="",J97,$F$69)</f>
        <v>0.10552282863199051</v>
      </c>
      <c r="K98" s="714"/>
      <c r="L98" s="550" t="s">
        <v>363</v>
      </c>
      <c r="M98" s="714"/>
      <c r="N98" s="714"/>
      <c r="O98" s="714"/>
      <c r="P98" s="598"/>
      <c r="Q98" s="714"/>
    </row>
    <row r="99" spans="1:17" ht="13" thickBot="1">
      <c r="A99" s="1324"/>
      <c r="B99" s="337"/>
      <c r="C99" s="707" t="s">
        <v>282</v>
      </c>
      <c r="D99" s="881" t="s">
        <v>979</v>
      </c>
      <c r="E99" s="715" t="s">
        <v>283</v>
      </c>
      <c r="F99" s="716"/>
      <c r="G99" s="716"/>
      <c r="H99" s="717"/>
      <c r="I99" s="717"/>
      <c r="J99" s="695">
        <f>IF(D95=0,0,D95/D98)</f>
        <v>163277.45098039217</v>
      </c>
      <c r="K99" s="679"/>
      <c r="L99" s="679" t="s">
        <v>364</v>
      </c>
      <c r="M99" s="679"/>
      <c r="N99" s="679"/>
      <c r="O99" s="679"/>
      <c r="P99" s="598"/>
      <c r="Q99" s="679"/>
    </row>
    <row r="100" spans="1:17" ht="39">
      <c r="A100" s="537"/>
      <c r="B100" s="537"/>
      <c r="C100" s="718" t="s">
        <v>273</v>
      </c>
      <c r="D100" s="719" t="s">
        <v>284</v>
      </c>
      <c r="E100" s="720" t="s">
        <v>285</v>
      </c>
      <c r="F100" s="719" t="s">
        <v>286</v>
      </c>
      <c r="G100" s="719" t="s">
        <v>459</v>
      </c>
      <c r="H100" s="720" t="s">
        <v>357</v>
      </c>
      <c r="I100" s="721" t="s">
        <v>357</v>
      </c>
      <c r="J100" s="718" t="s">
        <v>296</v>
      </c>
      <c r="K100" s="722"/>
      <c r="L100" s="720" t="s">
        <v>359</v>
      </c>
      <c r="M100" s="720" t="s">
        <v>365</v>
      </c>
      <c r="N100" s="720" t="s">
        <v>359</v>
      </c>
      <c r="O100" s="720" t="s">
        <v>367</v>
      </c>
      <c r="P100" s="720" t="s">
        <v>287</v>
      </c>
      <c r="Q100" s="723"/>
    </row>
    <row r="101" spans="1:17" ht="13.5" thickBot="1">
      <c r="B101" s="337"/>
      <c r="C101" s="724" t="s">
        <v>178</v>
      </c>
      <c r="D101" s="725" t="s">
        <v>179</v>
      </c>
      <c r="E101" s="724" t="s">
        <v>38</v>
      </c>
      <c r="F101" s="725" t="s">
        <v>179</v>
      </c>
      <c r="G101" s="725" t="s">
        <v>179</v>
      </c>
      <c r="H101" s="726" t="s">
        <v>299</v>
      </c>
      <c r="I101" s="727" t="s">
        <v>301</v>
      </c>
      <c r="J101" s="728" t="s">
        <v>390</v>
      </c>
      <c r="K101" s="729"/>
      <c r="L101" s="726" t="s">
        <v>288</v>
      </c>
      <c r="M101" s="726" t="s">
        <v>288</v>
      </c>
      <c r="N101" s="726" t="s">
        <v>468</v>
      </c>
      <c r="O101" s="726" t="s">
        <v>468</v>
      </c>
      <c r="P101" s="726" t="s">
        <v>468</v>
      </c>
      <c r="Q101" s="596"/>
    </row>
    <row r="102" spans="1:17">
      <c r="B102" s="337"/>
      <c r="C102" s="730">
        <f>IF(D96= "","-",D96)</f>
        <v>2009</v>
      </c>
      <c r="D102" s="683">
        <f>+D95</f>
        <v>8327150</v>
      </c>
      <c r="E102" s="731">
        <f>+J99/12*(12-D97)</f>
        <v>81638.725490196084</v>
      </c>
      <c r="F102" s="776">
        <f t="shared" ref="F102:F133" si="0">+D102-E102</f>
        <v>8245511.2745098043</v>
      </c>
      <c r="G102" s="683">
        <f t="shared" ref="G102:G133" si="1">+(D102+F102)/2</f>
        <v>8286330.6372549022</v>
      </c>
      <c r="H102" s="732">
        <f>+J97*G102+E102</f>
        <v>956035.77331325784</v>
      </c>
      <c r="I102" s="733">
        <f>+J98*G102+E102</f>
        <v>956035.77331325784</v>
      </c>
      <c r="J102" s="734">
        <f t="shared" ref="J102:J133" si="2">+I102-H102</f>
        <v>0</v>
      </c>
      <c r="K102" s="734"/>
      <c r="L102" s="735">
        <v>0</v>
      </c>
      <c r="M102" s="777">
        <f t="shared" ref="M102:M133" si="3">IF(L102&lt;&gt;0,+H102-L102,0)</f>
        <v>0</v>
      </c>
      <c r="N102" s="735">
        <v>0</v>
      </c>
      <c r="O102" s="777">
        <f t="shared" ref="O102:O133" si="4">IF(N102&lt;&gt;0,+I102-N102,0)</f>
        <v>0</v>
      </c>
      <c r="P102" s="777">
        <f t="shared" ref="P102:P133" si="5">+O102-M102</f>
        <v>0</v>
      </c>
      <c r="Q102" s="684"/>
    </row>
    <row r="103" spans="1:17">
      <c r="B103" s="337"/>
      <c r="C103" s="730">
        <f>IF(D96="","-",+C102+1)</f>
        <v>2010</v>
      </c>
      <c r="D103" s="683">
        <f t="shared" ref="D103:D134" si="6">F102</f>
        <v>8245511.2745098043</v>
      </c>
      <c r="E103" s="737">
        <f t="shared" ref="E103:E134" si="7">IF(D103&gt;$J$99,$J$99,D103)</f>
        <v>163277.45098039217</v>
      </c>
      <c r="F103" s="737">
        <f t="shared" si="0"/>
        <v>8082233.823529412</v>
      </c>
      <c r="G103" s="683">
        <f t="shared" si="1"/>
        <v>8163872.5490196086</v>
      </c>
      <c r="H103" s="731">
        <f>+J97*G103+E103</f>
        <v>1024752.3749439999</v>
      </c>
      <c r="I103" s="738">
        <f>+J98*G103+E103</f>
        <v>1024752.3749439999</v>
      </c>
      <c r="J103" s="734">
        <f t="shared" si="2"/>
        <v>0</v>
      </c>
      <c r="K103" s="734"/>
      <c r="L103" s="739">
        <v>1408114.4789272889</v>
      </c>
      <c r="M103" s="734">
        <f t="shared" si="3"/>
        <v>-383362.10398328898</v>
      </c>
      <c r="N103" s="739">
        <v>1408114.4789272889</v>
      </c>
      <c r="O103" s="734">
        <f t="shared" si="4"/>
        <v>-383362.10398328898</v>
      </c>
      <c r="P103" s="734">
        <f t="shared" si="5"/>
        <v>0</v>
      </c>
      <c r="Q103" s="684"/>
    </row>
    <row r="104" spans="1:17">
      <c r="B104" s="337"/>
      <c r="C104" s="730">
        <f>IF(D96="","-",+C103+1)</f>
        <v>2011</v>
      </c>
      <c r="D104" s="683">
        <f t="shared" si="6"/>
        <v>8082233.823529412</v>
      </c>
      <c r="E104" s="737">
        <f t="shared" si="7"/>
        <v>163277.45098039217</v>
      </c>
      <c r="F104" s="737">
        <f t="shared" si="0"/>
        <v>7918956.3725490198</v>
      </c>
      <c r="G104" s="683">
        <f t="shared" si="1"/>
        <v>8000595.0980392154</v>
      </c>
      <c r="H104" s="731">
        <f>+J97*G104+E104</f>
        <v>1007522.8764647277</v>
      </c>
      <c r="I104" s="738">
        <f>+J98*G104+E104</f>
        <v>1007522.8764647277</v>
      </c>
      <c r="J104" s="734">
        <f t="shared" si="2"/>
        <v>0</v>
      </c>
      <c r="K104" s="734"/>
      <c r="L104" s="739">
        <v>1487355</v>
      </c>
      <c r="M104" s="734">
        <f t="shared" si="3"/>
        <v>-479832.12353527232</v>
      </c>
      <c r="N104" s="739">
        <v>1487355</v>
      </c>
      <c r="O104" s="734">
        <f t="shared" si="4"/>
        <v>-479832.12353527232</v>
      </c>
      <c r="P104" s="734">
        <f t="shared" si="5"/>
        <v>0</v>
      </c>
      <c r="Q104" s="684"/>
    </row>
    <row r="105" spans="1:17">
      <c r="B105" s="337"/>
      <c r="C105" s="730">
        <f>IF(D96="","-",+C104+1)</f>
        <v>2012</v>
      </c>
      <c r="D105" s="683">
        <f t="shared" si="6"/>
        <v>7918956.3725490198</v>
      </c>
      <c r="E105" s="737">
        <f t="shared" si="7"/>
        <v>163277.45098039217</v>
      </c>
      <c r="F105" s="737">
        <f t="shared" si="0"/>
        <v>7755678.9215686275</v>
      </c>
      <c r="G105" s="683">
        <f t="shared" si="1"/>
        <v>7837317.6470588241</v>
      </c>
      <c r="H105" s="731">
        <f>+J97*G105+E105</f>
        <v>990293.37798545556</v>
      </c>
      <c r="I105" s="738">
        <f>+J98*G105+E105</f>
        <v>990293.37798545556</v>
      </c>
      <c r="J105" s="734">
        <f t="shared" si="2"/>
        <v>0</v>
      </c>
      <c r="K105" s="734"/>
      <c r="L105" s="739">
        <v>1319695.2352555101</v>
      </c>
      <c r="M105" s="734">
        <f t="shared" si="3"/>
        <v>-329401.85727005452</v>
      </c>
      <c r="N105" s="739">
        <v>1319695.2352555101</v>
      </c>
      <c r="O105" s="734">
        <f t="shared" si="4"/>
        <v>-329401.85727005452</v>
      </c>
      <c r="P105" s="734">
        <f t="shared" si="5"/>
        <v>0</v>
      </c>
      <c r="Q105" s="684"/>
    </row>
    <row r="106" spans="1:17">
      <c r="B106" s="337"/>
      <c r="C106" s="730">
        <f>IF(D96="","-",+C105+1)</f>
        <v>2013</v>
      </c>
      <c r="D106" s="683">
        <f t="shared" si="6"/>
        <v>7755678.9215686275</v>
      </c>
      <c r="E106" s="737">
        <f t="shared" si="7"/>
        <v>163277.45098039217</v>
      </c>
      <c r="F106" s="737">
        <f t="shared" si="0"/>
        <v>7592401.4705882352</v>
      </c>
      <c r="G106" s="683">
        <f t="shared" si="1"/>
        <v>7674040.1960784309</v>
      </c>
      <c r="H106" s="731">
        <f>+J97*G106+E106</f>
        <v>973063.87950618332</v>
      </c>
      <c r="I106" s="738">
        <f>+J98*G106+E106</f>
        <v>973063.87950618332</v>
      </c>
      <c r="J106" s="734">
        <f t="shared" si="2"/>
        <v>0</v>
      </c>
      <c r="K106" s="734"/>
      <c r="L106" s="739">
        <v>1272484</v>
      </c>
      <c r="M106" s="734">
        <f t="shared" si="3"/>
        <v>-299420.12049381668</v>
      </c>
      <c r="N106" s="739">
        <v>1272484</v>
      </c>
      <c r="O106" s="734">
        <f t="shared" si="4"/>
        <v>-299420.12049381668</v>
      </c>
      <c r="P106" s="734">
        <f t="shared" si="5"/>
        <v>0</v>
      </c>
      <c r="Q106" s="684"/>
    </row>
    <row r="107" spans="1:17">
      <c r="B107" s="337"/>
      <c r="C107" s="730">
        <f>IF(D96="","-",+C106+1)</f>
        <v>2014</v>
      </c>
      <c r="D107" s="683">
        <f t="shared" si="6"/>
        <v>7592401.4705882352</v>
      </c>
      <c r="E107" s="737">
        <f t="shared" si="7"/>
        <v>163277.45098039217</v>
      </c>
      <c r="F107" s="737">
        <f t="shared" si="0"/>
        <v>7429124.0196078429</v>
      </c>
      <c r="G107" s="683">
        <f t="shared" si="1"/>
        <v>7510762.7450980395</v>
      </c>
      <c r="H107" s="731">
        <f>+J97*G107+E107</f>
        <v>955834.3810269112</v>
      </c>
      <c r="I107" s="738">
        <f>+J98*G107+E107</f>
        <v>955834.3810269112</v>
      </c>
      <c r="J107" s="734">
        <f t="shared" si="2"/>
        <v>0</v>
      </c>
      <c r="K107" s="734"/>
      <c r="L107" s="739">
        <v>1249385</v>
      </c>
      <c r="M107" s="734">
        <f t="shared" si="3"/>
        <v>-293550.6189730888</v>
      </c>
      <c r="N107" s="739">
        <v>1249385</v>
      </c>
      <c r="O107" s="734">
        <f t="shared" si="4"/>
        <v>-293550.6189730888</v>
      </c>
      <c r="P107" s="734">
        <f t="shared" si="5"/>
        <v>0</v>
      </c>
      <c r="Q107" s="684"/>
    </row>
    <row r="108" spans="1:17">
      <c r="B108" s="337"/>
      <c r="C108" s="730">
        <f>IF(D96="","-",+C107+1)</f>
        <v>2015</v>
      </c>
      <c r="D108" s="683">
        <f t="shared" si="6"/>
        <v>7429124.0196078429</v>
      </c>
      <c r="E108" s="737">
        <f t="shared" si="7"/>
        <v>163277.45098039217</v>
      </c>
      <c r="F108" s="737">
        <f t="shared" si="0"/>
        <v>7265846.5686274506</v>
      </c>
      <c r="G108" s="683">
        <f t="shared" si="1"/>
        <v>7347485.2941176463</v>
      </c>
      <c r="H108" s="731">
        <f>+J97*G108+E108</f>
        <v>938604.88254763896</v>
      </c>
      <c r="I108" s="738">
        <f>+J98*G108+E108</f>
        <v>938604.88254763896</v>
      </c>
      <c r="J108" s="734">
        <f t="shared" si="2"/>
        <v>0</v>
      </c>
      <c r="K108" s="734"/>
      <c r="L108" s="739">
        <v>1278273</v>
      </c>
      <c r="M108" s="734">
        <f t="shared" si="3"/>
        <v>-339668.11745236104</v>
      </c>
      <c r="N108" s="739">
        <v>1278273</v>
      </c>
      <c r="O108" s="734">
        <f t="shared" si="4"/>
        <v>-339668.11745236104</v>
      </c>
      <c r="P108" s="734">
        <f t="shared" si="5"/>
        <v>0</v>
      </c>
      <c r="Q108" s="684"/>
    </row>
    <row r="109" spans="1:17">
      <c r="B109" s="337"/>
      <c r="C109" s="730">
        <f>IF(D96="","-",+C108+1)</f>
        <v>2016</v>
      </c>
      <c r="D109" s="683">
        <f t="shared" si="6"/>
        <v>7265846.5686274506</v>
      </c>
      <c r="E109" s="737">
        <f t="shared" si="7"/>
        <v>163277.45098039217</v>
      </c>
      <c r="F109" s="737">
        <f t="shared" si="0"/>
        <v>7102569.1176470583</v>
      </c>
      <c r="G109" s="683">
        <f t="shared" si="1"/>
        <v>7184207.8431372549</v>
      </c>
      <c r="H109" s="731">
        <f>+J97*G109+E109</f>
        <v>921375.38406836696</v>
      </c>
      <c r="I109" s="738">
        <f>+J98*G109+E109</f>
        <v>921375.38406836696</v>
      </c>
      <c r="J109" s="734">
        <f t="shared" si="2"/>
        <v>0</v>
      </c>
      <c r="K109" s="734"/>
      <c r="L109" s="739">
        <v>1254654</v>
      </c>
      <c r="M109" s="734">
        <f t="shared" si="3"/>
        <v>-333278.61593163304</v>
      </c>
      <c r="N109" s="739">
        <v>1254654</v>
      </c>
      <c r="O109" s="734">
        <f t="shared" si="4"/>
        <v>-333278.61593163304</v>
      </c>
      <c r="P109" s="734">
        <f t="shared" si="5"/>
        <v>0</v>
      </c>
      <c r="Q109" s="684"/>
    </row>
    <row r="110" spans="1:17">
      <c r="B110" s="337"/>
      <c r="C110" s="730">
        <f>IF(D96="","-",+C109+1)</f>
        <v>2017</v>
      </c>
      <c r="D110" s="683">
        <f t="shared" si="6"/>
        <v>7102569.1176470583</v>
      </c>
      <c r="E110" s="737">
        <f t="shared" si="7"/>
        <v>163277.45098039217</v>
      </c>
      <c r="F110" s="737">
        <f t="shared" si="0"/>
        <v>6939291.666666666</v>
      </c>
      <c r="G110" s="683">
        <f t="shared" si="1"/>
        <v>7020930.3921568617</v>
      </c>
      <c r="H110" s="731">
        <f>+J97*G110+E110</f>
        <v>904145.8855890946</v>
      </c>
      <c r="I110" s="738">
        <f>+J98*G110+E110</f>
        <v>904145.8855890946</v>
      </c>
      <c r="J110" s="734">
        <f t="shared" si="2"/>
        <v>0</v>
      </c>
      <c r="K110" s="734"/>
      <c r="L110" s="739">
        <v>1132871</v>
      </c>
      <c r="M110" s="734">
        <f t="shared" si="3"/>
        <v>-228725.1144109054</v>
      </c>
      <c r="N110" s="739">
        <v>1132871</v>
      </c>
      <c r="O110" s="734">
        <f t="shared" si="4"/>
        <v>-228725.1144109054</v>
      </c>
      <c r="P110" s="734">
        <f t="shared" si="5"/>
        <v>0</v>
      </c>
      <c r="Q110" s="684"/>
    </row>
    <row r="111" spans="1:17">
      <c r="B111" s="337"/>
      <c r="C111" s="730">
        <f>IF(D96="","-",+C110+1)</f>
        <v>2018</v>
      </c>
      <c r="D111" s="1464">
        <f t="shared" si="6"/>
        <v>6939291.666666666</v>
      </c>
      <c r="E111" s="737">
        <f t="shared" si="7"/>
        <v>163277.45098039217</v>
      </c>
      <c r="F111" s="737">
        <f t="shared" si="0"/>
        <v>6776014.2156862738</v>
      </c>
      <c r="G111" s="683">
        <f t="shared" si="1"/>
        <v>6857652.9411764704</v>
      </c>
      <c r="H111" s="731">
        <f>+J97*G111+E111</f>
        <v>886916.38710982259</v>
      </c>
      <c r="I111" s="738">
        <f>+J98*G111+E111</f>
        <v>886916.38710982259</v>
      </c>
      <c r="J111" s="734">
        <f t="shared" si="2"/>
        <v>0</v>
      </c>
      <c r="K111" s="734"/>
      <c r="L111" s="739">
        <v>933326</v>
      </c>
      <c r="M111" s="734">
        <f t="shared" si="3"/>
        <v>-46409.612890177406</v>
      </c>
      <c r="N111" s="739">
        <v>933326</v>
      </c>
      <c r="O111" s="734">
        <f t="shared" si="4"/>
        <v>-46409.612890177406</v>
      </c>
      <c r="P111" s="734">
        <f t="shared" si="5"/>
        <v>0</v>
      </c>
      <c r="Q111" s="684"/>
    </row>
    <row r="112" spans="1:17">
      <c r="B112" s="337"/>
      <c r="C112" s="730">
        <f>IF(D96="","-",+C111+1)</f>
        <v>2019</v>
      </c>
      <c r="D112" s="683">
        <f t="shared" si="6"/>
        <v>6776014.2156862738</v>
      </c>
      <c r="E112" s="737">
        <f t="shared" si="7"/>
        <v>163277.45098039217</v>
      </c>
      <c r="F112" s="737">
        <f t="shared" si="0"/>
        <v>6612736.7647058815</v>
      </c>
      <c r="G112" s="683">
        <f t="shared" si="1"/>
        <v>6694375.4901960772</v>
      </c>
      <c r="H112" s="731">
        <f>+J97*G112+E112</f>
        <v>869686.88863055035</v>
      </c>
      <c r="I112" s="738">
        <f>+J98*G112+E112</f>
        <v>869686.88863055035</v>
      </c>
      <c r="J112" s="734">
        <f t="shared" si="2"/>
        <v>0</v>
      </c>
      <c r="K112" s="734"/>
      <c r="L112" s="739">
        <v>856880.08063543122</v>
      </c>
      <c r="M112" s="734">
        <f t="shared" si="3"/>
        <v>12806.807995119132</v>
      </c>
      <c r="N112" s="739">
        <v>856880.08063543122</v>
      </c>
      <c r="O112" s="734">
        <f t="shared" si="4"/>
        <v>12806.807995119132</v>
      </c>
      <c r="P112" s="734">
        <f t="shared" si="5"/>
        <v>0</v>
      </c>
      <c r="Q112" s="684"/>
    </row>
    <row r="113" spans="2:17">
      <c r="B113" s="337"/>
      <c r="C113" s="730">
        <f>IF(D96="","-",+C112+1)</f>
        <v>2020</v>
      </c>
      <c r="D113" s="683">
        <f t="shared" si="6"/>
        <v>6612736.7647058815</v>
      </c>
      <c r="E113" s="737">
        <f t="shared" si="7"/>
        <v>163277.45098039217</v>
      </c>
      <c r="F113" s="737">
        <f t="shared" si="0"/>
        <v>6449459.3137254892</v>
      </c>
      <c r="G113" s="683">
        <f t="shared" si="1"/>
        <v>6531098.0392156858</v>
      </c>
      <c r="H113" s="731">
        <f>+J97*G113+E113</f>
        <v>852457.39015127823</v>
      </c>
      <c r="I113" s="738">
        <f>+J98*G113+E113</f>
        <v>852457.39015127823</v>
      </c>
      <c r="J113" s="734">
        <f t="shared" si="2"/>
        <v>0</v>
      </c>
      <c r="K113" s="734"/>
      <c r="L113" s="739"/>
      <c r="M113" s="734">
        <f t="shared" si="3"/>
        <v>0</v>
      </c>
      <c r="N113" s="739"/>
      <c r="O113" s="734">
        <f t="shared" si="4"/>
        <v>0</v>
      </c>
      <c r="P113" s="734">
        <f t="shared" si="5"/>
        <v>0</v>
      </c>
      <c r="Q113" s="684"/>
    </row>
    <row r="114" spans="2:17">
      <c r="B114" s="337"/>
      <c r="C114" s="730">
        <f>IF(D96="","-",+C113+1)</f>
        <v>2021</v>
      </c>
      <c r="D114" s="683">
        <f t="shared" si="6"/>
        <v>6449459.3137254892</v>
      </c>
      <c r="E114" s="737">
        <f t="shared" si="7"/>
        <v>163277.45098039217</v>
      </c>
      <c r="F114" s="737">
        <f t="shared" si="0"/>
        <v>6286181.8627450969</v>
      </c>
      <c r="G114" s="683">
        <f t="shared" si="1"/>
        <v>6367820.5882352926</v>
      </c>
      <c r="H114" s="731">
        <f>+J97*G114+E114</f>
        <v>835227.89167200599</v>
      </c>
      <c r="I114" s="738">
        <f>+J98*G114+E114</f>
        <v>835227.89167200599</v>
      </c>
      <c r="J114" s="734">
        <f t="shared" si="2"/>
        <v>0</v>
      </c>
      <c r="K114" s="734"/>
      <c r="L114" s="739"/>
      <c r="M114" s="734">
        <f t="shared" si="3"/>
        <v>0</v>
      </c>
      <c r="N114" s="739"/>
      <c r="O114" s="734">
        <f t="shared" si="4"/>
        <v>0</v>
      </c>
      <c r="P114" s="734">
        <f t="shared" si="5"/>
        <v>0</v>
      </c>
      <c r="Q114" s="684"/>
    </row>
    <row r="115" spans="2:17">
      <c r="B115" s="337"/>
      <c r="C115" s="730">
        <f>IF(D96="","-",+C114+1)</f>
        <v>2022</v>
      </c>
      <c r="D115" s="683">
        <f t="shared" si="6"/>
        <v>6286181.8627450969</v>
      </c>
      <c r="E115" s="737">
        <f t="shared" si="7"/>
        <v>163277.45098039217</v>
      </c>
      <c r="F115" s="737">
        <f t="shared" si="0"/>
        <v>6122904.4117647046</v>
      </c>
      <c r="G115" s="683">
        <f t="shared" si="1"/>
        <v>6204543.1372549012</v>
      </c>
      <c r="H115" s="731">
        <f>+J97*G115+E115</f>
        <v>817998.39319273387</v>
      </c>
      <c r="I115" s="738">
        <f>+J98*G115+E115</f>
        <v>817998.39319273387</v>
      </c>
      <c r="J115" s="734">
        <f t="shared" si="2"/>
        <v>0</v>
      </c>
      <c r="K115" s="734"/>
      <c r="L115" s="739"/>
      <c r="M115" s="734">
        <f t="shared" si="3"/>
        <v>0</v>
      </c>
      <c r="N115" s="739"/>
      <c r="O115" s="734">
        <f t="shared" si="4"/>
        <v>0</v>
      </c>
      <c r="P115" s="734">
        <f t="shared" si="5"/>
        <v>0</v>
      </c>
      <c r="Q115" s="684"/>
    </row>
    <row r="116" spans="2:17">
      <c r="B116" s="337"/>
      <c r="C116" s="730">
        <f>IF(D96="","-",+C115+1)</f>
        <v>2023</v>
      </c>
      <c r="D116" s="683">
        <f t="shared" si="6"/>
        <v>6122904.4117647046</v>
      </c>
      <c r="E116" s="737">
        <f t="shared" si="7"/>
        <v>163277.45098039217</v>
      </c>
      <c r="F116" s="737">
        <f t="shared" si="0"/>
        <v>5959626.9607843123</v>
      </c>
      <c r="G116" s="683">
        <f t="shared" si="1"/>
        <v>6041265.686274508</v>
      </c>
      <c r="H116" s="731">
        <f>+J97*G116+E116</f>
        <v>800768.89471346163</v>
      </c>
      <c r="I116" s="738">
        <f>+J98*G116+E116</f>
        <v>800768.89471346163</v>
      </c>
      <c r="J116" s="734">
        <f t="shared" si="2"/>
        <v>0</v>
      </c>
      <c r="K116" s="734"/>
      <c r="L116" s="739"/>
      <c r="M116" s="734">
        <f t="shared" si="3"/>
        <v>0</v>
      </c>
      <c r="N116" s="739"/>
      <c r="O116" s="734">
        <f t="shared" si="4"/>
        <v>0</v>
      </c>
      <c r="P116" s="734">
        <f t="shared" si="5"/>
        <v>0</v>
      </c>
      <c r="Q116" s="684"/>
    </row>
    <row r="117" spans="2:17">
      <c r="B117" s="337"/>
      <c r="C117" s="730">
        <f>IF(D96="","-",+C116+1)</f>
        <v>2024</v>
      </c>
      <c r="D117" s="683">
        <f t="shared" si="6"/>
        <v>5959626.9607843123</v>
      </c>
      <c r="E117" s="737">
        <f t="shared" si="7"/>
        <v>163277.45098039217</v>
      </c>
      <c r="F117" s="737">
        <f t="shared" si="0"/>
        <v>5796349.5098039201</v>
      </c>
      <c r="G117" s="683">
        <f t="shared" si="1"/>
        <v>5877988.2352941167</v>
      </c>
      <c r="H117" s="731">
        <f>+J97*G117+E117</f>
        <v>783539.39623418963</v>
      </c>
      <c r="I117" s="738">
        <f>+J98*G117+E117</f>
        <v>783539.39623418963</v>
      </c>
      <c r="J117" s="734">
        <f t="shared" si="2"/>
        <v>0</v>
      </c>
      <c r="K117" s="734"/>
      <c r="L117" s="739"/>
      <c r="M117" s="734">
        <f t="shared" si="3"/>
        <v>0</v>
      </c>
      <c r="N117" s="739"/>
      <c r="O117" s="734">
        <f t="shared" si="4"/>
        <v>0</v>
      </c>
      <c r="P117" s="734">
        <f t="shared" si="5"/>
        <v>0</v>
      </c>
      <c r="Q117" s="684"/>
    </row>
    <row r="118" spans="2:17">
      <c r="B118" s="337"/>
      <c r="C118" s="730">
        <f>IF(D96="","-",+C117+1)</f>
        <v>2025</v>
      </c>
      <c r="D118" s="683">
        <f t="shared" si="6"/>
        <v>5796349.5098039201</v>
      </c>
      <c r="E118" s="737">
        <f t="shared" si="7"/>
        <v>163277.45098039217</v>
      </c>
      <c r="F118" s="737">
        <f t="shared" si="0"/>
        <v>5633072.0588235278</v>
      </c>
      <c r="G118" s="683">
        <f t="shared" si="1"/>
        <v>5714710.7843137234</v>
      </c>
      <c r="H118" s="731">
        <f>+J97*G118+E118</f>
        <v>766309.89775491727</v>
      </c>
      <c r="I118" s="738">
        <f>+J98*G118+E118</f>
        <v>766309.89775491727</v>
      </c>
      <c r="J118" s="734">
        <f t="shared" si="2"/>
        <v>0</v>
      </c>
      <c r="K118" s="734"/>
      <c r="L118" s="739"/>
      <c r="M118" s="734">
        <f t="shared" si="3"/>
        <v>0</v>
      </c>
      <c r="N118" s="739"/>
      <c r="O118" s="734">
        <f t="shared" si="4"/>
        <v>0</v>
      </c>
      <c r="P118" s="734">
        <f t="shared" si="5"/>
        <v>0</v>
      </c>
      <c r="Q118" s="684"/>
    </row>
    <row r="119" spans="2:17">
      <c r="B119" s="337"/>
      <c r="C119" s="730">
        <f>IF(D96="","-",+C118+1)</f>
        <v>2026</v>
      </c>
      <c r="D119" s="683">
        <f t="shared" si="6"/>
        <v>5633072.0588235278</v>
      </c>
      <c r="E119" s="737">
        <f t="shared" si="7"/>
        <v>163277.45098039217</v>
      </c>
      <c r="F119" s="737">
        <f t="shared" si="0"/>
        <v>5469794.6078431355</v>
      </c>
      <c r="G119" s="683">
        <f t="shared" si="1"/>
        <v>5551433.3333333321</v>
      </c>
      <c r="H119" s="731">
        <f>+J97*G119+E119</f>
        <v>749080.39927564526</v>
      </c>
      <c r="I119" s="738">
        <f>+J98*G119+E119</f>
        <v>749080.39927564526</v>
      </c>
      <c r="J119" s="734">
        <f t="shared" si="2"/>
        <v>0</v>
      </c>
      <c r="K119" s="734"/>
      <c r="L119" s="739"/>
      <c r="M119" s="734">
        <f t="shared" si="3"/>
        <v>0</v>
      </c>
      <c r="N119" s="739"/>
      <c r="O119" s="734">
        <f t="shared" si="4"/>
        <v>0</v>
      </c>
      <c r="P119" s="734">
        <f t="shared" si="5"/>
        <v>0</v>
      </c>
      <c r="Q119" s="684"/>
    </row>
    <row r="120" spans="2:17">
      <c r="B120" s="337"/>
      <c r="C120" s="730">
        <f>IF(D96="","-",+C119+1)</f>
        <v>2027</v>
      </c>
      <c r="D120" s="683">
        <f t="shared" si="6"/>
        <v>5469794.6078431355</v>
      </c>
      <c r="E120" s="737">
        <f t="shared" si="7"/>
        <v>163277.45098039217</v>
      </c>
      <c r="F120" s="737">
        <f t="shared" si="0"/>
        <v>5306517.1568627432</v>
      </c>
      <c r="G120" s="683">
        <f t="shared" si="1"/>
        <v>5388155.8823529389</v>
      </c>
      <c r="H120" s="731">
        <f>+J97*G120+E120</f>
        <v>731850.90079637303</v>
      </c>
      <c r="I120" s="738">
        <f>+J98*G120+E120</f>
        <v>731850.90079637303</v>
      </c>
      <c r="J120" s="734">
        <f t="shared" si="2"/>
        <v>0</v>
      </c>
      <c r="K120" s="734"/>
      <c r="L120" s="739"/>
      <c r="M120" s="734">
        <f t="shared" si="3"/>
        <v>0</v>
      </c>
      <c r="N120" s="739"/>
      <c r="O120" s="734">
        <f t="shared" si="4"/>
        <v>0</v>
      </c>
      <c r="P120" s="734">
        <f t="shared" si="5"/>
        <v>0</v>
      </c>
      <c r="Q120" s="684"/>
    </row>
    <row r="121" spans="2:17">
      <c r="B121" s="337"/>
      <c r="C121" s="730">
        <f>IF(D96="","-",+C120+1)</f>
        <v>2028</v>
      </c>
      <c r="D121" s="683">
        <f t="shared" si="6"/>
        <v>5306517.1568627432</v>
      </c>
      <c r="E121" s="737">
        <f t="shared" si="7"/>
        <v>163277.45098039217</v>
      </c>
      <c r="F121" s="737">
        <f t="shared" si="0"/>
        <v>5143239.7058823509</v>
      </c>
      <c r="G121" s="683">
        <f t="shared" si="1"/>
        <v>5224878.4313725475</v>
      </c>
      <c r="H121" s="731">
        <f>+J97*G121+E121</f>
        <v>714621.4023171009</v>
      </c>
      <c r="I121" s="738">
        <f>+J98*G121+E121</f>
        <v>714621.4023171009</v>
      </c>
      <c r="J121" s="734">
        <f t="shared" si="2"/>
        <v>0</v>
      </c>
      <c r="K121" s="734"/>
      <c r="L121" s="739"/>
      <c r="M121" s="734">
        <f t="shared" si="3"/>
        <v>0</v>
      </c>
      <c r="N121" s="739"/>
      <c r="O121" s="734">
        <f t="shared" si="4"/>
        <v>0</v>
      </c>
      <c r="P121" s="734">
        <f t="shared" si="5"/>
        <v>0</v>
      </c>
      <c r="Q121" s="684"/>
    </row>
    <row r="122" spans="2:17">
      <c r="B122" s="337"/>
      <c r="C122" s="730">
        <f>IF(D96="","-",+C121+1)</f>
        <v>2029</v>
      </c>
      <c r="D122" s="683">
        <f t="shared" si="6"/>
        <v>5143239.7058823509</v>
      </c>
      <c r="E122" s="737">
        <f t="shared" si="7"/>
        <v>163277.45098039217</v>
      </c>
      <c r="F122" s="737">
        <f t="shared" si="0"/>
        <v>4979962.2549019586</v>
      </c>
      <c r="G122" s="683">
        <f t="shared" si="1"/>
        <v>5061600.9803921543</v>
      </c>
      <c r="H122" s="731">
        <f>+J97*G122+E122</f>
        <v>697391.90383782866</v>
      </c>
      <c r="I122" s="738">
        <f>+J98*G122+E122</f>
        <v>697391.90383782866</v>
      </c>
      <c r="J122" s="734">
        <f t="shared" si="2"/>
        <v>0</v>
      </c>
      <c r="K122" s="734"/>
      <c r="L122" s="739"/>
      <c r="M122" s="734">
        <f t="shared" si="3"/>
        <v>0</v>
      </c>
      <c r="N122" s="739"/>
      <c r="O122" s="734">
        <f t="shared" si="4"/>
        <v>0</v>
      </c>
      <c r="P122" s="734">
        <f t="shared" si="5"/>
        <v>0</v>
      </c>
      <c r="Q122" s="684"/>
    </row>
    <row r="123" spans="2:17">
      <c r="B123" s="337"/>
      <c r="C123" s="730">
        <f>IF(D96="","-",+C122+1)</f>
        <v>2030</v>
      </c>
      <c r="D123" s="683">
        <f t="shared" si="6"/>
        <v>4979962.2549019586</v>
      </c>
      <c r="E123" s="737">
        <f t="shared" si="7"/>
        <v>163277.45098039217</v>
      </c>
      <c r="F123" s="737">
        <f t="shared" si="0"/>
        <v>4816684.8039215663</v>
      </c>
      <c r="G123" s="683">
        <f t="shared" si="1"/>
        <v>4898323.529411763</v>
      </c>
      <c r="H123" s="731">
        <f>+J97*G123+E123</f>
        <v>680162.40535855666</v>
      </c>
      <c r="I123" s="738">
        <f>+J98*G123+E123</f>
        <v>680162.40535855666</v>
      </c>
      <c r="J123" s="734">
        <f t="shared" si="2"/>
        <v>0</v>
      </c>
      <c r="K123" s="734"/>
      <c r="L123" s="739"/>
      <c r="M123" s="734">
        <f t="shared" si="3"/>
        <v>0</v>
      </c>
      <c r="N123" s="739"/>
      <c r="O123" s="734">
        <f t="shared" si="4"/>
        <v>0</v>
      </c>
      <c r="P123" s="734">
        <f t="shared" si="5"/>
        <v>0</v>
      </c>
      <c r="Q123" s="684"/>
    </row>
    <row r="124" spans="2:17">
      <c r="B124" s="337"/>
      <c r="C124" s="730">
        <f>IF(D96="","-",+C123+1)</f>
        <v>2031</v>
      </c>
      <c r="D124" s="683">
        <f t="shared" si="6"/>
        <v>4816684.8039215663</v>
      </c>
      <c r="E124" s="737">
        <f t="shared" si="7"/>
        <v>163277.45098039217</v>
      </c>
      <c r="F124" s="737">
        <f t="shared" si="0"/>
        <v>4653407.3529411741</v>
      </c>
      <c r="G124" s="683">
        <f t="shared" si="1"/>
        <v>4735046.0784313697</v>
      </c>
      <c r="H124" s="731">
        <f>+J97*G124+E124</f>
        <v>662932.9068792843</v>
      </c>
      <c r="I124" s="738">
        <f>+J98*G124+E124</f>
        <v>662932.9068792843</v>
      </c>
      <c r="J124" s="734">
        <f t="shared" si="2"/>
        <v>0</v>
      </c>
      <c r="K124" s="734"/>
      <c r="L124" s="739"/>
      <c r="M124" s="734">
        <f t="shared" si="3"/>
        <v>0</v>
      </c>
      <c r="N124" s="739"/>
      <c r="O124" s="734">
        <f t="shared" si="4"/>
        <v>0</v>
      </c>
      <c r="P124" s="734">
        <f t="shared" si="5"/>
        <v>0</v>
      </c>
      <c r="Q124" s="684"/>
    </row>
    <row r="125" spans="2:17">
      <c r="B125" s="337"/>
      <c r="C125" s="730">
        <f>IF(D96="","-",+C124+1)</f>
        <v>2032</v>
      </c>
      <c r="D125" s="683">
        <f t="shared" si="6"/>
        <v>4653407.3529411741</v>
      </c>
      <c r="E125" s="737">
        <f t="shared" si="7"/>
        <v>163277.45098039217</v>
      </c>
      <c r="F125" s="737">
        <f t="shared" si="0"/>
        <v>4490129.9019607818</v>
      </c>
      <c r="G125" s="683">
        <f t="shared" si="1"/>
        <v>4571768.6274509784</v>
      </c>
      <c r="H125" s="731">
        <f>+J97*G125+E125</f>
        <v>645703.40840001218</v>
      </c>
      <c r="I125" s="738">
        <f>+J98*G125+E125</f>
        <v>645703.40840001218</v>
      </c>
      <c r="J125" s="734">
        <f t="shared" si="2"/>
        <v>0</v>
      </c>
      <c r="K125" s="734"/>
      <c r="L125" s="739"/>
      <c r="M125" s="734">
        <f t="shared" si="3"/>
        <v>0</v>
      </c>
      <c r="N125" s="739"/>
      <c r="O125" s="734">
        <f t="shared" si="4"/>
        <v>0</v>
      </c>
      <c r="P125" s="734">
        <f t="shared" si="5"/>
        <v>0</v>
      </c>
      <c r="Q125" s="684"/>
    </row>
    <row r="126" spans="2:17">
      <c r="B126" s="337"/>
      <c r="C126" s="730">
        <f>IF(D96="","-",+C125+1)</f>
        <v>2033</v>
      </c>
      <c r="D126" s="683">
        <f t="shared" si="6"/>
        <v>4490129.9019607818</v>
      </c>
      <c r="E126" s="737">
        <f t="shared" si="7"/>
        <v>163277.45098039217</v>
      </c>
      <c r="F126" s="737">
        <f t="shared" si="0"/>
        <v>4326852.4509803895</v>
      </c>
      <c r="G126" s="683">
        <f t="shared" si="1"/>
        <v>4408491.1764705852</v>
      </c>
      <c r="H126" s="731">
        <f>+J97*G126+E126</f>
        <v>628473.90992073994</v>
      </c>
      <c r="I126" s="738">
        <f>+J98*G126+E126</f>
        <v>628473.90992073994</v>
      </c>
      <c r="J126" s="734">
        <f t="shared" si="2"/>
        <v>0</v>
      </c>
      <c r="K126" s="734"/>
      <c r="L126" s="739"/>
      <c r="M126" s="734">
        <f t="shared" si="3"/>
        <v>0</v>
      </c>
      <c r="N126" s="739"/>
      <c r="O126" s="734">
        <f t="shared" si="4"/>
        <v>0</v>
      </c>
      <c r="P126" s="734">
        <f t="shared" si="5"/>
        <v>0</v>
      </c>
      <c r="Q126" s="684"/>
    </row>
    <row r="127" spans="2:17">
      <c r="B127" s="337"/>
      <c r="C127" s="730">
        <f>IF(D96="","-",+C126+1)</f>
        <v>2034</v>
      </c>
      <c r="D127" s="683">
        <f t="shared" si="6"/>
        <v>4326852.4509803895</v>
      </c>
      <c r="E127" s="737">
        <f t="shared" si="7"/>
        <v>163277.45098039217</v>
      </c>
      <c r="F127" s="737">
        <f t="shared" si="0"/>
        <v>4163574.9999999972</v>
      </c>
      <c r="G127" s="683">
        <f t="shared" si="1"/>
        <v>4245213.7254901938</v>
      </c>
      <c r="H127" s="731">
        <f>+J97*G127+E127</f>
        <v>611244.41144146794</v>
      </c>
      <c r="I127" s="738">
        <f>+J98*G127+E127</f>
        <v>611244.41144146794</v>
      </c>
      <c r="J127" s="734">
        <f t="shared" si="2"/>
        <v>0</v>
      </c>
      <c r="K127" s="734"/>
      <c r="L127" s="739"/>
      <c r="M127" s="734">
        <f t="shared" si="3"/>
        <v>0</v>
      </c>
      <c r="N127" s="739"/>
      <c r="O127" s="734">
        <f t="shared" si="4"/>
        <v>0</v>
      </c>
      <c r="P127" s="734">
        <f t="shared" si="5"/>
        <v>0</v>
      </c>
      <c r="Q127" s="684"/>
    </row>
    <row r="128" spans="2:17">
      <c r="B128" s="337"/>
      <c r="C128" s="730">
        <f>IF(D96="","-",+C127+1)</f>
        <v>2035</v>
      </c>
      <c r="D128" s="683">
        <f t="shared" si="6"/>
        <v>4163574.9999999972</v>
      </c>
      <c r="E128" s="737">
        <f t="shared" si="7"/>
        <v>163277.45098039217</v>
      </c>
      <c r="F128" s="737">
        <f t="shared" si="0"/>
        <v>4000297.5490196049</v>
      </c>
      <c r="G128" s="683">
        <f t="shared" si="1"/>
        <v>4081936.2745098011</v>
      </c>
      <c r="H128" s="731">
        <f>+J97*G128+E128</f>
        <v>594014.9129621957</v>
      </c>
      <c r="I128" s="738">
        <f>+J98*G128+E128</f>
        <v>594014.9129621957</v>
      </c>
      <c r="J128" s="734">
        <f t="shared" si="2"/>
        <v>0</v>
      </c>
      <c r="K128" s="734"/>
      <c r="L128" s="739"/>
      <c r="M128" s="734">
        <f t="shared" si="3"/>
        <v>0</v>
      </c>
      <c r="N128" s="739"/>
      <c r="O128" s="734">
        <f t="shared" si="4"/>
        <v>0</v>
      </c>
      <c r="P128" s="734">
        <f t="shared" si="5"/>
        <v>0</v>
      </c>
      <c r="Q128" s="684"/>
    </row>
    <row r="129" spans="2:17">
      <c r="B129" s="337"/>
      <c r="C129" s="730">
        <f>IF(D96="","-",+C128+1)</f>
        <v>2036</v>
      </c>
      <c r="D129" s="683">
        <f t="shared" si="6"/>
        <v>4000297.5490196049</v>
      </c>
      <c r="E129" s="737">
        <f t="shared" si="7"/>
        <v>163277.45098039217</v>
      </c>
      <c r="F129" s="737">
        <f t="shared" si="0"/>
        <v>3837020.0980392126</v>
      </c>
      <c r="G129" s="683">
        <f t="shared" si="1"/>
        <v>3918658.8235294088</v>
      </c>
      <c r="H129" s="731">
        <f>+J97*G129+E129</f>
        <v>576785.41448292346</v>
      </c>
      <c r="I129" s="738">
        <f>+J98*G129+E129</f>
        <v>576785.41448292346</v>
      </c>
      <c r="J129" s="734">
        <f t="shared" si="2"/>
        <v>0</v>
      </c>
      <c r="K129" s="734"/>
      <c r="L129" s="739"/>
      <c r="M129" s="734">
        <f t="shared" si="3"/>
        <v>0</v>
      </c>
      <c r="N129" s="739"/>
      <c r="O129" s="734">
        <f t="shared" si="4"/>
        <v>0</v>
      </c>
      <c r="P129" s="734">
        <f t="shared" si="5"/>
        <v>0</v>
      </c>
      <c r="Q129" s="684"/>
    </row>
    <row r="130" spans="2:17">
      <c r="B130" s="337"/>
      <c r="C130" s="730">
        <f>IF(D96="","-",+C129+1)</f>
        <v>2037</v>
      </c>
      <c r="D130" s="683">
        <f t="shared" si="6"/>
        <v>3837020.0980392126</v>
      </c>
      <c r="E130" s="737">
        <f t="shared" si="7"/>
        <v>163277.45098039217</v>
      </c>
      <c r="F130" s="737">
        <f t="shared" si="0"/>
        <v>3673742.6470588204</v>
      </c>
      <c r="G130" s="683">
        <f t="shared" si="1"/>
        <v>3755381.3725490165</v>
      </c>
      <c r="H130" s="731">
        <f>+J97*G130+E130</f>
        <v>559555.91600365133</v>
      </c>
      <c r="I130" s="738">
        <f>+J98*G130+E130</f>
        <v>559555.91600365133</v>
      </c>
      <c r="J130" s="734">
        <f t="shared" si="2"/>
        <v>0</v>
      </c>
      <c r="K130" s="734"/>
      <c r="L130" s="739"/>
      <c r="M130" s="734">
        <f t="shared" si="3"/>
        <v>0</v>
      </c>
      <c r="N130" s="739"/>
      <c r="O130" s="734">
        <f t="shared" si="4"/>
        <v>0</v>
      </c>
      <c r="P130" s="734">
        <f t="shared" si="5"/>
        <v>0</v>
      </c>
      <c r="Q130" s="684"/>
    </row>
    <row r="131" spans="2:17">
      <c r="B131" s="337"/>
      <c r="C131" s="730">
        <f>IF(D96="","-",+C130+1)</f>
        <v>2038</v>
      </c>
      <c r="D131" s="683">
        <f t="shared" si="6"/>
        <v>3673742.6470588204</v>
      </c>
      <c r="E131" s="737">
        <f t="shared" si="7"/>
        <v>163277.45098039217</v>
      </c>
      <c r="F131" s="737">
        <f t="shared" si="0"/>
        <v>3510465.1960784281</v>
      </c>
      <c r="G131" s="683">
        <f t="shared" si="1"/>
        <v>3592103.9215686242</v>
      </c>
      <c r="H131" s="731">
        <f>+J97*G131+E131</f>
        <v>542326.41752437921</v>
      </c>
      <c r="I131" s="738">
        <f>+J98*G131+E131</f>
        <v>542326.41752437921</v>
      </c>
      <c r="J131" s="734">
        <f t="shared" si="2"/>
        <v>0</v>
      </c>
      <c r="K131" s="734"/>
      <c r="L131" s="739"/>
      <c r="M131" s="734">
        <f t="shared" si="3"/>
        <v>0</v>
      </c>
      <c r="N131" s="739"/>
      <c r="O131" s="734">
        <f t="shared" si="4"/>
        <v>0</v>
      </c>
      <c r="P131" s="734">
        <f t="shared" si="5"/>
        <v>0</v>
      </c>
      <c r="Q131" s="684"/>
    </row>
    <row r="132" spans="2:17">
      <c r="B132" s="337"/>
      <c r="C132" s="730">
        <f>IF(D96="","-",+C131+1)</f>
        <v>2039</v>
      </c>
      <c r="D132" s="683">
        <f t="shared" si="6"/>
        <v>3510465.1960784281</v>
      </c>
      <c r="E132" s="737">
        <f t="shared" si="7"/>
        <v>163277.45098039217</v>
      </c>
      <c r="F132" s="737">
        <f t="shared" si="0"/>
        <v>3347187.7450980358</v>
      </c>
      <c r="G132" s="683">
        <f t="shared" si="1"/>
        <v>3428826.4705882319</v>
      </c>
      <c r="H132" s="731">
        <f>+J97*G132+E132</f>
        <v>525096.91904510697</v>
      </c>
      <c r="I132" s="738">
        <f>+J98*G132+E132</f>
        <v>525096.91904510697</v>
      </c>
      <c r="J132" s="734">
        <f t="shared" si="2"/>
        <v>0</v>
      </c>
      <c r="K132" s="734"/>
      <c r="L132" s="739"/>
      <c r="M132" s="734">
        <f t="shared" si="3"/>
        <v>0</v>
      </c>
      <c r="N132" s="739"/>
      <c r="O132" s="734">
        <f t="shared" si="4"/>
        <v>0</v>
      </c>
      <c r="P132" s="734">
        <f t="shared" si="5"/>
        <v>0</v>
      </c>
      <c r="Q132" s="684"/>
    </row>
    <row r="133" spans="2:17">
      <c r="B133" s="337"/>
      <c r="C133" s="730">
        <f>IF(D96="","-",+C132+1)</f>
        <v>2040</v>
      </c>
      <c r="D133" s="683">
        <f t="shared" si="6"/>
        <v>3347187.7450980358</v>
      </c>
      <c r="E133" s="737">
        <f t="shared" si="7"/>
        <v>163277.45098039217</v>
      </c>
      <c r="F133" s="737">
        <f t="shared" si="0"/>
        <v>3183910.2941176435</v>
      </c>
      <c r="G133" s="683">
        <f t="shared" si="1"/>
        <v>3265549.0196078396</v>
      </c>
      <c r="H133" s="731">
        <f>+J97*G133+E133</f>
        <v>507867.42056583485</v>
      </c>
      <c r="I133" s="738">
        <f>+J98*G133+E133</f>
        <v>507867.42056583485</v>
      </c>
      <c r="J133" s="734">
        <f t="shared" si="2"/>
        <v>0</v>
      </c>
      <c r="K133" s="734"/>
      <c r="L133" s="739"/>
      <c r="M133" s="734">
        <f t="shared" si="3"/>
        <v>0</v>
      </c>
      <c r="N133" s="739"/>
      <c r="O133" s="734">
        <f t="shared" si="4"/>
        <v>0</v>
      </c>
      <c r="P133" s="734">
        <f t="shared" si="5"/>
        <v>0</v>
      </c>
      <c r="Q133" s="684"/>
    </row>
    <row r="134" spans="2:17">
      <c r="B134" s="337"/>
      <c r="C134" s="730">
        <f>IF(D96="","-",+C133+1)</f>
        <v>2041</v>
      </c>
      <c r="D134" s="683">
        <f t="shared" si="6"/>
        <v>3183910.2941176435</v>
      </c>
      <c r="E134" s="737">
        <f t="shared" si="7"/>
        <v>163277.45098039217</v>
      </c>
      <c r="F134" s="737">
        <f t="shared" ref="F134:F161" si="8">+D134-E134</f>
        <v>3020632.8431372512</v>
      </c>
      <c r="G134" s="683">
        <f t="shared" ref="G134:G161" si="9">+(D134+F134)/2</f>
        <v>3102271.5686274474</v>
      </c>
      <c r="H134" s="731">
        <f>+J97*G134+E134</f>
        <v>490637.92208656267</v>
      </c>
      <c r="I134" s="738">
        <f>+J98*G134+E134</f>
        <v>490637.92208656267</v>
      </c>
      <c r="J134" s="734">
        <f t="shared" ref="J134:J161" si="10">+I134-H134</f>
        <v>0</v>
      </c>
      <c r="K134" s="734"/>
      <c r="L134" s="739"/>
      <c r="M134" s="734">
        <f t="shared" ref="M134:M161" si="11">IF(L134&lt;&gt;0,+H134-L134,0)</f>
        <v>0</v>
      </c>
      <c r="N134" s="739"/>
      <c r="O134" s="734">
        <f t="shared" ref="O134:O161" si="12">IF(N134&lt;&gt;0,+I134-N134,0)</f>
        <v>0</v>
      </c>
      <c r="P134" s="734">
        <f t="shared" ref="P134:P161" si="13">+O134-M134</f>
        <v>0</v>
      </c>
      <c r="Q134" s="684"/>
    </row>
    <row r="135" spans="2:17">
      <c r="B135" s="337"/>
      <c r="C135" s="730">
        <f>IF(D96="","-",+C134+1)</f>
        <v>2042</v>
      </c>
      <c r="D135" s="683">
        <f t="shared" ref="D135:D161" si="14">F134</f>
        <v>3020632.8431372512</v>
      </c>
      <c r="E135" s="737">
        <f t="shared" ref="E135:E161" si="15">IF(D135&gt;$J$99,$J$99,D135)</f>
        <v>163277.45098039217</v>
      </c>
      <c r="F135" s="737">
        <f t="shared" si="8"/>
        <v>2857355.3921568589</v>
      </c>
      <c r="G135" s="683">
        <f t="shared" si="9"/>
        <v>2938994.1176470551</v>
      </c>
      <c r="H135" s="731">
        <f>+J97*G135+E135</f>
        <v>473408.42360729055</v>
      </c>
      <c r="I135" s="738">
        <f>+J98*G135+E135</f>
        <v>473408.42360729055</v>
      </c>
      <c r="J135" s="734">
        <f t="shared" si="10"/>
        <v>0</v>
      </c>
      <c r="K135" s="734"/>
      <c r="L135" s="739"/>
      <c r="M135" s="734">
        <f t="shared" si="11"/>
        <v>0</v>
      </c>
      <c r="N135" s="739"/>
      <c r="O135" s="734">
        <f t="shared" si="12"/>
        <v>0</v>
      </c>
      <c r="P135" s="734">
        <f t="shared" si="13"/>
        <v>0</v>
      </c>
      <c r="Q135" s="684"/>
    </row>
    <row r="136" spans="2:17">
      <c r="B136" s="337"/>
      <c r="C136" s="730">
        <f>IF(D96="","-",+C135+1)</f>
        <v>2043</v>
      </c>
      <c r="D136" s="683">
        <f t="shared" si="14"/>
        <v>2857355.3921568589</v>
      </c>
      <c r="E136" s="737">
        <f t="shared" si="15"/>
        <v>163277.45098039217</v>
      </c>
      <c r="F136" s="737">
        <f t="shared" si="8"/>
        <v>2694077.9411764666</v>
      </c>
      <c r="G136" s="683">
        <f t="shared" si="9"/>
        <v>2775716.6666666628</v>
      </c>
      <c r="H136" s="731">
        <f>+J97*G136+E136</f>
        <v>456178.92512801837</v>
      </c>
      <c r="I136" s="738">
        <f>+J98*G136+E136</f>
        <v>456178.92512801837</v>
      </c>
      <c r="J136" s="734">
        <f t="shared" si="10"/>
        <v>0</v>
      </c>
      <c r="K136" s="734"/>
      <c r="L136" s="739"/>
      <c r="M136" s="734">
        <f t="shared" si="11"/>
        <v>0</v>
      </c>
      <c r="N136" s="739"/>
      <c r="O136" s="734">
        <f t="shared" si="12"/>
        <v>0</v>
      </c>
      <c r="P136" s="734">
        <f t="shared" si="13"/>
        <v>0</v>
      </c>
      <c r="Q136" s="684"/>
    </row>
    <row r="137" spans="2:17">
      <c r="B137" s="337"/>
      <c r="C137" s="730">
        <f>IF(D96="","-",+C136+1)</f>
        <v>2044</v>
      </c>
      <c r="D137" s="683">
        <f t="shared" si="14"/>
        <v>2694077.9411764666</v>
      </c>
      <c r="E137" s="737">
        <f t="shared" si="15"/>
        <v>163277.45098039217</v>
      </c>
      <c r="F137" s="737">
        <f t="shared" si="8"/>
        <v>2530800.4901960744</v>
      </c>
      <c r="G137" s="683">
        <f t="shared" si="9"/>
        <v>2612439.2156862705</v>
      </c>
      <c r="H137" s="731">
        <f>+J97*G137+E137</f>
        <v>438949.42664874619</v>
      </c>
      <c r="I137" s="738">
        <f>+J98*G137+E137</f>
        <v>438949.42664874619</v>
      </c>
      <c r="J137" s="734">
        <f t="shared" si="10"/>
        <v>0</v>
      </c>
      <c r="K137" s="734"/>
      <c r="L137" s="739"/>
      <c r="M137" s="734">
        <f t="shared" si="11"/>
        <v>0</v>
      </c>
      <c r="N137" s="739"/>
      <c r="O137" s="734">
        <f t="shared" si="12"/>
        <v>0</v>
      </c>
      <c r="P137" s="734">
        <f t="shared" si="13"/>
        <v>0</v>
      </c>
      <c r="Q137" s="684"/>
    </row>
    <row r="138" spans="2:17">
      <c r="B138" s="337"/>
      <c r="C138" s="730">
        <f>IF(D96="","-",+C137+1)</f>
        <v>2045</v>
      </c>
      <c r="D138" s="683">
        <f t="shared" si="14"/>
        <v>2530800.4901960744</v>
      </c>
      <c r="E138" s="737">
        <f t="shared" si="15"/>
        <v>163277.45098039217</v>
      </c>
      <c r="F138" s="737">
        <f t="shared" si="8"/>
        <v>2367523.0392156821</v>
      </c>
      <c r="G138" s="683">
        <f t="shared" si="9"/>
        <v>2449161.7647058782</v>
      </c>
      <c r="H138" s="731">
        <f>+J97*G138+E138</f>
        <v>421719.92816947401</v>
      </c>
      <c r="I138" s="738">
        <f>+J98*G138+E138</f>
        <v>421719.92816947401</v>
      </c>
      <c r="J138" s="734">
        <f t="shared" si="10"/>
        <v>0</v>
      </c>
      <c r="K138" s="734"/>
      <c r="L138" s="739"/>
      <c r="M138" s="734">
        <f t="shared" si="11"/>
        <v>0</v>
      </c>
      <c r="N138" s="739"/>
      <c r="O138" s="734">
        <f t="shared" si="12"/>
        <v>0</v>
      </c>
      <c r="P138" s="734">
        <f t="shared" si="13"/>
        <v>0</v>
      </c>
      <c r="Q138" s="684"/>
    </row>
    <row r="139" spans="2:17">
      <c r="B139" s="337"/>
      <c r="C139" s="730">
        <f>IF(D96="","-",+C138+1)</f>
        <v>2046</v>
      </c>
      <c r="D139" s="683">
        <f t="shared" si="14"/>
        <v>2367523.0392156821</v>
      </c>
      <c r="E139" s="737">
        <f t="shared" si="15"/>
        <v>163277.45098039217</v>
      </c>
      <c r="F139" s="737">
        <f t="shared" si="8"/>
        <v>2204245.5882352898</v>
      </c>
      <c r="G139" s="683">
        <f t="shared" si="9"/>
        <v>2285884.3137254859</v>
      </c>
      <c r="H139" s="731">
        <f>+J97*G139+E139</f>
        <v>404490.42969020188</v>
      </c>
      <c r="I139" s="738">
        <f>+J98*G139+E139</f>
        <v>404490.42969020188</v>
      </c>
      <c r="J139" s="734">
        <f t="shared" si="10"/>
        <v>0</v>
      </c>
      <c r="K139" s="734"/>
      <c r="L139" s="739"/>
      <c r="M139" s="734">
        <f t="shared" si="11"/>
        <v>0</v>
      </c>
      <c r="N139" s="739"/>
      <c r="O139" s="734">
        <f t="shared" si="12"/>
        <v>0</v>
      </c>
      <c r="P139" s="734">
        <f t="shared" si="13"/>
        <v>0</v>
      </c>
      <c r="Q139" s="684"/>
    </row>
    <row r="140" spans="2:17">
      <c r="B140" s="337"/>
      <c r="C140" s="730">
        <f>IF(D96="","-",+C139+1)</f>
        <v>2047</v>
      </c>
      <c r="D140" s="683">
        <f t="shared" si="14"/>
        <v>2204245.5882352898</v>
      </c>
      <c r="E140" s="737">
        <f t="shared" si="15"/>
        <v>163277.45098039217</v>
      </c>
      <c r="F140" s="737">
        <f t="shared" si="8"/>
        <v>2040968.1372548975</v>
      </c>
      <c r="G140" s="683">
        <f t="shared" si="9"/>
        <v>2122606.8627450936</v>
      </c>
      <c r="H140" s="731">
        <f>+J97*G140+E140</f>
        <v>387260.9312109297</v>
      </c>
      <c r="I140" s="738">
        <f>+J98*G140+E140</f>
        <v>387260.9312109297</v>
      </c>
      <c r="J140" s="734">
        <f t="shared" si="10"/>
        <v>0</v>
      </c>
      <c r="K140" s="734"/>
      <c r="L140" s="739"/>
      <c r="M140" s="734">
        <f t="shared" si="11"/>
        <v>0</v>
      </c>
      <c r="N140" s="739"/>
      <c r="O140" s="734">
        <f t="shared" si="12"/>
        <v>0</v>
      </c>
      <c r="P140" s="734">
        <f t="shared" si="13"/>
        <v>0</v>
      </c>
      <c r="Q140" s="684"/>
    </row>
    <row r="141" spans="2:17">
      <c r="B141" s="337"/>
      <c r="C141" s="730">
        <f>IF(D96="","-",+C140+1)</f>
        <v>2048</v>
      </c>
      <c r="D141" s="683">
        <f t="shared" si="14"/>
        <v>2040968.1372548975</v>
      </c>
      <c r="E141" s="737">
        <f t="shared" si="15"/>
        <v>163277.45098039217</v>
      </c>
      <c r="F141" s="737">
        <f t="shared" si="8"/>
        <v>1877690.6862745052</v>
      </c>
      <c r="G141" s="683">
        <f t="shared" si="9"/>
        <v>1959329.4117647014</v>
      </c>
      <c r="H141" s="731">
        <f>+J97*G141+E141</f>
        <v>370031.43273165752</v>
      </c>
      <c r="I141" s="738">
        <f>+J98*G141+E141</f>
        <v>370031.43273165752</v>
      </c>
      <c r="J141" s="734">
        <f t="shared" si="10"/>
        <v>0</v>
      </c>
      <c r="K141" s="734"/>
      <c r="L141" s="739"/>
      <c r="M141" s="734">
        <f t="shared" si="11"/>
        <v>0</v>
      </c>
      <c r="N141" s="739"/>
      <c r="O141" s="734">
        <f t="shared" si="12"/>
        <v>0</v>
      </c>
      <c r="P141" s="734">
        <f t="shared" si="13"/>
        <v>0</v>
      </c>
      <c r="Q141" s="684"/>
    </row>
    <row r="142" spans="2:17">
      <c r="B142" s="337"/>
      <c r="C142" s="730">
        <f>IF(D96="","-",+C141+1)</f>
        <v>2049</v>
      </c>
      <c r="D142" s="683">
        <f t="shared" si="14"/>
        <v>1877690.6862745052</v>
      </c>
      <c r="E142" s="737">
        <f t="shared" si="15"/>
        <v>163277.45098039217</v>
      </c>
      <c r="F142" s="737">
        <f t="shared" si="8"/>
        <v>1714413.2352941129</v>
      </c>
      <c r="G142" s="683">
        <f t="shared" si="9"/>
        <v>1796051.9607843091</v>
      </c>
      <c r="H142" s="731">
        <f>+J97*G142+E142</f>
        <v>352801.9342523854</v>
      </c>
      <c r="I142" s="738">
        <f>+J98*G142+E142</f>
        <v>352801.9342523854</v>
      </c>
      <c r="J142" s="734">
        <f t="shared" si="10"/>
        <v>0</v>
      </c>
      <c r="K142" s="734"/>
      <c r="L142" s="739"/>
      <c r="M142" s="734">
        <f t="shared" si="11"/>
        <v>0</v>
      </c>
      <c r="N142" s="739"/>
      <c r="O142" s="734">
        <f t="shared" si="12"/>
        <v>0</v>
      </c>
      <c r="P142" s="734">
        <f t="shared" si="13"/>
        <v>0</v>
      </c>
      <c r="Q142" s="684"/>
    </row>
    <row r="143" spans="2:17">
      <c r="B143" s="337"/>
      <c r="C143" s="730">
        <f>IF(D96="","-",+C142+1)</f>
        <v>2050</v>
      </c>
      <c r="D143" s="683">
        <f t="shared" si="14"/>
        <v>1714413.2352941129</v>
      </c>
      <c r="E143" s="737">
        <f t="shared" si="15"/>
        <v>163277.45098039217</v>
      </c>
      <c r="F143" s="737">
        <f t="shared" si="8"/>
        <v>1551135.7843137207</v>
      </c>
      <c r="G143" s="683">
        <f t="shared" si="9"/>
        <v>1632774.5098039168</v>
      </c>
      <c r="H143" s="731">
        <f>+J97*G143+E143</f>
        <v>335572.43577311316</v>
      </c>
      <c r="I143" s="738">
        <f>+J98*G143+E143</f>
        <v>335572.43577311316</v>
      </c>
      <c r="J143" s="734">
        <f t="shared" si="10"/>
        <v>0</v>
      </c>
      <c r="K143" s="734"/>
      <c r="L143" s="739"/>
      <c r="M143" s="734">
        <f t="shared" si="11"/>
        <v>0</v>
      </c>
      <c r="N143" s="739"/>
      <c r="O143" s="734">
        <f t="shared" si="12"/>
        <v>0</v>
      </c>
      <c r="P143" s="734">
        <f t="shared" si="13"/>
        <v>0</v>
      </c>
      <c r="Q143" s="684"/>
    </row>
    <row r="144" spans="2:17">
      <c r="B144" s="337"/>
      <c r="C144" s="730">
        <f>IF(D96="","-",+C143+1)</f>
        <v>2051</v>
      </c>
      <c r="D144" s="683">
        <f t="shared" si="14"/>
        <v>1551135.7843137207</v>
      </c>
      <c r="E144" s="737">
        <f t="shared" si="15"/>
        <v>163277.45098039217</v>
      </c>
      <c r="F144" s="737">
        <f t="shared" si="8"/>
        <v>1387858.3333333284</v>
      </c>
      <c r="G144" s="683">
        <f t="shared" si="9"/>
        <v>1469497.0588235245</v>
      </c>
      <c r="H144" s="731">
        <f>+J97*G144+E144</f>
        <v>318342.93729384104</v>
      </c>
      <c r="I144" s="738">
        <f>+J98*G144+E144</f>
        <v>318342.93729384104</v>
      </c>
      <c r="J144" s="734">
        <f t="shared" si="10"/>
        <v>0</v>
      </c>
      <c r="K144" s="734"/>
      <c r="L144" s="739"/>
      <c r="M144" s="734">
        <f t="shared" si="11"/>
        <v>0</v>
      </c>
      <c r="N144" s="739"/>
      <c r="O144" s="734">
        <f t="shared" si="12"/>
        <v>0</v>
      </c>
      <c r="P144" s="734">
        <f t="shared" si="13"/>
        <v>0</v>
      </c>
      <c r="Q144" s="684"/>
    </row>
    <row r="145" spans="2:17">
      <c r="B145" s="337"/>
      <c r="C145" s="730">
        <f>IF(D96="","-",+C144+1)</f>
        <v>2052</v>
      </c>
      <c r="D145" s="683">
        <f t="shared" si="14"/>
        <v>1387858.3333333284</v>
      </c>
      <c r="E145" s="737">
        <f t="shared" si="15"/>
        <v>163277.45098039217</v>
      </c>
      <c r="F145" s="737">
        <f t="shared" si="8"/>
        <v>1224580.8823529361</v>
      </c>
      <c r="G145" s="683">
        <f t="shared" si="9"/>
        <v>1306219.6078431322</v>
      </c>
      <c r="H145" s="731">
        <f>+J97*G145+E145</f>
        <v>301113.43881456886</v>
      </c>
      <c r="I145" s="738">
        <f>+J98*G145+E145</f>
        <v>301113.43881456886</v>
      </c>
      <c r="J145" s="734">
        <f t="shared" si="10"/>
        <v>0</v>
      </c>
      <c r="K145" s="734"/>
      <c r="L145" s="739"/>
      <c r="M145" s="734">
        <f t="shared" si="11"/>
        <v>0</v>
      </c>
      <c r="N145" s="739"/>
      <c r="O145" s="734">
        <f t="shared" si="12"/>
        <v>0</v>
      </c>
      <c r="P145" s="734">
        <f t="shared" si="13"/>
        <v>0</v>
      </c>
      <c r="Q145" s="684"/>
    </row>
    <row r="146" spans="2:17">
      <c r="B146" s="337"/>
      <c r="C146" s="730">
        <f>IF(D96="","-",+C145+1)</f>
        <v>2053</v>
      </c>
      <c r="D146" s="683">
        <f t="shared" si="14"/>
        <v>1224580.8823529361</v>
      </c>
      <c r="E146" s="737">
        <f t="shared" si="15"/>
        <v>163277.45098039217</v>
      </c>
      <c r="F146" s="737">
        <f t="shared" si="8"/>
        <v>1061303.4313725438</v>
      </c>
      <c r="G146" s="683">
        <f t="shared" si="9"/>
        <v>1142942.1568627399</v>
      </c>
      <c r="H146" s="731">
        <f>+J97*G146+E146</f>
        <v>283883.94033529668</v>
      </c>
      <c r="I146" s="738">
        <f>+J98*G146+E146</f>
        <v>283883.94033529668</v>
      </c>
      <c r="J146" s="734">
        <f t="shared" si="10"/>
        <v>0</v>
      </c>
      <c r="K146" s="734"/>
      <c r="L146" s="739"/>
      <c r="M146" s="734">
        <f t="shared" si="11"/>
        <v>0</v>
      </c>
      <c r="N146" s="739"/>
      <c r="O146" s="734">
        <f t="shared" si="12"/>
        <v>0</v>
      </c>
      <c r="P146" s="734">
        <f t="shared" si="13"/>
        <v>0</v>
      </c>
      <c r="Q146" s="684"/>
    </row>
    <row r="147" spans="2:17">
      <c r="B147" s="337"/>
      <c r="C147" s="730">
        <f>IF(D96="","-",+C146+1)</f>
        <v>2054</v>
      </c>
      <c r="D147" s="683">
        <f t="shared" si="14"/>
        <v>1061303.4313725438</v>
      </c>
      <c r="E147" s="737">
        <f t="shared" si="15"/>
        <v>163277.45098039217</v>
      </c>
      <c r="F147" s="737">
        <f t="shared" si="8"/>
        <v>898025.98039215163</v>
      </c>
      <c r="G147" s="683">
        <f t="shared" si="9"/>
        <v>979664.70588234765</v>
      </c>
      <c r="H147" s="731">
        <f>+J97*G147+E147</f>
        <v>266654.44185602455</v>
      </c>
      <c r="I147" s="738">
        <f>+J98*G147+E147</f>
        <v>266654.44185602455</v>
      </c>
      <c r="J147" s="734">
        <f t="shared" si="10"/>
        <v>0</v>
      </c>
      <c r="K147" s="734"/>
      <c r="L147" s="739"/>
      <c r="M147" s="734">
        <f t="shared" si="11"/>
        <v>0</v>
      </c>
      <c r="N147" s="739"/>
      <c r="O147" s="734">
        <f t="shared" si="12"/>
        <v>0</v>
      </c>
      <c r="P147" s="734">
        <f t="shared" si="13"/>
        <v>0</v>
      </c>
      <c r="Q147" s="684"/>
    </row>
    <row r="148" spans="2:17">
      <c r="B148" s="337"/>
      <c r="C148" s="730">
        <f>IF(D96="","-",+C147+1)</f>
        <v>2055</v>
      </c>
      <c r="D148" s="683">
        <f t="shared" si="14"/>
        <v>898025.98039215163</v>
      </c>
      <c r="E148" s="737">
        <f t="shared" si="15"/>
        <v>163277.45098039217</v>
      </c>
      <c r="F148" s="737">
        <f t="shared" si="8"/>
        <v>734748.52941175946</v>
      </c>
      <c r="G148" s="683">
        <f t="shared" si="9"/>
        <v>816387.2549019556</v>
      </c>
      <c r="H148" s="731">
        <f>+J97*G148+E148</f>
        <v>249424.94337675237</v>
      </c>
      <c r="I148" s="738">
        <f>+J98*G148+E148</f>
        <v>249424.94337675237</v>
      </c>
      <c r="J148" s="734">
        <f t="shared" si="10"/>
        <v>0</v>
      </c>
      <c r="K148" s="734"/>
      <c r="L148" s="739"/>
      <c r="M148" s="734">
        <f t="shared" si="11"/>
        <v>0</v>
      </c>
      <c r="N148" s="739"/>
      <c r="O148" s="734">
        <f t="shared" si="12"/>
        <v>0</v>
      </c>
      <c r="P148" s="734">
        <f t="shared" si="13"/>
        <v>0</v>
      </c>
      <c r="Q148" s="684"/>
    </row>
    <row r="149" spans="2:17">
      <c r="B149" s="337"/>
      <c r="C149" s="730">
        <f>IF(D96="","-",+C148+1)</f>
        <v>2056</v>
      </c>
      <c r="D149" s="683">
        <f t="shared" si="14"/>
        <v>734748.52941175946</v>
      </c>
      <c r="E149" s="737">
        <f t="shared" si="15"/>
        <v>163277.45098039217</v>
      </c>
      <c r="F149" s="737">
        <f t="shared" si="8"/>
        <v>571471.07843136729</v>
      </c>
      <c r="G149" s="683">
        <f t="shared" si="9"/>
        <v>653109.80392156332</v>
      </c>
      <c r="H149" s="731">
        <f>+J97*G149+E149</f>
        <v>232195.44489748022</v>
      </c>
      <c r="I149" s="738">
        <f>+J98*G149+E149</f>
        <v>232195.44489748022</v>
      </c>
      <c r="J149" s="734">
        <f t="shared" si="10"/>
        <v>0</v>
      </c>
      <c r="K149" s="734"/>
      <c r="L149" s="739"/>
      <c r="M149" s="734">
        <f t="shared" si="11"/>
        <v>0</v>
      </c>
      <c r="N149" s="739"/>
      <c r="O149" s="734">
        <f t="shared" si="12"/>
        <v>0</v>
      </c>
      <c r="P149" s="734">
        <f t="shared" si="13"/>
        <v>0</v>
      </c>
      <c r="Q149" s="684"/>
    </row>
    <row r="150" spans="2:17">
      <c r="B150" s="337"/>
      <c r="C150" s="730">
        <f>IF(D96="","-",+C149+1)</f>
        <v>2057</v>
      </c>
      <c r="D150" s="683">
        <f t="shared" si="14"/>
        <v>571471.07843136729</v>
      </c>
      <c r="E150" s="737">
        <f t="shared" si="15"/>
        <v>163277.45098039217</v>
      </c>
      <c r="F150" s="737">
        <f t="shared" si="8"/>
        <v>408193.62745097512</v>
      </c>
      <c r="G150" s="683">
        <f t="shared" si="9"/>
        <v>489832.35294117121</v>
      </c>
      <c r="H150" s="731">
        <f>+J97*G150+E150</f>
        <v>214965.94641820807</v>
      </c>
      <c r="I150" s="738">
        <f>+J98*G150+E150</f>
        <v>214965.94641820807</v>
      </c>
      <c r="J150" s="734">
        <f t="shared" si="10"/>
        <v>0</v>
      </c>
      <c r="K150" s="734"/>
      <c r="L150" s="739"/>
      <c r="M150" s="734">
        <f t="shared" si="11"/>
        <v>0</v>
      </c>
      <c r="N150" s="739"/>
      <c r="O150" s="734">
        <f t="shared" si="12"/>
        <v>0</v>
      </c>
      <c r="P150" s="734">
        <f t="shared" si="13"/>
        <v>0</v>
      </c>
      <c r="Q150" s="684"/>
    </row>
    <row r="151" spans="2:17">
      <c r="B151" s="337"/>
      <c r="C151" s="730">
        <f>IF(D96="","-",+C150+1)</f>
        <v>2058</v>
      </c>
      <c r="D151" s="683">
        <f t="shared" si="14"/>
        <v>408193.62745097512</v>
      </c>
      <c r="E151" s="737">
        <f t="shared" si="15"/>
        <v>163277.45098039217</v>
      </c>
      <c r="F151" s="737">
        <f t="shared" si="8"/>
        <v>244916.17647058296</v>
      </c>
      <c r="G151" s="683">
        <f t="shared" si="9"/>
        <v>326554.90196077904</v>
      </c>
      <c r="H151" s="731">
        <f>+J97*G151+E151</f>
        <v>197736.44793893592</v>
      </c>
      <c r="I151" s="738">
        <f>+J98*G151+E151</f>
        <v>197736.44793893592</v>
      </c>
      <c r="J151" s="734">
        <f t="shared" si="10"/>
        <v>0</v>
      </c>
      <c r="K151" s="734"/>
      <c r="L151" s="739"/>
      <c r="M151" s="734">
        <f t="shared" si="11"/>
        <v>0</v>
      </c>
      <c r="N151" s="739"/>
      <c r="O151" s="734">
        <f t="shared" si="12"/>
        <v>0</v>
      </c>
      <c r="P151" s="734">
        <f t="shared" si="13"/>
        <v>0</v>
      </c>
      <c r="Q151" s="684"/>
    </row>
    <row r="152" spans="2:17">
      <c r="B152" s="337"/>
      <c r="C152" s="730">
        <f>IF(D96="","-",+C151+1)</f>
        <v>2059</v>
      </c>
      <c r="D152" s="683">
        <f t="shared" si="14"/>
        <v>244916.17647058296</v>
      </c>
      <c r="E152" s="737">
        <f t="shared" si="15"/>
        <v>163277.45098039217</v>
      </c>
      <c r="F152" s="737">
        <f t="shared" si="8"/>
        <v>81638.725490190787</v>
      </c>
      <c r="G152" s="683">
        <f t="shared" si="9"/>
        <v>163277.45098038687</v>
      </c>
      <c r="H152" s="731">
        <f>+J97*G152+E152</f>
        <v>180506.94945966377</v>
      </c>
      <c r="I152" s="738">
        <f>+J98*G152+E152</f>
        <v>180506.94945966377</v>
      </c>
      <c r="J152" s="734">
        <f t="shared" si="10"/>
        <v>0</v>
      </c>
      <c r="K152" s="734"/>
      <c r="L152" s="739"/>
      <c r="M152" s="734">
        <f t="shared" si="11"/>
        <v>0</v>
      </c>
      <c r="N152" s="739"/>
      <c r="O152" s="734">
        <f t="shared" si="12"/>
        <v>0</v>
      </c>
      <c r="P152" s="734">
        <f t="shared" si="13"/>
        <v>0</v>
      </c>
      <c r="Q152" s="684"/>
    </row>
    <row r="153" spans="2:17">
      <c r="B153" s="337"/>
      <c r="C153" s="730">
        <f>IF(D96="","-",+C152+1)</f>
        <v>2060</v>
      </c>
      <c r="D153" s="683">
        <f t="shared" si="14"/>
        <v>81638.725490190787</v>
      </c>
      <c r="E153" s="737">
        <f t="shared" si="15"/>
        <v>81638.725490190787</v>
      </c>
      <c r="F153" s="737">
        <f t="shared" si="8"/>
        <v>0</v>
      </c>
      <c r="G153" s="683">
        <f t="shared" si="9"/>
        <v>40819.362745095394</v>
      </c>
      <c r="H153" s="731">
        <f>+J97*G153+E153</f>
        <v>85946.100110008541</v>
      </c>
      <c r="I153" s="738">
        <f>+J98*G153+E153</f>
        <v>85946.100110008541</v>
      </c>
      <c r="J153" s="734">
        <f t="shared" si="10"/>
        <v>0</v>
      </c>
      <c r="K153" s="734"/>
      <c r="L153" s="739"/>
      <c r="M153" s="734">
        <f t="shared" si="11"/>
        <v>0</v>
      </c>
      <c r="N153" s="739"/>
      <c r="O153" s="734">
        <f t="shared" si="12"/>
        <v>0</v>
      </c>
      <c r="P153" s="734">
        <f t="shared" si="13"/>
        <v>0</v>
      </c>
      <c r="Q153" s="684"/>
    </row>
    <row r="154" spans="2:17">
      <c r="B154" s="337"/>
      <c r="C154" s="730">
        <f>IF(D96="","-",+C153+1)</f>
        <v>2061</v>
      </c>
      <c r="D154" s="683">
        <f t="shared" si="14"/>
        <v>0</v>
      </c>
      <c r="E154" s="737">
        <f t="shared" si="15"/>
        <v>0</v>
      </c>
      <c r="F154" s="737">
        <f t="shared" si="8"/>
        <v>0</v>
      </c>
      <c r="G154" s="683">
        <f t="shared" si="9"/>
        <v>0</v>
      </c>
      <c r="H154" s="731">
        <f>+J97*G154+E154</f>
        <v>0</v>
      </c>
      <c r="I154" s="738">
        <f>+J98*G154+E154</f>
        <v>0</v>
      </c>
      <c r="J154" s="734">
        <f t="shared" si="10"/>
        <v>0</v>
      </c>
      <c r="K154" s="734"/>
      <c r="L154" s="739"/>
      <c r="M154" s="734">
        <f t="shared" si="11"/>
        <v>0</v>
      </c>
      <c r="N154" s="739"/>
      <c r="O154" s="734">
        <f t="shared" si="12"/>
        <v>0</v>
      </c>
      <c r="P154" s="734">
        <f t="shared" si="13"/>
        <v>0</v>
      </c>
      <c r="Q154" s="684"/>
    </row>
    <row r="155" spans="2:17">
      <c r="B155" s="337"/>
      <c r="C155" s="730">
        <f>IF(D96="","-",+C154+1)</f>
        <v>2062</v>
      </c>
      <c r="D155" s="683">
        <f t="shared" si="14"/>
        <v>0</v>
      </c>
      <c r="E155" s="737">
        <f t="shared" si="15"/>
        <v>0</v>
      </c>
      <c r="F155" s="737">
        <f t="shared" si="8"/>
        <v>0</v>
      </c>
      <c r="G155" s="683">
        <f t="shared" si="9"/>
        <v>0</v>
      </c>
      <c r="H155" s="731">
        <f>+J97*G155+E155</f>
        <v>0</v>
      </c>
      <c r="I155" s="738">
        <f>+J98*G155+E155</f>
        <v>0</v>
      </c>
      <c r="J155" s="734">
        <f t="shared" si="10"/>
        <v>0</v>
      </c>
      <c r="K155" s="734"/>
      <c r="L155" s="739"/>
      <c r="M155" s="734">
        <f t="shared" si="11"/>
        <v>0</v>
      </c>
      <c r="N155" s="739"/>
      <c r="O155" s="734">
        <f t="shared" si="12"/>
        <v>0</v>
      </c>
      <c r="P155" s="734">
        <f t="shared" si="13"/>
        <v>0</v>
      </c>
      <c r="Q155" s="684"/>
    </row>
    <row r="156" spans="2:17">
      <c r="B156" s="337"/>
      <c r="C156" s="730">
        <f>IF(D96="","-",+C155+1)</f>
        <v>2063</v>
      </c>
      <c r="D156" s="683">
        <f t="shared" si="14"/>
        <v>0</v>
      </c>
      <c r="E156" s="737">
        <f t="shared" si="15"/>
        <v>0</v>
      </c>
      <c r="F156" s="737">
        <f t="shared" si="8"/>
        <v>0</v>
      </c>
      <c r="G156" s="683">
        <f t="shared" si="9"/>
        <v>0</v>
      </c>
      <c r="H156" s="731">
        <f>+J97*G156+E156</f>
        <v>0</v>
      </c>
      <c r="I156" s="738">
        <f>+J98*G156+E156</f>
        <v>0</v>
      </c>
      <c r="J156" s="734">
        <f t="shared" si="10"/>
        <v>0</v>
      </c>
      <c r="K156" s="734"/>
      <c r="L156" s="739"/>
      <c r="M156" s="734">
        <f t="shared" si="11"/>
        <v>0</v>
      </c>
      <c r="N156" s="739"/>
      <c r="O156" s="734">
        <f t="shared" si="12"/>
        <v>0</v>
      </c>
      <c r="P156" s="734">
        <f t="shared" si="13"/>
        <v>0</v>
      </c>
      <c r="Q156" s="684"/>
    </row>
    <row r="157" spans="2:17">
      <c r="B157" s="337"/>
      <c r="C157" s="730">
        <f>IF(D96="","-",+C156+1)</f>
        <v>2064</v>
      </c>
      <c r="D157" s="683">
        <f t="shared" si="14"/>
        <v>0</v>
      </c>
      <c r="E157" s="737">
        <f t="shared" si="15"/>
        <v>0</v>
      </c>
      <c r="F157" s="737">
        <f t="shared" si="8"/>
        <v>0</v>
      </c>
      <c r="G157" s="683">
        <f t="shared" si="9"/>
        <v>0</v>
      </c>
      <c r="H157" s="731">
        <f>+J97*G157+E157</f>
        <v>0</v>
      </c>
      <c r="I157" s="738">
        <f>+J98*G157+E157</f>
        <v>0</v>
      </c>
      <c r="J157" s="734">
        <f t="shared" si="10"/>
        <v>0</v>
      </c>
      <c r="K157" s="734"/>
      <c r="L157" s="739"/>
      <c r="M157" s="734">
        <f t="shared" si="11"/>
        <v>0</v>
      </c>
      <c r="N157" s="739"/>
      <c r="O157" s="734">
        <f t="shared" si="12"/>
        <v>0</v>
      </c>
      <c r="P157" s="734">
        <f t="shared" si="13"/>
        <v>0</v>
      </c>
      <c r="Q157" s="684"/>
    </row>
    <row r="158" spans="2:17">
      <c r="B158" s="337"/>
      <c r="C158" s="730">
        <f>IF(D96="","-",+C157+1)</f>
        <v>2065</v>
      </c>
      <c r="D158" s="683">
        <f t="shared" si="14"/>
        <v>0</v>
      </c>
      <c r="E158" s="737">
        <f t="shared" si="15"/>
        <v>0</v>
      </c>
      <c r="F158" s="737">
        <f t="shared" si="8"/>
        <v>0</v>
      </c>
      <c r="G158" s="683">
        <f t="shared" si="9"/>
        <v>0</v>
      </c>
      <c r="H158" s="731">
        <f>+J97*G158+E158</f>
        <v>0</v>
      </c>
      <c r="I158" s="738">
        <f>+J98*G158+E158</f>
        <v>0</v>
      </c>
      <c r="J158" s="734">
        <f t="shared" si="10"/>
        <v>0</v>
      </c>
      <c r="K158" s="734"/>
      <c r="L158" s="739"/>
      <c r="M158" s="734">
        <f t="shared" si="11"/>
        <v>0</v>
      </c>
      <c r="N158" s="739"/>
      <c r="O158" s="734">
        <f t="shared" si="12"/>
        <v>0</v>
      </c>
      <c r="P158" s="734">
        <f t="shared" si="13"/>
        <v>0</v>
      </c>
      <c r="Q158" s="684"/>
    </row>
    <row r="159" spans="2:17">
      <c r="B159" s="337"/>
      <c r="C159" s="730">
        <f>IF(D96="","-",+C158+1)</f>
        <v>2066</v>
      </c>
      <c r="D159" s="683">
        <f t="shared" si="14"/>
        <v>0</v>
      </c>
      <c r="E159" s="737">
        <f t="shared" si="15"/>
        <v>0</v>
      </c>
      <c r="F159" s="737">
        <f t="shared" si="8"/>
        <v>0</v>
      </c>
      <c r="G159" s="683">
        <f t="shared" si="9"/>
        <v>0</v>
      </c>
      <c r="H159" s="731">
        <f>+J97*G159+E159</f>
        <v>0</v>
      </c>
      <c r="I159" s="738">
        <f>+J98*G159+E159</f>
        <v>0</v>
      </c>
      <c r="J159" s="734">
        <f t="shared" si="10"/>
        <v>0</v>
      </c>
      <c r="K159" s="734"/>
      <c r="L159" s="739"/>
      <c r="M159" s="734">
        <f t="shared" si="11"/>
        <v>0</v>
      </c>
      <c r="N159" s="739"/>
      <c r="O159" s="734">
        <f t="shared" si="12"/>
        <v>0</v>
      </c>
      <c r="P159" s="734">
        <f t="shared" si="13"/>
        <v>0</v>
      </c>
      <c r="Q159" s="684"/>
    </row>
    <row r="160" spans="2:17">
      <c r="B160" s="337"/>
      <c r="C160" s="730">
        <f>IF(D96="","-",+C159+1)</f>
        <v>2067</v>
      </c>
      <c r="D160" s="683">
        <f t="shared" si="14"/>
        <v>0</v>
      </c>
      <c r="E160" s="737">
        <f t="shared" si="15"/>
        <v>0</v>
      </c>
      <c r="F160" s="737">
        <f t="shared" si="8"/>
        <v>0</v>
      </c>
      <c r="G160" s="683">
        <f t="shared" si="9"/>
        <v>0</v>
      </c>
      <c r="H160" s="731">
        <f>+J97*G160+E160</f>
        <v>0</v>
      </c>
      <c r="I160" s="738">
        <f>+J98*G160+E160</f>
        <v>0</v>
      </c>
      <c r="J160" s="734">
        <f t="shared" si="10"/>
        <v>0</v>
      </c>
      <c r="K160" s="734"/>
      <c r="L160" s="739"/>
      <c r="M160" s="734">
        <f t="shared" si="11"/>
        <v>0</v>
      </c>
      <c r="N160" s="739"/>
      <c r="O160" s="734">
        <f t="shared" si="12"/>
        <v>0</v>
      </c>
      <c r="P160" s="734">
        <f t="shared" si="13"/>
        <v>0</v>
      </c>
      <c r="Q160" s="684"/>
    </row>
    <row r="161" spans="1:17" ht="13" thickBot="1">
      <c r="B161" s="337"/>
      <c r="C161" s="741">
        <f>IF(D96="","-",+C160+1)</f>
        <v>2068</v>
      </c>
      <c r="D161" s="742">
        <f t="shared" si="14"/>
        <v>0</v>
      </c>
      <c r="E161" s="743">
        <f t="shared" si="15"/>
        <v>0</v>
      </c>
      <c r="F161" s="743">
        <f t="shared" si="8"/>
        <v>0</v>
      </c>
      <c r="G161" s="742">
        <f t="shared" si="9"/>
        <v>0</v>
      </c>
      <c r="H161" s="744">
        <f>+J97*G161+E161</f>
        <v>0</v>
      </c>
      <c r="I161" s="744">
        <f>+J98*G161+E161</f>
        <v>0</v>
      </c>
      <c r="J161" s="745">
        <f t="shared" si="10"/>
        <v>0</v>
      </c>
      <c r="K161" s="734"/>
      <c r="L161" s="746"/>
      <c r="M161" s="745">
        <f t="shared" si="11"/>
        <v>0</v>
      </c>
      <c r="N161" s="746"/>
      <c r="O161" s="745">
        <f t="shared" si="12"/>
        <v>0</v>
      </c>
      <c r="P161" s="745">
        <f t="shared" si="13"/>
        <v>0</v>
      </c>
      <c r="Q161" s="684"/>
    </row>
    <row r="162" spans="1:17">
      <c r="B162" s="337"/>
      <c r="C162" s="683" t="s">
        <v>289</v>
      </c>
      <c r="D162" s="679"/>
      <c r="E162" s="679">
        <f>SUM(E102:E161)</f>
        <v>8327150</v>
      </c>
      <c r="F162" s="679"/>
      <c r="G162" s="679"/>
      <c r="H162" s="679">
        <f>SUM(H102:H161)</f>
        <v>31173464.983514857</v>
      </c>
      <c r="I162" s="679">
        <f>SUM(I102:I161)</f>
        <v>31173464.983514857</v>
      </c>
      <c r="J162" s="679">
        <f>SUM(J102:J161)</f>
        <v>0</v>
      </c>
      <c r="K162" s="679"/>
      <c r="L162" s="679"/>
      <c r="M162" s="679"/>
      <c r="N162" s="679"/>
      <c r="O162" s="679"/>
      <c r="Q162" s="679"/>
    </row>
    <row r="163" spans="1:17">
      <c r="B163" s="337"/>
      <c r="D163" s="573"/>
      <c r="E163" s="550"/>
      <c r="F163" s="550"/>
      <c r="G163" s="550"/>
      <c r="H163" s="550"/>
      <c r="I163" s="656"/>
      <c r="J163" s="656"/>
      <c r="K163" s="679"/>
      <c r="L163" s="656"/>
      <c r="M163" s="656"/>
      <c r="N163" s="656"/>
      <c r="O163" s="656"/>
      <c r="Q163" s="679"/>
    </row>
    <row r="164" spans="1:17">
      <c r="B164" s="337"/>
      <c r="C164" s="550" t="s">
        <v>597</v>
      </c>
      <c r="D164" s="573"/>
      <c r="E164" s="550"/>
      <c r="F164" s="550"/>
      <c r="G164" s="550"/>
      <c r="H164" s="550"/>
      <c r="I164" s="656"/>
      <c r="J164" s="656"/>
      <c r="K164" s="679"/>
      <c r="L164" s="656"/>
      <c r="M164" s="656"/>
      <c r="N164" s="656"/>
      <c r="O164" s="656"/>
      <c r="Q164" s="679"/>
    </row>
    <row r="165" spans="1:17">
      <c r="B165" s="337"/>
      <c r="D165" s="573"/>
      <c r="E165" s="550"/>
      <c r="F165" s="550"/>
      <c r="G165" s="550"/>
      <c r="H165" s="550"/>
      <c r="I165" s="656"/>
      <c r="J165" s="656"/>
      <c r="K165" s="679"/>
      <c r="L165" s="656"/>
      <c r="M165" s="656"/>
      <c r="N165" s="656"/>
      <c r="O165" s="656"/>
      <c r="Q165" s="679"/>
    </row>
    <row r="166" spans="1:17">
      <c r="B166" s="337"/>
      <c r="C166" s="586" t="s">
        <v>598</v>
      </c>
      <c r="D166" s="683"/>
      <c r="E166" s="683"/>
      <c r="F166" s="683"/>
      <c r="G166" s="683"/>
      <c r="H166" s="679"/>
      <c r="I166" s="679"/>
      <c r="J166" s="684"/>
      <c r="K166" s="684"/>
      <c r="L166" s="684"/>
      <c r="M166" s="684"/>
      <c r="N166" s="684"/>
      <c r="O166" s="684"/>
      <c r="Q166" s="684"/>
    </row>
    <row r="167" spans="1:17">
      <c r="B167" s="337"/>
      <c r="C167" s="586" t="s">
        <v>477</v>
      </c>
      <c r="D167" s="683"/>
      <c r="E167" s="683"/>
      <c r="F167" s="683"/>
      <c r="G167" s="683"/>
      <c r="H167" s="679"/>
      <c r="I167" s="679"/>
      <c r="J167" s="684"/>
      <c r="K167" s="684"/>
      <c r="L167" s="684"/>
      <c r="M167" s="684"/>
      <c r="N167" s="684"/>
      <c r="O167" s="684"/>
      <c r="Q167" s="684"/>
    </row>
    <row r="168" spans="1:17">
      <c r="B168" s="337"/>
      <c r="C168" s="586" t="s">
        <v>290</v>
      </c>
      <c r="D168" s="683"/>
      <c r="E168" s="683"/>
      <c r="F168" s="683"/>
      <c r="G168" s="683"/>
      <c r="H168" s="679"/>
      <c r="I168" s="679"/>
      <c r="J168" s="684"/>
      <c r="K168" s="684"/>
      <c r="L168" s="684"/>
      <c r="M168" s="684"/>
      <c r="N168" s="684"/>
      <c r="O168" s="684"/>
      <c r="Q168" s="684"/>
    </row>
    <row r="169" spans="1:17" ht="13">
      <c r="B169" s="337"/>
      <c r="C169" s="682"/>
      <c r="D169" s="683"/>
      <c r="E169" s="683"/>
      <c r="F169" s="683"/>
      <c r="G169" s="683"/>
      <c r="H169" s="679"/>
      <c r="I169" s="679"/>
      <c r="J169" s="684"/>
      <c r="K169" s="684"/>
      <c r="L169" s="684"/>
      <c r="M169" s="684"/>
      <c r="N169" s="684"/>
      <c r="O169" s="684"/>
      <c r="Q169" s="684"/>
    </row>
    <row r="170" spans="1:17" ht="20">
      <c r="A170" s="685" t="s">
        <v>774</v>
      </c>
      <c r="B170" s="550"/>
      <c r="C170" s="665"/>
      <c r="D170" s="573"/>
      <c r="E170" s="550"/>
      <c r="F170" s="655"/>
      <c r="G170" s="655"/>
      <c r="H170" s="550"/>
      <c r="I170" s="656"/>
      <c r="L170" s="686"/>
      <c r="M170" s="686"/>
      <c r="N170" s="686"/>
      <c r="O170" s="601" t="str">
        <f>"Page "&amp;SUM(Q$3:Q170)&amp;" of "</f>
        <v xml:space="preserve">Page 3 of </v>
      </c>
      <c r="P170" s="602">
        <f>COUNT(Q$8:Q$58123)</f>
        <v>11</v>
      </c>
      <c r="Q170" s="767">
        <v>1</v>
      </c>
    </row>
    <row r="171" spans="1:17">
      <c r="B171" s="550"/>
      <c r="C171" s="550"/>
      <c r="D171" s="573"/>
      <c r="E171" s="550"/>
      <c r="F171" s="550"/>
      <c r="G171" s="550"/>
      <c r="H171" s="550"/>
      <c r="I171" s="656"/>
      <c r="J171" s="550"/>
      <c r="K171" s="598"/>
      <c r="Q171" s="598"/>
    </row>
    <row r="172" spans="1:17" ht="17">
      <c r="B172" s="605" t="s">
        <v>175</v>
      </c>
      <c r="C172" s="687" t="s">
        <v>291</v>
      </c>
      <c r="D172" s="573"/>
      <c r="E172" s="550"/>
      <c r="F172" s="550"/>
      <c r="G172" s="550"/>
      <c r="H172" s="550"/>
      <c r="I172" s="656"/>
      <c r="J172" s="656"/>
      <c r="K172" s="679"/>
      <c r="L172" s="656"/>
      <c r="M172" s="656"/>
      <c r="N172" s="656"/>
      <c r="O172" s="656"/>
      <c r="Q172" s="679"/>
    </row>
    <row r="173" spans="1:17" ht="18">
      <c r="B173" s="605"/>
      <c r="C173" s="604"/>
      <c r="D173" s="573"/>
      <c r="E173" s="550"/>
      <c r="F173" s="550"/>
      <c r="G173" s="550"/>
      <c r="H173" s="550"/>
      <c r="I173" s="656"/>
      <c r="J173" s="656"/>
      <c r="K173" s="679"/>
      <c r="L173" s="656"/>
      <c r="M173" s="656"/>
      <c r="N173" s="656"/>
      <c r="O173" s="656"/>
      <c r="Q173" s="679"/>
    </row>
    <row r="174" spans="1:17" ht="18">
      <c r="B174" s="605"/>
      <c r="C174" s="604" t="s">
        <v>292</v>
      </c>
      <c r="D174" s="573"/>
      <c r="E174" s="550"/>
      <c r="F174" s="550"/>
      <c r="G174" s="550"/>
      <c r="H174" s="550"/>
      <c r="I174" s="656"/>
      <c r="J174" s="656"/>
      <c r="K174" s="679"/>
      <c r="L174" s="656"/>
      <c r="M174" s="656"/>
      <c r="N174" s="656"/>
      <c r="O174" s="656"/>
      <c r="Q174" s="679"/>
    </row>
    <row r="175" spans="1:17" ht="16" thickBot="1">
      <c r="B175" s="337"/>
      <c r="C175" s="403"/>
      <c r="D175" s="573"/>
      <c r="E175" s="550"/>
      <c r="F175" s="550"/>
      <c r="G175" s="550"/>
      <c r="H175" s="550"/>
      <c r="I175" s="656"/>
      <c r="J175" s="656"/>
      <c r="K175" s="679"/>
      <c r="L175" s="656"/>
      <c r="M175" s="656"/>
      <c r="N175" s="656"/>
      <c r="O175" s="656"/>
      <c r="Q175" s="679"/>
    </row>
    <row r="176" spans="1:17" ht="15.5">
      <c r="B176" s="337"/>
      <c r="C176" s="606" t="s">
        <v>293</v>
      </c>
      <c r="D176" s="573"/>
      <c r="E176" s="550"/>
      <c r="F176" s="550"/>
      <c r="G176" s="550"/>
      <c r="H176" s="877"/>
      <c r="I176" s="550" t="s">
        <v>272</v>
      </c>
      <c r="J176" s="550"/>
      <c r="K176" s="598"/>
      <c r="L176" s="768">
        <f>+J182</f>
        <v>2019</v>
      </c>
      <c r="M176" s="750" t="s">
        <v>255</v>
      </c>
      <c r="N176" s="750" t="s">
        <v>256</v>
      </c>
      <c r="O176" s="751" t="s">
        <v>257</v>
      </c>
      <c r="Q176" s="598"/>
    </row>
    <row r="177" spans="1:17" ht="15.5">
      <c r="B177" s="337"/>
      <c r="C177" s="606"/>
      <c r="D177" s="573"/>
      <c r="E177" s="550"/>
      <c r="F177" s="550"/>
      <c r="H177" s="550"/>
      <c r="I177" s="691"/>
      <c r="J177" s="691"/>
      <c r="K177" s="692"/>
      <c r="L177" s="769" t="s">
        <v>456</v>
      </c>
      <c r="M177" s="770">
        <f>VLOOKUP(J182,C189:P248,10)</f>
        <v>65156.492655423965</v>
      </c>
      <c r="N177" s="770">
        <f>VLOOKUP(J182,C189:P248,12)</f>
        <v>65156.492655423965</v>
      </c>
      <c r="O177" s="771">
        <f>+N177-M177</f>
        <v>0</v>
      </c>
      <c r="Q177" s="692"/>
    </row>
    <row r="178" spans="1:17" ht="13">
      <c r="B178" s="337"/>
      <c r="C178" s="694" t="s">
        <v>294</v>
      </c>
      <c r="D178" s="1547" t="s">
        <v>982</v>
      </c>
      <c r="E178" s="1548"/>
      <c r="F178" s="1548"/>
      <c r="G178" s="1548"/>
      <c r="H178" s="1548"/>
      <c r="I178" s="1548"/>
      <c r="J178" s="656"/>
      <c r="K178" s="679"/>
      <c r="L178" s="769" t="s">
        <v>457</v>
      </c>
      <c r="M178" s="772">
        <f>VLOOKUP(J182,C189:P248,6)</f>
        <v>66049.564098178598</v>
      </c>
      <c r="N178" s="772">
        <f>VLOOKUP(J182,C189:P248,7)</f>
        <v>66049.564098178598</v>
      </c>
      <c r="O178" s="773">
        <f>+N178-M178</f>
        <v>0</v>
      </c>
      <c r="Q178" s="679"/>
    </row>
    <row r="179" spans="1:17" ht="13.5" thickBot="1">
      <c r="B179" s="337"/>
      <c r="C179" s="696"/>
      <c r="D179" s="1548"/>
      <c r="E179" s="1548"/>
      <c r="F179" s="1548"/>
      <c r="G179" s="1548"/>
      <c r="H179" s="1548"/>
      <c r="I179" s="1548"/>
      <c r="J179" s="656"/>
      <c r="K179" s="679"/>
      <c r="L179" s="715" t="s">
        <v>458</v>
      </c>
      <c r="M179" s="774">
        <f>+M178-M177</f>
        <v>893.07144275463361</v>
      </c>
      <c r="N179" s="774">
        <f>+N178-N177</f>
        <v>893.07144275463361</v>
      </c>
      <c r="O179" s="775">
        <f>+O178-O177</f>
        <v>0</v>
      </c>
      <c r="Q179" s="679"/>
    </row>
    <row r="180" spans="1:17" ht="13.5" thickBot="1">
      <c r="B180" s="337"/>
      <c r="C180" s="698"/>
      <c r="D180" s="699"/>
      <c r="E180" s="697"/>
      <c r="F180" s="697"/>
      <c r="G180" s="697"/>
      <c r="H180" s="697"/>
      <c r="I180" s="697"/>
      <c r="J180" s="697"/>
      <c r="K180" s="700"/>
      <c r="L180" s="697"/>
      <c r="M180" s="697"/>
      <c r="N180" s="697"/>
      <c r="O180" s="697"/>
      <c r="P180" s="586"/>
      <c r="Q180" s="700"/>
    </row>
    <row r="181" spans="1:17" ht="13" thickBot="1">
      <c r="B181" s="337"/>
      <c r="C181" s="701" t="s">
        <v>295</v>
      </c>
      <c r="D181" s="702"/>
      <c r="E181" s="702"/>
      <c r="F181" s="702"/>
      <c r="G181" s="702"/>
      <c r="H181" s="702"/>
      <c r="I181" s="702"/>
      <c r="J181" s="702"/>
      <c r="K181" s="704"/>
      <c r="P181" s="705"/>
      <c r="Q181" s="704"/>
    </row>
    <row r="182" spans="1:17" ht="16">
      <c r="A182" s="1324"/>
      <c r="B182" s="337"/>
      <c r="C182" s="707" t="s">
        <v>273</v>
      </c>
      <c r="D182" s="878">
        <v>585981</v>
      </c>
      <c r="E182" s="665" t="s">
        <v>274</v>
      </c>
      <c r="H182" s="708"/>
      <c r="I182" s="708"/>
      <c r="J182" s="709">
        <f>$J$95</f>
        <v>2019</v>
      </c>
      <c r="K182" s="596"/>
      <c r="L182" s="1560" t="s">
        <v>275</v>
      </c>
      <c r="M182" s="1560"/>
      <c r="N182" s="1560"/>
      <c r="O182" s="1560"/>
      <c r="P182" s="598"/>
      <c r="Q182" s="596"/>
    </row>
    <row r="183" spans="1:17">
      <c r="A183" s="1324"/>
      <c r="B183" s="337"/>
      <c r="C183" s="707" t="s">
        <v>276</v>
      </c>
      <c r="D183" s="888">
        <v>2013</v>
      </c>
      <c r="E183" s="707" t="s">
        <v>277</v>
      </c>
      <c r="F183" s="708"/>
      <c r="G183" s="708"/>
      <c r="I183" s="337"/>
      <c r="J183" s="882">
        <v>0</v>
      </c>
      <c r="K183" s="710"/>
      <c r="L183" s="679" t="s">
        <v>476</v>
      </c>
      <c r="P183" s="598"/>
      <c r="Q183" s="710"/>
    </row>
    <row r="184" spans="1:17">
      <c r="A184" s="1324"/>
      <c r="B184" s="337"/>
      <c r="C184" s="707" t="s">
        <v>278</v>
      </c>
      <c r="D184" s="880">
        <v>6</v>
      </c>
      <c r="E184" s="707" t="s">
        <v>279</v>
      </c>
      <c r="F184" s="708"/>
      <c r="G184" s="708"/>
      <c r="I184" s="337"/>
      <c r="J184" s="711">
        <f>$F$70</f>
        <v>0.10552282863199051</v>
      </c>
      <c r="K184" s="712"/>
      <c r="L184" s="550" t="str">
        <f>"          INPUT TRUE-UP ARR (WITH &amp; WITHOUT INCENTIVES) FROM EACH PRIOR YEAR"</f>
        <v xml:space="preserve">          INPUT TRUE-UP ARR (WITH &amp; WITHOUT INCENTIVES) FROM EACH PRIOR YEAR</v>
      </c>
      <c r="P184" s="598"/>
      <c r="Q184" s="712"/>
    </row>
    <row r="185" spans="1:17">
      <c r="A185" s="1324"/>
      <c r="B185" s="337"/>
      <c r="C185" s="707" t="s">
        <v>280</v>
      </c>
      <c r="D185" s="713">
        <f>H79</f>
        <v>51</v>
      </c>
      <c r="E185" s="707" t="s">
        <v>281</v>
      </c>
      <c r="F185" s="708"/>
      <c r="G185" s="708"/>
      <c r="I185" s="337"/>
      <c r="J185" s="711">
        <f>IF(H176="",J184,$F$69)</f>
        <v>0.10552282863199051</v>
      </c>
      <c r="K185" s="714"/>
      <c r="L185" s="550" t="s">
        <v>363</v>
      </c>
      <c r="M185" s="714"/>
      <c r="N185" s="714"/>
      <c r="O185" s="714"/>
      <c r="P185" s="598"/>
      <c r="Q185" s="714"/>
    </row>
    <row r="186" spans="1:17" ht="13" thickBot="1">
      <c r="A186" s="1324"/>
      <c r="B186" s="337"/>
      <c r="C186" s="707" t="s">
        <v>282</v>
      </c>
      <c r="D186" s="881" t="s">
        <v>979</v>
      </c>
      <c r="E186" s="715" t="s">
        <v>283</v>
      </c>
      <c r="F186" s="716"/>
      <c r="G186" s="716"/>
      <c r="H186" s="717"/>
      <c r="I186" s="717"/>
      <c r="J186" s="695">
        <f>IF(D182=0,0,D182/D185)</f>
        <v>11489.823529411764</v>
      </c>
      <c r="K186" s="679"/>
      <c r="L186" s="679" t="s">
        <v>364</v>
      </c>
      <c r="M186" s="679"/>
      <c r="N186" s="679"/>
      <c r="O186" s="679"/>
      <c r="P186" s="598"/>
      <c r="Q186" s="679"/>
    </row>
    <row r="187" spans="1:17" ht="39">
      <c r="A187" s="1325"/>
      <c r="B187" s="537"/>
      <c r="C187" s="718" t="s">
        <v>273</v>
      </c>
      <c r="D187" s="719" t="s">
        <v>284</v>
      </c>
      <c r="E187" s="720" t="s">
        <v>285</v>
      </c>
      <c r="F187" s="719" t="s">
        <v>286</v>
      </c>
      <c r="G187" s="719" t="s">
        <v>459</v>
      </c>
      <c r="H187" s="720" t="s">
        <v>357</v>
      </c>
      <c r="I187" s="721" t="s">
        <v>357</v>
      </c>
      <c r="J187" s="718" t="s">
        <v>296</v>
      </c>
      <c r="K187" s="722"/>
      <c r="L187" s="720" t="s">
        <v>359</v>
      </c>
      <c r="M187" s="720" t="s">
        <v>365</v>
      </c>
      <c r="N187" s="720" t="s">
        <v>359</v>
      </c>
      <c r="O187" s="720" t="s">
        <v>367</v>
      </c>
      <c r="P187" s="720" t="s">
        <v>287</v>
      </c>
      <c r="Q187" s="723"/>
    </row>
    <row r="188" spans="1:17" ht="13.5" thickBot="1">
      <c r="B188" s="337"/>
      <c r="C188" s="724" t="s">
        <v>178</v>
      </c>
      <c r="D188" s="725" t="s">
        <v>179</v>
      </c>
      <c r="E188" s="724" t="s">
        <v>38</v>
      </c>
      <c r="F188" s="725" t="s">
        <v>179</v>
      </c>
      <c r="G188" s="725" t="s">
        <v>179</v>
      </c>
      <c r="H188" s="726" t="s">
        <v>299</v>
      </c>
      <c r="I188" s="727" t="s">
        <v>301</v>
      </c>
      <c r="J188" s="728" t="s">
        <v>390</v>
      </c>
      <c r="K188" s="729"/>
      <c r="L188" s="726" t="s">
        <v>288</v>
      </c>
      <c r="M188" s="726" t="s">
        <v>288</v>
      </c>
      <c r="N188" s="726" t="s">
        <v>468</v>
      </c>
      <c r="O188" s="726" t="s">
        <v>468</v>
      </c>
      <c r="P188" s="726" t="s">
        <v>468</v>
      </c>
      <c r="Q188" s="596"/>
    </row>
    <row r="189" spans="1:17">
      <c r="B189" s="337"/>
      <c r="C189" s="730">
        <f>IF(D183= "","-",D183)</f>
        <v>2013</v>
      </c>
      <c r="D189" s="683">
        <f>+D182</f>
        <v>585981</v>
      </c>
      <c r="E189" s="731">
        <f>+J186/12*(12-D184)</f>
        <v>5744.911764705882</v>
      </c>
      <c r="F189" s="776">
        <f t="shared" ref="F189:F248" si="16">+D189-E189</f>
        <v>580236.0882352941</v>
      </c>
      <c r="G189" s="683">
        <f t="shared" ref="G189:G248" si="17">+(D189+F189)/2</f>
        <v>583108.54411764699</v>
      </c>
      <c r="H189" s="732">
        <f>+J184*G189+E189</f>
        <v>67276.174739481823</v>
      </c>
      <c r="I189" s="733">
        <f>+J185*G189+E189</f>
        <v>67276.174739481823</v>
      </c>
      <c r="J189" s="734">
        <f t="shared" ref="J189:J248" si="18">+I189-H189</f>
        <v>0</v>
      </c>
      <c r="K189" s="734"/>
      <c r="L189" s="735">
        <v>92625</v>
      </c>
      <c r="M189" s="777">
        <f t="shared" ref="M189:M248" si="19">IF(L189&lt;&gt;0,+H189-L189,0)</f>
        <v>-25348.825260518177</v>
      </c>
      <c r="N189" s="735">
        <v>92625</v>
      </c>
      <c r="O189" s="777">
        <f t="shared" ref="O189:O248" si="20">IF(N189&lt;&gt;0,+I189-N189,0)</f>
        <v>-25348.825260518177</v>
      </c>
      <c r="P189" s="777">
        <f t="shared" ref="P189:P248" si="21">+O189-M189</f>
        <v>0</v>
      </c>
      <c r="Q189" s="684"/>
    </row>
    <row r="190" spans="1:17">
      <c r="B190" s="337"/>
      <c r="C190" s="730">
        <f>IF(D183="","-",+C189+1)</f>
        <v>2014</v>
      </c>
      <c r="D190" s="683">
        <f t="shared" ref="D190:D248" si="22">F189</f>
        <v>580236.0882352941</v>
      </c>
      <c r="E190" s="737">
        <f>IF(D190&gt;$J$186,$J$186,D190)</f>
        <v>11489.823529411764</v>
      </c>
      <c r="F190" s="737">
        <f t="shared" si="16"/>
        <v>568746.26470588229</v>
      </c>
      <c r="G190" s="683">
        <f t="shared" si="17"/>
        <v>574491.17647058819</v>
      </c>
      <c r="H190" s="731">
        <f>+J184*G190+E190</f>
        <v>72111.757494708261</v>
      </c>
      <c r="I190" s="738">
        <f>+J185*G190+E190</f>
        <v>72111.757494708261</v>
      </c>
      <c r="J190" s="734">
        <f t="shared" si="18"/>
        <v>0</v>
      </c>
      <c r="K190" s="734"/>
      <c r="L190" s="739">
        <v>87393</v>
      </c>
      <c r="M190" s="734">
        <f t="shared" si="19"/>
        <v>-15281.242505291739</v>
      </c>
      <c r="N190" s="739">
        <v>87393</v>
      </c>
      <c r="O190" s="734">
        <f t="shared" si="20"/>
        <v>-15281.242505291739</v>
      </c>
      <c r="P190" s="734">
        <f t="shared" si="21"/>
        <v>0</v>
      </c>
      <c r="Q190" s="684"/>
    </row>
    <row r="191" spans="1:17">
      <c r="B191" s="337"/>
      <c r="C191" s="730">
        <f>IF(D183="","-",+C190+1)</f>
        <v>2015</v>
      </c>
      <c r="D191" s="683">
        <f t="shared" si="22"/>
        <v>568746.26470588229</v>
      </c>
      <c r="E191" s="737">
        <f t="shared" ref="E191:E248" si="23">IF(D191&gt;$J$186,$J$186,D191)</f>
        <v>11489.823529411764</v>
      </c>
      <c r="F191" s="737">
        <f t="shared" si="16"/>
        <v>557256.44117647049</v>
      </c>
      <c r="G191" s="683">
        <f t="shared" si="17"/>
        <v>563001.35294117639</v>
      </c>
      <c r="H191" s="731">
        <f>+J184*G191+E191</f>
        <v>70899.318815402337</v>
      </c>
      <c r="I191" s="738">
        <f>+J185*G191+E191</f>
        <v>70899.318815402337</v>
      </c>
      <c r="J191" s="734">
        <f t="shared" si="18"/>
        <v>0</v>
      </c>
      <c r="K191" s="734"/>
      <c r="L191" s="739">
        <v>87463</v>
      </c>
      <c r="M191" s="734">
        <f t="shared" si="19"/>
        <v>-16563.681184597663</v>
      </c>
      <c r="N191" s="739">
        <v>87463</v>
      </c>
      <c r="O191" s="734">
        <f t="shared" si="20"/>
        <v>-16563.681184597663</v>
      </c>
      <c r="P191" s="734">
        <f t="shared" si="21"/>
        <v>0</v>
      </c>
      <c r="Q191" s="684"/>
    </row>
    <row r="192" spans="1:17">
      <c r="B192" s="337"/>
      <c r="C192" s="730">
        <f>IF(D183="","-",+C191+1)</f>
        <v>2016</v>
      </c>
      <c r="D192" s="683">
        <f t="shared" si="22"/>
        <v>557256.44117647049</v>
      </c>
      <c r="E192" s="737">
        <f t="shared" si="23"/>
        <v>11489.823529411764</v>
      </c>
      <c r="F192" s="737">
        <f t="shared" si="16"/>
        <v>545766.61764705868</v>
      </c>
      <c r="G192" s="683">
        <f t="shared" si="17"/>
        <v>551511.52941176458</v>
      </c>
      <c r="H192" s="731">
        <f>+J184*G192+E192</f>
        <v>69686.880136096399</v>
      </c>
      <c r="I192" s="738">
        <f>+J185*G192+E192</f>
        <v>69686.880136096399</v>
      </c>
      <c r="J192" s="734">
        <f t="shared" si="18"/>
        <v>0</v>
      </c>
      <c r="K192" s="734"/>
      <c r="L192" s="739">
        <v>85936</v>
      </c>
      <c r="M192" s="734">
        <f t="shared" si="19"/>
        <v>-16249.119863903601</v>
      </c>
      <c r="N192" s="739">
        <v>85936</v>
      </c>
      <c r="O192" s="734">
        <f t="shared" si="20"/>
        <v>-16249.119863903601</v>
      </c>
      <c r="P192" s="734">
        <f t="shared" si="21"/>
        <v>0</v>
      </c>
      <c r="Q192" s="684"/>
    </row>
    <row r="193" spans="2:17">
      <c r="B193" s="337"/>
      <c r="C193" s="730">
        <f>IF(D183="","-",+C192+1)</f>
        <v>2017</v>
      </c>
      <c r="D193" s="683">
        <f t="shared" si="22"/>
        <v>545766.61764705868</v>
      </c>
      <c r="E193" s="737">
        <f t="shared" si="23"/>
        <v>11489.823529411764</v>
      </c>
      <c r="F193" s="737">
        <f t="shared" si="16"/>
        <v>534276.79411764687</v>
      </c>
      <c r="G193" s="683">
        <f t="shared" si="17"/>
        <v>540021.70588235278</v>
      </c>
      <c r="H193" s="731">
        <f>+J184*G193+E193</f>
        <v>68474.441456790461</v>
      </c>
      <c r="I193" s="738">
        <f>+J185*G193+E193</f>
        <v>68474.441456790461</v>
      </c>
      <c r="J193" s="734">
        <f t="shared" si="18"/>
        <v>0</v>
      </c>
      <c r="K193" s="734"/>
      <c r="L193" s="739">
        <v>77494</v>
      </c>
      <c r="M193" s="734">
        <f t="shared" si="19"/>
        <v>-9019.5585432095395</v>
      </c>
      <c r="N193" s="739">
        <v>77494</v>
      </c>
      <c r="O193" s="734">
        <f t="shared" si="20"/>
        <v>-9019.5585432095395</v>
      </c>
      <c r="P193" s="734">
        <f t="shared" si="21"/>
        <v>0</v>
      </c>
      <c r="Q193" s="684"/>
    </row>
    <row r="194" spans="2:17">
      <c r="B194" s="337"/>
      <c r="C194" s="730">
        <f>IF(D183="","-",+C193+1)</f>
        <v>2018</v>
      </c>
      <c r="D194" s="1464">
        <f t="shared" si="22"/>
        <v>534276.79411764687</v>
      </c>
      <c r="E194" s="737">
        <f t="shared" si="23"/>
        <v>11489.823529411764</v>
      </c>
      <c r="F194" s="737">
        <f t="shared" si="16"/>
        <v>522786.97058823513</v>
      </c>
      <c r="G194" s="683">
        <f t="shared" si="17"/>
        <v>528531.88235294097</v>
      </c>
      <c r="H194" s="731">
        <f>+J184*G194+E194</f>
        <v>67262.002777484522</v>
      </c>
      <c r="I194" s="738">
        <f>+J185*G194+E194</f>
        <v>67262.002777484522</v>
      </c>
      <c r="J194" s="734">
        <f t="shared" si="18"/>
        <v>0</v>
      </c>
      <c r="K194" s="734"/>
      <c r="L194" s="739">
        <v>70215</v>
      </c>
      <c r="M194" s="734">
        <f t="shared" si="19"/>
        <v>-2952.9972225154779</v>
      </c>
      <c r="N194" s="739">
        <v>70215</v>
      </c>
      <c r="O194" s="734">
        <f t="shared" si="20"/>
        <v>-2952.9972225154779</v>
      </c>
      <c r="P194" s="734">
        <f t="shared" si="21"/>
        <v>0</v>
      </c>
      <c r="Q194" s="684"/>
    </row>
    <row r="195" spans="2:17">
      <c r="B195" s="337"/>
      <c r="C195" s="730">
        <f>IF(D183="","-",+C194+1)</f>
        <v>2019</v>
      </c>
      <c r="D195" s="683">
        <f t="shared" si="22"/>
        <v>522786.97058823513</v>
      </c>
      <c r="E195" s="737">
        <f t="shared" si="23"/>
        <v>11489.823529411764</v>
      </c>
      <c r="F195" s="737">
        <f t="shared" si="16"/>
        <v>511297.14705882338</v>
      </c>
      <c r="G195" s="683">
        <f t="shared" si="17"/>
        <v>517042.05882352928</v>
      </c>
      <c r="H195" s="731">
        <f>+J184*G195+E195</f>
        <v>66049.564098178598</v>
      </c>
      <c r="I195" s="738">
        <f>+J185*G195+E195</f>
        <v>66049.564098178598</v>
      </c>
      <c r="J195" s="734">
        <f t="shared" si="18"/>
        <v>0</v>
      </c>
      <c r="K195" s="734"/>
      <c r="L195" s="739">
        <v>65156.492655423965</v>
      </c>
      <c r="M195" s="734">
        <f t="shared" si="19"/>
        <v>893.07144275463361</v>
      </c>
      <c r="N195" s="739">
        <v>65156.492655423965</v>
      </c>
      <c r="O195" s="734">
        <f t="shared" si="20"/>
        <v>893.07144275463361</v>
      </c>
      <c r="P195" s="734">
        <f t="shared" si="21"/>
        <v>0</v>
      </c>
      <c r="Q195" s="684"/>
    </row>
    <row r="196" spans="2:17">
      <c r="B196" s="337"/>
      <c r="C196" s="730">
        <f>IF(D183="","-",+C195+1)</f>
        <v>2020</v>
      </c>
      <c r="D196" s="683">
        <f t="shared" si="22"/>
        <v>511297.14705882338</v>
      </c>
      <c r="E196" s="737">
        <f t="shared" si="23"/>
        <v>11489.823529411764</v>
      </c>
      <c r="F196" s="737">
        <f t="shared" si="16"/>
        <v>499807.32352941163</v>
      </c>
      <c r="G196" s="683">
        <f t="shared" si="17"/>
        <v>505552.23529411748</v>
      </c>
      <c r="H196" s="731">
        <f>+J184*G196+E196</f>
        <v>64837.125418872667</v>
      </c>
      <c r="I196" s="738">
        <f>+J185*G196+E196</f>
        <v>64837.125418872667</v>
      </c>
      <c r="J196" s="734">
        <f t="shared" si="18"/>
        <v>0</v>
      </c>
      <c r="K196" s="734"/>
      <c r="L196" s="739"/>
      <c r="M196" s="734">
        <f t="shared" si="19"/>
        <v>0</v>
      </c>
      <c r="N196" s="739"/>
      <c r="O196" s="734">
        <f t="shared" si="20"/>
        <v>0</v>
      </c>
      <c r="P196" s="734">
        <f t="shared" si="21"/>
        <v>0</v>
      </c>
      <c r="Q196" s="684"/>
    </row>
    <row r="197" spans="2:17">
      <c r="B197" s="337"/>
      <c r="C197" s="730">
        <f>IF(D183="","-",+C196+1)</f>
        <v>2021</v>
      </c>
      <c r="D197" s="683">
        <f t="shared" si="22"/>
        <v>499807.32352941163</v>
      </c>
      <c r="E197" s="737">
        <f t="shared" si="23"/>
        <v>11489.823529411764</v>
      </c>
      <c r="F197" s="737">
        <f t="shared" si="16"/>
        <v>488317.49999999988</v>
      </c>
      <c r="G197" s="683">
        <f t="shared" si="17"/>
        <v>494062.41176470579</v>
      </c>
      <c r="H197" s="731">
        <f>+J184*G197+E197</f>
        <v>63624.686739566743</v>
      </c>
      <c r="I197" s="738">
        <f>+J185*G197+E197</f>
        <v>63624.686739566743</v>
      </c>
      <c r="J197" s="734">
        <f t="shared" si="18"/>
        <v>0</v>
      </c>
      <c r="K197" s="734"/>
      <c r="L197" s="739"/>
      <c r="M197" s="734">
        <f t="shared" si="19"/>
        <v>0</v>
      </c>
      <c r="N197" s="739"/>
      <c r="O197" s="734">
        <f t="shared" si="20"/>
        <v>0</v>
      </c>
      <c r="P197" s="734">
        <f t="shared" si="21"/>
        <v>0</v>
      </c>
      <c r="Q197" s="684"/>
    </row>
    <row r="198" spans="2:17">
      <c r="B198" s="337"/>
      <c r="C198" s="730">
        <f>IF(D183="","-",+C197+1)</f>
        <v>2022</v>
      </c>
      <c r="D198" s="683">
        <f t="shared" si="22"/>
        <v>488317.49999999988</v>
      </c>
      <c r="E198" s="737">
        <f t="shared" si="23"/>
        <v>11489.823529411764</v>
      </c>
      <c r="F198" s="737">
        <f t="shared" si="16"/>
        <v>476827.67647058814</v>
      </c>
      <c r="G198" s="683">
        <f t="shared" si="17"/>
        <v>482572.58823529398</v>
      </c>
      <c r="H198" s="731">
        <f>+J184*G198+E198</f>
        <v>62412.248060260812</v>
      </c>
      <c r="I198" s="738">
        <f>+J185*G198+E198</f>
        <v>62412.248060260812</v>
      </c>
      <c r="J198" s="734">
        <f t="shared" si="18"/>
        <v>0</v>
      </c>
      <c r="K198" s="734"/>
      <c r="L198" s="739"/>
      <c r="M198" s="734">
        <f t="shared" si="19"/>
        <v>0</v>
      </c>
      <c r="N198" s="739"/>
      <c r="O198" s="734">
        <f t="shared" si="20"/>
        <v>0</v>
      </c>
      <c r="P198" s="734">
        <f t="shared" si="21"/>
        <v>0</v>
      </c>
      <c r="Q198" s="684"/>
    </row>
    <row r="199" spans="2:17">
      <c r="B199" s="337"/>
      <c r="C199" s="730">
        <f>IF(D183="","-",+C198+1)</f>
        <v>2023</v>
      </c>
      <c r="D199" s="683">
        <f t="shared" si="22"/>
        <v>476827.67647058814</v>
      </c>
      <c r="E199" s="737">
        <f t="shared" si="23"/>
        <v>11489.823529411764</v>
      </c>
      <c r="F199" s="737">
        <f t="shared" si="16"/>
        <v>465337.85294117639</v>
      </c>
      <c r="G199" s="683">
        <f t="shared" si="17"/>
        <v>471082.76470588229</v>
      </c>
      <c r="H199" s="731">
        <f>+J184*G199+E199</f>
        <v>61199.809380954888</v>
      </c>
      <c r="I199" s="738">
        <f>+J185*G199+E199</f>
        <v>61199.809380954888</v>
      </c>
      <c r="J199" s="734">
        <f t="shared" si="18"/>
        <v>0</v>
      </c>
      <c r="K199" s="734"/>
      <c r="L199" s="739"/>
      <c r="M199" s="734">
        <f t="shared" si="19"/>
        <v>0</v>
      </c>
      <c r="N199" s="739"/>
      <c r="O199" s="734">
        <f t="shared" si="20"/>
        <v>0</v>
      </c>
      <c r="P199" s="734">
        <f t="shared" si="21"/>
        <v>0</v>
      </c>
      <c r="Q199" s="684"/>
    </row>
    <row r="200" spans="2:17">
      <c r="B200" s="337"/>
      <c r="C200" s="730">
        <f>IF(D183="","-",+C199+1)</f>
        <v>2024</v>
      </c>
      <c r="D200" s="683">
        <f t="shared" si="22"/>
        <v>465337.85294117639</v>
      </c>
      <c r="E200" s="737">
        <f t="shared" si="23"/>
        <v>11489.823529411764</v>
      </c>
      <c r="F200" s="737">
        <f t="shared" si="16"/>
        <v>453848.02941176464</v>
      </c>
      <c r="G200" s="683">
        <f t="shared" si="17"/>
        <v>459592.94117647049</v>
      </c>
      <c r="H200" s="731">
        <f>+J184*G200+E200</f>
        <v>59987.370701648957</v>
      </c>
      <c r="I200" s="738">
        <f>+J185*G200+E200</f>
        <v>59987.370701648957</v>
      </c>
      <c r="J200" s="734">
        <f t="shared" si="18"/>
        <v>0</v>
      </c>
      <c r="K200" s="734"/>
      <c r="L200" s="739"/>
      <c r="M200" s="734">
        <f t="shared" si="19"/>
        <v>0</v>
      </c>
      <c r="N200" s="739"/>
      <c r="O200" s="734">
        <f t="shared" si="20"/>
        <v>0</v>
      </c>
      <c r="P200" s="734">
        <f t="shared" si="21"/>
        <v>0</v>
      </c>
      <c r="Q200" s="684"/>
    </row>
    <row r="201" spans="2:17">
      <c r="B201" s="337"/>
      <c r="C201" s="730">
        <f>IF(D183="","-",+C200+1)</f>
        <v>2025</v>
      </c>
      <c r="D201" s="683">
        <f t="shared" si="22"/>
        <v>453848.02941176464</v>
      </c>
      <c r="E201" s="737">
        <f t="shared" si="23"/>
        <v>11489.823529411764</v>
      </c>
      <c r="F201" s="737">
        <f t="shared" si="16"/>
        <v>442358.20588235289</v>
      </c>
      <c r="G201" s="683">
        <f t="shared" si="17"/>
        <v>448103.1176470588</v>
      </c>
      <c r="H201" s="731">
        <f>+J184*G201+E201</f>
        <v>58774.932022343033</v>
      </c>
      <c r="I201" s="738">
        <f>+J185*G201+E201</f>
        <v>58774.932022343033</v>
      </c>
      <c r="J201" s="734">
        <f t="shared" si="18"/>
        <v>0</v>
      </c>
      <c r="K201" s="734"/>
      <c r="L201" s="739"/>
      <c r="M201" s="734">
        <f t="shared" si="19"/>
        <v>0</v>
      </c>
      <c r="N201" s="739"/>
      <c r="O201" s="734">
        <f t="shared" si="20"/>
        <v>0</v>
      </c>
      <c r="P201" s="734">
        <f t="shared" si="21"/>
        <v>0</v>
      </c>
      <c r="Q201" s="684"/>
    </row>
    <row r="202" spans="2:17">
      <c r="B202" s="337"/>
      <c r="C202" s="730">
        <f>IF(D183="","-",+C201+1)</f>
        <v>2026</v>
      </c>
      <c r="D202" s="683">
        <f t="shared" si="22"/>
        <v>442358.20588235289</v>
      </c>
      <c r="E202" s="737">
        <f t="shared" si="23"/>
        <v>11489.823529411764</v>
      </c>
      <c r="F202" s="737">
        <f t="shared" si="16"/>
        <v>430868.38235294115</v>
      </c>
      <c r="G202" s="683">
        <f t="shared" si="17"/>
        <v>436613.29411764699</v>
      </c>
      <c r="H202" s="731">
        <f>+J184*G202+E202</f>
        <v>57562.493343037095</v>
      </c>
      <c r="I202" s="738">
        <f>+J185*G202+E202</f>
        <v>57562.493343037095</v>
      </c>
      <c r="J202" s="734">
        <f t="shared" si="18"/>
        <v>0</v>
      </c>
      <c r="K202" s="734"/>
      <c r="L202" s="739"/>
      <c r="M202" s="734">
        <f t="shared" si="19"/>
        <v>0</v>
      </c>
      <c r="N202" s="739"/>
      <c r="O202" s="734">
        <f t="shared" si="20"/>
        <v>0</v>
      </c>
      <c r="P202" s="734">
        <f t="shared" si="21"/>
        <v>0</v>
      </c>
      <c r="Q202" s="684"/>
    </row>
    <row r="203" spans="2:17">
      <c r="B203" s="337"/>
      <c r="C203" s="730">
        <f>IF(D183="","-",+C202+1)</f>
        <v>2027</v>
      </c>
      <c r="D203" s="683">
        <f t="shared" si="22"/>
        <v>430868.38235294115</v>
      </c>
      <c r="E203" s="737">
        <f t="shared" si="23"/>
        <v>11489.823529411764</v>
      </c>
      <c r="F203" s="737">
        <f t="shared" si="16"/>
        <v>419378.5588235294</v>
      </c>
      <c r="G203" s="683">
        <f t="shared" si="17"/>
        <v>425123.4705882353</v>
      </c>
      <c r="H203" s="731">
        <f>+J184*G203+E203</f>
        <v>56350.054663731178</v>
      </c>
      <c r="I203" s="738">
        <f>+J185*G203+E203</f>
        <v>56350.054663731178</v>
      </c>
      <c r="J203" s="734">
        <f t="shared" si="18"/>
        <v>0</v>
      </c>
      <c r="K203" s="734"/>
      <c r="L203" s="739"/>
      <c r="M203" s="734">
        <f t="shared" si="19"/>
        <v>0</v>
      </c>
      <c r="N203" s="739"/>
      <c r="O203" s="734">
        <f t="shared" si="20"/>
        <v>0</v>
      </c>
      <c r="P203" s="734">
        <f t="shared" si="21"/>
        <v>0</v>
      </c>
      <c r="Q203" s="684"/>
    </row>
    <row r="204" spans="2:17">
      <c r="B204" s="337"/>
      <c r="C204" s="730">
        <f>IF(D183="","-",+C203+1)</f>
        <v>2028</v>
      </c>
      <c r="D204" s="683">
        <f t="shared" si="22"/>
        <v>419378.5588235294</v>
      </c>
      <c r="E204" s="737">
        <f t="shared" si="23"/>
        <v>11489.823529411764</v>
      </c>
      <c r="F204" s="737">
        <f t="shared" si="16"/>
        <v>407888.73529411765</v>
      </c>
      <c r="G204" s="683">
        <f t="shared" si="17"/>
        <v>413633.6470588235</v>
      </c>
      <c r="H204" s="731">
        <f>+J184*G204+E204</f>
        <v>55137.61598442524</v>
      </c>
      <c r="I204" s="738">
        <f>+J185*G204+E204</f>
        <v>55137.61598442524</v>
      </c>
      <c r="J204" s="734">
        <f t="shared" si="18"/>
        <v>0</v>
      </c>
      <c r="K204" s="734"/>
      <c r="L204" s="739"/>
      <c r="M204" s="734">
        <f t="shared" si="19"/>
        <v>0</v>
      </c>
      <c r="N204" s="739"/>
      <c r="O204" s="734">
        <f t="shared" si="20"/>
        <v>0</v>
      </c>
      <c r="P204" s="734">
        <f t="shared" si="21"/>
        <v>0</v>
      </c>
      <c r="Q204" s="684"/>
    </row>
    <row r="205" spans="2:17">
      <c r="B205" s="337"/>
      <c r="C205" s="730">
        <f>IF(D183="","-",+C204+1)</f>
        <v>2029</v>
      </c>
      <c r="D205" s="683">
        <f t="shared" si="22"/>
        <v>407888.73529411765</v>
      </c>
      <c r="E205" s="737">
        <f t="shared" si="23"/>
        <v>11489.823529411764</v>
      </c>
      <c r="F205" s="737">
        <f t="shared" si="16"/>
        <v>396398.9117647059</v>
      </c>
      <c r="G205" s="683">
        <f t="shared" si="17"/>
        <v>402143.82352941181</v>
      </c>
      <c r="H205" s="731">
        <f>+J184*G205+E205</f>
        <v>53925.177305119316</v>
      </c>
      <c r="I205" s="738">
        <f>+J185*G205+E205</f>
        <v>53925.177305119316</v>
      </c>
      <c r="J205" s="734">
        <f t="shared" si="18"/>
        <v>0</v>
      </c>
      <c r="K205" s="734"/>
      <c r="L205" s="739"/>
      <c r="M205" s="734">
        <f t="shared" si="19"/>
        <v>0</v>
      </c>
      <c r="N205" s="739"/>
      <c r="O205" s="734">
        <f t="shared" si="20"/>
        <v>0</v>
      </c>
      <c r="P205" s="734">
        <f t="shared" si="21"/>
        <v>0</v>
      </c>
      <c r="Q205" s="684"/>
    </row>
    <row r="206" spans="2:17">
      <c r="B206" s="337"/>
      <c r="C206" s="730">
        <f>IF(D183="","-",+C205+1)</f>
        <v>2030</v>
      </c>
      <c r="D206" s="683">
        <f t="shared" si="22"/>
        <v>396398.9117647059</v>
      </c>
      <c r="E206" s="737">
        <f t="shared" si="23"/>
        <v>11489.823529411764</v>
      </c>
      <c r="F206" s="737">
        <f t="shared" si="16"/>
        <v>384909.08823529416</v>
      </c>
      <c r="G206" s="683">
        <f t="shared" si="17"/>
        <v>390654</v>
      </c>
      <c r="H206" s="731">
        <f>+J184*G206+E206</f>
        <v>52712.738625813385</v>
      </c>
      <c r="I206" s="738">
        <f>+J185*G206+E206</f>
        <v>52712.738625813385</v>
      </c>
      <c r="J206" s="734">
        <f t="shared" si="18"/>
        <v>0</v>
      </c>
      <c r="K206" s="734"/>
      <c r="L206" s="739"/>
      <c r="M206" s="734">
        <f t="shared" si="19"/>
        <v>0</v>
      </c>
      <c r="N206" s="739"/>
      <c r="O206" s="734">
        <f t="shared" si="20"/>
        <v>0</v>
      </c>
      <c r="P206" s="734">
        <f t="shared" si="21"/>
        <v>0</v>
      </c>
      <c r="Q206" s="684"/>
    </row>
    <row r="207" spans="2:17">
      <c r="B207" s="337"/>
      <c r="C207" s="730">
        <f>IF(D183="","-",+C206+1)</f>
        <v>2031</v>
      </c>
      <c r="D207" s="683">
        <f t="shared" si="22"/>
        <v>384909.08823529416</v>
      </c>
      <c r="E207" s="737">
        <f t="shared" si="23"/>
        <v>11489.823529411764</v>
      </c>
      <c r="F207" s="737">
        <f t="shared" si="16"/>
        <v>373419.26470588241</v>
      </c>
      <c r="G207" s="683">
        <f t="shared" si="17"/>
        <v>379164.17647058831</v>
      </c>
      <c r="H207" s="731">
        <f>+J184*G207+E207</f>
        <v>51500.299946507461</v>
      </c>
      <c r="I207" s="738">
        <f>+J185*G207+E207</f>
        <v>51500.299946507461</v>
      </c>
      <c r="J207" s="734">
        <f t="shared" si="18"/>
        <v>0</v>
      </c>
      <c r="K207" s="734"/>
      <c r="L207" s="739"/>
      <c r="M207" s="734">
        <f t="shared" si="19"/>
        <v>0</v>
      </c>
      <c r="N207" s="739"/>
      <c r="O207" s="734">
        <f t="shared" si="20"/>
        <v>0</v>
      </c>
      <c r="P207" s="734">
        <f t="shared" si="21"/>
        <v>0</v>
      </c>
      <c r="Q207" s="684"/>
    </row>
    <row r="208" spans="2:17">
      <c r="B208" s="337"/>
      <c r="C208" s="730">
        <f>IF(D183="","-",+C207+1)</f>
        <v>2032</v>
      </c>
      <c r="D208" s="683">
        <f t="shared" si="22"/>
        <v>373419.26470588241</v>
      </c>
      <c r="E208" s="737">
        <f t="shared" si="23"/>
        <v>11489.823529411764</v>
      </c>
      <c r="F208" s="737">
        <f t="shared" si="16"/>
        <v>361929.44117647066</v>
      </c>
      <c r="G208" s="683">
        <f t="shared" si="17"/>
        <v>367674.3529411765</v>
      </c>
      <c r="H208" s="731">
        <f>+J184*G208+E208</f>
        <v>50287.86126720153</v>
      </c>
      <c r="I208" s="738">
        <f>+J185*G208+E208</f>
        <v>50287.86126720153</v>
      </c>
      <c r="J208" s="734">
        <f t="shared" si="18"/>
        <v>0</v>
      </c>
      <c r="K208" s="734"/>
      <c r="L208" s="739"/>
      <c r="M208" s="734">
        <f t="shared" si="19"/>
        <v>0</v>
      </c>
      <c r="N208" s="739"/>
      <c r="O208" s="734">
        <f t="shared" si="20"/>
        <v>0</v>
      </c>
      <c r="P208" s="734">
        <f t="shared" si="21"/>
        <v>0</v>
      </c>
      <c r="Q208" s="684"/>
    </row>
    <row r="209" spans="2:17">
      <c r="B209" s="337"/>
      <c r="C209" s="730">
        <f>IF(D183="","-",+C208+1)</f>
        <v>2033</v>
      </c>
      <c r="D209" s="683">
        <f t="shared" si="22"/>
        <v>361929.44117647066</v>
      </c>
      <c r="E209" s="737">
        <f t="shared" si="23"/>
        <v>11489.823529411764</v>
      </c>
      <c r="F209" s="737">
        <f t="shared" si="16"/>
        <v>350439.61764705891</v>
      </c>
      <c r="G209" s="683">
        <f t="shared" si="17"/>
        <v>356184.52941176482</v>
      </c>
      <c r="H209" s="731">
        <f>+J184*G209+E209</f>
        <v>49075.422587895606</v>
      </c>
      <c r="I209" s="738">
        <f>+J185*G209+E209</f>
        <v>49075.422587895606</v>
      </c>
      <c r="J209" s="734">
        <f t="shared" si="18"/>
        <v>0</v>
      </c>
      <c r="K209" s="734"/>
      <c r="L209" s="739"/>
      <c r="M209" s="734">
        <f t="shared" si="19"/>
        <v>0</v>
      </c>
      <c r="N209" s="739"/>
      <c r="O209" s="734">
        <f t="shared" si="20"/>
        <v>0</v>
      </c>
      <c r="P209" s="734">
        <f t="shared" si="21"/>
        <v>0</v>
      </c>
      <c r="Q209" s="684"/>
    </row>
    <row r="210" spans="2:17">
      <c r="B210" s="337"/>
      <c r="C210" s="730">
        <f>IF(D183="","-",+C209+1)</f>
        <v>2034</v>
      </c>
      <c r="D210" s="683">
        <f t="shared" si="22"/>
        <v>350439.61764705891</v>
      </c>
      <c r="E210" s="737">
        <f t="shared" si="23"/>
        <v>11489.823529411764</v>
      </c>
      <c r="F210" s="737">
        <f t="shared" si="16"/>
        <v>338949.79411764716</v>
      </c>
      <c r="G210" s="683">
        <f t="shared" si="17"/>
        <v>344694.70588235301</v>
      </c>
      <c r="H210" s="731">
        <f>+J184*G210+E210</f>
        <v>47862.983908589675</v>
      </c>
      <c r="I210" s="738">
        <f>+J185*G210+E210</f>
        <v>47862.983908589675</v>
      </c>
      <c r="J210" s="734">
        <f t="shared" si="18"/>
        <v>0</v>
      </c>
      <c r="K210" s="734"/>
      <c r="L210" s="739"/>
      <c r="M210" s="734">
        <f t="shared" si="19"/>
        <v>0</v>
      </c>
      <c r="N210" s="739"/>
      <c r="O210" s="734">
        <f t="shared" si="20"/>
        <v>0</v>
      </c>
      <c r="P210" s="734">
        <f t="shared" si="21"/>
        <v>0</v>
      </c>
      <c r="Q210" s="684"/>
    </row>
    <row r="211" spans="2:17">
      <c r="B211" s="337"/>
      <c r="C211" s="730">
        <f>IF(D183="","-",+C210+1)</f>
        <v>2035</v>
      </c>
      <c r="D211" s="683">
        <f t="shared" si="22"/>
        <v>338949.79411764716</v>
      </c>
      <c r="E211" s="737">
        <f t="shared" si="23"/>
        <v>11489.823529411764</v>
      </c>
      <c r="F211" s="737">
        <f t="shared" si="16"/>
        <v>327459.97058823542</v>
      </c>
      <c r="G211" s="683">
        <f t="shared" si="17"/>
        <v>333204.88235294132</v>
      </c>
      <c r="H211" s="731">
        <f>+J184*G211+E211</f>
        <v>46650.545229283751</v>
      </c>
      <c r="I211" s="738">
        <f>+J185*G211+E211</f>
        <v>46650.545229283751</v>
      </c>
      <c r="J211" s="734">
        <f t="shared" si="18"/>
        <v>0</v>
      </c>
      <c r="K211" s="734"/>
      <c r="L211" s="739"/>
      <c r="M211" s="734">
        <f t="shared" si="19"/>
        <v>0</v>
      </c>
      <c r="N211" s="739"/>
      <c r="O211" s="734">
        <f t="shared" si="20"/>
        <v>0</v>
      </c>
      <c r="P211" s="734">
        <f t="shared" si="21"/>
        <v>0</v>
      </c>
      <c r="Q211" s="684"/>
    </row>
    <row r="212" spans="2:17">
      <c r="B212" s="337"/>
      <c r="C212" s="730">
        <f>IF(D183="","-",+C211+1)</f>
        <v>2036</v>
      </c>
      <c r="D212" s="683">
        <f t="shared" si="22"/>
        <v>327459.97058823542</v>
      </c>
      <c r="E212" s="737">
        <f t="shared" si="23"/>
        <v>11489.823529411764</v>
      </c>
      <c r="F212" s="737">
        <f t="shared" si="16"/>
        <v>315970.14705882367</v>
      </c>
      <c r="G212" s="683">
        <f t="shared" si="17"/>
        <v>321715.05882352951</v>
      </c>
      <c r="H212" s="731">
        <f>+J184*G212+E212</f>
        <v>45438.106549977812</v>
      </c>
      <c r="I212" s="738">
        <f>+J185*G212+E212</f>
        <v>45438.106549977812</v>
      </c>
      <c r="J212" s="734">
        <f t="shared" si="18"/>
        <v>0</v>
      </c>
      <c r="K212" s="734"/>
      <c r="L212" s="739"/>
      <c r="M212" s="734">
        <f t="shared" si="19"/>
        <v>0</v>
      </c>
      <c r="N212" s="739"/>
      <c r="O212" s="734">
        <f t="shared" si="20"/>
        <v>0</v>
      </c>
      <c r="P212" s="734">
        <f t="shared" si="21"/>
        <v>0</v>
      </c>
      <c r="Q212" s="684"/>
    </row>
    <row r="213" spans="2:17">
      <c r="B213" s="337"/>
      <c r="C213" s="730">
        <f>IF(D183="","-",+C212+1)</f>
        <v>2037</v>
      </c>
      <c r="D213" s="683">
        <f t="shared" si="22"/>
        <v>315970.14705882367</v>
      </c>
      <c r="E213" s="737">
        <f t="shared" si="23"/>
        <v>11489.823529411764</v>
      </c>
      <c r="F213" s="737">
        <f t="shared" si="16"/>
        <v>304480.32352941192</v>
      </c>
      <c r="G213" s="683">
        <f t="shared" si="17"/>
        <v>310225.23529411783</v>
      </c>
      <c r="H213" s="731">
        <f>+J184*G213+E213</f>
        <v>44225.667870671896</v>
      </c>
      <c r="I213" s="738">
        <f>+J185*G213+E213</f>
        <v>44225.667870671896</v>
      </c>
      <c r="J213" s="734">
        <f t="shared" si="18"/>
        <v>0</v>
      </c>
      <c r="K213" s="734"/>
      <c r="L213" s="739"/>
      <c r="M213" s="734">
        <f t="shared" si="19"/>
        <v>0</v>
      </c>
      <c r="N213" s="739"/>
      <c r="O213" s="734">
        <f t="shared" si="20"/>
        <v>0</v>
      </c>
      <c r="P213" s="734">
        <f t="shared" si="21"/>
        <v>0</v>
      </c>
      <c r="Q213" s="684"/>
    </row>
    <row r="214" spans="2:17">
      <c r="B214" s="337"/>
      <c r="C214" s="730">
        <f>IF(D183="","-",+C213+1)</f>
        <v>2038</v>
      </c>
      <c r="D214" s="683">
        <f t="shared" si="22"/>
        <v>304480.32352941192</v>
      </c>
      <c r="E214" s="737">
        <f t="shared" si="23"/>
        <v>11489.823529411764</v>
      </c>
      <c r="F214" s="737">
        <f t="shared" si="16"/>
        <v>292990.50000000017</v>
      </c>
      <c r="G214" s="683">
        <f t="shared" si="17"/>
        <v>298735.41176470602</v>
      </c>
      <c r="H214" s="731">
        <f>+J184*G214+E214</f>
        <v>43013.229191365957</v>
      </c>
      <c r="I214" s="738">
        <f>+J185*G214+E214</f>
        <v>43013.229191365957</v>
      </c>
      <c r="J214" s="734">
        <f t="shared" si="18"/>
        <v>0</v>
      </c>
      <c r="K214" s="734"/>
      <c r="L214" s="739"/>
      <c r="M214" s="734">
        <f t="shared" si="19"/>
        <v>0</v>
      </c>
      <c r="N214" s="739"/>
      <c r="O214" s="734">
        <f t="shared" si="20"/>
        <v>0</v>
      </c>
      <c r="P214" s="734">
        <f t="shared" si="21"/>
        <v>0</v>
      </c>
      <c r="Q214" s="684"/>
    </row>
    <row r="215" spans="2:17">
      <c r="B215" s="337"/>
      <c r="C215" s="730">
        <f>IF(D183="","-",+C214+1)</f>
        <v>2039</v>
      </c>
      <c r="D215" s="683">
        <f t="shared" si="22"/>
        <v>292990.50000000017</v>
      </c>
      <c r="E215" s="737">
        <f t="shared" si="23"/>
        <v>11489.823529411764</v>
      </c>
      <c r="F215" s="737">
        <f t="shared" si="16"/>
        <v>281500.67647058843</v>
      </c>
      <c r="G215" s="683">
        <f t="shared" si="17"/>
        <v>287245.58823529433</v>
      </c>
      <c r="H215" s="731">
        <f>+J184*G215+E215</f>
        <v>41800.790512060041</v>
      </c>
      <c r="I215" s="738">
        <f>+J185*G215+E215</f>
        <v>41800.790512060041</v>
      </c>
      <c r="J215" s="734">
        <f t="shared" si="18"/>
        <v>0</v>
      </c>
      <c r="K215" s="734"/>
      <c r="L215" s="739"/>
      <c r="M215" s="734">
        <f t="shared" si="19"/>
        <v>0</v>
      </c>
      <c r="N215" s="739"/>
      <c r="O215" s="734">
        <f t="shared" si="20"/>
        <v>0</v>
      </c>
      <c r="P215" s="734">
        <f t="shared" si="21"/>
        <v>0</v>
      </c>
      <c r="Q215" s="684"/>
    </row>
    <row r="216" spans="2:17">
      <c r="B216" s="337"/>
      <c r="C216" s="730">
        <f>IF(D183="","-",+C215+1)</f>
        <v>2040</v>
      </c>
      <c r="D216" s="683">
        <f t="shared" si="22"/>
        <v>281500.67647058843</v>
      </c>
      <c r="E216" s="737">
        <f t="shared" si="23"/>
        <v>11489.823529411764</v>
      </c>
      <c r="F216" s="737">
        <f t="shared" si="16"/>
        <v>270010.85294117668</v>
      </c>
      <c r="G216" s="683">
        <f t="shared" si="17"/>
        <v>275755.76470588252</v>
      </c>
      <c r="H216" s="731">
        <f>+J184*G216+E216</f>
        <v>40588.351832754102</v>
      </c>
      <c r="I216" s="738">
        <f>+J185*G216+E216</f>
        <v>40588.351832754102</v>
      </c>
      <c r="J216" s="734">
        <f t="shared" si="18"/>
        <v>0</v>
      </c>
      <c r="K216" s="734"/>
      <c r="L216" s="739"/>
      <c r="M216" s="734">
        <f t="shared" si="19"/>
        <v>0</v>
      </c>
      <c r="N216" s="739"/>
      <c r="O216" s="734">
        <f t="shared" si="20"/>
        <v>0</v>
      </c>
      <c r="P216" s="734">
        <f t="shared" si="21"/>
        <v>0</v>
      </c>
      <c r="Q216" s="684"/>
    </row>
    <row r="217" spans="2:17">
      <c r="B217" s="337"/>
      <c r="C217" s="730">
        <f>IF(D183="","-",+C216+1)</f>
        <v>2041</v>
      </c>
      <c r="D217" s="683">
        <f t="shared" si="22"/>
        <v>270010.85294117668</v>
      </c>
      <c r="E217" s="737">
        <f t="shared" si="23"/>
        <v>11489.823529411764</v>
      </c>
      <c r="F217" s="737">
        <f t="shared" si="16"/>
        <v>258521.0294117649</v>
      </c>
      <c r="G217" s="683">
        <f t="shared" si="17"/>
        <v>264265.94117647078</v>
      </c>
      <c r="H217" s="731">
        <f>+J184*G217+E217</f>
        <v>39375.913153448178</v>
      </c>
      <c r="I217" s="738">
        <f>+J185*G217+E217</f>
        <v>39375.913153448178</v>
      </c>
      <c r="J217" s="734">
        <f t="shared" si="18"/>
        <v>0</v>
      </c>
      <c r="K217" s="734"/>
      <c r="L217" s="739"/>
      <c r="M217" s="734">
        <f t="shared" si="19"/>
        <v>0</v>
      </c>
      <c r="N217" s="739"/>
      <c r="O217" s="734">
        <f t="shared" si="20"/>
        <v>0</v>
      </c>
      <c r="P217" s="734">
        <f t="shared" si="21"/>
        <v>0</v>
      </c>
      <c r="Q217" s="684"/>
    </row>
    <row r="218" spans="2:17">
      <c r="B218" s="337"/>
      <c r="C218" s="730">
        <f>IF(D183="","-",+C217+1)</f>
        <v>2042</v>
      </c>
      <c r="D218" s="683">
        <f t="shared" si="22"/>
        <v>258521.0294117649</v>
      </c>
      <c r="E218" s="737">
        <f t="shared" si="23"/>
        <v>11489.823529411764</v>
      </c>
      <c r="F218" s="737">
        <f t="shared" si="16"/>
        <v>247031.20588235313</v>
      </c>
      <c r="G218" s="683">
        <f t="shared" si="17"/>
        <v>252776.11764705903</v>
      </c>
      <c r="H218" s="731">
        <f>+J184*G218+E218</f>
        <v>38163.474474142247</v>
      </c>
      <c r="I218" s="738">
        <f>+J185*G218+E218</f>
        <v>38163.474474142247</v>
      </c>
      <c r="J218" s="734">
        <f t="shared" si="18"/>
        <v>0</v>
      </c>
      <c r="K218" s="734"/>
      <c r="L218" s="739"/>
      <c r="M218" s="734">
        <f t="shared" si="19"/>
        <v>0</v>
      </c>
      <c r="N218" s="739"/>
      <c r="O218" s="734">
        <f t="shared" si="20"/>
        <v>0</v>
      </c>
      <c r="P218" s="734">
        <f t="shared" si="21"/>
        <v>0</v>
      </c>
      <c r="Q218" s="684"/>
    </row>
    <row r="219" spans="2:17">
      <c r="B219" s="337"/>
      <c r="C219" s="730">
        <f>IF(D183="","-",+C218+1)</f>
        <v>2043</v>
      </c>
      <c r="D219" s="683">
        <f t="shared" si="22"/>
        <v>247031.20588235313</v>
      </c>
      <c r="E219" s="737">
        <f t="shared" si="23"/>
        <v>11489.823529411764</v>
      </c>
      <c r="F219" s="737">
        <f t="shared" si="16"/>
        <v>235541.38235294135</v>
      </c>
      <c r="G219" s="683">
        <f t="shared" si="17"/>
        <v>241286.29411764722</v>
      </c>
      <c r="H219" s="731">
        <f>+J184*G219+E219</f>
        <v>36951.035794836316</v>
      </c>
      <c r="I219" s="738">
        <f>+J185*G219+E219</f>
        <v>36951.035794836316</v>
      </c>
      <c r="J219" s="734">
        <f t="shared" si="18"/>
        <v>0</v>
      </c>
      <c r="K219" s="734"/>
      <c r="L219" s="739"/>
      <c r="M219" s="734">
        <f t="shared" si="19"/>
        <v>0</v>
      </c>
      <c r="N219" s="739"/>
      <c r="O219" s="734">
        <f t="shared" si="20"/>
        <v>0</v>
      </c>
      <c r="P219" s="734">
        <f t="shared" si="21"/>
        <v>0</v>
      </c>
      <c r="Q219" s="684"/>
    </row>
    <row r="220" spans="2:17">
      <c r="B220" s="337"/>
      <c r="C220" s="730">
        <f>IF(D183="","-",+C219+1)</f>
        <v>2044</v>
      </c>
      <c r="D220" s="683">
        <f t="shared" si="22"/>
        <v>235541.38235294135</v>
      </c>
      <c r="E220" s="737">
        <f t="shared" si="23"/>
        <v>11489.823529411764</v>
      </c>
      <c r="F220" s="737">
        <f t="shared" si="16"/>
        <v>224051.55882352957</v>
      </c>
      <c r="G220" s="683">
        <f t="shared" si="17"/>
        <v>229796.47058823548</v>
      </c>
      <c r="H220" s="731">
        <f>+J184*G220+E220</f>
        <v>35738.597115530385</v>
      </c>
      <c r="I220" s="738">
        <f>+J185*G220+E220</f>
        <v>35738.597115530385</v>
      </c>
      <c r="J220" s="734">
        <f t="shared" si="18"/>
        <v>0</v>
      </c>
      <c r="K220" s="734"/>
      <c r="L220" s="739"/>
      <c r="M220" s="734">
        <f t="shared" si="19"/>
        <v>0</v>
      </c>
      <c r="N220" s="739"/>
      <c r="O220" s="734">
        <f t="shared" si="20"/>
        <v>0</v>
      </c>
      <c r="P220" s="734">
        <f t="shared" si="21"/>
        <v>0</v>
      </c>
      <c r="Q220" s="684"/>
    </row>
    <row r="221" spans="2:17">
      <c r="B221" s="337"/>
      <c r="C221" s="730">
        <f>IF(D183="","-",+C220+1)</f>
        <v>2045</v>
      </c>
      <c r="D221" s="683">
        <f t="shared" si="22"/>
        <v>224051.55882352957</v>
      </c>
      <c r="E221" s="737">
        <f t="shared" si="23"/>
        <v>11489.823529411764</v>
      </c>
      <c r="F221" s="737">
        <f t="shared" si="16"/>
        <v>212561.7352941178</v>
      </c>
      <c r="G221" s="683">
        <f t="shared" si="17"/>
        <v>218306.64705882367</v>
      </c>
      <c r="H221" s="731">
        <f>+J184*G221+E221</f>
        <v>34526.158436224447</v>
      </c>
      <c r="I221" s="738">
        <f>+J185*G221+E221</f>
        <v>34526.158436224447</v>
      </c>
      <c r="J221" s="734">
        <f t="shared" si="18"/>
        <v>0</v>
      </c>
      <c r="K221" s="734"/>
      <c r="L221" s="739"/>
      <c r="M221" s="734">
        <f t="shared" si="19"/>
        <v>0</v>
      </c>
      <c r="N221" s="739"/>
      <c r="O221" s="734">
        <f t="shared" si="20"/>
        <v>0</v>
      </c>
      <c r="P221" s="734">
        <f t="shared" si="21"/>
        <v>0</v>
      </c>
      <c r="Q221" s="684"/>
    </row>
    <row r="222" spans="2:17">
      <c r="B222" s="337"/>
      <c r="C222" s="730">
        <f>IF(D183="","-",+C221+1)</f>
        <v>2046</v>
      </c>
      <c r="D222" s="683">
        <f t="shared" si="22"/>
        <v>212561.7352941178</v>
      </c>
      <c r="E222" s="737">
        <f t="shared" si="23"/>
        <v>11489.823529411764</v>
      </c>
      <c r="F222" s="737">
        <f t="shared" si="16"/>
        <v>201071.91176470602</v>
      </c>
      <c r="G222" s="683">
        <f t="shared" si="17"/>
        <v>206816.82352941192</v>
      </c>
      <c r="H222" s="731">
        <f>+J184*G222+E222</f>
        <v>33313.719756918523</v>
      </c>
      <c r="I222" s="738">
        <f>+J185*G222+E222</f>
        <v>33313.719756918523</v>
      </c>
      <c r="J222" s="734">
        <f t="shared" si="18"/>
        <v>0</v>
      </c>
      <c r="K222" s="734"/>
      <c r="L222" s="739"/>
      <c r="M222" s="734">
        <f t="shared" si="19"/>
        <v>0</v>
      </c>
      <c r="N222" s="739"/>
      <c r="O222" s="734">
        <f t="shared" si="20"/>
        <v>0</v>
      </c>
      <c r="P222" s="734">
        <f t="shared" si="21"/>
        <v>0</v>
      </c>
      <c r="Q222" s="684"/>
    </row>
    <row r="223" spans="2:17">
      <c r="B223" s="337"/>
      <c r="C223" s="730">
        <f>IF(D183="","-",+C222+1)</f>
        <v>2047</v>
      </c>
      <c r="D223" s="683">
        <f t="shared" si="22"/>
        <v>201071.91176470602</v>
      </c>
      <c r="E223" s="737">
        <f t="shared" si="23"/>
        <v>11489.823529411764</v>
      </c>
      <c r="F223" s="737">
        <f t="shared" si="16"/>
        <v>189582.08823529424</v>
      </c>
      <c r="G223" s="683">
        <f t="shared" si="17"/>
        <v>195327.00000000012</v>
      </c>
      <c r="H223" s="731">
        <f>+J184*G223+E223</f>
        <v>32101.281077612584</v>
      </c>
      <c r="I223" s="738">
        <f>+J185*G223+E223</f>
        <v>32101.281077612584</v>
      </c>
      <c r="J223" s="734">
        <f t="shared" si="18"/>
        <v>0</v>
      </c>
      <c r="K223" s="734"/>
      <c r="L223" s="739"/>
      <c r="M223" s="734">
        <f t="shared" si="19"/>
        <v>0</v>
      </c>
      <c r="N223" s="739"/>
      <c r="O223" s="734">
        <f t="shared" si="20"/>
        <v>0</v>
      </c>
      <c r="P223" s="734">
        <f t="shared" si="21"/>
        <v>0</v>
      </c>
      <c r="Q223" s="684"/>
    </row>
    <row r="224" spans="2:17">
      <c r="B224" s="337"/>
      <c r="C224" s="730">
        <f>IF(D183="","-",+C223+1)</f>
        <v>2048</v>
      </c>
      <c r="D224" s="683">
        <f t="shared" si="22"/>
        <v>189582.08823529424</v>
      </c>
      <c r="E224" s="737">
        <f t="shared" si="23"/>
        <v>11489.823529411764</v>
      </c>
      <c r="F224" s="737">
        <f t="shared" si="16"/>
        <v>178092.26470588247</v>
      </c>
      <c r="G224" s="683">
        <f t="shared" si="17"/>
        <v>183837.17647058837</v>
      </c>
      <c r="H224" s="731">
        <f>+J184*G224+E224</f>
        <v>30888.84239830666</v>
      </c>
      <c r="I224" s="738">
        <f>+J185*G224+E224</f>
        <v>30888.84239830666</v>
      </c>
      <c r="J224" s="734">
        <f t="shared" si="18"/>
        <v>0</v>
      </c>
      <c r="K224" s="734"/>
      <c r="L224" s="739"/>
      <c r="M224" s="734">
        <f t="shared" si="19"/>
        <v>0</v>
      </c>
      <c r="N224" s="739"/>
      <c r="O224" s="734">
        <f t="shared" si="20"/>
        <v>0</v>
      </c>
      <c r="P224" s="734">
        <f t="shared" si="21"/>
        <v>0</v>
      </c>
      <c r="Q224" s="684"/>
    </row>
    <row r="225" spans="2:17">
      <c r="B225" s="337"/>
      <c r="C225" s="730">
        <f>IF(D183="","-",+C224+1)</f>
        <v>2049</v>
      </c>
      <c r="D225" s="683">
        <f t="shared" si="22"/>
        <v>178092.26470588247</v>
      </c>
      <c r="E225" s="737">
        <f t="shared" si="23"/>
        <v>11489.823529411764</v>
      </c>
      <c r="F225" s="737">
        <f t="shared" si="16"/>
        <v>166602.44117647069</v>
      </c>
      <c r="G225" s="683">
        <f t="shared" si="17"/>
        <v>172347.35294117656</v>
      </c>
      <c r="H225" s="731">
        <f>+J184*G225+E225</f>
        <v>29676.403719000722</v>
      </c>
      <c r="I225" s="738">
        <f>+J185*G225+E225</f>
        <v>29676.403719000722</v>
      </c>
      <c r="J225" s="734">
        <f t="shared" si="18"/>
        <v>0</v>
      </c>
      <c r="K225" s="734"/>
      <c r="L225" s="739"/>
      <c r="M225" s="734">
        <f t="shared" si="19"/>
        <v>0</v>
      </c>
      <c r="N225" s="739"/>
      <c r="O225" s="734">
        <f t="shared" si="20"/>
        <v>0</v>
      </c>
      <c r="P225" s="734">
        <f t="shared" si="21"/>
        <v>0</v>
      </c>
      <c r="Q225" s="684"/>
    </row>
    <row r="226" spans="2:17">
      <c r="B226" s="337"/>
      <c r="C226" s="730">
        <f>IF(D183="","-",+C225+1)</f>
        <v>2050</v>
      </c>
      <c r="D226" s="683">
        <f t="shared" si="22"/>
        <v>166602.44117647069</v>
      </c>
      <c r="E226" s="737">
        <f t="shared" si="23"/>
        <v>11489.823529411764</v>
      </c>
      <c r="F226" s="737">
        <f t="shared" si="16"/>
        <v>155112.61764705891</v>
      </c>
      <c r="G226" s="683">
        <f t="shared" si="17"/>
        <v>160857.52941176482</v>
      </c>
      <c r="H226" s="731">
        <f>+J184*G226+E226</f>
        <v>28463.965039694798</v>
      </c>
      <c r="I226" s="738">
        <f>+J185*G226+E226</f>
        <v>28463.965039694798</v>
      </c>
      <c r="J226" s="734">
        <f t="shared" si="18"/>
        <v>0</v>
      </c>
      <c r="K226" s="734"/>
      <c r="L226" s="739"/>
      <c r="M226" s="734">
        <f t="shared" si="19"/>
        <v>0</v>
      </c>
      <c r="N226" s="739"/>
      <c r="O226" s="734">
        <f t="shared" si="20"/>
        <v>0</v>
      </c>
      <c r="P226" s="734">
        <f t="shared" si="21"/>
        <v>0</v>
      </c>
      <c r="Q226" s="684"/>
    </row>
    <row r="227" spans="2:17">
      <c r="B227" s="337"/>
      <c r="C227" s="730">
        <f>IF(D183="","-",+C226+1)</f>
        <v>2051</v>
      </c>
      <c r="D227" s="683">
        <f t="shared" si="22"/>
        <v>155112.61764705891</v>
      </c>
      <c r="E227" s="737">
        <f t="shared" si="23"/>
        <v>11489.823529411764</v>
      </c>
      <c r="F227" s="737">
        <f t="shared" si="16"/>
        <v>143622.79411764714</v>
      </c>
      <c r="G227" s="683">
        <f t="shared" si="17"/>
        <v>149367.70588235301</v>
      </c>
      <c r="H227" s="731">
        <f>+J184*G227+E227</f>
        <v>27251.52636038886</v>
      </c>
      <c r="I227" s="738">
        <f>+J185*G227+E227</f>
        <v>27251.52636038886</v>
      </c>
      <c r="J227" s="734">
        <f t="shared" si="18"/>
        <v>0</v>
      </c>
      <c r="K227" s="734"/>
      <c r="L227" s="739"/>
      <c r="M227" s="734">
        <f t="shared" si="19"/>
        <v>0</v>
      </c>
      <c r="N227" s="739"/>
      <c r="O227" s="734">
        <f t="shared" si="20"/>
        <v>0</v>
      </c>
      <c r="P227" s="734">
        <f t="shared" si="21"/>
        <v>0</v>
      </c>
      <c r="Q227" s="684"/>
    </row>
    <row r="228" spans="2:17">
      <c r="B228" s="337"/>
      <c r="C228" s="730">
        <f>IF(D183="","-",+C227+1)</f>
        <v>2052</v>
      </c>
      <c r="D228" s="683">
        <f t="shared" si="22"/>
        <v>143622.79411764714</v>
      </c>
      <c r="E228" s="737">
        <f t="shared" si="23"/>
        <v>11489.823529411764</v>
      </c>
      <c r="F228" s="737">
        <f t="shared" si="16"/>
        <v>132132.97058823536</v>
      </c>
      <c r="G228" s="683">
        <f t="shared" si="17"/>
        <v>137877.88235294126</v>
      </c>
      <c r="H228" s="731">
        <f>+J184*G228+E228</f>
        <v>26039.087681082936</v>
      </c>
      <c r="I228" s="738">
        <f>+J185*G228+E228</f>
        <v>26039.087681082936</v>
      </c>
      <c r="J228" s="734">
        <f t="shared" si="18"/>
        <v>0</v>
      </c>
      <c r="K228" s="734"/>
      <c r="L228" s="739"/>
      <c r="M228" s="734">
        <f t="shared" si="19"/>
        <v>0</v>
      </c>
      <c r="N228" s="739"/>
      <c r="O228" s="734">
        <f t="shared" si="20"/>
        <v>0</v>
      </c>
      <c r="P228" s="734">
        <f t="shared" si="21"/>
        <v>0</v>
      </c>
      <c r="Q228" s="684"/>
    </row>
    <row r="229" spans="2:17">
      <c r="B229" s="337"/>
      <c r="C229" s="730">
        <f>IF(D183="","-",+C228+1)</f>
        <v>2053</v>
      </c>
      <c r="D229" s="683">
        <f t="shared" si="22"/>
        <v>132132.97058823536</v>
      </c>
      <c r="E229" s="737">
        <f t="shared" si="23"/>
        <v>11489.823529411764</v>
      </c>
      <c r="F229" s="737">
        <f t="shared" si="16"/>
        <v>120643.1470588236</v>
      </c>
      <c r="G229" s="683">
        <f t="shared" si="17"/>
        <v>126388.05882352949</v>
      </c>
      <c r="H229" s="731">
        <f>+J184*G229+E229</f>
        <v>24826.649001777005</v>
      </c>
      <c r="I229" s="738">
        <f>+J185*G229+E229</f>
        <v>24826.649001777005</v>
      </c>
      <c r="J229" s="734">
        <f t="shared" si="18"/>
        <v>0</v>
      </c>
      <c r="K229" s="734"/>
      <c r="L229" s="739"/>
      <c r="M229" s="734">
        <f t="shared" si="19"/>
        <v>0</v>
      </c>
      <c r="N229" s="739"/>
      <c r="O229" s="734">
        <f t="shared" si="20"/>
        <v>0</v>
      </c>
      <c r="P229" s="734">
        <f t="shared" si="21"/>
        <v>0</v>
      </c>
      <c r="Q229" s="684"/>
    </row>
    <row r="230" spans="2:17">
      <c r="B230" s="337"/>
      <c r="C230" s="730">
        <f>IF(D183="","-",+C229+1)</f>
        <v>2054</v>
      </c>
      <c r="D230" s="683">
        <f t="shared" si="22"/>
        <v>120643.1470588236</v>
      </c>
      <c r="E230" s="737">
        <f t="shared" si="23"/>
        <v>11489.823529411764</v>
      </c>
      <c r="F230" s="737">
        <f t="shared" si="16"/>
        <v>109153.32352941183</v>
      </c>
      <c r="G230" s="683">
        <f t="shared" si="17"/>
        <v>114898.23529411771</v>
      </c>
      <c r="H230" s="731">
        <f>+J184*G230+E230</f>
        <v>23614.210322471074</v>
      </c>
      <c r="I230" s="738">
        <f>+J185*G230+E230</f>
        <v>23614.210322471074</v>
      </c>
      <c r="J230" s="734">
        <f t="shared" si="18"/>
        <v>0</v>
      </c>
      <c r="K230" s="734"/>
      <c r="L230" s="739"/>
      <c r="M230" s="734">
        <f t="shared" si="19"/>
        <v>0</v>
      </c>
      <c r="N230" s="739"/>
      <c r="O230" s="734">
        <f t="shared" si="20"/>
        <v>0</v>
      </c>
      <c r="P230" s="734">
        <f t="shared" si="21"/>
        <v>0</v>
      </c>
      <c r="Q230" s="684"/>
    </row>
    <row r="231" spans="2:17">
      <c r="B231" s="337"/>
      <c r="C231" s="730">
        <f>IF(D183="","-",+C230+1)</f>
        <v>2055</v>
      </c>
      <c r="D231" s="683">
        <f t="shared" si="22"/>
        <v>109153.32352941183</v>
      </c>
      <c r="E231" s="737">
        <f t="shared" si="23"/>
        <v>11489.823529411764</v>
      </c>
      <c r="F231" s="737">
        <f t="shared" si="16"/>
        <v>97663.500000000073</v>
      </c>
      <c r="G231" s="683">
        <f t="shared" si="17"/>
        <v>103408.41176470596</v>
      </c>
      <c r="H231" s="731">
        <f>+J184*G231+E231</f>
        <v>22401.771643165142</v>
      </c>
      <c r="I231" s="738">
        <f>+J185*G231+E231</f>
        <v>22401.771643165142</v>
      </c>
      <c r="J231" s="734">
        <f t="shared" si="18"/>
        <v>0</v>
      </c>
      <c r="K231" s="734"/>
      <c r="L231" s="739"/>
      <c r="M231" s="734">
        <f t="shared" si="19"/>
        <v>0</v>
      </c>
      <c r="N231" s="739"/>
      <c r="O231" s="734">
        <f t="shared" si="20"/>
        <v>0</v>
      </c>
      <c r="P231" s="734">
        <f t="shared" si="21"/>
        <v>0</v>
      </c>
      <c r="Q231" s="684"/>
    </row>
    <row r="232" spans="2:17">
      <c r="B232" s="337"/>
      <c r="C232" s="730">
        <f>IF(D183="","-",+C231+1)</f>
        <v>2056</v>
      </c>
      <c r="D232" s="683">
        <f t="shared" si="22"/>
        <v>97663.500000000073</v>
      </c>
      <c r="E232" s="737">
        <f t="shared" si="23"/>
        <v>11489.823529411764</v>
      </c>
      <c r="F232" s="737">
        <f t="shared" si="16"/>
        <v>86173.676470588311</v>
      </c>
      <c r="G232" s="683">
        <f t="shared" si="17"/>
        <v>91918.588235294184</v>
      </c>
      <c r="H232" s="731">
        <f>+J184*G232+E232</f>
        <v>21189.332963859211</v>
      </c>
      <c r="I232" s="738">
        <f>+J185*G232+E232</f>
        <v>21189.332963859211</v>
      </c>
      <c r="J232" s="734">
        <f t="shared" si="18"/>
        <v>0</v>
      </c>
      <c r="K232" s="734"/>
      <c r="L232" s="739"/>
      <c r="M232" s="734">
        <f t="shared" si="19"/>
        <v>0</v>
      </c>
      <c r="N232" s="739"/>
      <c r="O232" s="734">
        <f t="shared" si="20"/>
        <v>0</v>
      </c>
      <c r="P232" s="734">
        <f t="shared" si="21"/>
        <v>0</v>
      </c>
      <c r="Q232" s="684"/>
    </row>
    <row r="233" spans="2:17">
      <c r="B233" s="337"/>
      <c r="C233" s="730">
        <f>IF(D183="","-",+C232+1)</f>
        <v>2057</v>
      </c>
      <c r="D233" s="683">
        <f t="shared" si="22"/>
        <v>86173.676470588311</v>
      </c>
      <c r="E233" s="737">
        <f t="shared" si="23"/>
        <v>11489.823529411764</v>
      </c>
      <c r="F233" s="737">
        <f t="shared" si="16"/>
        <v>74683.852941176548</v>
      </c>
      <c r="G233" s="683">
        <f t="shared" si="17"/>
        <v>80428.764705882437</v>
      </c>
      <c r="H233" s="731">
        <f>+J184*G233+E233</f>
        <v>19976.894284553284</v>
      </c>
      <c r="I233" s="738">
        <f>+J185*G233+E233</f>
        <v>19976.894284553284</v>
      </c>
      <c r="J233" s="734">
        <f t="shared" si="18"/>
        <v>0</v>
      </c>
      <c r="K233" s="734"/>
      <c r="L233" s="739"/>
      <c r="M233" s="734">
        <f t="shared" si="19"/>
        <v>0</v>
      </c>
      <c r="N233" s="739"/>
      <c r="O233" s="734">
        <f t="shared" si="20"/>
        <v>0</v>
      </c>
      <c r="P233" s="734">
        <f t="shared" si="21"/>
        <v>0</v>
      </c>
      <c r="Q233" s="684"/>
    </row>
    <row r="234" spans="2:17">
      <c r="B234" s="337"/>
      <c r="C234" s="730">
        <f>IF(D183="","-",+C233+1)</f>
        <v>2058</v>
      </c>
      <c r="D234" s="683">
        <f t="shared" si="22"/>
        <v>74683.852941176548</v>
      </c>
      <c r="E234" s="737">
        <f t="shared" si="23"/>
        <v>11489.823529411764</v>
      </c>
      <c r="F234" s="737">
        <f t="shared" si="16"/>
        <v>63194.029411764786</v>
      </c>
      <c r="G234" s="683">
        <f t="shared" si="17"/>
        <v>68938.94117647066</v>
      </c>
      <c r="H234" s="731">
        <f>+J184*G234+E234</f>
        <v>18764.455605247353</v>
      </c>
      <c r="I234" s="738">
        <f>+J185*G234+E234</f>
        <v>18764.455605247353</v>
      </c>
      <c r="J234" s="734">
        <f t="shared" si="18"/>
        <v>0</v>
      </c>
      <c r="K234" s="734"/>
      <c r="L234" s="739"/>
      <c r="M234" s="734">
        <f t="shared" si="19"/>
        <v>0</v>
      </c>
      <c r="N234" s="739"/>
      <c r="O234" s="734">
        <f t="shared" si="20"/>
        <v>0</v>
      </c>
      <c r="P234" s="734">
        <f t="shared" si="21"/>
        <v>0</v>
      </c>
      <c r="Q234" s="684"/>
    </row>
    <row r="235" spans="2:17">
      <c r="B235" s="337"/>
      <c r="C235" s="730">
        <f>IF(D183="","-",+C234+1)</f>
        <v>2059</v>
      </c>
      <c r="D235" s="683">
        <f t="shared" si="22"/>
        <v>63194.029411764786</v>
      </c>
      <c r="E235" s="737">
        <f t="shared" si="23"/>
        <v>11489.823529411764</v>
      </c>
      <c r="F235" s="737">
        <f t="shared" si="16"/>
        <v>51704.205882353024</v>
      </c>
      <c r="G235" s="683">
        <f t="shared" si="17"/>
        <v>57449.117647058905</v>
      </c>
      <c r="H235" s="731">
        <f>+J184*G235+E235</f>
        <v>17552.016925941425</v>
      </c>
      <c r="I235" s="738">
        <f>+J185*G235+E235</f>
        <v>17552.016925941425</v>
      </c>
      <c r="J235" s="734">
        <f t="shared" si="18"/>
        <v>0</v>
      </c>
      <c r="K235" s="734"/>
      <c r="L235" s="739"/>
      <c r="M235" s="734">
        <f t="shared" si="19"/>
        <v>0</v>
      </c>
      <c r="N235" s="739"/>
      <c r="O235" s="734">
        <f t="shared" si="20"/>
        <v>0</v>
      </c>
      <c r="P235" s="734">
        <f t="shared" si="21"/>
        <v>0</v>
      </c>
      <c r="Q235" s="684"/>
    </row>
    <row r="236" spans="2:17">
      <c r="B236" s="337"/>
      <c r="C236" s="730">
        <f>IF(D183="","-",+C235+1)</f>
        <v>2060</v>
      </c>
      <c r="D236" s="683">
        <f t="shared" si="22"/>
        <v>51704.205882353024</v>
      </c>
      <c r="E236" s="737">
        <f t="shared" si="23"/>
        <v>11489.823529411764</v>
      </c>
      <c r="F236" s="737">
        <f t="shared" si="16"/>
        <v>40214.382352941262</v>
      </c>
      <c r="G236" s="683">
        <f t="shared" si="17"/>
        <v>45959.294117647143</v>
      </c>
      <c r="H236" s="731">
        <f>+J184*G236+E236</f>
        <v>16339.578246635494</v>
      </c>
      <c r="I236" s="738">
        <f>+J185*G236+E236</f>
        <v>16339.578246635494</v>
      </c>
      <c r="J236" s="734">
        <f t="shared" si="18"/>
        <v>0</v>
      </c>
      <c r="K236" s="734"/>
      <c r="L236" s="739"/>
      <c r="M236" s="734">
        <f t="shared" si="19"/>
        <v>0</v>
      </c>
      <c r="N236" s="739"/>
      <c r="O236" s="734">
        <f t="shared" si="20"/>
        <v>0</v>
      </c>
      <c r="P236" s="734">
        <f t="shared" si="21"/>
        <v>0</v>
      </c>
      <c r="Q236" s="684"/>
    </row>
    <row r="237" spans="2:17">
      <c r="B237" s="337"/>
      <c r="C237" s="730">
        <f>IF(D183="","-",+C236+1)</f>
        <v>2061</v>
      </c>
      <c r="D237" s="683">
        <f t="shared" si="22"/>
        <v>40214.382352941262</v>
      </c>
      <c r="E237" s="737">
        <f t="shared" si="23"/>
        <v>11489.823529411764</v>
      </c>
      <c r="F237" s="737">
        <f t="shared" si="16"/>
        <v>28724.5588235295</v>
      </c>
      <c r="G237" s="683">
        <f t="shared" si="17"/>
        <v>34469.470588235381</v>
      </c>
      <c r="H237" s="731">
        <f>+J184*G237+E237</f>
        <v>15127.139567329563</v>
      </c>
      <c r="I237" s="738">
        <f>+J185*G237+E237</f>
        <v>15127.139567329563</v>
      </c>
      <c r="J237" s="734">
        <f t="shared" si="18"/>
        <v>0</v>
      </c>
      <c r="K237" s="734"/>
      <c r="L237" s="739"/>
      <c r="M237" s="734">
        <f t="shared" si="19"/>
        <v>0</v>
      </c>
      <c r="N237" s="739"/>
      <c r="O237" s="734">
        <f t="shared" si="20"/>
        <v>0</v>
      </c>
      <c r="P237" s="734">
        <f t="shared" si="21"/>
        <v>0</v>
      </c>
      <c r="Q237" s="684"/>
    </row>
    <row r="238" spans="2:17">
      <c r="B238" s="337"/>
      <c r="C238" s="730">
        <f>IF(D183="","-",+C237+1)</f>
        <v>2062</v>
      </c>
      <c r="D238" s="683">
        <f t="shared" si="22"/>
        <v>28724.5588235295</v>
      </c>
      <c r="E238" s="737">
        <f t="shared" si="23"/>
        <v>11489.823529411764</v>
      </c>
      <c r="F238" s="737">
        <f t="shared" si="16"/>
        <v>17234.735294117738</v>
      </c>
      <c r="G238" s="683">
        <f t="shared" si="17"/>
        <v>22979.647058823619</v>
      </c>
      <c r="H238" s="731">
        <f>+J184*G238+E238</f>
        <v>13914.700888023634</v>
      </c>
      <c r="I238" s="738">
        <f>+J185*G238+E238</f>
        <v>13914.700888023634</v>
      </c>
      <c r="J238" s="734">
        <f t="shared" si="18"/>
        <v>0</v>
      </c>
      <c r="K238" s="734"/>
      <c r="L238" s="739"/>
      <c r="M238" s="734">
        <f t="shared" si="19"/>
        <v>0</v>
      </c>
      <c r="N238" s="739"/>
      <c r="O238" s="734">
        <f t="shared" si="20"/>
        <v>0</v>
      </c>
      <c r="P238" s="734">
        <f t="shared" si="21"/>
        <v>0</v>
      </c>
      <c r="Q238" s="684"/>
    </row>
    <row r="239" spans="2:17">
      <c r="B239" s="337"/>
      <c r="C239" s="730">
        <f>IF(D183="","-",+C238+1)</f>
        <v>2063</v>
      </c>
      <c r="D239" s="683">
        <f t="shared" si="22"/>
        <v>17234.735294117738</v>
      </c>
      <c r="E239" s="737">
        <f t="shared" si="23"/>
        <v>11489.823529411764</v>
      </c>
      <c r="F239" s="737">
        <f t="shared" si="16"/>
        <v>5744.9117647059738</v>
      </c>
      <c r="G239" s="683">
        <f t="shared" si="17"/>
        <v>11489.823529411857</v>
      </c>
      <c r="H239" s="731">
        <f>+J184*G239+E239</f>
        <v>12702.262208717704</v>
      </c>
      <c r="I239" s="738">
        <f>+J185*G239+E239</f>
        <v>12702.262208717704</v>
      </c>
      <c r="J239" s="734">
        <f t="shared" si="18"/>
        <v>0</v>
      </c>
      <c r="K239" s="734"/>
      <c r="L239" s="739"/>
      <c r="M239" s="734">
        <f t="shared" si="19"/>
        <v>0</v>
      </c>
      <c r="N239" s="739"/>
      <c r="O239" s="734">
        <f t="shared" si="20"/>
        <v>0</v>
      </c>
      <c r="P239" s="734">
        <f t="shared" si="21"/>
        <v>0</v>
      </c>
      <c r="Q239" s="684"/>
    </row>
    <row r="240" spans="2:17">
      <c r="B240" s="337"/>
      <c r="C240" s="730">
        <f>IF(D183="","-",+C239+1)</f>
        <v>2064</v>
      </c>
      <c r="D240" s="683">
        <f t="shared" si="22"/>
        <v>5744.9117647059738</v>
      </c>
      <c r="E240" s="737">
        <f t="shared" si="23"/>
        <v>5744.9117647059738</v>
      </c>
      <c r="F240" s="737">
        <f t="shared" si="16"/>
        <v>0</v>
      </c>
      <c r="G240" s="683">
        <f t="shared" si="17"/>
        <v>2872.4558823529869</v>
      </c>
      <c r="H240" s="731">
        <f>+J184*G240+E240</f>
        <v>6048.0214345324612</v>
      </c>
      <c r="I240" s="738">
        <f>+J185*G240+E240</f>
        <v>6048.0214345324612</v>
      </c>
      <c r="J240" s="734">
        <f t="shared" si="18"/>
        <v>0</v>
      </c>
      <c r="K240" s="734"/>
      <c r="L240" s="739"/>
      <c r="M240" s="734">
        <f t="shared" si="19"/>
        <v>0</v>
      </c>
      <c r="N240" s="739"/>
      <c r="O240" s="734">
        <f t="shared" si="20"/>
        <v>0</v>
      </c>
      <c r="P240" s="734">
        <f t="shared" si="21"/>
        <v>0</v>
      </c>
      <c r="Q240" s="684"/>
    </row>
    <row r="241" spans="2:17">
      <c r="B241" s="337"/>
      <c r="C241" s="730">
        <f>IF(D183="","-",+C240+1)</f>
        <v>2065</v>
      </c>
      <c r="D241" s="683">
        <f t="shared" si="22"/>
        <v>0</v>
      </c>
      <c r="E241" s="737">
        <f t="shared" si="23"/>
        <v>0</v>
      </c>
      <c r="F241" s="737">
        <f t="shared" si="16"/>
        <v>0</v>
      </c>
      <c r="G241" s="683">
        <f t="shared" si="17"/>
        <v>0</v>
      </c>
      <c r="H241" s="731">
        <f>+J184*G241+E241</f>
        <v>0</v>
      </c>
      <c r="I241" s="738">
        <f>+J185*G241+E241</f>
        <v>0</v>
      </c>
      <c r="J241" s="734">
        <f t="shared" si="18"/>
        <v>0</v>
      </c>
      <c r="K241" s="734"/>
      <c r="L241" s="739"/>
      <c r="M241" s="734">
        <f t="shared" si="19"/>
        <v>0</v>
      </c>
      <c r="N241" s="739"/>
      <c r="O241" s="734">
        <f t="shared" si="20"/>
        <v>0</v>
      </c>
      <c r="P241" s="734">
        <f t="shared" si="21"/>
        <v>0</v>
      </c>
      <c r="Q241" s="684"/>
    </row>
    <row r="242" spans="2:17">
      <c r="B242" s="337"/>
      <c r="C242" s="730">
        <f>IF(D183="","-",+C241+1)</f>
        <v>2066</v>
      </c>
      <c r="D242" s="683">
        <f t="shared" si="22"/>
        <v>0</v>
      </c>
      <c r="E242" s="737">
        <f t="shared" si="23"/>
        <v>0</v>
      </c>
      <c r="F242" s="737">
        <f t="shared" si="16"/>
        <v>0</v>
      </c>
      <c r="G242" s="683">
        <f t="shared" si="17"/>
        <v>0</v>
      </c>
      <c r="H242" s="731">
        <f>+J184*G242+E242</f>
        <v>0</v>
      </c>
      <c r="I242" s="738">
        <f>+J185*G242+E242</f>
        <v>0</v>
      </c>
      <c r="J242" s="734">
        <f t="shared" si="18"/>
        <v>0</v>
      </c>
      <c r="K242" s="734"/>
      <c r="L242" s="739"/>
      <c r="M242" s="734">
        <f t="shared" si="19"/>
        <v>0</v>
      </c>
      <c r="N242" s="739"/>
      <c r="O242" s="734">
        <f t="shared" si="20"/>
        <v>0</v>
      </c>
      <c r="P242" s="734">
        <f t="shared" si="21"/>
        <v>0</v>
      </c>
      <c r="Q242" s="684"/>
    </row>
    <row r="243" spans="2:17">
      <c r="B243" s="337"/>
      <c r="C243" s="730">
        <f>IF(D183="","-",+C242+1)</f>
        <v>2067</v>
      </c>
      <c r="D243" s="683">
        <f t="shared" si="22"/>
        <v>0</v>
      </c>
      <c r="E243" s="737">
        <f t="shared" si="23"/>
        <v>0</v>
      </c>
      <c r="F243" s="737">
        <f t="shared" si="16"/>
        <v>0</v>
      </c>
      <c r="G243" s="683">
        <f t="shared" si="17"/>
        <v>0</v>
      </c>
      <c r="H243" s="731">
        <f>+J184*G243+E243</f>
        <v>0</v>
      </c>
      <c r="I243" s="738">
        <f>+J185*G243+E243</f>
        <v>0</v>
      </c>
      <c r="J243" s="734">
        <f t="shared" si="18"/>
        <v>0</v>
      </c>
      <c r="K243" s="734"/>
      <c r="L243" s="739"/>
      <c r="M243" s="734">
        <f t="shared" si="19"/>
        <v>0</v>
      </c>
      <c r="N243" s="739"/>
      <c r="O243" s="734">
        <f t="shared" si="20"/>
        <v>0</v>
      </c>
      <c r="P243" s="734">
        <f t="shared" si="21"/>
        <v>0</v>
      </c>
      <c r="Q243" s="684"/>
    </row>
    <row r="244" spans="2:17">
      <c r="B244" s="337"/>
      <c r="C244" s="730">
        <f>IF(D183="","-",+C243+1)</f>
        <v>2068</v>
      </c>
      <c r="D244" s="683">
        <f t="shared" si="22"/>
        <v>0</v>
      </c>
      <c r="E244" s="737">
        <f t="shared" si="23"/>
        <v>0</v>
      </c>
      <c r="F244" s="737">
        <f t="shared" si="16"/>
        <v>0</v>
      </c>
      <c r="G244" s="683">
        <f t="shared" si="17"/>
        <v>0</v>
      </c>
      <c r="H244" s="731">
        <f>+J184*G244+E244</f>
        <v>0</v>
      </c>
      <c r="I244" s="738">
        <f>+J185*G244+E244</f>
        <v>0</v>
      </c>
      <c r="J244" s="734">
        <f t="shared" si="18"/>
        <v>0</v>
      </c>
      <c r="K244" s="734"/>
      <c r="L244" s="739"/>
      <c r="M244" s="734">
        <f t="shared" si="19"/>
        <v>0</v>
      </c>
      <c r="N244" s="739"/>
      <c r="O244" s="734">
        <f t="shared" si="20"/>
        <v>0</v>
      </c>
      <c r="P244" s="734">
        <f t="shared" si="21"/>
        <v>0</v>
      </c>
      <c r="Q244" s="684"/>
    </row>
    <row r="245" spans="2:17">
      <c r="B245" s="337"/>
      <c r="C245" s="730">
        <f>IF(D183="","-",+C244+1)</f>
        <v>2069</v>
      </c>
      <c r="D245" s="683">
        <f t="shared" si="22"/>
        <v>0</v>
      </c>
      <c r="E245" s="737">
        <f t="shared" si="23"/>
        <v>0</v>
      </c>
      <c r="F245" s="737">
        <f t="shared" si="16"/>
        <v>0</v>
      </c>
      <c r="G245" s="683">
        <f t="shared" si="17"/>
        <v>0</v>
      </c>
      <c r="H245" s="731">
        <f>+J184*G245+E245</f>
        <v>0</v>
      </c>
      <c r="I245" s="738">
        <f>+J185*G245+E245</f>
        <v>0</v>
      </c>
      <c r="J245" s="734">
        <f t="shared" si="18"/>
        <v>0</v>
      </c>
      <c r="K245" s="734"/>
      <c r="L245" s="739"/>
      <c r="M245" s="734">
        <f t="shared" si="19"/>
        <v>0</v>
      </c>
      <c r="N245" s="739"/>
      <c r="O245" s="734">
        <f t="shared" si="20"/>
        <v>0</v>
      </c>
      <c r="P245" s="734">
        <f t="shared" si="21"/>
        <v>0</v>
      </c>
      <c r="Q245" s="684"/>
    </row>
    <row r="246" spans="2:17">
      <c r="B246" s="337"/>
      <c r="C246" s="730">
        <f>IF(D183="","-",+C245+1)</f>
        <v>2070</v>
      </c>
      <c r="D246" s="683">
        <f t="shared" si="22"/>
        <v>0</v>
      </c>
      <c r="E246" s="737">
        <f t="shared" si="23"/>
        <v>0</v>
      </c>
      <c r="F246" s="737">
        <f t="shared" si="16"/>
        <v>0</v>
      </c>
      <c r="G246" s="683">
        <f t="shared" si="17"/>
        <v>0</v>
      </c>
      <c r="H246" s="731">
        <f>+J184*G246+E246</f>
        <v>0</v>
      </c>
      <c r="I246" s="738">
        <f>+J185*G246+E246</f>
        <v>0</v>
      </c>
      <c r="J246" s="734">
        <f t="shared" si="18"/>
        <v>0</v>
      </c>
      <c r="K246" s="734"/>
      <c r="L246" s="739"/>
      <c r="M246" s="734">
        <f t="shared" si="19"/>
        <v>0</v>
      </c>
      <c r="N246" s="739"/>
      <c r="O246" s="734">
        <f t="shared" si="20"/>
        <v>0</v>
      </c>
      <c r="P246" s="734">
        <f t="shared" si="21"/>
        <v>0</v>
      </c>
      <c r="Q246" s="684"/>
    </row>
    <row r="247" spans="2:17">
      <c r="B247" s="337"/>
      <c r="C247" s="730">
        <f>IF(D183="","-",+C246+1)</f>
        <v>2071</v>
      </c>
      <c r="D247" s="683">
        <f t="shared" si="22"/>
        <v>0</v>
      </c>
      <c r="E247" s="737">
        <f t="shared" si="23"/>
        <v>0</v>
      </c>
      <c r="F247" s="737">
        <f t="shared" si="16"/>
        <v>0</v>
      </c>
      <c r="G247" s="683">
        <f t="shared" si="17"/>
        <v>0</v>
      </c>
      <c r="H247" s="731">
        <f>+J184*G247+E247</f>
        <v>0</v>
      </c>
      <c r="I247" s="738">
        <f>+J185*G247+E247</f>
        <v>0</v>
      </c>
      <c r="J247" s="734">
        <f t="shared" si="18"/>
        <v>0</v>
      </c>
      <c r="K247" s="734"/>
      <c r="L247" s="739"/>
      <c r="M247" s="734">
        <f t="shared" si="19"/>
        <v>0</v>
      </c>
      <c r="N247" s="739"/>
      <c r="O247" s="734">
        <f t="shared" si="20"/>
        <v>0</v>
      </c>
      <c r="P247" s="734">
        <f t="shared" si="21"/>
        <v>0</v>
      </c>
      <c r="Q247" s="684"/>
    </row>
    <row r="248" spans="2:17" ht="13" thickBot="1">
      <c r="B248" s="337"/>
      <c r="C248" s="741">
        <f>IF(D183="","-",+C247+1)</f>
        <v>2072</v>
      </c>
      <c r="D248" s="742">
        <f t="shared" si="22"/>
        <v>0</v>
      </c>
      <c r="E248" s="1312">
        <f t="shared" si="23"/>
        <v>0</v>
      </c>
      <c r="F248" s="743">
        <f t="shared" si="16"/>
        <v>0</v>
      </c>
      <c r="G248" s="742">
        <f t="shared" si="17"/>
        <v>0</v>
      </c>
      <c r="H248" s="744">
        <f>+J184*G248+E248</f>
        <v>0</v>
      </c>
      <c r="I248" s="744">
        <f>+J185*G248+E248</f>
        <v>0</v>
      </c>
      <c r="J248" s="745">
        <f t="shared" si="18"/>
        <v>0</v>
      </c>
      <c r="K248" s="734"/>
      <c r="L248" s="746"/>
      <c r="M248" s="745">
        <f t="shared" si="19"/>
        <v>0</v>
      </c>
      <c r="N248" s="746"/>
      <c r="O248" s="745">
        <f t="shared" si="20"/>
        <v>0</v>
      </c>
      <c r="P248" s="745">
        <f t="shared" si="21"/>
        <v>0</v>
      </c>
      <c r="Q248" s="684"/>
    </row>
    <row r="249" spans="2:17">
      <c r="B249" s="337"/>
      <c r="C249" s="683" t="s">
        <v>289</v>
      </c>
      <c r="D249" s="679"/>
      <c r="E249" s="679">
        <f>SUM(E189:E248)</f>
        <v>585981</v>
      </c>
      <c r="F249" s="679"/>
      <c r="G249" s="679"/>
      <c r="H249" s="679">
        <f>SUM(H189:H248)</f>
        <v>2193674.6887596636</v>
      </c>
      <c r="I249" s="679">
        <f>SUM(I189:I248)</f>
        <v>2193674.6887596636</v>
      </c>
      <c r="J249" s="679">
        <f>SUM(J189:J248)</f>
        <v>0</v>
      </c>
      <c r="K249" s="679"/>
      <c r="L249" s="679"/>
      <c r="M249" s="679"/>
      <c r="N249" s="679"/>
      <c r="O249" s="679"/>
      <c r="Q249" s="679"/>
    </row>
    <row r="250" spans="2:17">
      <c r="B250" s="337"/>
      <c r="D250" s="573"/>
      <c r="E250" s="550"/>
      <c r="F250" s="550"/>
      <c r="G250" s="550"/>
      <c r="H250" s="550"/>
      <c r="I250" s="656"/>
      <c r="J250" s="656"/>
      <c r="K250" s="679"/>
      <c r="L250" s="656"/>
      <c r="M250" s="656"/>
      <c r="N250" s="656"/>
      <c r="O250" s="656"/>
      <c r="Q250" s="679"/>
    </row>
    <row r="251" spans="2:17">
      <c r="B251" s="337"/>
      <c r="C251" s="550" t="s">
        <v>597</v>
      </c>
      <c r="D251" s="573"/>
      <c r="E251" s="550"/>
      <c r="F251" s="550"/>
      <c r="G251" s="550"/>
      <c r="H251" s="550"/>
      <c r="I251" s="656"/>
      <c r="J251" s="656"/>
      <c r="K251" s="679"/>
      <c r="L251" s="656"/>
      <c r="M251" s="656"/>
      <c r="N251" s="656"/>
      <c r="O251" s="656"/>
      <c r="Q251" s="679"/>
    </row>
    <row r="252" spans="2:17">
      <c r="B252" s="337"/>
      <c r="D252" s="573"/>
      <c r="E252" s="550"/>
      <c r="F252" s="550"/>
      <c r="G252" s="550"/>
      <c r="H252" s="550"/>
      <c r="I252" s="656"/>
      <c r="J252" s="656"/>
      <c r="K252" s="679"/>
      <c r="L252" s="656"/>
      <c r="M252" s="656"/>
      <c r="N252" s="656"/>
      <c r="O252" s="656"/>
      <c r="Q252" s="679"/>
    </row>
    <row r="253" spans="2:17">
      <c r="B253" s="337"/>
      <c r="C253" s="586" t="s">
        <v>598</v>
      </c>
      <c r="D253" s="683"/>
      <c r="E253" s="683"/>
      <c r="F253" s="683"/>
      <c r="G253" s="683"/>
      <c r="H253" s="679"/>
      <c r="I253" s="679"/>
      <c r="J253" s="684"/>
      <c r="K253" s="684"/>
      <c r="L253" s="684"/>
      <c r="M253" s="684"/>
      <c r="N253" s="684"/>
      <c r="O253" s="684"/>
      <c r="Q253" s="684"/>
    </row>
    <row r="254" spans="2:17">
      <c r="B254" s="337"/>
      <c r="C254" s="586" t="s">
        <v>477</v>
      </c>
      <c r="D254" s="683"/>
      <c r="E254" s="683"/>
      <c r="F254" s="683"/>
      <c r="G254" s="683"/>
      <c r="H254" s="679"/>
      <c r="I254" s="679"/>
      <c r="J254" s="684"/>
      <c r="K254" s="684"/>
      <c r="L254" s="684"/>
      <c r="M254" s="684"/>
      <c r="N254" s="684"/>
      <c r="O254" s="684"/>
      <c r="Q254" s="684"/>
    </row>
    <row r="255" spans="2:17">
      <c r="B255" s="337"/>
      <c r="C255" s="586" t="s">
        <v>290</v>
      </c>
      <c r="D255" s="683"/>
      <c r="E255" s="683"/>
      <c r="F255" s="683"/>
      <c r="G255" s="683"/>
      <c r="H255" s="679"/>
      <c r="I255" s="679"/>
      <c r="J255" s="684"/>
      <c r="K255" s="684"/>
      <c r="L255" s="684"/>
      <c r="M255" s="684"/>
      <c r="N255" s="684"/>
      <c r="O255" s="684"/>
      <c r="Q255" s="684"/>
    </row>
    <row r="256" spans="2:17" ht="13">
      <c r="B256" s="337"/>
      <c r="C256" s="682"/>
      <c r="D256" s="683"/>
      <c r="E256" s="683"/>
      <c r="F256" s="683"/>
      <c r="G256" s="683"/>
      <c r="H256" s="679"/>
      <c r="I256" s="679"/>
      <c r="J256" s="684"/>
      <c r="K256" s="684"/>
      <c r="L256" s="684"/>
      <c r="M256" s="684"/>
      <c r="N256" s="684"/>
      <c r="O256" s="684"/>
      <c r="Q256" s="684"/>
    </row>
    <row r="257" spans="1:17" ht="20">
      <c r="A257" s="685" t="s">
        <v>774</v>
      </c>
      <c r="B257" s="550"/>
      <c r="C257" s="665"/>
      <c r="D257" s="573"/>
      <c r="E257" s="550"/>
      <c r="F257" s="655"/>
      <c r="G257" s="655"/>
      <c r="H257" s="550"/>
      <c r="I257" s="656"/>
      <c r="L257" s="686"/>
      <c r="M257" s="686"/>
      <c r="N257" s="686"/>
      <c r="O257" s="601" t="str">
        <f>"Page "&amp;SUM(Q$3:Q257)&amp;" of "</f>
        <v xml:space="preserve">Page 4 of </v>
      </c>
      <c r="P257" s="602">
        <f>COUNT(Q$8:Q$58123)</f>
        <v>11</v>
      </c>
      <c r="Q257" s="767">
        <v>1</v>
      </c>
    </row>
    <row r="258" spans="1:17">
      <c r="B258" s="550"/>
      <c r="C258" s="550"/>
      <c r="D258" s="573"/>
      <c r="E258" s="550"/>
      <c r="F258" s="550"/>
      <c r="G258" s="550"/>
      <c r="H258" s="550"/>
      <c r="I258" s="656"/>
      <c r="J258" s="550"/>
      <c r="K258" s="598"/>
      <c r="Q258" s="598"/>
    </row>
    <row r="259" spans="1:17" ht="17">
      <c r="B259" s="605" t="s">
        <v>175</v>
      </c>
      <c r="C259" s="687" t="s">
        <v>291</v>
      </c>
      <c r="D259" s="573"/>
      <c r="E259" s="550"/>
      <c r="F259" s="550"/>
      <c r="G259" s="550"/>
      <c r="H259" s="550"/>
      <c r="I259" s="656"/>
      <c r="J259" s="656"/>
      <c r="K259" s="679"/>
      <c r="L259" s="656"/>
      <c r="M259" s="656"/>
      <c r="N259" s="656"/>
      <c r="O259" s="656"/>
      <c r="Q259" s="679"/>
    </row>
    <row r="260" spans="1:17" ht="18">
      <c r="B260" s="605"/>
      <c r="C260" s="604"/>
      <c r="D260" s="573"/>
      <c r="E260" s="550"/>
      <c r="F260" s="550"/>
      <c r="G260" s="550"/>
      <c r="H260" s="550"/>
      <c r="I260" s="656"/>
      <c r="J260" s="656"/>
      <c r="K260" s="679"/>
      <c r="L260" s="656"/>
      <c r="M260" s="656"/>
      <c r="N260" s="656"/>
      <c r="O260" s="656"/>
      <c r="Q260" s="679"/>
    </row>
    <row r="261" spans="1:17" ht="18">
      <c r="B261" s="605"/>
      <c r="C261" s="604" t="s">
        <v>292</v>
      </c>
      <c r="D261" s="573"/>
      <c r="E261" s="550"/>
      <c r="F261" s="550"/>
      <c r="G261" s="550"/>
      <c r="H261" s="550"/>
      <c r="I261" s="656"/>
      <c r="J261" s="656"/>
      <c r="K261" s="679"/>
      <c r="L261" s="656"/>
      <c r="M261" s="656"/>
      <c r="N261" s="656"/>
      <c r="O261" s="656"/>
      <c r="Q261" s="679"/>
    </row>
    <row r="262" spans="1:17" ht="16" thickBot="1">
      <c r="B262" s="337"/>
      <c r="C262" s="403"/>
      <c r="D262" s="573"/>
      <c r="E262" s="550"/>
      <c r="F262" s="550"/>
      <c r="G262" s="550"/>
      <c r="H262" s="550"/>
      <c r="I262" s="656"/>
      <c r="J262" s="656"/>
      <c r="K262" s="679"/>
      <c r="L262" s="656"/>
      <c r="M262" s="656"/>
      <c r="N262" s="656"/>
      <c r="O262" s="656"/>
      <c r="Q262" s="679"/>
    </row>
    <row r="263" spans="1:17" ht="15.5">
      <c r="B263" s="337"/>
      <c r="C263" s="606" t="s">
        <v>293</v>
      </c>
      <c r="D263" s="573"/>
      <c r="E263" s="550"/>
      <c r="F263" s="550"/>
      <c r="G263" s="550"/>
      <c r="H263" s="877"/>
      <c r="I263" s="550" t="s">
        <v>272</v>
      </c>
      <c r="J263" s="550"/>
      <c r="K263" s="598"/>
      <c r="L263" s="768">
        <f>+J269</f>
        <v>2019</v>
      </c>
      <c r="M263" s="750" t="s">
        <v>255</v>
      </c>
      <c r="N263" s="750" t="s">
        <v>256</v>
      </c>
      <c r="O263" s="751" t="s">
        <v>257</v>
      </c>
      <c r="Q263" s="598"/>
    </row>
    <row r="264" spans="1:17" ht="15.5">
      <c r="B264" s="337"/>
      <c r="C264" s="606"/>
      <c r="D264" s="573"/>
      <c r="E264" s="550"/>
      <c r="F264" s="550"/>
      <c r="H264" s="550"/>
      <c r="I264" s="691"/>
      <c r="J264" s="691"/>
      <c r="K264" s="692"/>
      <c r="L264" s="769" t="s">
        <v>456</v>
      </c>
      <c r="M264" s="770">
        <f>VLOOKUP(J269,C276:P335,10)</f>
        <v>2433872.9423121419</v>
      </c>
      <c r="N264" s="770">
        <f>VLOOKUP(J269,C276:P335,12)</f>
        <v>2433872.9423121419</v>
      </c>
      <c r="O264" s="771">
        <f>+N264-M264</f>
        <v>0</v>
      </c>
      <c r="Q264" s="692"/>
    </row>
    <row r="265" spans="1:17" ht="13" customHeight="1">
      <c r="B265" s="337"/>
      <c r="C265" s="694" t="s">
        <v>294</v>
      </c>
      <c r="D265" s="1558" t="s">
        <v>983</v>
      </c>
      <c r="E265" s="1558"/>
      <c r="F265" s="1558"/>
      <c r="G265" s="1558"/>
      <c r="H265" s="1558"/>
      <c r="I265" s="1558"/>
      <c r="J265" s="656"/>
      <c r="K265" s="679"/>
      <c r="L265" s="769" t="s">
        <v>457</v>
      </c>
      <c r="M265" s="772">
        <f>VLOOKUP(J269,C276:P335,6)</f>
        <v>2467349.6412910619</v>
      </c>
      <c r="N265" s="772">
        <f>VLOOKUP(J269,C276:P335,7)</f>
        <v>2467349.6412910619</v>
      </c>
      <c r="O265" s="773">
        <f>+N265-M265</f>
        <v>0</v>
      </c>
      <c r="Q265" s="679"/>
    </row>
    <row r="266" spans="1:17" ht="13.5" thickBot="1">
      <c r="B266" s="337"/>
      <c r="C266" s="696"/>
      <c r="D266" s="1558"/>
      <c r="E266" s="1558"/>
      <c r="F266" s="1558"/>
      <c r="G266" s="1558"/>
      <c r="H266" s="1558"/>
      <c r="I266" s="1558"/>
      <c r="J266" s="656"/>
      <c r="K266" s="679"/>
      <c r="L266" s="715" t="s">
        <v>458</v>
      </c>
      <c r="M266" s="774">
        <f>+M265-M264</f>
        <v>33476.698978920002</v>
      </c>
      <c r="N266" s="774">
        <f>+N265-N264</f>
        <v>33476.698978920002</v>
      </c>
      <c r="O266" s="775">
        <f>+O265-O264</f>
        <v>0</v>
      </c>
      <c r="Q266" s="679"/>
    </row>
    <row r="267" spans="1:17" ht="13.5" thickBot="1">
      <c r="B267" s="337"/>
      <c r="C267" s="698"/>
      <c r="D267" s="699"/>
      <c r="E267" s="697"/>
      <c r="F267" s="697"/>
      <c r="G267" s="697"/>
      <c r="H267" s="697"/>
      <c r="I267" s="697"/>
      <c r="J267" s="697"/>
      <c r="K267" s="700"/>
      <c r="L267" s="697"/>
      <c r="M267" s="697"/>
      <c r="N267" s="697"/>
      <c r="O267" s="697"/>
      <c r="P267" s="586"/>
      <c r="Q267" s="700"/>
    </row>
    <row r="268" spans="1:17" ht="13" thickBot="1">
      <c r="B268" s="337"/>
      <c r="C268" s="701" t="s">
        <v>295</v>
      </c>
      <c r="D268" s="702"/>
      <c r="E268" s="702"/>
      <c r="F268" s="702"/>
      <c r="G268" s="702"/>
      <c r="H268" s="702"/>
      <c r="I268" s="702"/>
      <c r="J268" s="702"/>
      <c r="K268" s="704"/>
      <c r="P268" s="705"/>
      <c r="Q268" s="704"/>
    </row>
    <row r="269" spans="1:17" ht="16">
      <c r="A269" s="1324"/>
      <c r="B269" s="337"/>
      <c r="C269" s="707" t="s">
        <v>273</v>
      </c>
      <c r="D269" s="878">
        <v>21957101</v>
      </c>
      <c r="E269" s="665" t="s">
        <v>274</v>
      </c>
      <c r="H269" s="708"/>
      <c r="I269" s="708"/>
      <c r="J269" s="709">
        <f>$J$95</f>
        <v>2019</v>
      </c>
      <c r="K269" s="596"/>
      <c r="L269" s="1560" t="s">
        <v>275</v>
      </c>
      <c r="M269" s="1560"/>
      <c r="N269" s="1560"/>
      <c r="O269" s="1560"/>
      <c r="P269" s="598"/>
      <c r="Q269" s="596"/>
    </row>
    <row r="270" spans="1:17">
      <c r="A270" s="1324"/>
      <c r="B270" s="337"/>
      <c r="C270" s="707" t="s">
        <v>276</v>
      </c>
      <c r="D270" s="888">
        <v>2013</v>
      </c>
      <c r="E270" s="707" t="s">
        <v>277</v>
      </c>
      <c r="F270" s="708"/>
      <c r="G270" s="708"/>
      <c r="I270" s="337"/>
      <c r="J270" s="882">
        <v>0</v>
      </c>
      <c r="K270" s="710"/>
      <c r="L270" s="679" t="s">
        <v>476</v>
      </c>
      <c r="P270" s="598"/>
      <c r="Q270" s="710"/>
    </row>
    <row r="271" spans="1:17">
      <c r="A271" s="1324"/>
      <c r="B271" s="337"/>
      <c r="C271" s="707" t="s">
        <v>278</v>
      </c>
      <c r="D271" s="880">
        <v>4</v>
      </c>
      <c r="E271" s="707" t="s">
        <v>279</v>
      </c>
      <c r="F271" s="708"/>
      <c r="G271" s="708"/>
      <c r="I271" s="337"/>
      <c r="J271" s="711">
        <f>$F$70</f>
        <v>0.10552282863199051</v>
      </c>
      <c r="K271" s="712"/>
      <c r="L271" s="550" t="str">
        <f>"          INPUT TRUE-UP ARR (WITH &amp; WITHOUT INCENTIVES) FROM EACH PRIOR YEAR"</f>
        <v xml:space="preserve">          INPUT TRUE-UP ARR (WITH &amp; WITHOUT INCENTIVES) FROM EACH PRIOR YEAR</v>
      </c>
      <c r="P271" s="598"/>
      <c r="Q271" s="712"/>
    </row>
    <row r="272" spans="1:17">
      <c r="A272" s="1324"/>
      <c r="B272" s="337"/>
      <c r="C272" s="707" t="s">
        <v>280</v>
      </c>
      <c r="D272" s="713">
        <f>H79</f>
        <v>51</v>
      </c>
      <c r="E272" s="707" t="s">
        <v>281</v>
      </c>
      <c r="F272" s="708"/>
      <c r="G272" s="708"/>
      <c r="I272" s="337"/>
      <c r="J272" s="711">
        <f>IF(H263="",J271,$F$69)</f>
        <v>0.10552282863199051</v>
      </c>
      <c r="K272" s="714"/>
      <c r="L272" s="550" t="s">
        <v>363</v>
      </c>
      <c r="M272" s="714"/>
      <c r="N272" s="714"/>
      <c r="O272" s="714"/>
      <c r="P272" s="598"/>
      <c r="Q272" s="714"/>
    </row>
    <row r="273" spans="1:17" ht="13" thickBot="1">
      <c r="A273" s="1324"/>
      <c r="B273" s="337"/>
      <c r="C273" s="707" t="s">
        <v>282</v>
      </c>
      <c r="D273" s="881" t="s">
        <v>979</v>
      </c>
      <c r="E273" s="715" t="s">
        <v>283</v>
      </c>
      <c r="F273" s="716"/>
      <c r="G273" s="716"/>
      <c r="H273" s="717"/>
      <c r="I273" s="717"/>
      <c r="J273" s="695">
        <f>IF(D269=0,0,D269/D272)</f>
        <v>430531.39215686277</v>
      </c>
      <c r="K273" s="679"/>
      <c r="L273" s="679" t="s">
        <v>364</v>
      </c>
      <c r="M273" s="679"/>
      <c r="N273" s="679"/>
      <c r="O273" s="679"/>
      <c r="P273" s="598"/>
      <c r="Q273" s="679"/>
    </row>
    <row r="274" spans="1:17" ht="39">
      <c r="A274" s="537"/>
      <c r="B274" s="537"/>
      <c r="C274" s="718" t="s">
        <v>273</v>
      </c>
      <c r="D274" s="719" t="s">
        <v>284</v>
      </c>
      <c r="E274" s="720" t="s">
        <v>285</v>
      </c>
      <c r="F274" s="719" t="s">
        <v>286</v>
      </c>
      <c r="G274" s="719" t="s">
        <v>459</v>
      </c>
      <c r="H274" s="720" t="s">
        <v>357</v>
      </c>
      <c r="I274" s="721" t="s">
        <v>357</v>
      </c>
      <c r="J274" s="718" t="s">
        <v>296</v>
      </c>
      <c r="K274" s="722"/>
      <c r="L274" s="720" t="s">
        <v>359</v>
      </c>
      <c r="M274" s="720" t="s">
        <v>365</v>
      </c>
      <c r="N274" s="720" t="s">
        <v>359</v>
      </c>
      <c r="O274" s="720" t="s">
        <v>367</v>
      </c>
      <c r="P274" s="720" t="s">
        <v>287</v>
      </c>
      <c r="Q274" s="723"/>
    </row>
    <row r="275" spans="1:17" ht="13.5" thickBot="1">
      <c r="B275" s="337"/>
      <c r="C275" s="724" t="s">
        <v>178</v>
      </c>
      <c r="D275" s="725" t="s">
        <v>179</v>
      </c>
      <c r="E275" s="724" t="s">
        <v>38</v>
      </c>
      <c r="F275" s="725" t="s">
        <v>179</v>
      </c>
      <c r="G275" s="725" t="s">
        <v>179</v>
      </c>
      <c r="H275" s="726" t="s">
        <v>299</v>
      </c>
      <c r="I275" s="727" t="s">
        <v>301</v>
      </c>
      <c r="J275" s="728" t="s">
        <v>390</v>
      </c>
      <c r="K275" s="729"/>
      <c r="L275" s="726" t="s">
        <v>288</v>
      </c>
      <c r="M275" s="726" t="s">
        <v>288</v>
      </c>
      <c r="N275" s="726" t="s">
        <v>468</v>
      </c>
      <c r="O275" s="726" t="s">
        <v>468</v>
      </c>
      <c r="P275" s="726" t="s">
        <v>468</v>
      </c>
      <c r="Q275" s="596"/>
    </row>
    <row r="276" spans="1:17">
      <c r="B276" s="337"/>
      <c r="C276" s="730">
        <f>IF(D270= "","-",D270)</f>
        <v>2013</v>
      </c>
      <c r="D276" s="683">
        <f>+D269</f>
        <v>21957101</v>
      </c>
      <c r="E276" s="731">
        <f>+J273/12*(12-D271)</f>
        <v>287020.9281045752</v>
      </c>
      <c r="F276" s="776">
        <f t="shared" ref="F276:F335" si="24">+D276-E276</f>
        <v>21670080.071895424</v>
      </c>
      <c r="G276" s="683">
        <f t="shared" ref="G276:G335" si="25">+(D276+F276)/2</f>
        <v>21813590.53594771</v>
      </c>
      <c r="H276" s="732">
        <f>+J271*G276+E276</f>
        <v>2588852.7040777956</v>
      </c>
      <c r="I276" s="733">
        <f>+J272*G276+E276</f>
        <v>2588852.7040777956</v>
      </c>
      <c r="J276" s="734">
        <f t="shared" ref="J276:J335" si="26">+I276-H276</f>
        <v>0</v>
      </c>
      <c r="K276" s="734"/>
      <c r="L276" s="735">
        <v>1301059</v>
      </c>
      <c r="M276" s="777">
        <f t="shared" ref="M276:M335" si="27">IF(L276&lt;&gt;0,+H276-L276,0)</f>
        <v>1287793.7040777956</v>
      </c>
      <c r="N276" s="735">
        <v>1301059</v>
      </c>
      <c r="O276" s="777">
        <f t="shared" ref="O276:O335" si="28">IF(N276&lt;&gt;0,+I276-N276,0)</f>
        <v>1287793.7040777956</v>
      </c>
      <c r="P276" s="777">
        <f t="shared" ref="P276:P335" si="29">+O276-M276</f>
        <v>0</v>
      </c>
      <c r="Q276" s="684"/>
    </row>
    <row r="277" spans="1:17">
      <c r="B277" s="337"/>
      <c r="C277" s="730">
        <f>IF(D270="","-",+C276+1)</f>
        <v>2014</v>
      </c>
      <c r="D277" s="683">
        <f t="shared" ref="D277:D335" si="30">F276</f>
        <v>21670080.071895424</v>
      </c>
      <c r="E277" s="737">
        <f>IF(D277&gt;$J$273,$J$273,D277)</f>
        <v>430531.39215686277</v>
      </c>
      <c r="F277" s="737">
        <f t="shared" si="24"/>
        <v>21239548.679738563</v>
      </c>
      <c r="G277" s="683">
        <f t="shared" si="25"/>
        <v>21454814.375816993</v>
      </c>
      <c r="H277" s="731">
        <f>+J271*G277+E277</f>
        <v>2694504.0928673656</v>
      </c>
      <c r="I277" s="738">
        <f>+J272*G277+E277</f>
        <v>2694504.0928673656</v>
      </c>
      <c r="J277" s="734">
        <f t="shared" si="26"/>
        <v>0</v>
      </c>
      <c r="K277" s="734"/>
      <c r="L277" s="739">
        <v>3243481</v>
      </c>
      <c r="M277" s="734">
        <f t="shared" si="27"/>
        <v>-548976.90713263443</v>
      </c>
      <c r="N277" s="739">
        <v>3243481</v>
      </c>
      <c r="O277" s="734">
        <f t="shared" si="28"/>
        <v>-548976.90713263443</v>
      </c>
      <c r="P277" s="734">
        <f t="shared" si="29"/>
        <v>0</v>
      </c>
      <c r="Q277" s="684"/>
    </row>
    <row r="278" spans="1:17">
      <c r="B278" s="337"/>
      <c r="C278" s="730">
        <f>IF(D270="","-",+C277+1)</f>
        <v>2015</v>
      </c>
      <c r="D278" s="683">
        <f t="shared" si="30"/>
        <v>21239548.679738563</v>
      </c>
      <c r="E278" s="737">
        <f t="shared" ref="E278:E335" si="31">IF(D278&gt;$J$273,$J$273,D278)</f>
        <v>430531.39215686277</v>
      </c>
      <c r="F278" s="737">
        <f t="shared" si="24"/>
        <v>20809017.287581701</v>
      </c>
      <c r="G278" s="683">
        <f t="shared" si="25"/>
        <v>21024282.983660132</v>
      </c>
      <c r="H278" s="731">
        <f>+J271*G278+E278</f>
        <v>2649073.2025521048</v>
      </c>
      <c r="I278" s="738">
        <f>+J272*G278+E278</f>
        <v>2649073.2025521048</v>
      </c>
      <c r="J278" s="734">
        <f t="shared" si="26"/>
        <v>0</v>
      </c>
      <c r="K278" s="734"/>
      <c r="L278" s="739">
        <v>3604460</v>
      </c>
      <c r="M278" s="734">
        <f t="shared" si="27"/>
        <v>-955386.79744789517</v>
      </c>
      <c r="N278" s="739">
        <v>3604460</v>
      </c>
      <c r="O278" s="734">
        <f t="shared" si="28"/>
        <v>-955386.79744789517</v>
      </c>
      <c r="P278" s="734">
        <f t="shared" si="29"/>
        <v>0</v>
      </c>
      <c r="Q278" s="684"/>
    </row>
    <row r="279" spans="1:17">
      <c r="B279" s="337"/>
      <c r="C279" s="730">
        <f>IF(D270="","-",+C278+1)</f>
        <v>2016</v>
      </c>
      <c r="D279" s="683">
        <f t="shared" si="30"/>
        <v>20809017.287581701</v>
      </c>
      <c r="E279" s="737">
        <f t="shared" si="31"/>
        <v>430531.39215686277</v>
      </c>
      <c r="F279" s="737">
        <f t="shared" si="24"/>
        <v>20378485.895424839</v>
      </c>
      <c r="G279" s="683">
        <f t="shared" si="25"/>
        <v>20593751.59150327</v>
      </c>
      <c r="H279" s="731">
        <f>+J271*G279+E279</f>
        <v>2603642.3122368441</v>
      </c>
      <c r="I279" s="738">
        <f>+J272*G279+E279</f>
        <v>2603642.3122368441</v>
      </c>
      <c r="J279" s="734">
        <f t="shared" si="26"/>
        <v>0</v>
      </c>
      <c r="K279" s="734"/>
      <c r="L279" s="739">
        <v>3506792</v>
      </c>
      <c r="M279" s="734">
        <f t="shared" si="27"/>
        <v>-903149.6877631559</v>
      </c>
      <c r="N279" s="739">
        <v>3506792</v>
      </c>
      <c r="O279" s="734">
        <f t="shared" si="28"/>
        <v>-903149.6877631559</v>
      </c>
      <c r="P279" s="734">
        <f t="shared" si="29"/>
        <v>0</v>
      </c>
      <c r="Q279" s="684"/>
    </row>
    <row r="280" spans="1:17">
      <c r="B280" s="337"/>
      <c r="C280" s="730">
        <f>IF(D270="","-",+C279+1)</f>
        <v>2017</v>
      </c>
      <c r="D280" s="683">
        <f t="shared" si="30"/>
        <v>20378485.895424839</v>
      </c>
      <c r="E280" s="737">
        <f t="shared" si="31"/>
        <v>430531.39215686277</v>
      </c>
      <c r="F280" s="737">
        <f t="shared" si="24"/>
        <v>19947954.503267977</v>
      </c>
      <c r="G280" s="683">
        <f t="shared" si="25"/>
        <v>20163220.199346408</v>
      </c>
      <c r="H280" s="731">
        <f>+J271*G280+E280</f>
        <v>2558211.4219215834</v>
      </c>
      <c r="I280" s="738">
        <f>+J272*G280+E280</f>
        <v>2558211.4219215834</v>
      </c>
      <c r="J280" s="734">
        <f t="shared" si="26"/>
        <v>0</v>
      </c>
      <c r="K280" s="734"/>
      <c r="L280" s="739">
        <v>3162406</v>
      </c>
      <c r="M280" s="734">
        <f t="shared" si="27"/>
        <v>-604194.57807841664</v>
      </c>
      <c r="N280" s="739">
        <v>3162406</v>
      </c>
      <c r="O280" s="734">
        <f t="shared" si="28"/>
        <v>-604194.57807841664</v>
      </c>
      <c r="P280" s="734">
        <f t="shared" si="29"/>
        <v>0</v>
      </c>
      <c r="Q280" s="684"/>
    </row>
    <row r="281" spans="1:17">
      <c r="B281" s="337"/>
      <c r="C281" s="730">
        <f>IF(D270="","-",+C280+1)</f>
        <v>2018</v>
      </c>
      <c r="D281" s="1464">
        <f t="shared" si="30"/>
        <v>19947954.503267977</v>
      </c>
      <c r="E281" s="737">
        <f t="shared" si="31"/>
        <v>430531.39215686277</v>
      </c>
      <c r="F281" s="737">
        <f t="shared" si="24"/>
        <v>19517423.111111116</v>
      </c>
      <c r="G281" s="683">
        <f t="shared" si="25"/>
        <v>19732688.807189547</v>
      </c>
      <c r="H281" s="731">
        <f>+J271*G281+E281</f>
        <v>2512780.5316063226</v>
      </c>
      <c r="I281" s="738">
        <f>+J272*G281+E281</f>
        <v>2512780.5316063226</v>
      </c>
      <c r="J281" s="734">
        <f t="shared" si="26"/>
        <v>0</v>
      </c>
      <c r="K281" s="734"/>
      <c r="L281" s="739">
        <v>2623914</v>
      </c>
      <c r="M281" s="734">
        <f t="shared" si="27"/>
        <v>-111133.46839367738</v>
      </c>
      <c r="N281" s="739">
        <v>2623914</v>
      </c>
      <c r="O281" s="734">
        <f t="shared" si="28"/>
        <v>-111133.46839367738</v>
      </c>
      <c r="P281" s="734">
        <f t="shared" si="29"/>
        <v>0</v>
      </c>
      <c r="Q281" s="684"/>
    </row>
    <row r="282" spans="1:17">
      <c r="B282" s="337"/>
      <c r="C282" s="730">
        <f>IF(D270="","-",+C281+1)</f>
        <v>2019</v>
      </c>
      <c r="D282" s="683">
        <f t="shared" si="30"/>
        <v>19517423.111111116</v>
      </c>
      <c r="E282" s="737">
        <f t="shared" si="31"/>
        <v>430531.39215686277</v>
      </c>
      <c r="F282" s="737">
        <f t="shared" si="24"/>
        <v>19086891.718954254</v>
      </c>
      <c r="G282" s="683">
        <f t="shared" si="25"/>
        <v>19302157.415032685</v>
      </c>
      <c r="H282" s="731">
        <f>+J271*G282+E282</f>
        <v>2467349.6412910619</v>
      </c>
      <c r="I282" s="738">
        <f>+J272*G282+E282</f>
        <v>2467349.6412910619</v>
      </c>
      <c r="J282" s="734">
        <f t="shared" si="26"/>
        <v>0</v>
      </c>
      <c r="K282" s="734"/>
      <c r="L282" s="739">
        <v>2433872.9423121419</v>
      </c>
      <c r="M282" s="734">
        <f t="shared" si="27"/>
        <v>33476.698978920002</v>
      </c>
      <c r="N282" s="739">
        <v>2433872.9423121419</v>
      </c>
      <c r="O282" s="734">
        <f t="shared" si="28"/>
        <v>33476.698978920002</v>
      </c>
      <c r="P282" s="734">
        <f t="shared" si="29"/>
        <v>0</v>
      </c>
      <c r="Q282" s="684"/>
    </row>
    <row r="283" spans="1:17">
      <c r="B283" s="337"/>
      <c r="C283" s="730">
        <f>IF(D270="","-",+C282+1)</f>
        <v>2020</v>
      </c>
      <c r="D283" s="683">
        <f t="shared" si="30"/>
        <v>19086891.718954254</v>
      </c>
      <c r="E283" s="737">
        <f t="shared" si="31"/>
        <v>430531.39215686277</v>
      </c>
      <c r="F283" s="737">
        <f t="shared" si="24"/>
        <v>18656360.326797392</v>
      </c>
      <c r="G283" s="683">
        <f t="shared" si="25"/>
        <v>18871626.022875823</v>
      </c>
      <c r="H283" s="731">
        <f>+J271*G283+E283</f>
        <v>2421918.7509758011</v>
      </c>
      <c r="I283" s="738">
        <f>+J272*G283+E283</f>
        <v>2421918.7509758011</v>
      </c>
      <c r="J283" s="734">
        <f t="shared" si="26"/>
        <v>0</v>
      </c>
      <c r="K283" s="734"/>
      <c r="L283" s="739"/>
      <c r="M283" s="734">
        <f t="shared" si="27"/>
        <v>0</v>
      </c>
      <c r="N283" s="739"/>
      <c r="O283" s="734">
        <f t="shared" si="28"/>
        <v>0</v>
      </c>
      <c r="P283" s="734">
        <f t="shared" si="29"/>
        <v>0</v>
      </c>
      <c r="Q283" s="684"/>
    </row>
    <row r="284" spans="1:17">
      <c r="B284" s="337"/>
      <c r="C284" s="730">
        <f>IF(D270="","-",+C283+1)</f>
        <v>2021</v>
      </c>
      <c r="D284" s="683">
        <f t="shared" si="30"/>
        <v>18656360.326797392</v>
      </c>
      <c r="E284" s="737">
        <f t="shared" si="31"/>
        <v>430531.39215686277</v>
      </c>
      <c r="F284" s="737">
        <f t="shared" si="24"/>
        <v>18225828.93464053</v>
      </c>
      <c r="G284" s="683">
        <f t="shared" si="25"/>
        <v>18441094.630718961</v>
      </c>
      <c r="H284" s="731">
        <f>+J271*G284+E284</f>
        <v>2376487.8606605399</v>
      </c>
      <c r="I284" s="738">
        <f>+J272*G284+E284</f>
        <v>2376487.8606605399</v>
      </c>
      <c r="J284" s="734">
        <f t="shared" si="26"/>
        <v>0</v>
      </c>
      <c r="K284" s="734"/>
      <c r="L284" s="739"/>
      <c r="M284" s="734">
        <f t="shared" si="27"/>
        <v>0</v>
      </c>
      <c r="N284" s="739"/>
      <c r="O284" s="734">
        <f t="shared" si="28"/>
        <v>0</v>
      </c>
      <c r="P284" s="734">
        <f t="shared" si="29"/>
        <v>0</v>
      </c>
      <c r="Q284" s="684"/>
    </row>
    <row r="285" spans="1:17">
      <c r="B285" s="337"/>
      <c r="C285" s="730">
        <f>IF(D270="","-",+C284+1)</f>
        <v>2022</v>
      </c>
      <c r="D285" s="683">
        <f t="shared" si="30"/>
        <v>18225828.93464053</v>
      </c>
      <c r="E285" s="737">
        <f t="shared" si="31"/>
        <v>430531.39215686277</v>
      </c>
      <c r="F285" s="737">
        <f t="shared" si="24"/>
        <v>17795297.542483669</v>
      </c>
      <c r="G285" s="683">
        <f t="shared" si="25"/>
        <v>18010563.2385621</v>
      </c>
      <c r="H285" s="731">
        <f>+J271*G285+E285</f>
        <v>2331056.9703452792</v>
      </c>
      <c r="I285" s="738">
        <f>+J272*G285+E285</f>
        <v>2331056.9703452792</v>
      </c>
      <c r="J285" s="734">
        <f t="shared" si="26"/>
        <v>0</v>
      </c>
      <c r="K285" s="734"/>
      <c r="L285" s="739"/>
      <c r="M285" s="734">
        <f t="shared" si="27"/>
        <v>0</v>
      </c>
      <c r="N285" s="739"/>
      <c r="O285" s="734">
        <f t="shared" si="28"/>
        <v>0</v>
      </c>
      <c r="P285" s="734">
        <f t="shared" si="29"/>
        <v>0</v>
      </c>
      <c r="Q285" s="684"/>
    </row>
    <row r="286" spans="1:17">
      <c r="B286" s="337"/>
      <c r="C286" s="730">
        <f>IF(D270="","-",+C285+1)</f>
        <v>2023</v>
      </c>
      <c r="D286" s="683">
        <f t="shared" si="30"/>
        <v>17795297.542483669</v>
      </c>
      <c r="E286" s="737">
        <f t="shared" si="31"/>
        <v>430531.39215686277</v>
      </c>
      <c r="F286" s="737">
        <f t="shared" si="24"/>
        <v>17364766.150326807</v>
      </c>
      <c r="G286" s="683">
        <f t="shared" si="25"/>
        <v>17580031.846405238</v>
      </c>
      <c r="H286" s="731">
        <f>+J271*G286+E286</f>
        <v>2285626.0800300185</v>
      </c>
      <c r="I286" s="738">
        <f>+J272*G286+E286</f>
        <v>2285626.0800300185</v>
      </c>
      <c r="J286" s="734">
        <f t="shared" si="26"/>
        <v>0</v>
      </c>
      <c r="K286" s="734"/>
      <c r="L286" s="739"/>
      <c r="M286" s="734">
        <f t="shared" si="27"/>
        <v>0</v>
      </c>
      <c r="N286" s="739"/>
      <c r="O286" s="734">
        <f t="shared" si="28"/>
        <v>0</v>
      </c>
      <c r="P286" s="734">
        <f t="shared" si="29"/>
        <v>0</v>
      </c>
      <c r="Q286" s="684"/>
    </row>
    <row r="287" spans="1:17">
      <c r="B287" s="337"/>
      <c r="C287" s="730">
        <f>IF(D270="","-",+C286+1)</f>
        <v>2024</v>
      </c>
      <c r="D287" s="683">
        <f t="shared" si="30"/>
        <v>17364766.150326807</v>
      </c>
      <c r="E287" s="737">
        <f t="shared" si="31"/>
        <v>430531.39215686277</v>
      </c>
      <c r="F287" s="737">
        <f t="shared" si="24"/>
        <v>16934234.758169945</v>
      </c>
      <c r="G287" s="683">
        <f t="shared" si="25"/>
        <v>17149500.454248376</v>
      </c>
      <c r="H287" s="731">
        <f>+J271*G287+E287</f>
        <v>2240195.1897147577</v>
      </c>
      <c r="I287" s="738">
        <f>+J272*G287+E287</f>
        <v>2240195.1897147577</v>
      </c>
      <c r="J287" s="734">
        <f t="shared" si="26"/>
        <v>0</v>
      </c>
      <c r="K287" s="734"/>
      <c r="L287" s="739"/>
      <c r="M287" s="734">
        <f t="shared" si="27"/>
        <v>0</v>
      </c>
      <c r="N287" s="739"/>
      <c r="O287" s="734">
        <f t="shared" si="28"/>
        <v>0</v>
      </c>
      <c r="P287" s="734">
        <f t="shared" si="29"/>
        <v>0</v>
      </c>
      <c r="Q287" s="684"/>
    </row>
    <row r="288" spans="1:17">
      <c r="B288" s="337"/>
      <c r="C288" s="730">
        <f>IF(D270="","-",+C287+1)</f>
        <v>2025</v>
      </c>
      <c r="D288" s="683">
        <f t="shared" si="30"/>
        <v>16934234.758169945</v>
      </c>
      <c r="E288" s="737">
        <f t="shared" si="31"/>
        <v>430531.39215686277</v>
      </c>
      <c r="F288" s="737">
        <f t="shared" si="24"/>
        <v>16503703.366013082</v>
      </c>
      <c r="G288" s="683">
        <f t="shared" si="25"/>
        <v>16718969.062091514</v>
      </c>
      <c r="H288" s="731">
        <f>+J271*G288+E288</f>
        <v>2194764.299399497</v>
      </c>
      <c r="I288" s="738">
        <f>+J272*G288+E288</f>
        <v>2194764.299399497</v>
      </c>
      <c r="J288" s="734">
        <f t="shared" si="26"/>
        <v>0</v>
      </c>
      <c r="K288" s="734"/>
      <c r="L288" s="739"/>
      <c r="M288" s="734">
        <f t="shared" si="27"/>
        <v>0</v>
      </c>
      <c r="N288" s="739"/>
      <c r="O288" s="734">
        <f t="shared" si="28"/>
        <v>0</v>
      </c>
      <c r="P288" s="734">
        <f t="shared" si="29"/>
        <v>0</v>
      </c>
      <c r="Q288" s="684"/>
    </row>
    <row r="289" spans="2:17">
      <c r="B289" s="337"/>
      <c r="C289" s="730">
        <f>IF(D270="","-",+C288+1)</f>
        <v>2026</v>
      </c>
      <c r="D289" s="683">
        <f t="shared" si="30"/>
        <v>16503703.366013082</v>
      </c>
      <c r="E289" s="737">
        <f t="shared" si="31"/>
        <v>430531.39215686277</v>
      </c>
      <c r="F289" s="737">
        <f t="shared" si="24"/>
        <v>16073171.973856218</v>
      </c>
      <c r="G289" s="683">
        <f t="shared" si="25"/>
        <v>16288437.669934649</v>
      </c>
      <c r="H289" s="731">
        <f>+J271*G289+E289</f>
        <v>2149333.4090842358</v>
      </c>
      <c r="I289" s="738">
        <f>+J272*G289+E289</f>
        <v>2149333.4090842358</v>
      </c>
      <c r="J289" s="734">
        <f t="shared" si="26"/>
        <v>0</v>
      </c>
      <c r="K289" s="734"/>
      <c r="L289" s="739"/>
      <c r="M289" s="734">
        <f t="shared" si="27"/>
        <v>0</v>
      </c>
      <c r="N289" s="739"/>
      <c r="O289" s="734">
        <f t="shared" si="28"/>
        <v>0</v>
      </c>
      <c r="P289" s="734">
        <f t="shared" si="29"/>
        <v>0</v>
      </c>
      <c r="Q289" s="684"/>
    </row>
    <row r="290" spans="2:17">
      <c r="B290" s="337"/>
      <c r="C290" s="730">
        <f>IF(D270="","-",+C289+1)</f>
        <v>2027</v>
      </c>
      <c r="D290" s="683">
        <f t="shared" si="30"/>
        <v>16073171.973856218</v>
      </c>
      <c r="E290" s="737">
        <f t="shared" si="31"/>
        <v>430531.39215686277</v>
      </c>
      <c r="F290" s="737">
        <f t="shared" si="24"/>
        <v>15642640.581699355</v>
      </c>
      <c r="G290" s="683">
        <f t="shared" si="25"/>
        <v>15857906.277777787</v>
      </c>
      <c r="H290" s="731">
        <f>+J271*G290+E290</f>
        <v>2103902.5187689746</v>
      </c>
      <c r="I290" s="738">
        <f>+J272*G290+E290</f>
        <v>2103902.5187689746</v>
      </c>
      <c r="J290" s="734">
        <f t="shared" si="26"/>
        <v>0</v>
      </c>
      <c r="K290" s="734"/>
      <c r="L290" s="739"/>
      <c r="M290" s="734">
        <f t="shared" si="27"/>
        <v>0</v>
      </c>
      <c r="N290" s="739"/>
      <c r="O290" s="734">
        <f t="shared" si="28"/>
        <v>0</v>
      </c>
      <c r="P290" s="734">
        <f t="shared" si="29"/>
        <v>0</v>
      </c>
      <c r="Q290" s="684"/>
    </row>
    <row r="291" spans="2:17">
      <c r="B291" s="337"/>
      <c r="C291" s="730">
        <f>IF(D270="","-",+C290+1)</f>
        <v>2028</v>
      </c>
      <c r="D291" s="683">
        <f t="shared" si="30"/>
        <v>15642640.581699355</v>
      </c>
      <c r="E291" s="737">
        <f t="shared" si="31"/>
        <v>430531.39215686277</v>
      </c>
      <c r="F291" s="737">
        <f t="shared" si="24"/>
        <v>15212109.189542491</v>
      </c>
      <c r="G291" s="683">
        <f t="shared" si="25"/>
        <v>15427374.885620922</v>
      </c>
      <c r="H291" s="731">
        <f>+J271*G291+E291</f>
        <v>2058471.6284537134</v>
      </c>
      <c r="I291" s="738">
        <f>+J272*G291+E291</f>
        <v>2058471.6284537134</v>
      </c>
      <c r="J291" s="734">
        <f t="shared" si="26"/>
        <v>0</v>
      </c>
      <c r="K291" s="734"/>
      <c r="L291" s="739"/>
      <c r="M291" s="734">
        <f t="shared" si="27"/>
        <v>0</v>
      </c>
      <c r="N291" s="739"/>
      <c r="O291" s="734">
        <f t="shared" si="28"/>
        <v>0</v>
      </c>
      <c r="P291" s="734">
        <f t="shared" si="29"/>
        <v>0</v>
      </c>
      <c r="Q291" s="684"/>
    </row>
    <row r="292" spans="2:17">
      <c r="B292" s="337"/>
      <c r="C292" s="730">
        <f>IF(D270="","-",+C291+1)</f>
        <v>2029</v>
      </c>
      <c r="D292" s="683">
        <f t="shared" si="30"/>
        <v>15212109.189542491</v>
      </c>
      <c r="E292" s="737">
        <f t="shared" si="31"/>
        <v>430531.39215686277</v>
      </c>
      <c r="F292" s="737">
        <f t="shared" si="24"/>
        <v>14781577.797385627</v>
      </c>
      <c r="G292" s="683">
        <f t="shared" si="25"/>
        <v>14996843.49346406</v>
      </c>
      <c r="H292" s="731">
        <f>+J271*G292+E292</f>
        <v>2013040.7381384526</v>
      </c>
      <c r="I292" s="738">
        <f>+J272*G292+E292</f>
        <v>2013040.7381384526</v>
      </c>
      <c r="J292" s="734">
        <f t="shared" si="26"/>
        <v>0</v>
      </c>
      <c r="K292" s="734"/>
      <c r="L292" s="739"/>
      <c r="M292" s="734">
        <f t="shared" si="27"/>
        <v>0</v>
      </c>
      <c r="N292" s="739"/>
      <c r="O292" s="734">
        <f t="shared" si="28"/>
        <v>0</v>
      </c>
      <c r="P292" s="734">
        <f t="shared" si="29"/>
        <v>0</v>
      </c>
      <c r="Q292" s="684"/>
    </row>
    <row r="293" spans="2:17">
      <c r="B293" s="337"/>
      <c r="C293" s="730">
        <f>IF(D270="","-",+C292+1)</f>
        <v>2030</v>
      </c>
      <c r="D293" s="683">
        <f t="shared" si="30"/>
        <v>14781577.797385627</v>
      </c>
      <c r="E293" s="737">
        <f t="shared" si="31"/>
        <v>430531.39215686277</v>
      </c>
      <c r="F293" s="737">
        <f t="shared" si="24"/>
        <v>14351046.405228764</v>
      </c>
      <c r="G293" s="683">
        <f t="shared" si="25"/>
        <v>14566312.101307195</v>
      </c>
      <c r="H293" s="731">
        <f>+J271*G293+E293</f>
        <v>1967609.8478231914</v>
      </c>
      <c r="I293" s="738">
        <f>+J272*G293+E293</f>
        <v>1967609.8478231914</v>
      </c>
      <c r="J293" s="734">
        <f t="shared" si="26"/>
        <v>0</v>
      </c>
      <c r="K293" s="734"/>
      <c r="L293" s="739"/>
      <c r="M293" s="734">
        <f t="shared" si="27"/>
        <v>0</v>
      </c>
      <c r="N293" s="739"/>
      <c r="O293" s="734">
        <f t="shared" si="28"/>
        <v>0</v>
      </c>
      <c r="P293" s="734">
        <f t="shared" si="29"/>
        <v>0</v>
      </c>
      <c r="Q293" s="684"/>
    </row>
    <row r="294" spans="2:17">
      <c r="B294" s="337"/>
      <c r="C294" s="730">
        <f>IF(D270="","-",+C293+1)</f>
        <v>2031</v>
      </c>
      <c r="D294" s="683">
        <f t="shared" si="30"/>
        <v>14351046.405228764</v>
      </c>
      <c r="E294" s="737">
        <f t="shared" si="31"/>
        <v>430531.39215686277</v>
      </c>
      <c r="F294" s="737">
        <f t="shared" si="24"/>
        <v>13920515.0130719</v>
      </c>
      <c r="G294" s="683">
        <f t="shared" si="25"/>
        <v>14135780.709150333</v>
      </c>
      <c r="H294" s="731">
        <f>+J271*G294+E294</f>
        <v>1922178.9575079307</v>
      </c>
      <c r="I294" s="738">
        <f>+J272*G294+E294</f>
        <v>1922178.9575079307</v>
      </c>
      <c r="J294" s="734">
        <f t="shared" si="26"/>
        <v>0</v>
      </c>
      <c r="K294" s="734"/>
      <c r="L294" s="739"/>
      <c r="M294" s="734">
        <f t="shared" si="27"/>
        <v>0</v>
      </c>
      <c r="N294" s="739"/>
      <c r="O294" s="734">
        <f t="shared" si="28"/>
        <v>0</v>
      </c>
      <c r="P294" s="734">
        <f t="shared" si="29"/>
        <v>0</v>
      </c>
      <c r="Q294" s="684"/>
    </row>
    <row r="295" spans="2:17">
      <c r="B295" s="337"/>
      <c r="C295" s="730">
        <f>IF(D270="","-",+C294+1)</f>
        <v>2032</v>
      </c>
      <c r="D295" s="683">
        <f t="shared" si="30"/>
        <v>13920515.0130719</v>
      </c>
      <c r="E295" s="737">
        <f t="shared" si="31"/>
        <v>430531.39215686277</v>
      </c>
      <c r="F295" s="737">
        <f t="shared" si="24"/>
        <v>13489983.620915037</v>
      </c>
      <c r="G295" s="683">
        <f t="shared" si="25"/>
        <v>13705249.316993468</v>
      </c>
      <c r="H295" s="731">
        <f>+J271*G295+E295</f>
        <v>1876748.0671926695</v>
      </c>
      <c r="I295" s="738">
        <f>+J272*G295+E295</f>
        <v>1876748.0671926695</v>
      </c>
      <c r="J295" s="734">
        <f t="shared" si="26"/>
        <v>0</v>
      </c>
      <c r="K295" s="734"/>
      <c r="L295" s="739"/>
      <c r="M295" s="734">
        <f t="shared" si="27"/>
        <v>0</v>
      </c>
      <c r="N295" s="739"/>
      <c r="O295" s="734">
        <f t="shared" si="28"/>
        <v>0</v>
      </c>
      <c r="P295" s="734">
        <f t="shared" si="29"/>
        <v>0</v>
      </c>
      <c r="Q295" s="684"/>
    </row>
    <row r="296" spans="2:17">
      <c r="B296" s="337"/>
      <c r="C296" s="730">
        <f>IF(D270="","-",+C295+1)</f>
        <v>2033</v>
      </c>
      <c r="D296" s="683">
        <f t="shared" si="30"/>
        <v>13489983.620915037</v>
      </c>
      <c r="E296" s="737">
        <f t="shared" si="31"/>
        <v>430531.39215686277</v>
      </c>
      <c r="F296" s="737">
        <f t="shared" si="24"/>
        <v>13059452.228758173</v>
      </c>
      <c r="G296" s="683">
        <f t="shared" si="25"/>
        <v>13274717.924836606</v>
      </c>
      <c r="H296" s="731">
        <f>+J271*G296+E296</f>
        <v>1831317.1768774088</v>
      </c>
      <c r="I296" s="738">
        <f>+J272*G296+E296</f>
        <v>1831317.1768774088</v>
      </c>
      <c r="J296" s="734">
        <f t="shared" si="26"/>
        <v>0</v>
      </c>
      <c r="K296" s="734"/>
      <c r="L296" s="739"/>
      <c r="M296" s="734">
        <f t="shared" si="27"/>
        <v>0</v>
      </c>
      <c r="N296" s="739"/>
      <c r="O296" s="734">
        <f t="shared" si="28"/>
        <v>0</v>
      </c>
      <c r="P296" s="734">
        <f t="shared" si="29"/>
        <v>0</v>
      </c>
      <c r="Q296" s="684"/>
    </row>
    <row r="297" spans="2:17">
      <c r="B297" s="337"/>
      <c r="C297" s="730">
        <f>IF(D270="","-",+C296+1)</f>
        <v>2034</v>
      </c>
      <c r="D297" s="683">
        <f t="shared" si="30"/>
        <v>13059452.228758173</v>
      </c>
      <c r="E297" s="737">
        <f t="shared" si="31"/>
        <v>430531.39215686277</v>
      </c>
      <c r="F297" s="737">
        <f t="shared" si="24"/>
        <v>12628920.836601309</v>
      </c>
      <c r="G297" s="683">
        <f t="shared" si="25"/>
        <v>12844186.53267974</v>
      </c>
      <c r="H297" s="731">
        <f>+J271*G297+E297</f>
        <v>1785886.2865621476</v>
      </c>
      <c r="I297" s="738">
        <f>+J272*G297+E297</f>
        <v>1785886.2865621476</v>
      </c>
      <c r="J297" s="734">
        <f t="shared" si="26"/>
        <v>0</v>
      </c>
      <c r="K297" s="734"/>
      <c r="L297" s="739"/>
      <c r="M297" s="734">
        <f t="shared" si="27"/>
        <v>0</v>
      </c>
      <c r="N297" s="739"/>
      <c r="O297" s="734">
        <f t="shared" si="28"/>
        <v>0</v>
      </c>
      <c r="P297" s="734">
        <f t="shared" si="29"/>
        <v>0</v>
      </c>
      <c r="Q297" s="684"/>
    </row>
    <row r="298" spans="2:17">
      <c r="B298" s="337"/>
      <c r="C298" s="730">
        <f>IF(D270="","-",+C297+1)</f>
        <v>2035</v>
      </c>
      <c r="D298" s="683">
        <f t="shared" si="30"/>
        <v>12628920.836601309</v>
      </c>
      <c r="E298" s="737">
        <f t="shared" si="31"/>
        <v>430531.39215686277</v>
      </c>
      <c r="F298" s="737">
        <f t="shared" si="24"/>
        <v>12198389.444444446</v>
      </c>
      <c r="G298" s="683">
        <f t="shared" si="25"/>
        <v>12413655.140522879</v>
      </c>
      <c r="H298" s="731">
        <f>+J271*G298+E298</f>
        <v>1740455.3962468868</v>
      </c>
      <c r="I298" s="738">
        <f>+J272*G298+E298</f>
        <v>1740455.3962468868</v>
      </c>
      <c r="J298" s="734">
        <f t="shared" si="26"/>
        <v>0</v>
      </c>
      <c r="K298" s="734"/>
      <c r="L298" s="739"/>
      <c r="M298" s="734">
        <f t="shared" si="27"/>
        <v>0</v>
      </c>
      <c r="N298" s="739"/>
      <c r="O298" s="734">
        <f t="shared" si="28"/>
        <v>0</v>
      </c>
      <c r="P298" s="734">
        <f t="shared" si="29"/>
        <v>0</v>
      </c>
      <c r="Q298" s="684"/>
    </row>
    <row r="299" spans="2:17">
      <c r="B299" s="337"/>
      <c r="C299" s="730">
        <f>IF(D270="","-",+C298+1)</f>
        <v>2036</v>
      </c>
      <c r="D299" s="683">
        <f t="shared" si="30"/>
        <v>12198389.444444446</v>
      </c>
      <c r="E299" s="737">
        <f t="shared" si="31"/>
        <v>430531.39215686277</v>
      </c>
      <c r="F299" s="737">
        <f t="shared" si="24"/>
        <v>11767858.052287582</v>
      </c>
      <c r="G299" s="683">
        <f t="shared" si="25"/>
        <v>11983123.748366013</v>
      </c>
      <c r="H299" s="731">
        <f>+J271*G299+E299</f>
        <v>1695024.5059316256</v>
      </c>
      <c r="I299" s="738">
        <f>+J272*G299+E299</f>
        <v>1695024.5059316256</v>
      </c>
      <c r="J299" s="734">
        <f t="shared" si="26"/>
        <v>0</v>
      </c>
      <c r="K299" s="734"/>
      <c r="L299" s="739"/>
      <c r="M299" s="734">
        <f t="shared" si="27"/>
        <v>0</v>
      </c>
      <c r="N299" s="739"/>
      <c r="O299" s="734">
        <f t="shared" si="28"/>
        <v>0</v>
      </c>
      <c r="P299" s="734">
        <f t="shared" si="29"/>
        <v>0</v>
      </c>
      <c r="Q299" s="684"/>
    </row>
    <row r="300" spans="2:17">
      <c r="B300" s="337"/>
      <c r="C300" s="730">
        <f>IF(D270="","-",+C299+1)</f>
        <v>2037</v>
      </c>
      <c r="D300" s="683">
        <f t="shared" si="30"/>
        <v>11767858.052287582</v>
      </c>
      <c r="E300" s="737">
        <f t="shared" si="31"/>
        <v>430531.39215686277</v>
      </c>
      <c r="F300" s="737">
        <f t="shared" si="24"/>
        <v>11337326.660130719</v>
      </c>
      <c r="G300" s="683">
        <f t="shared" si="25"/>
        <v>11552592.356209151</v>
      </c>
      <c r="H300" s="731">
        <f>+J271*G300+E300</f>
        <v>1649593.6156163644</v>
      </c>
      <c r="I300" s="738">
        <f>+J272*G300+E300</f>
        <v>1649593.6156163644</v>
      </c>
      <c r="J300" s="734">
        <f t="shared" si="26"/>
        <v>0</v>
      </c>
      <c r="K300" s="734"/>
      <c r="L300" s="739"/>
      <c r="M300" s="734">
        <f t="shared" si="27"/>
        <v>0</v>
      </c>
      <c r="N300" s="739"/>
      <c r="O300" s="734">
        <f t="shared" si="28"/>
        <v>0</v>
      </c>
      <c r="P300" s="734">
        <f t="shared" si="29"/>
        <v>0</v>
      </c>
      <c r="Q300" s="684"/>
    </row>
    <row r="301" spans="2:17">
      <c r="B301" s="337"/>
      <c r="C301" s="730">
        <f>IF(D270="","-",+C300+1)</f>
        <v>2038</v>
      </c>
      <c r="D301" s="683">
        <f t="shared" si="30"/>
        <v>11337326.660130719</v>
      </c>
      <c r="E301" s="737">
        <f t="shared" si="31"/>
        <v>430531.39215686277</v>
      </c>
      <c r="F301" s="737">
        <f t="shared" si="24"/>
        <v>10906795.267973855</v>
      </c>
      <c r="G301" s="683">
        <f t="shared" si="25"/>
        <v>11122060.964052286</v>
      </c>
      <c r="H301" s="731">
        <f>+J271*G301+E301</f>
        <v>1604162.7253011032</v>
      </c>
      <c r="I301" s="738">
        <f>+J272*G301+E301</f>
        <v>1604162.7253011032</v>
      </c>
      <c r="J301" s="734">
        <f t="shared" si="26"/>
        <v>0</v>
      </c>
      <c r="K301" s="734"/>
      <c r="L301" s="739"/>
      <c r="M301" s="734">
        <f t="shared" si="27"/>
        <v>0</v>
      </c>
      <c r="N301" s="739"/>
      <c r="O301" s="734">
        <f t="shared" si="28"/>
        <v>0</v>
      </c>
      <c r="P301" s="734">
        <f t="shared" si="29"/>
        <v>0</v>
      </c>
      <c r="Q301" s="684"/>
    </row>
    <row r="302" spans="2:17">
      <c r="B302" s="337"/>
      <c r="C302" s="730">
        <f>IF(D270="","-",+C301+1)</f>
        <v>2039</v>
      </c>
      <c r="D302" s="683">
        <f t="shared" si="30"/>
        <v>10906795.267973855</v>
      </c>
      <c r="E302" s="737">
        <f t="shared" si="31"/>
        <v>430531.39215686277</v>
      </c>
      <c r="F302" s="737">
        <f t="shared" si="24"/>
        <v>10476263.875816992</v>
      </c>
      <c r="G302" s="683">
        <f t="shared" si="25"/>
        <v>10691529.571895424</v>
      </c>
      <c r="H302" s="731">
        <f>+J271*G302+E302</f>
        <v>1558731.8349858425</v>
      </c>
      <c r="I302" s="738">
        <f>+J272*G302+E302</f>
        <v>1558731.8349858425</v>
      </c>
      <c r="J302" s="734">
        <f t="shared" si="26"/>
        <v>0</v>
      </c>
      <c r="K302" s="734"/>
      <c r="L302" s="739"/>
      <c r="M302" s="734">
        <f t="shared" si="27"/>
        <v>0</v>
      </c>
      <c r="N302" s="739"/>
      <c r="O302" s="734">
        <f t="shared" si="28"/>
        <v>0</v>
      </c>
      <c r="P302" s="734">
        <f t="shared" si="29"/>
        <v>0</v>
      </c>
      <c r="Q302" s="684"/>
    </row>
    <row r="303" spans="2:17">
      <c r="B303" s="337"/>
      <c r="C303" s="730">
        <f>IF(D270="","-",+C302+1)</f>
        <v>2040</v>
      </c>
      <c r="D303" s="683">
        <f t="shared" si="30"/>
        <v>10476263.875816992</v>
      </c>
      <c r="E303" s="737">
        <f t="shared" si="31"/>
        <v>430531.39215686277</v>
      </c>
      <c r="F303" s="737">
        <f t="shared" si="24"/>
        <v>10045732.483660128</v>
      </c>
      <c r="G303" s="683">
        <f t="shared" si="25"/>
        <v>10260998.179738559</v>
      </c>
      <c r="H303" s="731">
        <f>+J271*G303+E303</f>
        <v>1513300.9446705813</v>
      </c>
      <c r="I303" s="738">
        <f>+J272*G303+E303</f>
        <v>1513300.9446705813</v>
      </c>
      <c r="J303" s="734">
        <f t="shared" si="26"/>
        <v>0</v>
      </c>
      <c r="K303" s="734"/>
      <c r="L303" s="739"/>
      <c r="M303" s="734">
        <f t="shared" si="27"/>
        <v>0</v>
      </c>
      <c r="N303" s="739"/>
      <c r="O303" s="734">
        <f t="shared" si="28"/>
        <v>0</v>
      </c>
      <c r="P303" s="734">
        <f t="shared" si="29"/>
        <v>0</v>
      </c>
      <c r="Q303" s="684"/>
    </row>
    <row r="304" spans="2:17">
      <c r="B304" s="337"/>
      <c r="C304" s="730">
        <f>IF(D270="","-",+C303+1)</f>
        <v>2041</v>
      </c>
      <c r="D304" s="683">
        <f t="shared" si="30"/>
        <v>10045732.483660128</v>
      </c>
      <c r="E304" s="737">
        <f t="shared" si="31"/>
        <v>430531.39215686277</v>
      </c>
      <c r="F304" s="737">
        <f t="shared" si="24"/>
        <v>9615201.0915032644</v>
      </c>
      <c r="G304" s="683">
        <f t="shared" si="25"/>
        <v>9830466.7875816971</v>
      </c>
      <c r="H304" s="731">
        <f>+J271*G304+E304</f>
        <v>1467870.0543553205</v>
      </c>
      <c r="I304" s="738">
        <f>+J272*G304+E304</f>
        <v>1467870.0543553205</v>
      </c>
      <c r="J304" s="734">
        <f t="shared" si="26"/>
        <v>0</v>
      </c>
      <c r="K304" s="734"/>
      <c r="L304" s="739"/>
      <c r="M304" s="734">
        <f t="shared" si="27"/>
        <v>0</v>
      </c>
      <c r="N304" s="739"/>
      <c r="O304" s="734">
        <f t="shared" si="28"/>
        <v>0</v>
      </c>
      <c r="P304" s="734">
        <f t="shared" si="29"/>
        <v>0</v>
      </c>
      <c r="Q304" s="684"/>
    </row>
    <row r="305" spans="2:17">
      <c r="B305" s="337"/>
      <c r="C305" s="730">
        <f>IF(D270="","-",+C304+1)</f>
        <v>2042</v>
      </c>
      <c r="D305" s="683">
        <f t="shared" si="30"/>
        <v>9615201.0915032644</v>
      </c>
      <c r="E305" s="737">
        <f t="shared" si="31"/>
        <v>430531.39215686277</v>
      </c>
      <c r="F305" s="737">
        <f t="shared" si="24"/>
        <v>9184669.6993464008</v>
      </c>
      <c r="G305" s="683">
        <f t="shared" si="25"/>
        <v>9399935.3954248317</v>
      </c>
      <c r="H305" s="731">
        <f>+J271*G305+E305</f>
        <v>1422439.1640400593</v>
      </c>
      <c r="I305" s="738">
        <f>+J272*G305+E305</f>
        <v>1422439.1640400593</v>
      </c>
      <c r="J305" s="734">
        <f t="shared" si="26"/>
        <v>0</v>
      </c>
      <c r="K305" s="734"/>
      <c r="L305" s="739"/>
      <c r="M305" s="734">
        <f t="shared" si="27"/>
        <v>0</v>
      </c>
      <c r="N305" s="739"/>
      <c r="O305" s="734">
        <f t="shared" si="28"/>
        <v>0</v>
      </c>
      <c r="P305" s="734">
        <f t="shared" si="29"/>
        <v>0</v>
      </c>
      <c r="Q305" s="684"/>
    </row>
    <row r="306" spans="2:17">
      <c r="B306" s="337"/>
      <c r="C306" s="730">
        <f>IF(D270="","-",+C305+1)</f>
        <v>2043</v>
      </c>
      <c r="D306" s="683">
        <f t="shared" si="30"/>
        <v>9184669.6993464008</v>
      </c>
      <c r="E306" s="737">
        <f t="shared" si="31"/>
        <v>430531.39215686277</v>
      </c>
      <c r="F306" s="737">
        <f t="shared" si="24"/>
        <v>8754138.3071895372</v>
      </c>
      <c r="G306" s="683">
        <f t="shared" si="25"/>
        <v>8969404.0032679699</v>
      </c>
      <c r="H306" s="731">
        <f>+J271*G306+E306</f>
        <v>1377008.2737247986</v>
      </c>
      <c r="I306" s="738">
        <f>+J272*G306+E306</f>
        <v>1377008.2737247986</v>
      </c>
      <c r="J306" s="734">
        <f t="shared" si="26"/>
        <v>0</v>
      </c>
      <c r="K306" s="734"/>
      <c r="L306" s="739"/>
      <c r="M306" s="734">
        <f t="shared" si="27"/>
        <v>0</v>
      </c>
      <c r="N306" s="739"/>
      <c r="O306" s="734">
        <f t="shared" si="28"/>
        <v>0</v>
      </c>
      <c r="P306" s="734">
        <f t="shared" si="29"/>
        <v>0</v>
      </c>
      <c r="Q306" s="684"/>
    </row>
    <row r="307" spans="2:17">
      <c r="B307" s="337"/>
      <c r="C307" s="730">
        <f>IF(D270="","-",+C306+1)</f>
        <v>2044</v>
      </c>
      <c r="D307" s="683">
        <f t="shared" si="30"/>
        <v>8754138.3071895372</v>
      </c>
      <c r="E307" s="737">
        <f t="shared" si="31"/>
        <v>430531.39215686277</v>
      </c>
      <c r="F307" s="737">
        <f t="shared" si="24"/>
        <v>8323606.9150326746</v>
      </c>
      <c r="G307" s="683">
        <f t="shared" si="25"/>
        <v>8538872.6111111064</v>
      </c>
      <c r="H307" s="731">
        <f>+J271*G307+E307</f>
        <v>1331577.3834095374</v>
      </c>
      <c r="I307" s="738">
        <f>+J272*G307+E307</f>
        <v>1331577.3834095374</v>
      </c>
      <c r="J307" s="734">
        <f t="shared" si="26"/>
        <v>0</v>
      </c>
      <c r="K307" s="734"/>
      <c r="L307" s="739"/>
      <c r="M307" s="734">
        <f t="shared" si="27"/>
        <v>0</v>
      </c>
      <c r="N307" s="739"/>
      <c r="O307" s="734">
        <f t="shared" si="28"/>
        <v>0</v>
      </c>
      <c r="P307" s="734">
        <f t="shared" si="29"/>
        <v>0</v>
      </c>
      <c r="Q307" s="684"/>
    </row>
    <row r="308" spans="2:17">
      <c r="B308" s="337"/>
      <c r="C308" s="730">
        <f>IF(D270="","-",+C307+1)</f>
        <v>2045</v>
      </c>
      <c r="D308" s="683">
        <f t="shared" si="30"/>
        <v>8323606.9150326746</v>
      </c>
      <c r="E308" s="737">
        <f t="shared" si="31"/>
        <v>430531.39215686277</v>
      </c>
      <c r="F308" s="737">
        <f t="shared" si="24"/>
        <v>7893075.5228758119</v>
      </c>
      <c r="G308" s="683">
        <f t="shared" si="25"/>
        <v>8108341.2189542428</v>
      </c>
      <c r="H308" s="731">
        <f>+J271*G308+E308</f>
        <v>1286146.4930942764</v>
      </c>
      <c r="I308" s="738">
        <f>+J272*G308+E308</f>
        <v>1286146.4930942764</v>
      </c>
      <c r="J308" s="734">
        <f t="shared" si="26"/>
        <v>0</v>
      </c>
      <c r="K308" s="734"/>
      <c r="L308" s="739"/>
      <c r="M308" s="734">
        <f t="shared" si="27"/>
        <v>0</v>
      </c>
      <c r="N308" s="739"/>
      <c r="O308" s="734">
        <f t="shared" si="28"/>
        <v>0</v>
      </c>
      <c r="P308" s="734">
        <f t="shared" si="29"/>
        <v>0</v>
      </c>
      <c r="Q308" s="684"/>
    </row>
    <row r="309" spans="2:17">
      <c r="B309" s="337"/>
      <c r="C309" s="730">
        <f>IF(D270="","-",+C308+1)</f>
        <v>2046</v>
      </c>
      <c r="D309" s="683">
        <f t="shared" si="30"/>
        <v>7893075.5228758119</v>
      </c>
      <c r="E309" s="737">
        <f t="shared" si="31"/>
        <v>430531.39215686277</v>
      </c>
      <c r="F309" s="737">
        <f t="shared" si="24"/>
        <v>7462544.1307189493</v>
      </c>
      <c r="G309" s="683">
        <f t="shared" si="25"/>
        <v>7677809.826797381</v>
      </c>
      <c r="H309" s="731">
        <f>+J271*G309+E309</f>
        <v>1240715.6027790154</v>
      </c>
      <c r="I309" s="738">
        <f>+J272*G309+E309</f>
        <v>1240715.6027790154</v>
      </c>
      <c r="J309" s="734">
        <f t="shared" si="26"/>
        <v>0</v>
      </c>
      <c r="K309" s="734"/>
      <c r="L309" s="739"/>
      <c r="M309" s="734">
        <f t="shared" si="27"/>
        <v>0</v>
      </c>
      <c r="N309" s="739"/>
      <c r="O309" s="734">
        <f t="shared" si="28"/>
        <v>0</v>
      </c>
      <c r="P309" s="734">
        <f t="shared" si="29"/>
        <v>0</v>
      </c>
      <c r="Q309" s="684"/>
    </row>
    <row r="310" spans="2:17">
      <c r="B310" s="337"/>
      <c r="C310" s="730">
        <f>IF(D270="","-",+C309+1)</f>
        <v>2047</v>
      </c>
      <c r="D310" s="683">
        <f t="shared" si="30"/>
        <v>7462544.1307189493</v>
      </c>
      <c r="E310" s="737">
        <f t="shared" si="31"/>
        <v>430531.39215686277</v>
      </c>
      <c r="F310" s="737">
        <f t="shared" si="24"/>
        <v>7032012.7385620866</v>
      </c>
      <c r="G310" s="683">
        <f t="shared" si="25"/>
        <v>7247278.4346405175</v>
      </c>
      <c r="H310" s="731">
        <f>+J271*G310+E310</f>
        <v>1195284.7124637547</v>
      </c>
      <c r="I310" s="738">
        <f>+J272*G310+E310</f>
        <v>1195284.7124637547</v>
      </c>
      <c r="J310" s="734">
        <f t="shared" si="26"/>
        <v>0</v>
      </c>
      <c r="K310" s="734"/>
      <c r="L310" s="739"/>
      <c r="M310" s="734">
        <f t="shared" si="27"/>
        <v>0</v>
      </c>
      <c r="N310" s="739"/>
      <c r="O310" s="734">
        <f t="shared" si="28"/>
        <v>0</v>
      </c>
      <c r="P310" s="734">
        <f t="shared" si="29"/>
        <v>0</v>
      </c>
      <c r="Q310" s="684"/>
    </row>
    <row r="311" spans="2:17">
      <c r="B311" s="337"/>
      <c r="C311" s="730">
        <f>IF(D270="","-",+C310+1)</f>
        <v>2048</v>
      </c>
      <c r="D311" s="683">
        <f t="shared" si="30"/>
        <v>7032012.7385620866</v>
      </c>
      <c r="E311" s="737">
        <f t="shared" si="31"/>
        <v>430531.39215686277</v>
      </c>
      <c r="F311" s="737">
        <f t="shared" si="24"/>
        <v>6601481.3464052239</v>
      </c>
      <c r="G311" s="683">
        <f t="shared" si="25"/>
        <v>6816747.0424836557</v>
      </c>
      <c r="H311" s="731">
        <f>+J271*G311+E311</f>
        <v>1149853.8221484937</v>
      </c>
      <c r="I311" s="738">
        <f>+J272*G311+E311</f>
        <v>1149853.8221484937</v>
      </c>
      <c r="J311" s="734">
        <f t="shared" si="26"/>
        <v>0</v>
      </c>
      <c r="K311" s="734"/>
      <c r="L311" s="739"/>
      <c r="M311" s="734">
        <f t="shared" si="27"/>
        <v>0</v>
      </c>
      <c r="N311" s="739"/>
      <c r="O311" s="734">
        <f t="shared" si="28"/>
        <v>0</v>
      </c>
      <c r="P311" s="734">
        <f t="shared" si="29"/>
        <v>0</v>
      </c>
      <c r="Q311" s="684"/>
    </row>
    <row r="312" spans="2:17">
      <c r="B312" s="337"/>
      <c r="C312" s="730">
        <f>IF(D270="","-",+C311+1)</f>
        <v>2049</v>
      </c>
      <c r="D312" s="683">
        <f t="shared" si="30"/>
        <v>6601481.3464052239</v>
      </c>
      <c r="E312" s="737">
        <f t="shared" si="31"/>
        <v>430531.39215686277</v>
      </c>
      <c r="F312" s="737">
        <f t="shared" si="24"/>
        <v>6170949.9542483613</v>
      </c>
      <c r="G312" s="683">
        <f t="shared" si="25"/>
        <v>6386215.6503267922</v>
      </c>
      <c r="H312" s="731">
        <f>+J271*G312+E312</f>
        <v>1104422.9318332328</v>
      </c>
      <c r="I312" s="738">
        <f>+J272*G312+E312</f>
        <v>1104422.9318332328</v>
      </c>
      <c r="J312" s="734">
        <f t="shared" si="26"/>
        <v>0</v>
      </c>
      <c r="K312" s="734"/>
      <c r="L312" s="739"/>
      <c r="M312" s="734">
        <f t="shared" si="27"/>
        <v>0</v>
      </c>
      <c r="N312" s="739"/>
      <c r="O312" s="734">
        <f t="shared" si="28"/>
        <v>0</v>
      </c>
      <c r="P312" s="734">
        <f t="shared" si="29"/>
        <v>0</v>
      </c>
      <c r="Q312" s="684"/>
    </row>
    <row r="313" spans="2:17">
      <c r="B313" s="337"/>
      <c r="C313" s="730">
        <f>IF(D270="","-",+C312+1)</f>
        <v>2050</v>
      </c>
      <c r="D313" s="683">
        <f t="shared" si="30"/>
        <v>6170949.9542483613</v>
      </c>
      <c r="E313" s="737">
        <f t="shared" si="31"/>
        <v>430531.39215686277</v>
      </c>
      <c r="F313" s="737">
        <f t="shared" si="24"/>
        <v>5740418.5620914986</v>
      </c>
      <c r="G313" s="683">
        <f t="shared" si="25"/>
        <v>5955684.2581699304</v>
      </c>
      <c r="H313" s="731">
        <f>+J271*G313+E313</f>
        <v>1058992.041517972</v>
      </c>
      <c r="I313" s="738">
        <f>+J272*G313+E313</f>
        <v>1058992.041517972</v>
      </c>
      <c r="J313" s="734">
        <f t="shared" si="26"/>
        <v>0</v>
      </c>
      <c r="K313" s="734"/>
      <c r="L313" s="739"/>
      <c r="M313" s="734">
        <f t="shared" si="27"/>
        <v>0</v>
      </c>
      <c r="N313" s="739"/>
      <c r="O313" s="734">
        <f t="shared" si="28"/>
        <v>0</v>
      </c>
      <c r="P313" s="734">
        <f t="shared" si="29"/>
        <v>0</v>
      </c>
      <c r="Q313" s="684"/>
    </row>
    <row r="314" spans="2:17">
      <c r="B314" s="337"/>
      <c r="C314" s="730">
        <f>IF(D270="","-",+C313+1)</f>
        <v>2051</v>
      </c>
      <c r="D314" s="683">
        <f t="shared" si="30"/>
        <v>5740418.5620914986</v>
      </c>
      <c r="E314" s="737">
        <f t="shared" si="31"/>
        <v>430531.39215686277</v>
      </c>
      <c r="F314" s="737">
        <f t="shared" si="24"/>
        <v>5309887.169934636</v>
      </c>
      <c r="G314" s="683">
        <f t="shared" si="25"/>
        <v>5525152.8660130668</v>
      </c>
      <c r="H314" s="731">
        <f>+J271*G314+E314</f>
        <v>1013561.1512027109</v>
      </c>
      <c r="I314" s="738">
        <f>+J272*G314+E314</f>
        <v>1013561.1512027109</v>
      </c>
      <c r="J314" s="734">
        <f t="shared" si="26"/>
        <v>0</v>
      </c>
      <c r="K314" s="734"/>
      <c r="L314" s="739"/>
      <c r="M314" s="734">
        <f t="shared" si="27"/>
        <v>0</v>
      </c>
      <c r="N314" s="739"/>
      <c r="O314" s="734">
        <f t="shared" si="28"/>
        <v>0</v>
      </c>
      <c r="P314" s="734">
        <f t="shared" si="29"/>
        <v>0</v>
      </c>
      <c r="Q314" s="684"/>
    </row>
    <row r="315" spans="2:17">
      <c r="B315" s="337"/>
      <c r="C315" s="730">
        <f>IF(D270="","-",+C314+1)</f>
        <v>2052</v>
      </c>
      <c r="D315" s="683">
        <f t="shared" si="30"/>
        <v>5309887.169934636</v>
      </c>
      <c r="E315" s="737">
        <f t="shared" si="31"/>
        <v>430531.39215686277</v>
      </c>
      <c r="F315" s="737">
        <f t="shared" si="24"/>
        <v>4879355.7777777733</v>
      </c>
      <c r="G315" s="683">
        <f t="shared" si="25"/>
        <v>5094621.4738562051</v>
      </c>
      <c r="H315" s="731">
        <f>+J271*G315+E315</f>
        <v>968130.26088745007</v>
      </c>
      <c r="I315" s="738">
        <f>+J272*G315+E315</f>
        <v>968130.26088745007</v>
      </c>
      <c r="J315" s="734">
        <f t="shared" si="26"/>
        <v>0</v>
      </c>
      <c r="K315" s="734"/>
      <c r="L315" s="739"/>
      <c r="M315" s="734">
        <f t="shared" si="27"/>
        <v>0</v>
      </c>
      <c r="N315" s="739"/>
      <c r="O315" s="734">
        <f t="shared" si="28"/>
        <v>0</v>
      </c>
      <c r="P315" s="734">
        <f t="shared" si="29"/>
        <v>0</v>
      </c>
      <c r="Q315" s="684"/>
    </row>
    <row r="316" spans="2:17">
      <c r="B316" s="337"/>
      <c r="C316" s="730">
        <f>IF(D270="","-",+C315+1)</f>
        <v>2053</v>
      </c>
      <c r="D316" s="683">
        <f t="shared" si="30"/>
        <v>4879355.7777777733</v>
      </c>
      <c r="E316" s="737">
        <f t="shared" si="31"/>
        <v>430531.39215686277</v>
      </c>
      <c r="F316" s="737">
        <f t="shared" si="24"/>
        <v>4448824.3856209107</v>
      </c>
      <c r="G316" s="683">
        <f t="shared" si="25"/>
        <v>4664090.0816993415</v>
      </c>
      <c r="H316" s="731">
        <f>+J271*G316+E316</f>
        <v>922699.3705721891</v>
      </c>
      <c r="I316" s="738">
        <f>+J272*G316+E316</f>
        <v>922699.3705721891</v>
      </c>
      <c r="J316" s="734">
        <f t="shared" si="26"/>
        <v>0</v>
      </c>
      <c r="K316" s="734"/>
      <c r="L316" s="739"/>
      <c r="M316" s="734">
        <f t="shared" si="27"/>
        <v>0</v>
      </c>
      <c r="N316" s="739"/>
      <c r="O316" s="734">
        <f t="shared" si="28"/>
        <v>0</v>
      </c>
      <c r="P316" s="734">
        <f t="shared" si="29"/>
        <v>0</v>
      </c>
      <c r="Q316" s="684"/>
    </row>
    <row r="317" spans="2:17">
      <c r="B317" s="337"/>
      <c r="C317" s="730">
        <f>IF(D270="","-",+C316+1)</f>
        <v>2054</v>
      </c>
      <c r="D317" s="683">
        <f t="shared" si="30"/>
        <v>4448824.3856209107</v>
      </c>
      <c r="E317" s="737">
        <f t="shared" si="31"/>
        <v>430531.39215686277</v>
      </c>
      <c r="F317" s="737">
        <f t="shared" si="24"/>
        <v>4018292.993464048</v>
      </c>
      <c r="G317" s="683">
        <f t="shared" si="25"/>
        <v>4233558.6895424798</v>
      </c>
      <c r="H317" s="731">
        <f>+J271*G317+E317</f>
        <v>877268.48025692813</v>
      </c>
      <c r="I317" s="738">
        <f>+J272*G317+E317</f>
        <v>877268.48025692813</v>
      </c>
      <c r="J317" s="734">
        <f t="shared" si="26"/>
        <v>0</v>
      </c>
      <c r="K317" s="734"/>
      <c r="L317" s="739"/>
      <c r="M317" s="734">
        <f t="shared" si="27"/>
        <v>0</v>
      </c>
      <c r="N317" s="739"/>
      <c r="O317" s="734">
        <f t="shared" si="28"/>
        <v>0</v>
      </c>
      <c r="P317" s="734">
        <f t="shared" si="29"/>
        <v>0</v>
      </c>
      <c r="Q317" s="684"/>
    </row>
    <row r="318" spans="2:17">
      <c r="B318" s="337"/>
      <c r="C318" s="730">
        <f>IF(D270="","-",+C317+1)</f>
        <v>2055</v>
      </c>
      <c r="D318" s="683">
        <f t="shared" si="30"/>
        <v>4018292.993464048</v>
      </c>
      <c r="E318" s="737">
        <f t="shared" si="31"/>
        <v>430531.39215686277</v>
      </c>
      <c r="F318" s="737">
        <f t="shared" si="24"/>
        <v>3587761.6013071854</v>
      </c>
      <c r="G318" s="683">
        <f t="shared" si="25"/>
        <v>3803027.2973856167</v>
      </c>
      <c r="H318" s="731">
        <f>+J271*G318+E318</f>
        <v>831837.58994166716</v>
      </c>
      <c r="I318" s="738">
        <f>+J272*G318+E318</f>
        <v>831837.58994166716</v>
      </c>
      <c r="J318" s="734">
        <f t="shared" si="26"/>
        <v>0</v>
      </c>
      <c r="K318" s="734"/>
      <c r="L318" s="739"/>
      <c r="M318" s="734">
        <f t="shared" si="27"/>
        <v>0</v>
      </c>
      <c r="N318" s="739"/>
      <c r="O318" s="734">
        <f t="shared" si="28"/>
        <v>0</v>
      </c>
      <c r="P318" s="734">
        <f t="shared" si="29"/>
        <v>0</v>
      </c>
      <c r="Q318" s="684"/>
    </row>
    <row r="319" spans="2:17">
      <c r="B319" s="337"/>
      <c r="C319" s="730">
        <f>IF(D270="","-",+C318+1)</f>
        <v>2056</v>
      </c>
      <c r="D319" s="683">
        <f t="shared" si="30"/>
        <v>3587761.6013071854</v>
      </c>
      <c r="E319" s="737">
        <f t="shared" si="31"/>
        <v>430531.39215686277</v>
      </c>
      <c r="F319" s="737">
        <f t="shared" si="24"/>
        <v>3157230.2091503227</v>
      </c>
      <c r="G319" s="683">
        <f t="shared" si="25"/>
        <v>3372495.905228754</v>
      </c>
      <c r="H319" s="731">
        <f>+J271*G319+E319</f>
        <v>786406.69962640631</v>
      </c>
      <c r="I319" s="738">
        <f>+J272*G319+E319</f>
        <v>786406.69962640631</v>
      </c>
      <c r="J319" s="734">
        <f t="shared" si="26"/>
        <v>0</v>
      </c>
      <c r="K319" s="734"/>
      <c r="L319" s="739"/>
      <c r="M319" s="734">
        <f t="shared" si="27"/>
        <v>0</v>
      </c>
      <c r="N319" s="739"/>
      <c r="O319" s="734">
        <f t="shared" si="28"/>
        <v>0</v>
      </c>
      <c r="P319" s="734">
        <f t="shared" si="29"/>
        <v>0</v>
      </c>
      <c r="Q319" s="684"/>
    </row>
    <row r="320" spans="2:17">
      <c r="B320" s="337"/>
      <c r="C320" s="730">
        <f>IF(D270="","-",+C319+1)</f>
        <v>2057</v>
      </c>
      <c r="D320" s="683">
        <f t="shared" si="30"/>
        <v>3157230.2091503227</v>
      </c>
      <c r="E320" s="737">
        <f t="shared" si="31"/>
        <v>430531.39215686277</v>
      </c>
      <c r="F320" s="737">
        <f t="shared" si="24"/>
        <v>2726698.8169934601</v>
      </c>
      <c r="G320" s="683">
        <f t="shared" si="25"/>
        <v>2941964.5130718914</v>
      </c>
      <c r="H320" s="731">
        <f>+J271*G320+E320</f>
        <v>740975.80931114545</v>
      </c>
      <c r="I320" s="738">
        <f>+J272*G320+E320</f>
        <v>740975.80931114545</v>
      </c>
      <c r="J320" s="734">
        <f t="shared" si="26"/>
        <v>0</v>
      </c>
      <c r="K320" s="734"/>
      <c r="L320" s="739"/>
      <c r="M320" s="734">
        <f t="shared" si="27"/>
        <v>0</v>
      </c>
      <c r="N320" s="739"/>
      <c r="O320" s="734">
        <f t="shared" si="28"/>
        <v>0</v>
      </c>
      <c r="P320" s="734">
        <f t="shared" si="29"/>
        <v>0</v>
      </c>
      <c r="Q320" s="684"/>
    </row>
    <row r="321" spans="2:17">
      <c r="B321" s="337"/>
      <c r="C321" s="730">
        <f>IF(D270="","-",+C320+1)</f>
        <v>2058</v>
      </c>
      <c r="D321" s="683">
        <f t="shared" si="30"/>
        <v>2726698.8169934601</v>
      </c>
      <c r="E321" s="737">
        <f t="shared" si="31"/>
        <v>430531.39215686277</v>
      </c>
      <c r="F321" s="737">
        <f t="shared" si="24"/>
        <v>2296167.4248365974</v>
      </c>
      <c r="G321" s="683">
        <f t="shared" si="25"/>
        <v>2511433.1209150287</v>
      </c>
      <c r="H321" s="731">
        <f>+J271*G321+E321</f>
        <v>695544.91899588448</v>
      </c>
      <c r="I321" s="738">
        <f>+J272*G321+E321</f>
        <v>695544.91899588448</v>
      </c>
      <c r="J321" s="734">
        <f t="shared" si="26"/>
        <v>0</v>
      </c>
      <c r="K321" s="734"/>
      <c r="L321" s="739"/>
      <c r="M321" s="734">
        <f t="shared" si="27"/>
        <v>0</v>
      </c>
      <c r="N321" s="739"/>
      <c r="O321" s="734">
        <f t="shared" si="28"/>
        <v>0</v>
      </c>
      <c r="P321" s="734">
        <f t="shared" si="29"/>
        <v>0</v>
      </c>
      <c r="Q321" s="684"/>
    </row>
    <row r="322" spans="2:17">
      <c r="B322" s="337"/>
      <c r="C322" s="730">
        <f>IF(D270="","-",+C321+1)</f>
        <v>2059</v>
      </c>
      <c r="D322" s="683">
        <f t="shared" si="30"/>
        <v>2296167.4248365974</v>
      </c>
      <c r="E322" s="737">
        <f t="shared" si="31"/>
        <v>430531.39215686277</v>
      </c>
      <c r="F322" s="737">
        <f t="shared" si="24"/>
        <v>1865636.0326797348</v>
      </c>
      <c r="G322" s="683">
        <f t="shared" si="25"/>
        <v>2080901.7287581661</v>
      </c>
      <c r="H322" s="731">
        <f>+J271*G322+E322</f>
        <v>650114.02868062351</v>
      </c>
      <c r="I322" s="738">
        <f>+J272*G322+E322</f>
        <v>650114.02868062351</v>
      </c>
      <c r="J322" s="734">
        <f t="shared" si="26"/>
        <v>0</v>
      </c>
      <c r="K322" s="734"/>
      <c r="L322" s="739"/>
      <c r="M322" s="734">
        <f t="shared" si="27"/>
        <v>0</v>
      </c>
      <c r="N322" s="739"/>
      <c r="O322" s="734">
        <f t="shared" si="28"/>
        <v>0</v>
      </c>
      <c r="P322" s="734">
        <f t="shared" si="29"/>
        <v>0</v>
      </c>
      <c r="Q322" s="684"/>
    </row>
    <row r="323" spans="2:17">
      <c r="B323" s="337"/>
      <c r="C323" s="730">
        <f>IF(D270="","-",+C322+1)</f>
        <v>2060</v>
      </c>
      <c r="D323" s="683">
        <f t="shared" si="30"/>
        <v>1865636.0326797348</v>
      </c>
      <c r="E323" s="737">
        <f t="shared" si="31"/>
        <v>430531.39215686277</v>
      </c>
      <c r="F323" s="737">
        <f t="shared" si="24"/>
        <v>1435104.6405228721</v>
      </c>
      <c r="G323" s="683">
        <f t="shared" si="25"/>
        <v>1650370.3366013034</v>
      </c>
      <c r="H323" s="731">
        <f>+J271*G323+E323</f>
        <v>604683.13836536265</v>
      </c>
      <c r="I323" s="738">
        <f>+J272*G323+E323</f>
        <v>604683.13836536265</v>
      </c>
      <c r="J323" s="734">
        <f t="shared" si="26"/>
        <v>0</v>
      </c>
      <c r="K323" s="734"/>
      <c r="L323" s="739"/>
      <c r="M323" s="734">
        <f t="shared" si="27"/>
        <v>0</v>
      </c>
      <c r="N323" s="739"/>
      <c r="O323" s="734">
        <f t="shared" si="28"/>
        <v>0</v>
      </c>
      <c r="P323" s="734">
        <f t="shared" si="29"/>
        <v>0</v>
      </c>
      <c r="Q323" s="684"/>
    </row>
    <row r="324" spans="2:17">
      <c r="B324" s="337"/>
      <c r="C324" s="730">
        <f>IF(D270="","-",+C323+1)</f>
        <v>2061</v>
      </c>
      <c r="D324" s="683">
        <f t="shared" si="30"/>
        <v>1435104.6405228721</v>
      </c>
      <c r="E324" s="737">
        <f t="shared" si="31"/>
        <v>430531.39215686277</v>
      </c>
      <c r="F324" s="737">
        <f t="shared" si="24"/>
        <v>1004573.2483660093</v>
      </c>
      <c r="G324" s="683">
        <f t="shared" si="25"/>
        <v>1219838.9444444408</v>
      </c>
      <c r="H324" s="731">
        <f>+J271*G324+E324</f>
        <v>559252.24805010168</v>
      </c>
      <c r="I324" s="738">
        <f>+J272*G324+E324</f>
        <v>559252.24805010168</v>
      </c>
      <c r="J324" s="734">
        <f t="shared" si="26"/>
        <v>0</v>
      </c>
      <c r="K324" s="734"/>
      <c r="L324" s="739"/>
      <c r="M324" s="734">
        <f t="shared" si="27"/>
        <v>0</v>
      </c>
      <c r="N324" s="739"/>
      <c r="O324" s="734">
        <f t="shared" si="28"/>
        <v>0</v>
      </c>
      <c r="P324" s="734">
        <f t="shared" si="29"/>
        <v>0</v>
      </c>
      <c r="Q324" s="684"/>
    </row>
    <row r="325" spans="2:17">
      <c r="B325" s="337"/>
      <c r="C325" s="730">
        <f>IF(D270="","-",+C324+1)</f>
        <v>2062</v>
      </c>
      <c r="D325" s="683">
        <f t="shared" si="30"/>
        <v>1004573.2483660093</v>
      </c>
      <c r="E325" s="737">
        <f t="shared" si="31"/>
        <v>430531.39215686277</v>
      </c>
      <c r="F325" s="737">
        <f t="shared" si="24"/>
        <v>574041.85620914656</v>
      </c>
      <c r="G325" s="683">
        <f t="shared" si="25"/>
        <v>789307.55228757788</v>
      </c>
      <c r="H325" s="731">
        <f>+J271*G325+E325</f>
        <v>513821.35773484071</v>
      </c>
      <c r="I325" s="738">
        <f>+J272*G325+E325</f>
        <v>513821.35773484071</v>
      </c>
      <c r="J325" s="734">
        <f t="shared" si="26"/>
        <v>0</v>
      </c>
      <c r="K325" s="734"/>
      <c r="L325" s="739"/>
      <c r="M325" s="734">
        <f t="shared" si="27"/>
        <v>0</v>
      </c>
      <c r="N325" s="739"/>
      <c r="O325" s="734">
        <f t="shared" si="28"/>
        <v>0</v>
      </c>
      <c r="P325" s="734">
        <f t="shared" si="29"/>
        <v>0</v>
      </c>
      <c r="Q325" s="684"/>
    </row>
    <row r="326" spans="2:17">
      <c r="B326" s="337"/>
      <c r="C326" s="730">
        <f>IF(D270="","-",+C325+1)</f>
        <v>2063</v>
      </c>
      <c r="D326" s="683">
        <f t="shared" si="30"/>
        <v>574041.85620914656</v>
      </c>
      <c r="E326" s="737">
        <f t="shared" si="31"/>
        <v>430531.39215686277</v>
      </c>
      <c r="F326" s="737">
        <f t="shared" si="24"/>
        <v>143510.46405228379</v>
      </c>
      <c r="G326" s="683">
        <f t="shared" si="25"/>
        <v>358776.16013071517</v>
      </c>
      <c r="H326" s="731">
        <f>+J271*G326+E326</f>
        <v>468390.4674195798</v>
      </c>
      <c r="I326" s="738">
        <f>+J272*G326+E326</f>
        <v>468390.4674195798</v>
      </c>
      <c r="J326" s="734">
        <f t="shared" si="26"/>
        <v>0</v>
      </c>
      <c r="K326" s="734"/>
      <c r="L326" s="739"/>
      <c r="M326" s="734">
        <f t="shared" si="27"/>
        <v>0</v>
      </c>
      <c r="N326" s="739"/>
      <c r="O326" s="734">
        <f t="shared" si="28"/>
        <v>0</v>
      </c>
      <c r="P326" s="734">
        <f t="shared" si="29"/>
        <v>0</v>
      </c>
      <c r="Q326" s="684"/>
    </row>
    <row r="327" spans="2:17">
      <c r="B327" s="337"/>
      <c r="C327" s="730">
        <f>IF(D270="","-",+C326+1)</f>
        <v>2064</v>
      </c>
      <c r="D327" s="683">
        <f t="shared" si="30"/>
        <v>143510.46405228379</v>
      </c>
      <c r="E327" s="737">
        <f t="shared" si="31"/>
        <v>143510.46405228379</v>
      </c>
      <c r="F327" s="737">
        <f t="shared" si="24"/>
        <v>0</v>
      </c>
      <c r="G327" s="683">
        <f t="shared" si="25"/>
        <v>71755.232026141894</v>
      </c>
      <c r="H327" s="731">
        <f>+J271*G327+E327</f>
        <v>151082.27910482709</v>
      </c>
      <c r="I327" s="738">
        <f>+J272*G327+E327</f>
        <v>151082.27910482709</v>
      </c>
      <c r="J327" s="734">
        <f t="shared" si="26"/>
        <v>0</v>
      </c>
      <c r="K327" s="734"/>
      <c r="L327" s="739"/>
      <c r="M327" s="734">
        <f t="shared" si="27"/>
        <v>0</v>
      </c>
      <c r="N327" s="739"/>
      <c r="O327" s="734">
        <f t="shared" si="28"/>
        <v>0</v>
      </c>
      <c r="P327" s="734">
        <f t="shared" si="29"/>
        <v>0</v>
      </c>
      <c r="Q327" s="684"/>
    </row>
    <row r="328" spans="2:17">
      <c r="B328" s="337"/>
      <c r="C328" s="730">
        <f>IF(D270="","-",+C327+1)</f>
        <v>2065</v>
      </c>
      <c r="D328" s="683">
        <f t="shared" si="30"/>
        <v>0</v>
      </c>
      <c r="E328" s="737">
        <f t="shared" si="31"/>
        <v>0</v>
      </c>
      <c r="F328" s="737">
        <f t="shared" si="24"/>
        <v>0</v>
      </c>
      <c r="G328" s="683">
        <f t="shared" si="25"/>
        <v>0</v>
      </c>
      <c r="H328" s="731">
        <f>+J271*G328+E328</f>
        <v>0</v>
      </c>
      <c r="I328" s="738">
        <f>+J272*G328+E328</f>
        <v>0</v>
      </c>
      <c r="J328" s="734">
        <f t="shared" si="26"/>
        <v>0</v>
      </c>
      <c r="K328" s="734"/>
      <c r="L328" s="739"/>
      <c r="M328" s="734">
        <f t="shared" si="27"/>
        <v>0</v>
      </c>
      <c r="N328" s="739"/>
      <c r="O328" s="734">
        <f t="shared" si="28"/>
        <v>0</v>
      </c>
      <c r="P328" s="734">
        <f t="shared" si="29"/>
        <v>0</v>
      </c>
      <c r="Q328" s="684"/>
    </row>
    <row r="329" spans="2:17">
      <c r="B329" s="337"/>
      <c r="C329" s="730">
        <f>IF(D270="","-",+C328+1)</f>
        <v>2066</v>
      </c>
      <c r="D329" s="683">
        <f t="shared" si="30"/>
        <v>0</v>
      </c>
      <c r="E329" s="737">
        <f t="shared" si="31"/>
        <v>0</v>
      </c>
      <c r="F329" s="737">
        <f t="shared" si="24"/>
        <v>0</v>
      </c>
      <c r="G329" s="683">
        <f t="shared" si="25"/>
        <v>0</v>
      </c>
      <c r="H329" s="731">
        <f>+J271*G329+E329</f>
        <v>0</v>
      </c>
      <c r="I329" s="738">
        <f>+J272*G329+E329</f>
        <v>0</v>
      </c>
      <c r="J329" s="734">
        <f t="shared" si="26"/>
        <v>0</v>
      </c>
      <c r="K329" s="734"/>
      <c r="L329" s="739"/>
      <c r="M329" s="734">
        <f t="shared" si="27"/>
        <v>0</v>
      </c>
      <c r="N329" s="739"/>
      <c r="O329" s="734">
        <f t="shared" si="28"/>
        <v>0</v>
      </c>
      <c r="P329" s="734">
        <f t="shared" si="29"/>
        <v>0</v>
      </c>
      <c r="Q329" s="684"/>
    </row>
    <row r="330" spans="2:17">
      <c r="B330" s="337"/>
      <c r="C330" s="730">
        <f>IF(D270="","-",+C329+1)</f>
        <v>2067</v>
      </c>
      <c r="D330" s="683">
        <f t="shared" si="30"/>
        <v>0</v>
      </c>
      <c r="E330" s="737">
        <f t="shared" si="31"/>
        <v>0</v>
      </c>
      <c r="F330" s="737">
        <f t="shared" si="24"/>
        <v>0</v>
      </c>
      <c r="G330" s="683">
        <f t="shared" si="25"/>
        <v>0</v>
      </c>
      <c r="H330" s="731">
        <f>+J271*G330+E330</f>
        <v>0</v>
      </c>
      <c r="I330" s="738">
        <f>+J272*G330+E330</f>
        <v>0</v>
      </c>
      <c r="J330" s="734">
        <f t="shared" si="26"/>
        <v>0</v>
      </c>
      <c r="K330" s="734"/>
      <c r="L330" s="739"/>
      <c r="M330" s="734">
        <f t="shared" si="27"/>
        <v>0</v>
      </c>
      <c r="N330" s="739"/>
      <c r="O330" s="734">
        <f t="shared" si="28"/>
        <v>0</v>
      </c>
      <c r="P330" s="734">
        <f t="shared" si="29"/>
        <v>0</v>
      </c>
      <c r="Q330" s="684"/>
    </row>
    <row r="331" spans="2:17">
      <c r="B331" s="337"/>
      <c r="C331" s="730">
        <f>IF(D270="","-",+C330+1)</f>
        <v>2068</v>
      </c>
      <c r="D331" s="683">
        <f t="shared" si="30"/>
        <v>0</v>
      </c>
      <c r="E331" s="737">
        <f t="shared" si="31"/>
        <v>0</v>
      </c>
      <c r="F331" s="737">
        <f t="shared" si="24"/>
        <v>0</v>
      </c>
      <c r="G331" s="683">
        <f t="shared" si="25"/>
        <v>0</v>
      </c>
      <c r="H331" s="731">
        <f>+J271*G331+E331</f>
        <v>0</v>
      </c>
      <c r="I331" s="738">
        <f>+J272*G331+E331</f>
        <v>0</v>
      </c>
      <c r="J331" s="734">
        <f t="shared" si="26"/>
        <v>0</v>
      </c>
      <c r="K331" s="734"/>
      <c r="L331" s="739"/>
      <c r="M331" s="734">
        <f t="shared" si="27"/>
        <v>0</v>
      </c>
      <c r="N331" s="739"/>
      <c r="O331" s="734">
        <f t="shared" si="28"/>
        <v>0</v>
      </c>
      <c r="P331" s="734">
        <f t="shared" si="29"/>
        <v>0</v>
      </c>
      <c r="Q331" s="684"/>
    </row>
    <row r="332" spans="2:17">
      <c r="B332" s="337"/>
      <c r="C332" s="730">
        <f>IF(D270="","-",+C331+1)</f>
        <v>2069</v>
      </c>
      <c r="D332" s="683">
        <f t="shared" si="30"/>
        <v>0</v>
      </c>
      <c r="E332" s="737">
        <f t="shared" si="31"/>
        <v>0</v>
      </c>
      <c r="F332" s="737">
        <f t="shared" si="24"/>
        <v>0</v>
      </c>
      <c r="G332" s="683">
        <f t="shared" si="25"/>
        <v>0</v>
      </c>
      <c r="H332" s="731">
        <f>+J271*G332+E332</f>
        <v>0</v>
      </c>
      <c r="I332" s="738">
        <f>+J272*G332+E332</f>
        <v>0</v>
      </c>
      <c r="J332" s="734">
        <f t="shared" si="26"/>
        <v>0</v>
      </c>
      <c r="K332" s="734"/>
      <c r="L332" s="739"/>
      <c r="M332" s="734">
        <f t="shared" si="27"/>
        <v>0</v>
      </c>
      <c r="N332" s="739"/>
      <c r="O332" s="734">
        <f t="shared" si="28"/>
        <v>0</v>
      </c>
      <c r="P332" s="734">
        <f t="shared" si="29"/>
        <v>0</v>
      </c>
      <c r="Q332" s="684"/>
    </row>
    <row r="333" spans="2:17">
      <c r="B333" s="337"/>
      <c r="C333" s="730">
        <f>IF(D270="","-",+C332+1)</f>
        <v>2070</v>
      </c>
      <c r="D333" s="683">
        <f t="shared" si="30"/>
        <v>0</v>
      </c>
      <c r="E333" s="737">
        <f t="shared" si="31"/>
        <v>0</v>
      </c>
      <c r="F333" s="737">
        <f t="shared" si="24"/>
        <v>0</v>
      </c>
      <c r="G333" s="683">
        <f t="shared" si="25"/>
        <v>0</v>
      </c>
      <c r="H333" s="731">
        <f>+J271*G333+E333</f>
        <v>0</v>
      </c>
      <c r="I333" s="738">
        <f>+J272*G333+E333</f>
        <v>0</v>
      </c>
      <c r="J333" s="734">
        <f t="shared" si="26"/>
        <v>0</v>
      </c>
      <c r="K333" s="734"/>
      <c r="L333" s="739"/>
      <c r="M333" s="734">
        <f t="shared" si="27"/>
        <v>0</v>
      </c>
      <c r="N333" s="739"/>
      <c r="O333" s="734">
        <f t="shared" si="28"/>
        <v>0</v>
      </c>
      <c r="P333" s="734">
        <f t="shared" si="29"/>
        <v>0</v>
      </c>
      <c r="Q333" s="684"/>
    </row>
    <row r="334" spans="2:17">
      <c r="B334" s="337"/>
      <c r="C334" s="730">
        <f>IF(D270="","-",+C333+1)</f>
        <v>2071</v>
      </c>
      <c r="D334" s="683">
        <f t="shared" si="30"/>
        <v>0</v>
      </c>
      <c r="E334" s="1313">
        <f t="shared" si="31"/>
        <v>0</v>
      </c>
      <c r="F334" s="771">
        <f t="shared" si="24"/>
        <v>0</v>
      </c>
      <c r="G334" s="683">
        <f t="shared" si="25"/>
        <v>0</v>
      </c>
      <c r="H334" s="731">
        <f>+J271*G334+E334</f>
        <v>0</v>
      </c>
      <c r="I334" s="738">
        <f>+J272*G334+E334</f>
        <v>0</v>
      </c>
      <c r="J334" s="734">
        <f t="shared" si="26"/>
        <v>0</v>
      </c>
      <c r="K334" s="734"/>
      <c r="L334" s="739"/>
      <c r="M334" s="734">
        <f t="shared" si="27"/>
        <v>0</v>
      </c>
      <c r="N334" s="739"/>
      <c r="O334" s="734">
        <f t="shared" si="28"/>
        <v>0</v>
      </c>
      <c r="P334" s="734">
        <f t="shared" si="29"/>
        <v>0</v>
      </c>
      <c r="Q334" s="684"/>
    </row>
    <row r="335" spans="2:17" ht="13" thickBot="1">
      <c r="B335" s="337"/>
      <c r="C335" s="741">
        <f>IF(D270="","-",+C334+1)</f>
        <v>2072</v>
      </c>
      <c r="D335" s="742">
        <f t="shared" si="30"/>
        <v>0</v>
      </c>
      <c r="E335" s="743">
        <f t="shared" si="31"/>
        <v>0</v>
      </c>
      <c r="F335" s="743">
        <f t="shared" si="24"/>
        <v>0</v>
      </c>
      <c r="G335" s="742">
        <f t="shared" si="25"/>
        <v>0</v>
      </c>
      <c r="H335" s="744">
        <f>+J271*G335+E335</f>
        <v>0</v>
      </c>
      <c r="I335" s="744">
        <f>+J272*G335+E335</f>
        <v>0</v>
      </c>
      <c r="J335" s="745">
        <f t="shared" si="26"/>
        <v>0</v>
      </c>
      <c r="K335" s="734"/>
      <c r="L335" s="746"/>
      <c r="M335" s="745">
        <f t="shared" si="27"/>
        <v>0</v>
      </c>
      <c r="N335" s="746"/>
      <c r="O335" s="745">
        <f t="shared" si="28"/>
        <v>0</v>
      </c>
      <c r="P335" s="745">
        <f t="shared" si="29"/>
        <v>0</v>
      </c>
      <c r="Q335" s="684"/>
    </row>
    <row r="336" spans="2:17">
      <c r="B336" s="337"/>
      <c r="C336" s="683" t="s">
        <v>289</v>
      </c>
      <c r="D336" s="679"/>
      <c r="E336" s="679">
        <f>SUM(E276:E335)</f>
        <v>21957101</v>
      </c>
      <c r="F336" s="679"/>
      <c r="G336" s="679"/>
      <c r="H336" s="679">
        <f>SUM(H276:H335)</f>
        <v>81812298.990356281</v>
      </c>
      <c r="I336" s="679">
        <f>SUM(I276:I335)</f>
        <v>81812298.990356281</v>
      </c>
      <c r="J336" s="679">
        <f>SUM(J276:J335)</f>
        <v>0</v>
      </c>
      <c r="K336" s="679"/>
      <c r="L336" s="679"/>
      <c r="M336" s="679"/>
      <c r="N336" s="679"/>
      <c r="O336" s="679"/>
      <c r="Q336" s="679"/>
    </row>
    <row r="337" spans="1:17">
      <c r="B337" s="337"/>
      <c r="D337" s="573"/>
      <c r="E337" s="550"/>
      <c r="F337" s="550"/>
      <c r="G337" s="550"/>
      <c r="H337" s="550"/>
      <c r="I337" s="656"/>
      <c r="J337" s="656"/>
      <c r="K337" s="679"/>
      <c r="L337" s="656"/>
      <c r="M337" s="656"/>
      <c r="N337" s="656"/>
      <c r="O337" s="656"/>
      <c r="Q337" s="679"/>
    </row>
    <row r="338" spans="1:17">
      <c r="B338" s="337"/>
      <c r="C338" s="550" t="s">
        <v>597</v>
      </c>
      <c r="D338" s="573"/>
      <c r="E338" s="550"/>
      <c r="F338" s="550"/>
      <c r="G338" s="550"/>
      <c r="H338" s="550"/>
      <c r="I338" s="656"/>
      <c r="J338" s="656"/>
      <c r="K338" s="679"/>
      <c r="L338" s="656"/>
      <c r="M338" s="656"/>
      <c r="N338" s="656"/>
      <c r="O338" s="656"/>
      <c r="Q338" s="679"/>
    </row>
    <row r="339" spans="1:17">
      <c r="B339" s="337"/>
      <c r="D339" s="573"/>
      <c r="E339" s="550"/>
      <c r="F339" s="550"/>
      <c r="G339" s="550"/>
      <c r="H339" s="550"/>
      <c r="I339" s="656"/>
      <c r="J339" s="656"/>
      <c r="K339" s="679"/>
      <c r="L339" s="656"/>
      <c r="M339" s="656"/>
      <c r="N339" s="656"/>
      <c r="O339" s="656"/>
      <c r="Q339" s="679"/>
    </row>
    <row r="340" spans="1:17">
      <c r="B340" s="337"/>
      <c r="C340" s="586" t="s">
        <v>598</v>
      </c>
      <c r="D340" s="683"/>
      <c r="E340" s="683"/>
      <c r="F340" s="683"/>
      <c r="G340" s="683"/>
      <c r="H340" s="679"/>
      <c r="I340" s="679"/>
      <c r="J340" s="684"/>
      <c r="K340" s="684"/>
      <c r="L340" s="684"/>
      <c r="M340" s="684"/>
      <c r="N340" s="684"/>
      <c r="O340" s="684"/>
      <c r="Q340" s="684"/>
    </row>
    <row r="341" spans="1:17">
      <c r="B341" s="337"/>
      <c r="C341" s="586" t="s">
        <v>477</v>
      </c>
      <c r="D341" s="683"/>
      <c r="E341" s="683"/>
      <c r="F341" s="683"/>
      <c r="G341" s="683"/>
      <c r="H341" s="679"/>
      <c r="I341" s="679"/>
      <c r="J341" s="684"/>
      <c r="K341" s="684"/>
      <c r="L341" s="684"/>
      <c r="M341" s="684"/>
      <c r="N341" s="684"/>
      <c r="O341" s="684"/>
      <c r="Q341" s="684"/>
    </row>
    <row r="342" spans="1:17">
      <c r="B342" s="337"/>
      <c r="C342" s="586" t="s">
        <v>290</v>
      </c>
      <c r="D342" s="683"/>
      <c r="E342" s="683"/>
      <c r="F342" s="683"/>
      <c r="G342" s="683"/>
      <c r="H342" s="679"/>
      <c r="I342" s="679"/>
      <c r="J342" s="684"/>
      <c r="K342" s="684"/>
      <c r="L342" s="684"/>
      <c r="M342" s="684"/>
      <c r="N342" s="684"/>
      <c r="O342" s="684"/>
      <c r="Q342" s="684"/>
    </row>
    <row r="343" spans="1:17" ht="13">
      <c r="B343" s="337"/>
      <c r="C343" s="682"/>
      <c r="D343" s="683"/>
      <c r="E343" s="683"/>
      <c r="F343" s="683"/>
      <c r="G343" s="683"/>
      <c r="H343" s="679"/>
      <c r="I343" s="679"/>
      <c r="J343" s="684"/>
      <c r="K343" s="684"/>
      <c r="L343" s="684"/>
      <c r="M343" s="684"/>
      <c r="N343" s="684"/>
      <c r="O343" s="684"/>
      <c r="Q343" s="684"/>
    </row>
    <row r="344" spans="1:17" ht="20">
      <c r="A344" s="685" t="s">
        <v>774</v>
      </c>
      <c r="B344" s="550"/>
      <c r="C344" s="665"/>
      <c r="D344" s="573"/>
      <c r="E344" s="550"/>
      <c r="F344" s="655"/>
      <c r="G344" s="655"/>
      <c r="H344" s="550"/>
      <c r="I344" s="656"/>
      <c r="L344" s="686"/>
      <c r="M344" s="686"/>
      <c r="N344" s="686"/>
      <c r="O344" s="601" t="str">
        <f>"Page "&amp;SUM(Q$3:Q344)&amp;" of "</f>
        <v xml:space="preserve">Page 5 of </v>
      </c>
      <c r="P344" s="602">
        <f>COUNT(Q$8:Q$58123)</f>
        <v>11</v>
      </c>
      <c r="Q344" s="767">
        <v>1</v>
      </c>
    </row>
    <row r="345" spans="1:17">
      <c r="B345" s="550"/>
      <c r="C345" s="550"/>
      <c r="D345" s="573"/>
      <c r="E345" s="550"/>
      <c r="F345" s="550"/>
      <c r="G345" s="550"/>
      <c r="H345" s="550"/>
      <c r="I345" s="656"/>
      <c r="J345" s="550"/>
      <c r="K345" s="598"/>
      <c r="Q345" s="598"/>
    </row>
    <row r="346" spans="1:17" ht="17">
      <c r="B346" s="605" t="s">
        <v>175</v>
      </c>
      <c r="C346" s="687" t="s">
        <v>291</v>
      </c>
      <c r="D346" s="573"/>
      <c r="E346" s="550"/>
      <c r="F346" s="550"/>
      <c r="G346" s="550"/>
      <c r="H346" s="550"/>
      <c r="I346" s="656"/>
      <c r="J346" s="656"/>
      <c r="K346" s="679"/>
      <c r="L346" s="656"/>
      <c r="M346" s="656"/>
      <c r="N346" s="656"/>
      <c r="O346" s="656"/>
      <c r="Q346" s="679"/>
    </row>
    <row r="347" spans="1:17" ht="18">
      <c r="B347" s="605"/>
      <c r="C347" s="604"/>
      <c r="D347" s="573"/>
      <c r="E347" s="550"/>
      <c r="F347" s="550"/>
      <c r="G347" s="550"/>
      <c r="H347" s="550"/>
      <c r="I347" s="656"/>
      <c r="J347" s="656"/>
      <c r="K347" s="679"/>
      <c r="L347" s="656"/>
      <c r="M347" s="656"/>
      <c r="N347" s="656"/>
      <c r="O347" s="656"/>
      <c r="Q347" s="679"/>
    </row>
    <row r="348" spans="1:17" ht="18">
      <c r="B348" s="605"/>
      <c r="C348" s="604" t="s">
        <v>292</v>
      </c>
      <c r="D348" s="573"/>
      <c r="E348" s="550"/>
      <c r="F348" s="550"/>
      <c r="G348" s="550"/>
      <c r="H348" s="550"/>
      <c r="I348" s="656"/>
      <c r="J348" s="656"/>
      <c r="K348" s="679"/>
      <c r="L348" s="656"/>
      <c r="M348" s="656"/>
      <c r="N348" s="656"/>
      <c r="O348" s="656"/>
      <c r="Q348" s="679"/>
    </row>
    <row r="349" spans="1:17" ht="16" thickBot="1">
      <c r="B349" s="337"/>
      <c r="C349" s="403"/>
      <c r="D349" s="573"/>
      <c r="E349" s="550"/>
      <c r="F349" s="550"/>
      <c r="G349" s="550"/>
      <c r="H349" s="550"/>
      <c r="I349" s="656"/>
      <c r="J349" s="656"/>
      <c r="K349" s="679"/>
      <c r="L349" s="656"/>
      <c r="M349" s="656"/>
      <c r="N349" s="656"/>
      <c r="O349" s="656"/>
      <c r="Q349" s="679"/>
    </row>
    <row r="350" spans="1:17" ht="15.5">
      <c r="B350" s="337"/>
      <c r="C350" s="606" t="s">
        <v>293</v>
      </c>
      <c r="D350" s="573"/>
      <c r="E350" s="550"/>
      <c r="F350" s="550"/>
      <c r="G350" s="550"/>
      <c r="H350" s="877"/>
      <c r="I350" s="550" t="s">
        <v>272</v>
      </c>
      <c r="J350" s="550"/>
      <c r="K350" s="598"/>
      <c r="L350" s="768">
        <f>+J356</f>
        <v>2019</v>
      </c>
      <c r="M350" s="750" t="s">
        <v>255</v>
      </c>
      <c r="N350" s="750" t="s">
        <v>256</v>
      </c>
      <c r="O350" s="751" t="s">
        <v>257</v>
      </c>
      <c r="Q350" s="598"/>
    </row>
    <row r="351" spans="1:17" ht="15.5">
      <c r="B351" s="337"/>
      <c r="C351" s="606"/>
      <c r="D351" s="573"/>
      <c r="E351" s="550"/>
      <c r="F351" s="550"/>
      <c r="H351" s="550"/>
      <c r="I351" s="691"/>
      <c r="J351" s="691"/>
      <c r="K351" s="692"/>
      <c r="L351" s="769" t="s">
        <v>456</v>
      </c>
      <c r="M351" s="770">
        <f>VLOOKUP(J356,C363:P422,10)</f>
        <v>125630.51777107318</v>
      </c>
      <c r="N351" s="770">
        <f>VLOOKUP(J356,C363:P422,12)</f>
        <v>125630.51777107318</v>
      </c>
      <c r="O351" s="771">
        <f>+N351-M351</f>
        <v>0</v>
      </c>
      <c r="Q351" s="692"/>
    </row>
    <row r="352" spans="1:17" ht="13">
      <c r="B352" s="337"/>
      <c r="C352" s="694" t="s">
        <v>294</v>
      </c>
      <c r="D352" s="1558" t="s">
        <v>984</v>
      </c>
      <c r="E352" s="1559"/>
      <c r="F352" s="1559"/>
      <c r="G352" s="1559"/>
      <c r="H352" s="1559"/>
      <c r="I352" s="1559"/>
      <c r="J352" s="656"/>
      <c r="K352" s="679"/>
      <c r="L352" s="769" t="s">
        <v>457</v>
      </c>
      <c r="M352" s="772">
        <f>VLOOKUP(J356,C363:P422,6)</f>
        <v>133041.26798491523</v>
      </c>
      <c r="N352" s="772">
        <f>VLOOKUP(J356,C363:P422,7)</f>
        <v>133041.26798491523</v>
      </c>
      <c r="O352" s="773">
        <f>+N352-M352</f>
        <v>0</v>
      </c>
      <c r="Q352" s="679"/>
    </row>
    <row r="353" spans="1:17" ht="13.5" thickBot="1">
      <c r="B353" s="337"/>
      <c r="C353" s="696"/>
      <c r="D353" s="1559"/>
      <c r="E353" s="1559"/>
      <c r="F353" s="1559"/>
      <c r="G353" s="1559"/>
      <c r="H353" s="1559"/>
      <c r="I353" s="1559"/>
      <c r="J353" s="656"/>
      <c r="K353" s="679"/>
      <c r="L353" s="715" t="s">
        <v>458</v>
      </c>
      <c r="M353" s="774">
        <f>+M352-M351</f>
        <v>7410.7502138420532</v>
      </c>
      <c r="N353" s="774">
        <f>+N352-N351</f>
        <v>7410.7502138420532</v>
      </c>
      <c r="O353" s="775">
        <f>+O352-O351</f>
        <v>0</v>
      </c>
      <c r="Q353" s="679"/>
    </row>
    <row r="354" spans="1:17" ht="13.5" thickBot="1">
      <c r="B354" s="337"/>
      <c r="C354" s="698"/>
      <c r="D354" s="699"/>
      <c r="E354" s="697"/>
      <c r="F354" s="697"/>
      <c r="G354" s="697"/>
      <c r="H354" s="697"/>
      <c r="I354" s="697"/>
      <c r="J354" s="697"/>
      <c r="K354" s="700"/>
      <c r="L354" s="697"/>
      <c r="M354" s="697"/>
      <c r="N354" s="697"/>
      <c r="O354" s="697"/>
      <c r="P354" s="586"/>
      <c r="Q354" s="700"/>
    </row>
    <row r="355" spans="1:17" ht="13" thickBot="1">
      <c r="B355" s="337"/>
      <c r="C355" s="701" t="s">
        <v>295</v>
      </c>
      <c r="D355" s="702"/>
      <c r="E355" s="702"/>
      <c r="F355" s="702"/>
      <c r="G355" s="702"/>
      <c r="H355" s="702"/>
      <c r="I355" s="702"/>
      <c r="J355" s="702"/>
      <c r="K355" s="704"/>
      <c r="P355" s="705"/>
      <c r="Q355" s="704"/>
    </row>
    <row r="356" spans="1:17" ht="16">
      <c r="A356" s="1324"/>
      <c r="B356" s="337"/>
      <c r="C356" s="707" t="s">
        <v>273</v>
      </c>
      <c r="D356" s="1282">
        <v>1112263</v>
      </c>
      <c r="E356" s="665" t="s">
        <v>274</v>
      </c>
      <c r="H356" s="708"/>
      <c r="I356" s="708"/>
      <c r="J356" s="709">
        <f>$J$95</f>
        <v>2019</v>
      </c>
      <c r="K356" s="596"/>
      <c r="L356" s="1560" t="s">
        <v>275</v>
      </c>
      <c r="M356" s="1560"/>
      <c r="N356" s="1560"/>
      <c r="O356" s="1560"/>
      <c r="P356" s="598"/>
      <c r="Q356" s="596"/>
    </row>
    <row r="357" spans="1:17">
      <c r="A357" s="1324"/>
      <c r="B357" s="337"/>
      <c r="C357" s="707" t="s">
        <v>276</v>
      </c>
      <c r="D357" s="879">
        <v>2016</v>
      </c>
      <c r="E357" s="707" t="s">
        <v>277</v>
      </c>
      <c r="F357" s="708"/>
      <c r="G357" s="708"/>
      <c r="I357" s="337"/>
      <c r="J357" s="882">
        <v>0</v>
      </c>
      <c r="K357" s="710"/>
      <c r="L357" s="679" t="s">
        <v>476</v>
      </c>
      <c r="P357" s="598"/>
      <c r="Q357" s="710"/>
    </row>
    <row r="358" spans="1:17">
      <c r="A358" s="1324"/>
      <c r="B358" s="337"/>
      <c r="C358" s="707" t="s">
        <v>278</v>
      </c>
      <c r="D358" s="1282">
        <v>10</v>
      </c>
      <c r="E358" s="707" t="s">
        <v>279</v>
      </c>
      <c r="F358" s="708"/>
      <c r="G358" s="708"/>
      <c r="I358" s="337"/>
      <c r="J358" s="711">
        <f>$F$70</f>
        <v>0.10552282863199051</v>
      </c>
      <c r="K358" s="712"/>
      <c r="L358" s="550" t="str">
        <f>"          INPUT TRUE-UP ARR (WITH &amp; WITHOUT INCENTIVES) FROM EACH PRIOR YEAR"</f>
        <v xml:space="preserve">          INPUT TRUE-UP ARR (WITH &amp; WITHOUT INCENTIVES) FROM EACH PRIOR YEAR</v>
      </c>
      <c r="P358" s="598"/>
      <c r="Q358" s="712"/>
    </row>
    <row r="359" spans="1:17">
      <c r="A359" s="1324"/>
      <c r="B359" s="337"/>
      <c r="C359" s="707" t="s">
        <v>280</v>
      </c>
      <c r="D359" s="713">
        <f>H79</f>
        <v>51</v>
      </c>
      <c r="E359" s="707" t="s">
        <v>281</v>
      </c>
      <c r="F359" s="708"/>
      <c r="G359" s="708"/>
      <c r="I359" s="337"/>
      <c r="J359" s="711">
        <f>IF(H350="",J358,$F$69)</f>
        <v>0.10552282863199051</v>
      </c>
      <c r="K359" s="714"/>
      <c r="L359" s="550" t="s">
        <v>363</v>
      </c>
      <c r="M359" s="714"/>
      <c r="N359" s="714"/>
      <c r="O359" s="714"/>
      <c r="P359" s="598"/>
      <c r="Q359" s="714"/>
    </row>
    <row r="360" spans="1:17" ht="13" thickBot="1">
      <c r="A360" s="1324"/>
      <c r="B360" s="337"/>
      <c r="C360" s="707" t="s">
        <v>282</v>
      </c>
      <c r="D360" s="881" t="s">
        <v>979</v>
      </c>
      <c r="E360" s="715" t="s">
        <v>283</v>
      </c>
      <c r="F360" s="716"/>
      <c r="G360" s="716"/>
      <c r="H360" s="717"/>
      <c r="I360" s="717"/>
      <c r="J360" s="695">
        <f>IF(D356=0,0,D356/D359)</f>
        <v>21809.078431372549</v>
      </c>
      <c r="K360" s="679"/>
      <c r="L360" s="679" t="s">
        <v>364</v>
      </c>
      <c r="M360" s="679"/>
      <c r="N360" s="679"/>
      <c r="O360" s="679"/>
      <c r="P360" s="598"/>
      <c r="Q360" s="679"/>
    </row>
    <row r="361" spans="1:17" ht="39">
      <c r="A361" s="537"/>
      <c r="B361" s="537"/>
      <c r="C361" s="718" t="s">
        <v>273</v>
      </c>
      <c r="D361" s="719" t="s">
        <v>284</v>
      </c>
      <c r="E361" s="720" t="s">
        <v>285</v>
      </c>
      <c r="F361" s="719" t="s">
        <v>286</v>
      </c>
      <c r="G361" s="719" t="s">
        <v>459</v>
      </c>
      <c r="H361" s="720" t="s">
        <v>357</v>
      </c>
      <c r="I361" s="721" t="s">
        <v>357</v>
      </c>
      <c r="J361" s="718" t="s">
        <v>296</v>
      </c>
      <c r="K361" s="722"/>
      <c r="L361" s="720" t="s">
        <v>359</v>
      </c>
      <c r="M361" s="720" t="s">
        <v>365</v>
      </c>
      <c r="N361" s="720" t="s">
        <v>359</v>
      </c>
      <c r="O361" s="720" t="s">
        <v>367</v>
      </c>
      <c r="P361" s="720" t="s">
        <v>287</v>
      </c>
      <c r="Q361" s="723"/>
    </row>
    <row r="362" spans="1:17" ht="13.5" thickBot="1">
      <c r="B362" s="337"/>
      <c r="C362" s="724" t="s">
        <v>178</v>
      </c>
      <c r="D362" s="725" t="s">
        <v>179</v>
      </c>
      <c r="E362" s="724" t="s">
        <v>38</v>
      </c>
      <c r="F362" s="725" t="s">
        <v>179</v>
      </c>
      <c r="G362" s="725" t="s">
        <v>179</v>
      </c>
      <c r="H362" s="726" t="s">
        <v>299</v>
      </c>
      <c r="I362" s="727" t="s">
        <v>301</v>
      </c>
      <c r="J362" s="728" t="s">
        <v>390</v>
      </c>
      <c r="K362" s="729"/>
      <c r="L362" s="726" t="s">
        <v>288</v>
      </c>
      <c r="M362" s="726" t="s">
        <v>288</v>
      </c>
      <c r="N362" s="726" t="s">
        <v>468</v>
      </c>
      <c r="O362" s="726" t="s">
        <v>468</v>
      </c>
      <c r="P362" s="726" t="s">
        <v>468</v>
      </c>
      <c r="Q362" s="596"/>
    </row>
    <row r="363" spans="1:17">
      <c r="B363" s="337"/>
      <c r="C363" s="730">
        <f>IF(D357= "","-",D357)</f>
        <v>2016</v>
      </c>
      <c r="D363" s="683">
        <f>+D356</f>
        <v>1112263</v>
      </c>
      <c r="E363" s="731">
        <f>+J360/12*(12-D358)</f>
        <v>3634.8464052287582</v>
      </c>
      <c r="F363" s="776">
        <f t="shared" ref="F363:F422" si="32">+D363-E363</f>
        <v>1108628.1535947712</v>
      </c>
      <c r="G363" s="683">
        <f t="shared" ref="G363:G422" si="33">+(D363+F363)/2</f>
        <v>1110445.5767973857</v>
      </c>
      <c r="H363" s="732">
        <f>+J358*G363+E363</f>
        <v>120812.20471077116</v>
      </c>
      <c r="I363" s="733">
        <f>+J359*G363+E363</f>
        <v>120812.20471077116</v>
      </c>
      <c r="J363" s="734">
        <f t="shared" ref="J363:J422" si="34">+I363-H363</f>
        <v>0</v>
      </c>
      <c r="K363" s="734"/>
      <c r="L363" s="735">
        <v>226163</v>
      </c>
      <c r="M363" s="777">
        <f t="shared" ref="M363:M422" si="35">IF(L363&lt;&gt;0,+H363-L363,0)</f>
        <v>-105350.79528922884</v>
      </c>
      <c r="N363" s="735">
        <v>226163</v>
      </c>
      <c r="O363" s="777">
        <f t="shared" ref="O363:O422" si="36">IF(N363&lt;&gt;0,+I363-N363,0)</f>
        <v>-105350.79528922884</v>
      </c>
      <c r="P363" s="777">
        <f t="shared" ref="P363:P422" si="37">+O363-M363</f>
        <v>0</v>
      </c>
      <c r="Q363" s="684"/>
    </row>
    <row r="364" spans="1:17">
      <c r="B364" s="337"/>
      <c r="C364" s="730">
        <f>IF(D357="","-",+C363+1)</f>
        <v>2017</v>
      </c>
      <c r="D364" s="683">
        <f t="shared" ref="D364:D422" si="38">F363</f>
        <v>1108628.1535947712</v>
      </c>
      <c r="E364" s="737">
        <f>IF(D364&gt;$J$360,$J$360,D364)</f>
        <v>21809.078431372549</v>
      </c>
      <c r="F364" s="737">
        <f t="shared" si="32"/>
        <v>1086819.0751633986</v>
      </c>
      <c r="G364" s="683">
        <f t="shared" si="33"/>
        <v>1097723.6143790849</v>
      </c>
      <c r="H364" s="731">
        <f>+J358*G364+E364</f>
        <v>137643.97927678598</v>
      </c>
      <c r="I364" s="738">
        <f>+J359*G364+E364</f>
        <v>137643.97927678598</v>
      </c>
      <c r="J364" s="734">
        <f t="shared" si="34"/>
        <v>0</v>
      </c>
      <c r="K364" s="734"/>
      <c r="L364" s="739">
        <v>7946</v>
      </c>
      <c r="M364" s="734">
        <f t="shared" si="35"/>
        <v>129697.97927678598</v>
      </c>
      <c r="N364" s="739">
        <v>7946</v>
      </c>
      <c r="O364" s="734">
        <f t="shared" si="36"/>
        <v>129697.97927678598</v>
      </c>
      <c r="P364" s="734">
        <f t="shared" si="37"/>
        <v>0</v>
      </c>
      <c r="Q364" s="684"/>
    </row>
    <row r="365" spans="1:17">
      <c r="B365" s="337"/>
      <c r="C365" s="730">
        <f>IF(D357="","-",+C364+1)</f>
        <v>2018</v>
      </c>
      <c r="D365" s="1464">
        <f t="shared" si="38"/>
        <v>1086819.0751633986</v>
      </c>
      <c r="E365" s="737">
        <f t="shared" ref="E365:E422" si="39">IF(D365&gt;$J$360,$J$360,D365)</f>
        <v>21809.078431372549</v>
      </c>
      <c r="F365" s="737">
        <f t="shared" si="32"/>
        <v>1065009.9967320261</v>
      </c>
      <c r="G365" s="683">
        <f t="shared" si="33"/>
        <v>1075914.5359477124</v>
      </c>
      <c r="H365" s="731">
        <f>+J358*G365+E365</f>
        <v>135342.6236308506</v>
      </c>
      <c r="I365" s="738">
        <f>+J359*G365+E365</f>
        <v>135342.6236308506</v>
      </c>
      <c r="J365" s="734">
        <f t="shared" si="34"/>
        <v>0</v>
      </c>
      <c r="K365" s="734"/>
      <c r="L365" s="739">
        <v>18182</v>
      </c>
      <c r="M365" s="734">
        <f t="shared" si="35"/>
        <v>117160.6236308506</v>
      </c>
      <c r="N365" s="739">
        <v>18182</v>
      </c>
      <c r="O365" s="734">
        <f t="shared" si="36"/>
        <v>117160.6236308506</v>
      </c>
      <c r="P365" s="734">
        <f t="shared" si="37"/>
        <v>0</v>
      </c>
      <c r="Q365" s="684"/>
    </row>
    <row r="366" spans="1:17">
      <c r="B366" s="337"/>
      <c r="C366" s="730">
        <f>IF(D357="","-",+C365+1)</f>
        <v>2019</v>
      </c>
      <c r="D366" s="683">
        <f t="shared" si="38"/>
        <v>1065009.9967320261</v>
      </c>
      <c r="E366" s="737">
        <f t="shared" si="39"/>
        <v>21809.078431372549</v>
      </c>
      <c r="F366" s="737">
        <f t="shared" si="32"/>
        <v>1043200.9183006536</v>
      </c>
      <c r="G366" s="683">
        <f t="shared" si="33"/>
        <v>1054105.4575163398</v>
      </c>
      <c r="H366" s="731">
        <f>+J358*G366+E366</f>
        <v>133041.26798491523</v>
      </c>
      <c r="I366" s="738">
        <f>+J359*G366+E366</f>
        <v>133041.26798491523</v>
      </c>
      <c r="J366" s="734">
        <f t="shared" si="34"/>
        <v>0</v>
      </c>
      <c r="K366" s="734"/>
      <c r="L366" s="739">
        <v>125630.51777107318</v>
      </c>
      <c r="M366" s="734">
        <f t="shared" si="35"/>
        <v>7410.7502138420532</v>
      </c>
      <c r="N366" s="739">
        <v>125630.51777107318</v>
      </c>
      <c r="O366" s="734">
        <f t="shared" si="36"/>
        <v>7410.7502138420532</v>
      </c>
      <c r="P366" s="734">
        <f t="shared" si="37"/>
        <v>0</v>
      </c>
      <c r="Q366" s="684"/>
    </row>
    <row r="367" spans="1:17">
      <c r="B367" s="337"/>
      <c r="C367" s="730">
        <f>IF(D357="","-",+C366+1)</f>
        <v>2020</v>
      </c>
      <c r="D367" s="683">
        <f t="shared" si="38"/>
        <v>1043200.9183006536</v>
      </c>
      <c r="E367" s="737">
        <f t="shared" si="39"/>
        <v>21809.078431372549</v>
      </c>
      <c r="F367" s="737">
        <f t="shared" si="32"/>
        <v>1021391.839869281</v>
      </c>
      <c r="G367" s="683">
        <f t="shared" si="33"/>
        <v>1032296.3790849673</v>
      </c>
      <c r="H367" s="731">
        <f>+J358*G367+E367</f>
        <v>130739.91233897986</v>
      </c>
      <c r="I367" s="738">
        <f>+J359*G367+E367</f>
        <v>130739.91233897986</v>
      </c>
      <c r="J367" s="734">
        <f t="shared" si="34"/>
        <v>0</v>
      </c>
      <c r="K367" s="734"/>
      <c r="L367" s="739"/>
      <c r="M367" s="734">
        <f t="shared" si="35"/>
        <v>0</v>
      </c>
      <c r="N367" s="739"/>
      <c r="O367" s="734">
        <f t="shared" si="36"/>
        <v>0</v>
      </c>
      <c r="P367" s="734">
        <f t="shared" si="37"/>
        <v>0</v>
      </c>
      <c r="Q367" s="684"/>
    </row>
    <row r="368" spans="1:17">
      <c r="B368" s="337"/>
      <c r="C368" s="730">
        <f>IF(D357="","-",+C367+1)</f>
        <v>2021</v>
      </c>
      <c r="D368" s="683">
        <f t="shared" si="38"/>
        <v>1021391.839869281</v>
      </c>
      <c r="E368" s="737">
        <f t="shared" si="39"/>
        <v>21809.078431372549</v>
      </c>
      <c r="F368" s="737">
        <f t="shared" si="32"/>
        <v>999582.76143790851</v>
      </c>
      <c r="G368" s="683">
        <f t="shared" si="33"/>
        <v>1010487.3006535948</v>
      </c>
      <c r="H368" s="731">
        <f>+J358*G368+E368</f>
        <v>128438.55669304451</v>
      </c>
      <c r="I368" s="738">
        <f>+J359*G368+E368</f>
        <v>128438.55669304451</v>
      </c>
      <c r="J368" s="734">
        <f t="shared" si="34"/>
        <v>0</v>
      </c>
      <c r="K368" s="734"/>
      <c r="L368" s="739"/>
      <c r="M368" s="734">
        <f t="shared" si="35"/>
        <v>0</v>
      </c>
      <c r="N368" s="739"/>
      <c r="O368" s="734">
        <f t="shared" si="36"/>
        <v>0</v>
      </c>
      <c r="P368" s="734">
        <f t="shared" si="37"/>
        <v>0</v>
      </c>
      <c r="Q368" s="684"/>
    </row>
    <row r="369" spans="2:17">
      <c r="B369" s="337"/>
      <c r="C369" s="730">
        <f>IF(D357="","-",+C368+1)</f>
        <v>2022</v>
      </c>
      <c r="D369" s="683">
        <f t="shared" si="38"/>
        <v>999582.76143790851</v>
      </c>
      <c r="E369" s="737">
        <f t="shared" si="39"/>
        <v>21809.078431372549</v>
      </c>
      <c r="F369" s="737">
        <f t="shared" si="32"/>
        <v>977773.68300653598</v>
      </c>
      <c r="G369" s="683">
        <f t="shared" si="33"/>
        <v>988678.22222222225</v>
      </c>
      <c r="H369" s="731">
        <f>+J358*G369+E369</f>
        <v>126137.20104710913</v>
      </c>
      <c r="I369" s="738">
        <f>+J359*G369+E369</f>
        <v>126137.20104710913</v>
      </c>
      <c r="J369" s="734">
        <f t="shared" si="34"/>
        <v>0</v>
      </c>
      <c r="K369" s="734"/>
      <c r="L369" s="739"/>
      <c r="M369" s="734">
        <f t="shared" si="35"/>
        <v>0</v>
      </c>
      <c r="N369" s="739"/>
      <c r="O369" s="734">
        <f t="shared" si="36"/>
        <v>0</v>
      </c>
      <c r="P369" s="734">
        <f t="shared" si="37"/>
        <v>0</v>
      </c>
      <c r="Q369" s="684"/>
    </row>
    <row r="370" spans="2:17">
      <c r="B370" s="337"/>
      <c r="C370" s="730">
        <f>IF(D357="","-",+C369+1)</f>
        <v>2023</v>
      </c>
      <c r="D370" s="683">
        <f t="shared" si="38"/>
        <v>977773.68300653598</v>
      </c>
      <c r="E370" s="737">
        <f t="shared" si="39"/>
        <v>21809.078431372549</v>
      </c>
      <c r="F370" s="737">
        <f t="shared" si="32"/>
        <v>955964.60457516345</v>
      </c>
      <c r="G370" s="683">
        <f t="shared" si="33"/>
        <v>966869.14379084972</v>
      </c>
      <c r="H370" s="731">
        <f>+J358*G370+E370</f>
        <v>123835.84540117378</v>
      </c>
      <c r="I370" s="738">
        <f>+J359*G370+E370</f>
        <v>123835.84540117378</v>
      </c>
      <c r="J370" s="734">
        <f t="shared" si="34"/>
        <v>0</v>
      </c>
      <c r="K370" s="734"/>
      <c r="L370" s="739"/>
      <c r="M370" s="734">
        <f t="shared" si="35"/>
        <v>0</v>
      </c>
      <c r="N370" s="739"/>
      <c r="O370" s="734">
        <f t="shared" si="36"/>
        <v>0</v>
      </c>
      <c r="P370" s="734">
        <f t="shared" si="37"/>
        <v>0</v>
      </c>
      <c r="Q370" s="684"/>
    </row>
    <row r="371" spans="2:17">
      <c r="B371" s="337"/>
      <c r="C371" s="730">
        <f>IF(D357="","-",+C370+1)</f>
        <v>2024</v>
      </c>
      <c r="D371" s="683">
        <f t="shared" si="38"/>
        <v>955964.60457516345</v>
      </c>
      <c r="E371" s="737">
        <f t="shared" si="39"/>
        <v>21809.078431372549</v>
      </c>
      <c r="F371" s="737">
        <f t="shared" si="32"/>
        <v>934155.52614379092</v>
      </c>
      <c r="G371" s="683">
        <f t="shared" si="33"/>
        <v>945060.06535947719</v>
      </c>
      <c r="H371" s="731">
        <f>+J358*G371+E371</f>
        <v>121534.48975523841</v>
      </c>
      <c r="I371" s="738">
        <f>+J359*G371+E371</f>
        <v>121534.48975523841</v>
      </c>
      <c r="J371" s="734">
        <f t="shared" si="34"/>
        <v>0</v>
      </c>
      <c r="K371" s="734"/>
      <c r="L371" s="739"/>
      <c r="M371" s="734">
        <f t="shared" si="35"/>
        <v>0</v>
      </c>
      <c r="N371" s="739"/>
      <c r="O371" s="734">
        <f t="shared" si="36"/>
        <v>0</v>
      </c>
      <c r="P371" s="734">
        <f t="shared" si="37"/>
        <v>0</v>
      </c>
      <c r="Q371" s="684"/>
    </row>
    <row r="372" spans="2:17">
      <c r="B372" s="337"/>
      <c r="C372" s="730">
        <f>IF(D357="","-",+C371+1)</f>
        <v>2025</v>
      </c>
      <c r="D372" s="683">
        <f t="shared" si="38"/>
        <v>934155.52614379092</v>
      </c>
      <c r="E372" s="737">
        <f t="shared" si="39"/>
        <v>21809.078431372549</v>
      </c>
      <c r="F372" s="737">
        <f t="shared" si="32"/>
        <v>912346.44771241839</v>
      </c>
      <c r="G372" s="683">
        <f t="shared" si="33"/>
        <v>923250.98692810466</v>
      </c>
      <c r="H372" s="731">
        <f>+J358*G372+E372</f>
        <v>119233.13410930305</v>
      </c>
      <c r="I372" s="738">
        <f>+J359*G372+E372</f>
        <v>119233.13410930305</v>
      </c>
      <c r="J372" s="734">
        <f t="shared" si="34"/>
        <v>0</v>
      </c>
      <c r="K372" s="734"/>
      <c r="L372" s="739"/>
      <c r="M372" s="734">
        <f t="shared" si="35"/>
        <v>0</v>
      </c>
      <c r="N372" s="739"/>
      <c r="O372" s="734">
        <f t="shared" si="36"/>
        <v>0</v>
      </c>
      <c r="P372" s="734">
        <f t="shared" si="37"/>
        <v>0</v>
      </c>
      <c r="Q372" s="684"/>
    </row>
    <row r="373" spans="2:17">
      <c r="B373" s="337"/>
      <c r="C373" s="730">
        <f>IF(D357="","-",+C372+1)</f>
        <v>2026</v>
      </c>
      <c r="D373" s="683">
        <f t="shared" si="38"/>
        <v>912346.44771241839</v>
      </c>
      <c r="E373" s="737">
        <f t="shared" si="39"/>
        <v>21809.078431372549</v>
      </c>
      <c r="F373" s="737">
        <f t="shared" si="32"/>
        <v>890537.36928104586</v>
      </c>
      <c r="G373" s="683">
        <f t="shared" si="33"/>
        <v>901441.90849673213</v>
      </c>
      <c r="H373" s="731">
        <f>+J358*G373+E373</f>
        <v>116931.77846336768</v>
      </c>
      <c r="I373" s="738">
        <f>+J359*G373+E373</f>
        <v>116931.77846336768</v>
      </c>
      <c r="J373" s="734">
        <f t="shared" si="34"/>
        <v>0</v>
      </c>
      <c r="K373" s="734"/>
      <c r="L373" s="739"/>
      <c r="M373" s="734">
        <f t="shared" si="35"/>
        <v>0</v>
      </c>
      <c r="N373" s="739"/>
      <c r="O373" s="734">
        <f t="shared" si="36"/>
        <v>0</v>
      </c>
      <c r="P373" s="734">
        <f t="shared" si="37"/>
        <v>0</v>
      </c>
      <c r="Q373" s="684"/>
    </row>
    <row r="374" spans="2:17">
      <c r="B374" s="337"/>
      <c r="C374" s="730">
        <f>IF(D357="","-",+C373+1)</f>
        <v>2027</v>
      </c>
      <c r="D374" s="683">
        <f t="shared" si="38"/>
        <v>890537.36928104586</v>
      </c>
      <c r="E374" s="737">
        <f t="shared" si="39"/>
        <v>21809.078431372549</v>
      </c>
      <c r="F374" s="737">
        <f t="shared" si="32"/>
        <v>868728.29084967333</v>
      </c>
      <c r="G374" s="683">
        <f t="shared" si="33"/>
        <v>879632.83006535959</v>
      </c>
      <c r="H374" s="731">
        <f>+J358*G374+E374</f>
        <v>114630.42281743232</v>
      </c>
      <c r="I374" s="738">
        <f>+J359*G374+E374</f>
        <v>114630.42281743232</v>
      </c>
      <c r="J374" s="734">
        <f t="shared" si="34"/>
        <v>0</v>
      </c>
      <c r="K374" s="734"/>
      <c r="L374" s="739"/>
      <c r="M374" s="734">
        <f t="shared" si="35"/>
        <v>0</v>
      </c>
      <c r="N374" s="739"/>
      <c r="O374" s="734">
        <f t="shared" si="36"/>
        <v>0</v>
      </c>
      <c r="P374" s="734">
        <f t="shared" si="37"/>
        <v>0</v>
      </c>
      <c r="Q374" s="684"/>
    </row>
    <row r="375" spans="2:17">
      <c r="B375" s="337"/>
      <c r="C375" s="730">
        <f>IF(D357="","-",+C374+1)</f>
        <v>2028</v>
      </c>
      <c r="D375" s="683">
        <f t="shared" si="38"/>
        <v>868728.29084967333</v>
      </c>
      <c r="E375" s="737">
        <f t="shared" si="39"/>
        <v>21809.078431372549</v>
      </c>
      <c r="F375" s="737">
        <f t="shared" si="32"/>
        <v>846919.2124183008</v>
      </c>
      <c r="G375" s="683">
        <f t="shared" si="33"/>
        <v>857823.75163398706</v>
      </c>
      <c r="H375" s="731">
        <f>+J358*G375+E375</f>
        <v>112329.06717149695</v>
      </c>
      <c r="I375" s="738">
        <f>+J359*G375+E375</f>
        <v>112329.06717149695</v>
      </c>
      <c r="J375" s="734">
        <f t="shared" si="34"/>
        <v>0</v>
      </c>
      <c r="K375" s="734"/>
      <c r="L375" s="739"/>
      <c r="M375" s="734">
        <f t="shared" si="35"/>
        <v>0</v>
      </c>
      <c r="N375" s="739"/>
      <c r="O375" s="734">
        <f t="shared" si="36"/>
        <v>0</v>
      </c>
      <c r="P375" s="734">
        <f t="shared" si="37"/>
        <v>0</v>
      </c>
      <c r="Q375" s="684"/>
    </row>
    <row r="376" spans="2:17">
      <c r="B376" s="337"/>
      <c r="C376" s="730">
        <f>IF(D357="","-",+C375+1)</f>
        <v>2029</v>
      </c>
      <c r="D376" s="683">
        <f t="shared" si="38"/>
        <v>846919.2124183008</v>
      </c>
      <c r="E376" s="737">
        <f t="shared" si="39"/>
        <v>21809.078431372549</v>
      </c>
      <c r="F376" s="737">
        <f t="shared" si="32"/>
        <v>825110.13398692827</v>
      </c>
      <c r="G376" s="683">
        <f t="shared" si="33"/>
        <v>836014.67320261453</v>
      </c>
      <c r="H376" s="731">
        <f>+J358*G376+E376</f>
        <v>110027.71152556159</v>
      </c>
      <c r="I376" s="738">
        <f>+J359*G376+E376</f>
        <v>110027.71152556159</v>
      </c>
      <c r="J376" s="734">
        <f t="shared" si="34"/>
        <v>0</v>
      </c>
      <c r="K376" s="734"/>
      <c r="L376" s="739"/>
      <c r="M376" s="734">
        <f t="shared" si="35"/>
        <v>0</v>
      </c>
      <c r="N376" s="739"/>
      <c r="O376" s="734">
        <f t="shared" si="36"/>
        <v>0</v>
      </c>
      <c r="P376" s="734">
        <f t="shared" si="37"/>
        <v>0</v>
      </c>
      <c r="Q376" s="684"/>
    </row>
    <row r="377" spans="2:17">
      <c r="B377" s="337"/>
      <c r="C377" s="730">
        <f>IF(D357="","-",+C376+1)</f>
        <v>2030</v>
      </c>
      <c r="D377" s="683">
        <f t="shared" si="38"/>
        <v>825110.13398692827</v>
      </c>
      <c r="E377" s="737">
        <f t="shared" si="39"/>
        <v>21809.078431372549</v>
      </c>
      <c r="F377" s="737">
        <f t="shared" si="32"/>
        <v>803301.05555555574</v>
      </c>
      <c r="G377" s="683">
        <f t="shared" si="33"/>
        <v>814205.594771242</v>
      </c>
      <c r="H377" s="731">
        <f>+J358*G377+E377</f>
        <v>107726.35587962622</v>
      </c>
      <c r="I377" s="738">
        <f>+J359*G377+E377</f>
        <v>107726.35587962622</v>
      </c>
      <c r="J377" s="734">
        <f t="shared" si="34"/>
        <v>0</v>
      </c>
      <c r="K377" s="734"/>
      <c r="L377" s="739"/>
      <c r="M377" s="734">
        <f t="shared" si="35"/>
        <v>0</v>
      </c>
      <c r="N377" s="739"/>
      <c r="O377" s="734">
        <f t="shared" si="36"/>
        <v>0</v>
      </c>
      <c r="P377" s="734">
        <f t="shared" si="37"/>
        <v>0</v>
      </c>
      <c r="Q377" s="684"/>
    </row>
    <row r="378" spans="2:17">
      <c r="B378" s="337"/>
      <c r="C378" s="730">
        <f>IF(D357="","-",+C377+1)</f>
        <v>2031</v>
      </c>
      <c r="D378" s="683">
        <f t="shared" si="38"/>
        <v>803301.05555555574</v>
      </c>
      <c r="E378" s="737">
        <f t="shared" si="39"/>
        <v>21809.078431372549</v>
      </c>
      <c r="F378" s="737">
        <f t="shared" si="32"/>
        <v>781491.97712418321</v>
      </c>
      <c r="G378" s="683">
        <f t="shared" si="33"/>
        <v>792396.51633986947</v>
      </c>
      <c r="H378" s="731">
        <f>+J358*G378+E378</f>
        <v>105425.00023369087</v>
      </c>
      <c r="I378" s="738">
        <f>+J359*G378+E378</f>
        <v>105425.00023369087</v>
      </c>
      <c r="J378" s="734">
        <f t="shared" si="34"/>
        <v>0</v>
      </c>
      <c r="K378" s="734"/>
      <c r="L378" s="739"/>
      <c r="M378" s="734">
        <f t="shared" si="35"/>
        <v>0</v>
      </c>
      <c r="N378" s="739"/>
      <c r="O378" s="734">
        <f t="shared" si="36"/>
        <v>0</v>
      </c>
      <c r="P378" s="734">
        <f t="shared" si="37"/>
        <v>0</v>
      </c>
      <c r="Q378" s="684"/>
    </row>
    <row r="379" spans="2:17">
      <c r="B379" s="337"/>
      <c r="C379" s="730">
        <f>IF(D357="","-",+C378+1)</f>
        <v>2032</v>
      </c>
      <c r="D379" s="683">
        <f t="shared" si="38"/>
        <v>781491.97712418321</v>
      </c>
      <c r="E379" s="737">
        <f t="shared" si="39"/>
        <v>21809.078431372549</v>
      </c>
      <c r="F379" s="737">
        <f t="shared" si="32"/>
        <v>759682.89869281068</v>
      </c>
      <c r="G379" s="683">
        <f t="shared" si="33"/>
        <v>770587.43790849694</v>
      </c>
      <c r="H379" s="731">
        <f>+J358*G379+E379</f>
        <v>103123.64458775549</v>
      </c>
      <c r="I379" s="738">
        <f>+J359*G379+E379</f>
        <v>103123.64458775549</v>
      </c>
      <c r="J379" s="734">
        <f t="shared" si="34"/>
        <v>0</v>
      </c>
      <c r="K379" s="734"/>
      <c r="L379" s="739"/>
      <c r="M379" s="734">
        <f t="shared" si="35"/>
        <v>0</v>
      </c>
      <c r="N379" s="739"/>
      <c r="O379" s="734">
        <f t="shared" si="36"/>
        <v>0</v>
      </c>
      <c r="P379" s="734">
        <f t="shared" si="37"/>
        <v>0</v>
      </c>
      <c r="Q379" s="684"/>
    </row>
    <row r="380" spans="2:17">
      <c r="B380" s="337"/>
      <c r="C380" s="730">
        <f>IF(D357="","-",+C379+1)</f>
        <v>2033</v>
      </c>
      <c r="D380" s="683">
        <f t="shared" si="38"/>
        <v>759682.89869281068</v>
      </c>
      <c r="E380" s="737">
        <f t="shared" si="39"/>
        <v>21809.078431372549</v>
      </c>
      <c r="F380" s="737">
        <f t="shared" si="32"/>
        <v>737873.82026143814</v>
      </c>
      <c r="G380" s="683">
        <f t="shared" si="33"/>
        <v>748778.35947712441</v>
      </c>
      <c r="H380" s="731">
        <f>+J358*G380+E380</f>
        <v>100822.28894182014</v>
      </c>
      <c r="I380" s="738">
        <f>+J359*G380+E380</f>
        <v>100822.28894182014</v>
      </c>
      <c r="J380" s="734">
        <f t="shared" si="34"/>
        <v>0</v>
      </c>
      <c r="K380" s="734"/>
      <c r="L380" s="739"/>
      <c r="M380" s="734">
        <f t="shared" si="35"/>
        <v>0</v>
      </c>
      <c r="N380" s="739"/>
      <c r="O380" s="734">
        <f t="shared" si="36"/>
        <v>0</v>
      </c>
      <c r="P380" s="734">
        <f t="shared" si="37"/>
        <v>0</v>
      </c>
      <c r="Q380" s="684"/>
    </row>
    <row r="381" spans="2:17">
      <c r="B381" s="337"/>
      <c r="C381" s="730">
        <f>IF(D357="","-",+C380+1)</f>
        <v>2034</v>
      </c>
      <c r="D381" s="683">
        <f t="shared" si="38"/>
        <v>737873.82026143814</v>
      </c>
      <c r="E381" s="737">
        <f t="shared" si="39"/>
        <v>21809.078431372549</v>
      </c>
      <c r="F381" s="737">
        <f t="shared" si="32"/>
        <v>716064.74183006561</v>
      </c>
      <c r="G381" s="683">
        <f t="shared" si="33"/>
        <v>726969.28104575188</v>
      </c>
      <c r="H381" s="731">
        <f>+J358*G381+E381</f>
        <v>98520.933295884766</v>
      </c>
      <c r="I381" s="738">
        <f>+J359*G381+E381</f>
        <v>98520.933295884766</v>
      </c>
      <c r="J381" s="734">
        <f t="shared" si="34"/>
        <v>0</v>
      </c>
      <c r="K381" s="734"/>
      <c r="L381" s="739"/>
      <c r="M381" s="734">
        <f t="shared" si="35"/>
        <v>0</v>
      </c>
      <c r="N381" s="739"/>
      <c r="O381" s="734">
        <f t="shared" si="36"/>
        <v>0</v>
      </c>
      <c r="P381" s="734">
        <f t="shared" si="37"/>
        <v>0</v>
      </c>
      <c r="Q381" s="684"/>
    </row>
    <row r="382" spans="2:17">
      <c r="B382" s="337"/>
      <c r="C382" s="730">
        <f>IF(D357="","-",+C381+1)</f>
        <v>2035</v>
      </c>
      <c r="D382" s="683">
        <f t="shared" si="38"/>
        <v>716064.74183006561</v>
      </c>
      <c r="E382" s="737">
        <f t="shared" si="39"/>
        <v>21809.078431372549</v>
      </c>
      <c r="F382" s="737">
        <f t="shared" si="32"/>
        <v>694255.66339869308</v>
      </c>
      <c r="G382" s="683">
        <f t="shared" si="33"/>
        <v>705160.20261437935</v>
      </c>
      <c r="H382" s="731">
        <f>+J358*G382+E382</f>
        <v>96219.57764994941</v>
      </c>
      <c r="I382" s="738">
        <f>+J359*G382+E382</f>
        <v>96219.57764994941</v>
      </c>
      <c r="J382" s="734">
        <f t="shared" si="34"/>
        <v>0</v>
      </c>
      <c r="K382" s="734"/>
      <c r="L382" s="739"/>
      <c r="M382" s="734">
        <f t="shared" si="35"/>
        <v>0</v>
      </c>
      <c r="N382" s="739"/>
      <c r="O382" s="734">
        <f t="shared" si="36"/>
        <v>0</v>
      </c>
      <c r="P382" s="734">
        <f t="shared" si="37"/>
        <v>0</v>
      </c>
      <c r="Q382" s="684"/>
    </row>
    <row r="383" spans="2:17">
      <c r="B383" s="337"/>
      <c r="C383" s="730">
        <f>IF(D357="","-",+C382+1)</f>
        <v>2036</v>
      </c>
      <c r="D383" s="683">
        <f t="shared" si="38"/>
        <v>694255.66339869308</v>
      </c>
      <c r="E383" s="737">
        <f t="shared" si="39"/>
        <v>21809.078431372549</v>
      </c>
      <c r="F383" s="737">
        <f t="shared" si="32"/>
        <v>672446.58496732055</v>
      </c>
      <c r="G383" s="683">
        <f t="shared" si="33"/>
        <v>683351.12418300682</v>
      </c>
      <c r="H383" s="731">
        <f>+J358*G383+E383</f>
        <v>93918.222004014038</v>
      </c>
      <c r="I383" s="738">
        <f>+J359*G383+E383</f>
        <v>93918.222004014038</v>
      </c>
      <c r="J383" s="734">
        <f t="shared" si="34"/>
        <v>0</v>
      </c>
      <c r="K383" s="734"/>
      <c r="L383" s="739"/>
      <c r="M383" s="734">
        <f t="shared" si="35"/>
        <v>0</v>
      </c>
      <c r="N383" s="739"/>
      <c r="O383" s="734">
        <f t="shared" si="36"/>
        <v>0</v>
      </c>
      <c r="P383" s="734">
        <f t="shared" si="37"/>
        <v>0</v>
      </c>
      <c r="Q383" s="684"/>
    </row>
    <row r="384" spans="2:17">
      <c r="B384" s="337"/>
      <c r="C384" s="730">
        <f>IF(D357="","-",+C383+1)</f>
        <v>2037</v>
      </c>
      <c r="D384" s="683">
        <f t="shared" si="38"/>
        <v>672446.58496732055</v>
      </c>
      <c r="E384" s="737">
        <f t="shared" si="39"/>
        <v>21809.078431372549</v>
      </c>
      <c r="F384" s="737">
        <f t="shared" si="32"/>
        <v>650637.50653594802</v>
      </c>
      <c r="G384" s="683">
        <f t="shared" si="33"/>
        <v>661542.04575163429</v>
      </c>
      <c r="H384" s="731">
        <f>+J358*G384+E384</f>
        <v>91616.866358078682</v>
      </c>
      <c r="I384" s="738">
        <f>+J359*G384+E384</f>
        <v>91616.866358078682</v>
      </c>
      <c r="J384" s="734">
        <f t="shared" si="34"/>
        <v>0</v>
      </c>
      <c r="K384" s="734"/>
      <c r="L384" s="739"/>
      <c r="M384" s="734">
        <f t="shared" si="35"/>
        <v>0</v>
      </c>
      <c r="N384" s="739"/>
      <c r="O384" s="734">
        <f t="shared" si="36"/>
        <v>0</v>
      </c>
      <c r="P384" s="734">
        <f t="shared" si="37"/>
        <v>0</v>
      </c>
      <c r="Q384" s="684"/>
    </row>
    <row r="385" spans="2:17">
      <c r="B385" s="337"/>
      <c r="C385" s="730">
        <f>IF(D357="","-",+C384+1)</f>
        <v>2038</v>
      </c>
      <c r="D385" s="683">
        <f t="shared" si="38"/>
        <v>650637.50653594802</v>
      </c>
      <c r="E385" s="737">
        <f t="shared" si="39"/>
        <v>21809.078431372549</v>
      </c>
      <c r="F385" s="737">
        <f t="shared" si="32"/>
        <v>628828.42810457549</v>
      </c>
      <c r="G385" s="683">
        <f t="shared" si="33"/>
        <v>639732.96732026176</v>
      </c>
      <c r="H385" s="731">
        <f>+J358*G385+E385</f>
        <v>89315.51071214331</v>
      </c>
      <c r="I385" s="738">
        <f>+J359*G385+E385</f>
        <v>89315.51071214331</v>
      </c>
      <c r="J385" s="734">
        <f t="shared" si="34"/>
        <v>0</v>
      </c>
      <c r="K385" s="734"/>
      <c r="L385" s="739"/>
      <c r="M385" s="734">
        <f t="shared" si="35"/>
        <v>0</v>
      </c>
      <c r="N385" s="739"/>
      <c r="O385" s="734">
        <f t="shared" si="36"/>
        <v>0</v>
      </c>
      <c r="P385" s="734">
        <f t="shared" si="37"/>
        <v>0</v>
      </c>
      <c r="Q385" s="684"/>
    </row>
    <row r="386" spans="2:17">
      <c r="B386" s="337"/>
      <c r="C386" s="730">
        <f>IF(D357="","-",+C385+1)</f>
        <v>2039</v>
      </c>
      <c r="D386" s="683">
        <f t="shared" si="38"/>
        <v>628828.42810457549</v>
      </c>
      <c r="E386" s="737">
        <f t="shared" si="39"/>
        <v>21809.078431372549</v>
      </c>
      <c r="F386" s="737">
        <f t="shared" si="32"/>
        <v>607019.34967320296</v>
      </c>
      <c r="G386" s="683">
        <f t="shared" si="33"/>
        <v>617923.88888888923</v>
      </c>
      <c r="H386" s="731">
        <f>+J358*G386+E386</f>
        <v>87014.155066207953</v>
      </c>
      <c r="I386" s="738">
        <f>+J359*G386+E386</f>
        <v>87014.155066207953</v>
      </c>
      <c r="J386" s="734">
        <f t="shared" si="34"/>
        <v>0</v>
      </c>
      <c r="K386" s="734"/>
      <c r="L386" s="739"/>
      <c r="M386" s="734">
        <f t="shared" si="35"/>
        <v>0</v>
      </c>
      <c r="N386" s="739"/>
      <c r="O386" s="734">
        <f t="shared" si="36"/>
        <v>0</v>
      </c>
      <c r="P386" s="734">
        <f t="shared" si="37"/>
        <v>0</v>
      </c>
      <c r="Q386" s="684"/>
    </row>
    <row r="387" spans="2:17">
      <c r="B387" s="337"/>
      <c r="C387" s="730">
        <f>IF(D357="","-",+C386+1)</f>
        <v>2040</v>
      </c>
      <c r="D387" s="683">
        <f t="shared" si="38"/>
        <v>607019.34967320296</v>
      </c>
      <c r="E387" s="737">
        <f t="shared" si="39"/>
        <v>21809.078431372549</v>
      </c>
      <c r="F387" s="737">
        <f t="shared" si="32"/>
        <v>585210.27124183043</v>
      </c>
      <c r="G387" s="683">
        <f t="shared" si="33"/>
        <v>596114.81045751669</v>
      </c>
      <c r="H387" s="731">
        <f>+J358*G387+E387</f>
        <v>84712.799420272597</v>
      </c>
      <c r="I387" s="738">
        <f>+J359*G387+E387</f>
        <v>84712.799420272597</v>
      </c>
      <c r="J387" s="734">
        <f t="shared" si="34"/>
        <v>0</v>
      </c>
      <c r="K387" s="734"/>
      <c r="L387" s="739"/>
      <c r="M387" s="734">
        <f t="shared" si="35"/>
        <v>0</v>
      </c>
      <c r="N387" s="739"/>
      <c r="O387" s="734">
        <f t="shared" si="36"/>
        <v>0</v>
      </c>
      <c r="P387" s="734">
        <f t="shared" si="37"/>
        <v>0</v>
      </c>
      <c r="Q387" s="684"/>
    </row>
    <row r="388" spans="2:17">
      <c r="B388" s="337"/>
      <c r="C388" s="730">
        <f>IF(D357="","-",+C387+1)</f>
        <v>2041</v>
      </c>
      <c r="D388" s="683">
        <f t="shared" si="38"/>
        <v>585210.27124183043</v>
      </c>
      <c r="E388" s="737">
        <f t="shared" si="39"/>
        <v>21809.078431372549</v>
      </c>
      <c r="F388" s="737">
        <f t="shared" si="32"/>
        <v>563401.1928104579</v>
      </c>
      <c r="G388" s="683">
        <f t="shared" si="33"/>
        <v>574305.73202614416</v>
      </c>
      <c r="H388" s="731">
        <f>+J358*G388+E388</f>
        <v>82411.443774337225</v>
      </c>
      <c r="I388" s="738">
        <f>+J359*G388+E388</f>
        <v>82411.443774337225</v>
      </c>
      <c r="J388" s="734">
        <f t="shared" si="34"/>
        <v>0</v>
      </c>
      <c r="K388" s="734"/>
      <c r="L388" s="739"/>
      <c r="M388" s="734">
        <f t="shared" si="35"/>
        <v>0</v>
      </c>
      <c r="N388" s="739"/>
      <c r="O388" s="734">
        <f t="shared" si="36"/>
        <v>0</v>
      </c>
      <c r="P388" s="734">
        <f t="shared" si="37"/>
        <v>0</v>
      </c>
      <c r="Q388" s="684"/>
    </row>
    <row r="389" spans="2:17">
      <c r="B389" s="337"/>
      <c r="C389" s="730">
        <f>IF(D357="","-",+C388+1)</f>
        <v>2042</v>
      </c>
      <c r="D389" s="683">
        <f t="shared" si="38"/>
        <v>563401.1928104579</v>
      </c>
      <c r="E389" s="737">
        <f t="shared" si="39"/>
        <v>21809.078431372549</v>
      </c>
      <c r="F389" s="737">
        <f t="shared" si="32"/>
        <v>541592.11437908537</v>
      </c>
      <c r="G389" s="683">
        <f t="shared" si="33"/>
        <v>552496.65359477163</v>
      </c>
      <c r="H389" s="731">
        <f>+J358*G389+E389</f>
        <v>80110.088128401869</v>
      </c>
      <c r="I389" s="738">
        <f>+J359*G389+E389</f>
        <v>80110.088128401869</v>
      </c>
      <c r="J389" s="734">
        <f t="shared" si="34"/>
        <v>0</v>
      </c>
      <c r="K389" s="734"/>
      <c r="L389" s="739"/>
      <c r="M389" s="734">
        <f t="shared" si="35"/>
        <v>0</v>
      </c>
      <c r="N389" s="739"/>
      <c r="O389" s="734">
        <f t="shared" si="36"/>
        <v>0</v>
      </c>
      <c r="P389" s="734">
        <f t="shared" si="37"/>
        <v>0</v>
      </c>
      <c r="Q389" s="684"/>
    </row>
    <row r="390" spans="2:17">
      <c r="B390" s="337"/>
      <c r="C390" s="730">
        <f>IF(D357="","-",+C389+1)</f>
        <v>2043</v>
      </c>
      <c r="D390" s="683">
        <f t="shared" si="38"/>
        <v>541592.11437908537</v>
      </c>
      <c r="E390" s="737">
        <f t="shared" si="39"/>
        <v>21809.078431372549</v>
      </c>
      <c r="F390" s="737">
        <f t="shared" si="32"/>
        <v>519783.03594771284</v>
      </c>
      <c r="G390" s="683">
        <f t="shared" si="33"/>
        <v>530687.5751633991</v>
      </c>
      <c r="H390" s="731">
        <f>+J358*G390+E390</f>
        <v>77808.732482466497</v>
      </c>
      <c r="I390" s="738">
        <f>+J359*G390+E390</f>
        <v>77808.732482466497</v>
      </c>
      <c r="J390" s="734">
        <f t="shared" si="34"/>
        <v>0</v>
      </c>
      <c r="K390" s="734"/>
      <c r="L390" s="739"/>
      <c r="M390" s="734">
        <f t="shared" si="35"/>
        <v>0</v>
      </c>
      <c r="N390" s="739"/>
      <c r="O390" s="734">
        <f t="shared" si="36"/>
        <v>0</v>
      </c>
      <c r="P390" s="734">
        <f t="shared" si="37"/>
        <v>0</v>
      </c>
      <c r="Q390" s="684"/>
    </row>
    <row r="391" spans="2:17">
      <c r="B391" s="337"/>
      <c r="C391" s="730">
        <f>IF(D357="","-",+C390+1)</f>
        <v>2044</v>
      </c>
      <c r="D391" s="683">
        <f t="shared" si="38"/>
        <v>519783.03594771284</v>
      </c>
      <c r="E391" s="737">
        <f t="shared" si="39"/>
        <v>21809.078431372549</v>
      </c>
      <c r="F391" s="737">
        <f t="shared" si="32"/>
        <v>497973.95751634031</v>
      </c>
      <c r="G391" s="683">
        <f t="shared" si="33"/>
        <v>508878.49673202657</v>
      </c>
      <c r="H391" s="731">
        <f>+J358*G391+E391</f>
        <v>75507.376836531141</v>
      </c>
      <c r="I391" s="738">
        <f>+J359*G391+E391</f>
        <v>75507.376836531141</v>
      </c>
      <c r="J391" s="734">
        <f t="shared" si="34"/>
        <v>0</v>
      </c>
      <c r="K391" s="734"/>
      <c r="L391" s="739"/>
      <c r="M391" s="734">
        <f t="shared" si="35"/>
        <v>0</v>
      </c>
      <c r="N391" s="739"/>
      <c r="O391" s="734">
        <f t="shared" si="36"/>
        <v>0</v>
      </c>
      <c r="P391" s="734">
        <f t="shared" si="37"/>
        <v>0</v>
      </c>
      <c r="Q391" s="684"/>
    </row>
    <row r="392" spans="2:17">
      <c r="B392" s="337"/>
      <c r="C392" s="730">
        <f>IF(D357="","-",+C391+1)</f>
        <v>2045</v>
      </c>
      <c r="D392" s="683">
        <f t="shared" si="38"/>
        <v>497973.95751634031</v>
      </c>
      <c r="E392" s="737">
        <f t="shared" si="39"/>
        <v>21809.078431372549</v>
      </c>
      <c r="F392" s="737">
        <f t="shared" si="32"/>
        <v>476164.87908496778</v>
      </c>
      <c r="G392" s="683">
        <f t="shared" si="33"/>
        <v>487069.41830065404</v>
      </c>
      <c r="H392" s="731">
        <f>+J358*G392+E392</f>
        <v>73206.021190595769</v>
      </c>
      <c r="I392" s="738">
        <f>+J359*G392+E392</f>
        <v>73206.021190595769</v>
      </c>
      <c r="J392" s="734">
        <f t="shared" si="34"/>
        <v>0</v>
      </c>
      <c r="K392" s="734"/>
      <c r="L392" s="739"/>
      <c r="M392" s="734">
        <f t="shared" si="35"/>
        <v>0</v>
      </c>
      <c r="N392" s="739"/>
      <c r="O392" s="734">
        <f t="shared" si="36"/>
        <v>0</v>
      </c>
      <c r="P392" s="734">
        <f t="shared" si="37"/>
        <v>0</v>
      </c>
      <c r="Q392" s="684"/>
    </row>
    <row r="393" spans="2:17">
      <c r="B393" s="337"/>
      <c r="C393" s="730">
        <f>IF(D357="","-",+C392+1)</f>
        <v>2046</v>
      </c>
      <c r="D393" s="683">
        <f t="shared" si="38"/>
        <v>476164.87908496778</v>
      </c>
      <c r="E393" s="737">
        <f t="shared" si="39"/>
        <v>21809.078431372549</v>
      </c>
      <c r="F393" s="737">
        <f t="shared" si="32"/>
        <v>454355.80065359524</v>
      </c>
      <c r="G393" s="683">
        <f t="shared" si="33"/>
        <v>465260.33986928151</v>
      </c>
      <c r="H393" s="731">
        <f>+J358*G393+E393</f>
        <v>70904.665544660413</v>
      </c>
      <c r="I393" s="738">
        <f>+J359*G393+E393</f>
        <v>70904.665544660413</v>
      </c>
      <c r="J393" s="734">
        <f t="shared" si="34"/>
        <v>0</v>
      </c>
      <c r="K393" s="734"/>
      <c r="L393" s="739"/>
      <c r="M393" s="734">
        <f t="shared" si="35"/>
        <v>0</v>
      </c>
      <c r="N393" s="739"/>
      <c r="O393" s="734">
        <f t="shared" si="36"/>
        <v>0</v>
      </c>
      <c r="P393" s="734">
        <f t="shared" si="37"/>
        <v>0</v>
      </c>
      <c r="Q393" s="684"/>
    </row>
    <row r="394" spans="2:17">
      <c r="B394" s="337"/>
      <c r="C394" s="730">
        <f>IF(D357="","-",+C393+1)</f>
        <v>2047</v>
      </c>
      <c r="D394" s="683">
        <f t="shared" si="38"/>
        <v>454355.80065359524</v>
      </c>
      <c r="E394" s="737">
        <f t="shared" si="39"/>
        <v>21809.078431372549</v>
      </c>
      <c r="F394" s="737">
        <f t="shared" si="32"/>
        <v>432546.72222222271</v>
      </c>
      <c r="G394" s="683">
        <f t="shared" si="33"/>
        <v>443451.26143790898</v>
      </c>
      <c r="H394" s="731">
        <f>+J358*G394+E394</f>
        <v>68603.309898725041</v>
      </c>
      <c r="I394" s="738">
        <f>+J359*G394+E394</f>
        <v>68603.309898725041</v>
      </c>
      <c r="J394" s="734">
        <f t="shared" si="34"/>
        <v>0</v>
      </c>
      <c r="K394" s="734"/>
      <c r="L394" s="739"/>
      <c r="M394" s="734">
        <f t="shared" si="35"/>
        <v>0</v>
      </c>
      <c r="N394" s="739"/>
      <c r="O394" s="734">
        <f t="shared" si="36"/>
        <v>0</v>
      </c>
      <c r="P394" s="734">
        <f t="shared" si="37"/>
        <v>0</v>
      </c>
      <c r="Q394" s="684"/>
    </row>
    <row r="395" spans="2:17">
      <c r="B395" s="337"/>
      <c r="C395" s="730">
        <f>IF(D357="","-",+C394+1)</f>
        <v>2048</v>
      </c>
      <c r="D395" s="683">
        <f t="shared" si="38"/>
        <v>432546.72222222271</v>
      </c>
      <c r="E395" s="737">
        <f t="shared" si="39"/>
        <v>21809.078431372549</v>
      </c>
      <c r="F395" s="737">
        <f t="shared" si="32"/>
        <v>410737.64379085018</v>
      </c>
      <c r="G395" s="683">
        <f t="shared" si="33"/>
        <v>421642.18300653645</v>
      </c>
      <c r="H395" s="731">
        <f>+J358*G395+E395</f>
        <v>66301.954252789685</v>
      </c>
      <c r="I395" s="738">
        <f>+J359*G395+E395</f>
        <v>66301.954252789685</v>
      </c>
      <c r="J395" s="734">
        <f t="shared" si="34"/>
        <v>0</v>
      </c>
      <c r="K395" s="734"/>
      <c r="L395" s="739"/>
      <c r="M395" s="734">
        <f t="shared" si="35"/>
        <v>0</v>
      </c>
      <c r="N395" s="739"/>
      <c r="O395" s="734">
        <f t="shared" si="36"/>
        <v>0</v>
      </c>
      <c r="P395" s="734">
        <f t="shared" si="37"/>
        <v>0</v>
      </c>
      <c r="Q395" s="684"/>
    </row>
    <row r="396" spans="2:17">
      <c r="B396" s="337"/>
      <c r="C396" s="730">
        <f>IF(D357="","-",+C395+1)</f>
        <v>2049</v>
      </c>
      <c r="D396" s="683">
        <f t="shared" si="38"/>
        <v>410737.64379085018</v>
      </c>
      <c r="E396" s="737">
        <f t="shared" si="39"/>
        <v>21809.078431372549</v>
      </c>
      <c r="F396" s="737">
        <f t="shared" si="32"/>
        <v>388928.56535947765</v>
      </c>
      <c r="G396" s="683">
        <f t="shared" si="33"/>
        <v>399833.10457516392</v>
      </c>
      <c r="H396" s="731">
        <f>+J358*G396+E396</f>
        <v>64000.598606854313</v>
      </c>
      <c r="I396" s="738">
        <f>+J359*G396+E396</f>
        <v>64000.598606854313</v>
      </c>
      <c r="J396" s="734">
        <f t="shared" si="34"/>
        <v>0</v>
      </c>
      <c r="K396" s="734"/>
      <c r="L396" s="739"/>
      <c r="M396" s="734">
        <f t="shared" si="35"/>
        <v>0</v>
      </c>
      <c r="N396" s="739"/>
      <c r="O396" s="734">
        <f t="shared" si="36"/>
        <v>0</v>
      </c>
      <c r="P396" s="734">
        <f t="shared" si="37"/>
        <v>0</v>
      </c>
      <c r="Q396" s="684"/>
    </row>
    <row r="397" spans="2:17">
      <c r="B397" s="337"/>
      <c r="C397" s="730">
        <f>IF(D357="","-",+C396+1)</f>
        <v>2050</v>
      </c>
      <c r="D397" s="683">
        <f t="shared" si="38"/>
        <v>388928.56535947765</v>
      </c>
      <c r="E397" s="737">
        <f t="shared" si="39"/>
        <v>21809.078431372549</v>
      </c>
      <c r="F397" s="737">
        <f t="shared" si="32"/>
        <v>367119.48692810512</v>
      </c>
      <c r="G397" s="683">
        <f t="shared" si="33"/>
        <v>378024.02614379139</v>
      </c>
      <c r="H397" s="731">
        <f>+J358*G397+E397</f>
        <v>61699.242960918957</v>
      </c>
      <c r="I397" s="738">
        <f>+J359*G397+E397</f>
        <v>61699.242960918957</v>
      </c>
      <c r="J397" s="734">
        <f t="shared" si="34"/>
        <v>0</v>
      </c>
      <c r="K397" s="734"/>
      <c r="L397" s="739"/>
      <c r="M397" s="734">
        <f t="shared" si="35"/>
        <v>0</v>
      </c>
      <c r="N397" s="739"/>
      <c r="O397" s="734">
        <f t="shared" si="36"/>
        <v>0</v>
      </c>
      <c r="P397" s="734">
        <f t="shared" si="37"/>
        <v>0</v>
      </c>
      <c r="Q397" s="684"/>
    </row>
    <row r="398" spans="2:17">
      <c r="B398" s="337"/>
      <c r="C398" s="730">
        <f>IF(D357="","-",+C397+1)</f>
        <v>2051</v>
      </c>
      <c r="D398" s="683">
        <f t="shared" si="38"/>
        <v>367119.48692810512</v>
      </c>
      <c r="E398" s="737">
        <f t="shared" si="39"/>
        <v>21809.078431372549</v>
      </c>
      <c r="F398" s="737">
        <f t="shared" si="32"/>
        <v>345310.40849673259</v>
      </c>
      <c r="G398" s="683">
        <f t="shared" si="33"/>
        <v>356214.94771241886</v>
      </c>
      <c r="H398" s="731">
        <f>+J358*G398+E398</f>
        <v>59397.887314983585</v>
      </c>
      <c r="I398" s="738">
        <f>+J359*G398+E398</f>
        <v>59397.887314983585</v>
      </c>
      <c r="J398" s="734">
        <f t="shared" si="34"/>
        <v>0</v>
      </c>
      <c r="K398" s="734"/>
      <c r="L398" s="739"/>
      <c r="M398" s="734">
        <f t="shared" si="35"/>
        <v>0</v>
      </c>
      <c r="N398" s="739"/>
      <c r="O398" s="734">
        <f t="shared" si="36"/>
        <v>0</v>
      </c>
      <c r="P398" s="734">
        <f t="shared" si="37"/>
        <v>0</v>
      </c>
      <c r="Q398" s="684"/>
    </row>
    <row r="399" spans="2:17">
      <c r="B399" s="337"/>
      <c r="C399" s="730">
        <f>IF(D357="","-",+C398+1)</f>
        <v>2052</v>
      </c>
      <c r="D399" s="683">
        <f t="shared" si="38"/>
        <v>345310.40849673259</v>
      </c>
      <c r="E399" s="737">
        <f t="shared" si="39"/>
        <v>21809.078431372549</v>
      </c>
      <c r="F399" s="737">
        <f t="shared" si="32"/>
        <v>323501.33006536006</v>
      </c>
      <c r="G399" s="683">
        <f t="shared" si="33"/>
        <v>334405.86928104633</v>
      </c>
      <c r="H399" s="731">
        <f>+J358*G399+E399</f>
        <v>57096.531669048229</v>
      </c>
      <c r="I399" s="738">
        <f>+J359*G399+E399</f>
        <v>57096.531669048229</v>
      </c>
      <c r="J399" s="734">
        <f t="shared" si="34"/>
        <v>0</v>
      </c>
      <c r="K399" s="734"/>
      <c r="L399" s="739"/>
      <c r="M399" s="734">
        <f t="shared" si="35"/>
        <v>0</v>
      </c>
      <c r="N399" s="739"/>
      <c r="O399" s="734">
        <f t="shared" si="36"/>
        <v>0</v>
      </c>
      <c r="P399" s="734">
        <f t="shared" si="37"/>
        <v>0</v>
      </c>
      <c r="Q399" s="684"/>
    </row>
    <row r="400" spans="2:17">
      <c r="B400" s="337"/>
      <c r="C400" s="730">
        <f>IF(D357="","-",+C399+1)</f>
        <v>2053</v>
      </c>
      <c r="D400" s="683">
        <f t="shared" si="38"/>
        <v>323501.33006536006</v>
      </c>
      <c r="E400" s="737">
        <f t="shared" si="39"/>
        <v>21809.078431372549</v>
      </c>
      <c r="F400" s="737">
        <f t="shared" si="32"/>
        <v>301692.25163398753</v>
      </c>
      <c r="G400" s="683">
        <f t="shared" si="33"/>
        <v>312596.79084967379</v>
      </c>
      <c r="H400" s="731">
        <f>+J358*G400+E400</f>
        <v>54795.176023112857</v>
      </c>
      <c r="I400" s="738">
        <f>+J359*G400+E400</f>
        <v>54795.176023112857</v>
      </c>
      <c r="J400" s="734">
        <f t="shared" si="34"/>
        <v>0</v>
      </c>
      <c r="K400" s="734"/>
      <c r="L400" s="739"/>
      <c r="M400" s="734">
        <f t="shared" si="35"/>
        <v>0</v>
      </c>
      <c r="N400" s="739"/>
      <c r="O400" s="734">
        <f t="shared" si="36"/>
        <v>0</v>
      </c>
      <c r="P400" s="734">
        <f t="shared" si="37"/>
        <v>0</v>
      </c>
      <c r="Q400" s="684"/>
    </row>
    <row r="401" spans="2:17">
      <c r="B401" s="337"/>
      <c r="C401" s="730">
        <f>IF(D357="","-",+C400+1)</f>
        <v>2054</v>
      </c>
      <c r="D401" s="683">
        <f t="shared" si="38"/>
        <v>301692.25163398753</v>
      </c>
      <c r="E401" s="737">
        <f t="shared" si="39"/>
        <v>21809.078431372549</v>
      </c>
      <c r="F401" s="737">
        <f t="shared" si="32"/>
        <v>279883.173202615</v>
      </c>
      <c r="G401" s="683">
        <f t="shared" si="33"/>
        <v>290787.71241830126</v>
      </c>
      <c r="H401" s="731">
        <f>+J358*G401+E401</f>
        <v>52493.820377177493</v>
      </c>
      <c r="I401" s="738">
        <f>+J359*G401+E401</f>
        <v>52493.820377177493</v>
      </c>
      <c r="J401" s="734">
        <f t="shared" si="34"/>
        <v>0</v>
      </c>
      <c r="K401" s="734"/>
      <c r="L401" s="739"/>
      <c r="M401" s="734">
        <f t="shared" si="35"/>
        <v>0</v>
      </c>
      <c r="N401" s="739"/>
      <c r="O401" s="734">
        <f t="shared" si="36"/>
        <v>0</v>
      </c>
      <c r="P401" s="734">
        <f t="shared" si="37"/>
        <v>0</v>
      </c>
      <c r="Q401" s="684"/>
    </row>
    <row r="402" spans="2:17">
      <c r="B402" s="337"/>
      <c r="C402" s="730">
        <f>IF(D357="","-",+C401+1)</f>
        <v>2055</v>
      </c>
      <c r="D402" s="683">
        <f t="shared" si="38"/>
        <v>279883.173202615</v>
      </c>
      <c r="E402" s="737">
        <f t="shared" si="39"/>
        <v>21809.078431372549</v>
      </c>
      <c r="F402" s="737">
        <f t="shared" si="32"/>
        <v>258074.09477124244</v>
      </c>
      <c r="G402" s="683">
        <f t="shared" si="33"/>
        <v>268978.63398692873</v>
      </c>
      <c r="H402" s="731">
        <f>+J358*G402+E402</f>
        <v>50192.464731242129</v>
      </c>
      <c r="I402" s="738">
        <f>+J359*G402+E402</f>
        <v>50192.464731242129</v>
      </c>
      <c r="J402" s="734">
        <f t="shared" si="34"/>
        <v>0</v>
      </c>
      <c r="K402" s="734"/>
      <c r="L402" s="739"/>
      <c r="M402" s="734">
        <f t="shared" si="35"/>
        <v>0</v>
      </c>
      <c r="N402" s="739"/>
      <c r="O402" s="734">
        <f t="shared" si="36"/>
        <v>0</v>
      </c>
      <c r="P402" s="734">
        <f t="shared" si="37"/>
        <v>0</v>
      </c>
      <c r="Q402" s="684"/>
    </row>
    <row r="403" spans="2:17">
      <c r="B403" s="337"/>
      <c r="C403" s="730">
        <f>IF(D357="","-",+C402+1)</f>
        <v>2056</v>
      </c>
      <c r="D403" s="683">
        <f t="shared" si="38"/>
        <v>258074.09477124244</v>
      </c>
      <c r="E403" s="737">
        <f t="shared" si="39"/>
        <v>21809.078431372549</v>
      </c>
      <c r="F403" s="737">
        <f t="shared" si="32"/>
        <v>236265.01633986988</v>
      </c>
      <c r="G403" s="683">
        <f t="shared" si="33"/>
        <v>247169.55555555614</v>
      </c>
      <c r="H403" s="731">
        <f>+J358*G403+E403</f>
        <v>47891.109085306758</v>
      </c>
      <c r="I403" s="738">
        <f>+J359*G403+E403</f>
        <v>47891.109085306758</v>
      </c>
      <c r="J403" s="734">
        <f t="shared" si="34"/>
        <v>0</v>
      </c>
      <c r="K403" s="734"/>
      <c r="L403" s="739"/>
      <c r="M403" s="734">
        <f t="shared" si="35"/>
        <v>0</v>
      </c>
      <c r="N403" s="739"/>
      <c r="O403" s="734">
        <f t="shared" si="36"/>
        <v>0</v>
      </c>
      <c r="P403" s="734">
        <f t="shared" si="37"/>
        <v>0</v>
      </c>
      <c r="Q403" s="684"/>
    </row>
    <row r="404" spans="2:17">
      <c r="B404" s="337"/>
      <c r="C404" s="730">
        <f>IF(D357="","-",+C403+1)</f>
        <v>2057</v>
      </c>
      <c r="D404" s="683">
        <f t="shared" si="38"/>
        <v>236265.01633986988</v>
      </c>
      <c r="E404" s="737">
        <f t="shared" si="39"/>
        <v>21809.078431372549</v>
      </c>
      <c r="F404" s="737">
        <f t="shared" si="32"/>
        <v>214455.93790849732</v>
      </c>
      <c r="G404" s="683">
        <f t="shared" si="33"/>
        <v>225360.47712418361</v>
      </c>
      <c r="H404" s="731">
        <f>+J358*G404+E404</f>
        <v>45589.753439371394</v>
      </c>
      <c r="I404" s="738">
        <f>+J359*G404+E404</f>
        <v>45589.753439371394</v>
      </c>
      <c r="J404" s="734">
        <f t="shared" si="34"/>
        <v>0</v>
      </c>
      <c r="K404" s="734"/>
      <c r="L404" s="739"/>
      <c r="M404" s="734">
        <f t="shared" si="35"/>
        <v>0</v>
      </c>
      <c r="N404" s="739"/>
      <c r="O404" s="734">
        <f t="shared" si="36"/>
        <v>0</v>
      </c>
      <c r="P404" s="734">
        <f t="shared" si="37"/>
        <v>0</v>
      </c>
      <c r="Q404" s="684"/>
    </row>
    <row r="405" spans="2:17">
      <c r="B405" s="337"/>
      <c r="C405" s="730">
        <f>IF(D357="","-",+C404+1)</f>
        <v>2058</v>
      </c>
      <c r="D405" s="683">
        <f t="shared" si="38"/>
        <v>214455.93790849732</v>
      </c>
      <c r="E405" s="737">
        <f t="shared" si="39"/>
        <v>21809.078431372549</v>
      </c>
      <c r="F405" s="737">
        <f t="shared" si="32"/>
        <v>192646.85947712476</v>
      </c>
      <c r="G405" s="683">
        <f t="shared" si="33"/>
        <v>203551.39869281102</v>
      </c>
      <c r="H405" s="731">
        <f>+J358*G405+E405</f>
        <v>43288.39779343603</v>
      </c>
      <c r="I405" s="738">
        <f>+J359*G405+E405</f>
        <v>43288.39779343603</v>
      </c>
      <c r="J405" s="734">
        <f t="shared" si="34"/>
        <v>0</v>
      </c>
      <c r="K405" s="734"/>
      <c r="L405" s="739"/>
      <c r="M405" s="734">
        <f t="shared" si="35"/>
        <v>0</v>
      </c>
      <c r="N405" s="739"/>
      <c r="O405" s="734">
        <f t="shared" si="36"/>
        <v>0</v>
      </c>
      <c r="P405" s="734">
        <f t="shared" si="37"/>
        <v>0</v>
      </c>
      <c r="Q405" s="684"/>
    </row>
    <row r="406" spans="2:17">
      <c r="B406" s="337"/>
      <c r="C406" s="730">
        <f>IF(D357="","-",+C405+1)</f>
        <v>2059</v>
      </c>
      <c r="D406" s="683">
        <f t="shared" si="38"/>
        <v>192646.85947712476</v>
      </c>
      <c r="E406" s="737">
        <f t="shared" si="39"/>
        <v>21809.078431372549</v>
      </c>
      <c r="F406" s="737">
        <f t="shared" si="32"/>
        <v>170837.7810457522</v>
      </c>
      <c r="G406" s="683">
        <f t="shared" si="33"/>
        <v>181742.32026143849</v>
      </c>
      <c r="H406" s="731">
        <f>+J358*G406+E406</f>
        <v>40987.042147500659</v>
      </c>
      <c r="I406" s="738">
        <f>+J359*G406+E406</f>
        <v>40987.042147500659</v>
      </c>
      <c r="J406" s="734">
        <f t="shared" si="34"/>
        <v>0</v>
      </c>
      <c r="K406" s="734"/>
      <c r="L406" s="739"/>
      <c r="M406" s="734">
        <f t="shared" si="35"/>
        <v>0</v>
      </c>
      <c r="N406" s="739"/>
      <c r="O406" s="734">
        <f t="shared" si="36"/>
        <v>0</v>
      </c>
      <c r="P406" s="734">
        <f t="shared" si="37"/>
        <v>0</v>
      </c>
      <c r="Q406" s="684"/>
    </row>
    <row r="407" spans="2:17">
      <c r="B407" s="337"/>
      <c r="C407" s="730">
        <f>IF(D357="","-",+C406+1)</f>
        <v>2060</v>
      </c>
      <c r="D407" s="683">
        <f t="shared" si="38"/>
        <v>170837.7810457522</v>
      </c>
      <c r="E407" s="737">
        <f t="shared" si="39"/>
        <v>21809.078431372549</v>
      </c>
      <c r="F407" s="737">
        <f t="shared" si="32"/>
        <v>149028.70261437964</v>
      </c>
      <c r="G407" s="683">
        <f t="shared" si="33"/>
        <v>159933.2418300659</v>
      </c>
      <c r="H407" s="731">
        <f>+J358*G407+E407</f>
        <v>38685.686501565287</v>
      </c>
      <c r="I407" s="738">
        <f>+J359*G407+E407</f>
        <v>38685.686501565287</v>
      </c>
      <c r="J407" s="734">
        <f t="shared" si="34"/>
        <v>0</v>
      </c>
      <c r="K407" s="734"/>
      <c r="L407" s="739"/>
      <c r="M407" s="734">
        <f t="shared" si="35"/>
        <v>0</v>
      </c>
      <c r="N407" s="739"/>
      <c r="O407" s="734">
        <f t="shared" si="36"/>
        <v>0</v>
      </c>
      <c r="P407" s="734">
        <f t="shared" si="37"/>
        <v>0</v>
      </c>
      <c r="Q407" s="684"/>
    </row>
    <row r="408" spans="2:17">
      <c r="B408" s="337"/>
      <c r="C408" s="730">
        <f>IF(D357="","-",+C407+1)</f>
        <v>2061</v>
      </c>
      <c r="D408" s="683">
        <f t="shared" si="38"/>
        <v>149028.70261437964</v>
      </c>
      <c r="E408" s="737">
        <f t="shared" si="39"/>
        <v>21809.078431372549</v>
      </c>
      <c r="F408" s="737">
        <f t="shared" si="32"/>
        <v>127219.62418300709</v>
      </c>
      <c r="G408" s="683">
        <f t="shared" si="33"/>
        <v>138124.16339869337</v>
      </c>
      <c r="H408" s="731">
        <f>+J358*G408+E408</f>
        <v>36384.330855629931</v>
      </c>
      <c r="I408" s="738">
        <f>+J359*G408+E408</f>
        <v>36384.330855629931</v>
      </c>
      <c r="J408" s="734">
        <f t="shared" si="34"/>
        <v>0</v>
      </c>
      <c r="K408" s="734"/>
      <c r="L408" s="739"/>
      <c r="M408" s="734">
        <f t="shared" si="35"/>
        <v>0</v>
      </c>
      <c r="N408" s="739"/>
      <c r="O408" s="734">
        <f t="shared" si="36"/>
        <v>0</v>
      </c>
      <c r="P408" s="734">
        <f t="shared" si="37"/>
        <v>0</v>
      </c>
      <c r="Q408" s="684"/>
    </row>
    <row r="409" spans="2:17">
      <c r="B409" s="337"/>
      <c r="C409" s="730">
        <f>IF(D357="","-",+C408+1)</f>
        <v>2062</v>
      </c>
      <c r="D409" s="683">
        <f t="shared" si="38"/>
        <v>127219.62418300709</v>
      </c>
      <c r="E409" s="737">
        <f t="shared" si="39"/>
        <v>21809.078431372549</v>
      </c>
      <c r="F409" s="737">
        <f t="shared" si="32"/>
        <v>105410.54575163455</v>
      </c>
      <c r="G409" s="683">
        <f t="shared" si="33"/>
        <v>116315.08496732081</v>
      </c>
      <c r="H409" s="731">
        <f>+J358*G409+E409</f>
        <v>34082.975209694559</v>
      </c>
      <c r="I409" s="738">
        <f>+J359*G409+E409</f>
        <v>34082.975209694559</v>
      </c>
      <c r="J409" s="734">
        <f t="shared" si="34"/>
        <v>0</v>
      </c>
      <c r="K409" s="734"/>
      <c r="L409" s="739"/>
      <c r="M409" s="734">
        <f t="shared" si="35"/>
        <v>0</v>
      </c>
      <c r="N409" s="739"/>
      <c r="O409" s="734">
        <f t="shared" si="36"/>
        <v>0</v>
      </c>
      <c r="P409" s="734">
        <f t="shared" si="37"/>
        <v>0</v>
      </c>
      <c r="Q409" s="684"/>
    </row>
    <row r="410" spans="2:17">
      <c r="B410" s="337"/>
      <c r="C410" s="730">
        <f>IF(D357="","-",+C409+1)</f>
        <v>2063</v>
      </c>
      <c r="D410" s="683">
        <f t="shared" si="38"/>
        <v>105410.54575163455</v>
      </c>
      <c r="E410" s="737">
        <f t="shared" si="39"/>
        <v>21809.078431372549</v>
      </c>
      <c r="F410" s="737">
        <f t="shared" si="32"/>
        <v>83601.467320262003</v>
      </c>
      <c r="G410" s="683">
        <f t="shared" si="33"/>
        <v>94506.006535948283</v>
      </c>
      <c r="H410" s="731">
        <f>+J358*G410+E410</f>
        <v>31781.619563759195</v>
      </c>
      <c r="I410" s="738">
        <f>+J359*G410+E410</f>
        <v>31781.619563759195</v>
      </c>
      <c r="J410" s="734">
        <f t="shared" si="34"/>
        <v>0</v>
      </c>
      <c r="K410" s="734"/>
      <c r="L410" s="739"/>
      <c r="M410" s="734">
        <f t="shared" si="35"/>
        <v>0</v>
      </c>
      <c r="N410" s="739"/>
      <c r="O410" s="734">
        <f t="shared" si="36"/>
        <v>0</v>
      </c>
      <c r="P410" s="734">
        <f t="shared" si="37"/>
        <v>0</v>
      </c>
      <c r="Q410" s="684"/>
    </row>
    <row r="411" spans="2:17">
      <c r="B411" s="337"/>
      <c r="C411" s="730">
        <f>IF(D357="","-",+C410+1)</f>
        <v>2064</v>
      </c>
      <c r="D411" s="683">
        <f t="shared" si="38"/>
        <v>83601.467320262003</v>
      </c>
      <c r="E411" s="737">
        <f t="shared" si="39"/>
        <v>21809.078431372549</v>
      </c>
      <c r="F411" s="737">
        <f t="shared" si="32"/>
        <v>61792.388888889458</v>
      </c>
      <c r="G411" s="683">
        <f t="shared" si="33"/>
        <v>72696.928104575723</v>
      </c>
      <c r="H411" s="731">
        <f>+J358*G411+E411</f>
        <v>29480.263917823828</v>
      </c>
      <c r="I411" s="738">
        <f>+J359*G411+E411</f>
        <v>29480.263917823828</v>
      </c>
      <c r="J411" s="734">
        <f t="shared" si="34"/>
        <v>0</v>
      </c>
      <c r="K411" s="734"/>
      <c r="L411" s="739"/>
      <c r="M411" s="734">
        <f t="shared" si="35"/>
        <v>0</v>
      </c>
      <c r="N411" s="739"/>
      <c r="O411" s="734">
        <f t="shared" si="36"/>
        <v>0</v>
      </c>
      <c r="P411" s="734">
        <f t="shared" si="37"/>
        <v>0</v>
      </c>
      <c r="Q411" s="684"/>
    </row>
    <row r="412" spans="2:17">
      <c r="B412" s="337"/>
      <c r="C412" s="730">
        <f>IF(D357="","-",+C411+1)</f>
        <v>2065</v>
      </c>
      <c r="D412" s="683">
        <f t="shared" si="38"/>
        <v>61792.388888889458</v>
      </c>
      <c r="E412" s="737">
        <f t="shared" si="39"/>
        <v>21809.078431372549</v>
      </c>
      <c r="F412" s="737">
        <f t="shared" si="32"/>
        <v>39983.310457516913</v>
      </c>
      <c r="G412" s="683">
        <f t="shared" si="33"/>
        <v>50887.849673203185</v>
      </c>
      <c r="H412" s="731">
        <f>+J358*G412+E412</f>
        <v>27178.908271888464</v>
      </c>
      <c r="I412" s="738">
        <f>+J359*G412+E412</f>
        <v>27178.908271888464</v>
      </c>
      <c r="J412" s="734">
        <f t="shared" si="34"/>
        <v>0</v>
      </c>
      <c r="K412" s="734"/>
      <c r="L412" s="739"/>
      <c r="M412" s="734">
        <f t="shared" si="35"/>
        <v>0</v>
      </c>
      <c r="N412" s="739"/>
      <c r="O412" s="734">
        <f t="shared" si="36"/>
        <v>0</v>
      </c>
      <c r="P412" s="734">
        <f t="shared" si="37"/>
        <v>0</v>
      </c>
      <c r="Q412" s="684"/>
    </row>
    <row r="413" spans="2:17">
      <c r="B413" s="337"/>
      <c r="C413" s="730">
        <f>IF(D357="","-",+C412+1)</f>
        <v>2066</v>
      </c>
      <c r="D413" s="683">
        <f t="shared" si="38"/>
        <v>39983.310457516913</v>
      </c>
      <c r="E413" s="737">
        <f t="shared" si="39"/>
        <v>21809.078431372549</v>
      </c>
      <c r="F413" s="737">
        <f t="shared" si="32"/>
        <v>18174.232026144364</v>
      </c>
      <c r="G413" s="683">
        <f t="shared" si="33"/>
        <v>29078.77124183064</v>
      </c>
      <c r="H413" s="731">
        <f>+J358*G413+E413</f>
        <v>24877.552625953096</v>
      </c>
      <c r="I413" s="738">
        <f>+J359*G413+E413</f>
        <v>24877.552625953096</v>
      </c>
      <c r="J413" s="734">
        <f t="shared" si="34"/>
        <v>0</v>
      </c>
      <c r="K413" s="734"/>
      <c r="L413" s="739"/>
      <c r="M413" s="734">
        <f t="shared" si="35"/>
        <v>0</v>
      </c>
      <c r="N413" s="739"/>
      <c r="O413" s="734">
        <f t="shared" si="36"/>
        <v>0</v>
      </c>
      <c r="P413" s="734">
        <f t="shared" si="37"/>
        <v>0</v>
      </c>
      <c r="Q413" s="684"/>
    </row>
    <row r="414" spans="2:17">
      <c r="B414" s="337"/>
      <c r="C414" s="730">
        <f>IF(D357="","-",+C413+1)</f>
        <v>2067</v>
      </c>
      <c r="D414" s="683">
        <f t="shared" si="38"/>
        <v>18174.232026144364</v>
      </c>
      <c r="E414" s="737">
        <f t="shared" si="39"/>
        <v>18174.232026144364</v>
      </c>
      <c r="F414" s="737">
        <f t="shared" si="32"/>
        <v>0</v>
      </c>
      <c r="G414" s="683">
        <f t="shared" si="33"/>
        <v>9087.1160130721819</v>
      </c>
      <c r="H414" s="731">
        <f>+J358*G414+E414</f>
        <v>19133.130211950796</v>
      </c>
      <c r="I414" s="738">
        <f>+J359*G414+E414</f>
        <v>19133.130211950796</v>
      </c>
      <c r="J414" s="734">
        <f t="shared" si="34"/>
        <v>0</v>
      </c>
      <c r="K414" s="734"/>
      <c r="L414" s="739"/>
      <c r="M414" s="734">
        <f t="shared" si="35"/>
        <v>0</v>
      </c>
      <c r="N414" s="739"/>
      <c r="O414" s="734">
        <f t="shared" si="36"/>
        <v>0</v>
      </c>
      <c r="P414" s="734">
        <f t="shared" si="37"/>
        <v>0</v>
      </c>
      <c r="Q414" s="684"/>
    </row>
    <row r="415" spans="2:17">
      <c r="B415" s="337"/>
      <c r="C415" s="730">
        <f>IF(D357="","-",+C414+1)</f>
        <v>2068</v>
      </c>
      <c r="D415" s="683">
        <f t="shared" si="38"/>
        <v>0</v>
      </c>
      <c r="E415" s="737">
        <f t="shared" si="39"/>
        <v>0</v>
      </c>
      <c r="F415" s="737">
        <f t="shared" si="32"/>
        <v>0</v>
      </c>
      <c r="G415" s="683">
        <f t="shared" si="33"/>
        <v>0</v>
      </c>
      <c r="H415" s="731">
        <f>+J358*G415+E415</f>
        <v>0</v>
      </c>
      <c r="I415" s="738">
        <f>+J359*G415+E415</f>
        <v>0</v>
      </c>
      <c r="J415" s="734">
        <f t="shared" si="34"/>
        <v>0</v>
      </c>
      <c r="K415" s="734"/>
      <c r="L415" s="739"/>
      <c r="M415" s="734">
        <f t="shared" si="35"/>
        <v>0</v>
      </c>
      <c r="N415" s="739"/>
      <c r="O415" s="734">
        <f t="shared" si="36"/>
        <v>0</v>
      </c>
      <c r="P415" s="734">
        <f t="shared" si="37"/>
        <v>0</v>
      </c>
      <c r="Q415" s="684"/>
    </row>
    <row r="416" spans="2:17">
      <c r="B416" s="337"/>
      <c r="C416" s="730">
        <f>IF(D357="","-",+C415+1)</f>
        <v>2069</v>
      </c>
      <c r="D416" s="683">
        <f t="shared" si="38"/>
        <v>0</v>
      </c>
      <c r="E416" s="737">
        <f t="shared" si="39"/>
        <v>0</v>
      </c>
      <c r="F416" s="737">
        <f t="shared" si="32"/>
        <v>0</v>
      </c>
      <c r="G416" s="683">
        <f t="shared" si="33"/>
        <v>0</v>
      </c>
      <c r="H416" s="731">
        <f>+J358*G416+E416</f>
        <v>0</v>
      </c>
      <c r="I416" s="738">
        <f>+J359*G416+E416</f>
        <v>0</v>
      </c>
      <c r="J416" s="734">
        <f t="shared" si="34"/>
        <v>0</v>
      </c>
      <c r="K416" s="734"/>
      <c r="L416" s="739"/>
      <c r="M416" s="734">
        <f t="shared" si="35"/>
        <v>0</v>
      </c>
      <c r="N416" s="739"/>
      <c r="O416" s="734">
        <f t="shared" si="36"/>
        <v>0</v>
      </c>
      <c r="P416" s="734">
        <f t="shared" si="37"/>
        <v>0</v>
      </c>
      <c r="Q416" s="684"/>
    </row>
    <row r="417" spans="1:17">
      <c r="B417" s="337"/>
      <c r="C417" s="730">
        <f>IF(D357="","-",+C416+1)</f>
        <v>2070</v>
      </c>
      <c r="D417" s="683">
        <f t="shared" si="38"/>
        <v>0</v>
      </c>
      <c r="E417" s="737">
        <f t="shared" si="39"/>
        <v>0</v>
      </c>
      <c r="F417" s="737">
        <f t="shared" si="32"/>
        <v>0</v>
      </c>
      <c r="G417" s="683">
        <f t="shared" si="33"/>
        <v>0</v>
      </c>
      <c r="H417" s="731">
        <f>+J358*G417+E417</f>
        <v>0</v>
      </c>
      <c r="I417" s="738">
        <f>+J359*G417+E417</f>
        <v>0</v>
      </c>
      <c r="J417" s="734">
        <f t="shared" si="34"/>
        <v>0</v>
      </c>
      <c r="K417" s="734"/>
      <c r="L417" s="739"/>
      <c r="M417" s="734">
        <f t="shared" si="35"/>
        <v>0</v>
      </c>
      <c r="N417" s="739"/>
      <c r="O417" s="734">
        <f t="shared" si="36"/>
        <v>0</v>
      </c>
      <c r="P417" s="734">
        <f t="shared" si="37"/>
        <v>0</v>
      </c>
      <c r="Q417" s="684"/>
    </row>
    <row r="418" spans="1:17">
      <c r="B418" s="337"/>
      <c r="C418" s="730">
        <f>IF(D357="","-",+C417+1)</f>
        <v>2071</v>
      </c>
      <c r="D418" s="683">
        <f t="shared" si="38"/>
        <v>0</v>
      </c>
      <c r="E418" s="737">
        <f t="shared" si="39"/>
        <v>0</v>
      </c>
      <c r="F418" s="737">
        <f t="shared" si="32"/>
        <v>0</v>
      </c>
      <c r="G418" s="683">
        <f t="shared" si="33"/>
        <v>0</v>
      </c>
      <c r="H418" s="731">
        <f>+J358*G418+E418</f>
        <v>0</v>
      </c>
      <c r="I418" s="738">
        <f>+J359*G418+E418</f>
        <v>0</v>
      </c>
      <c r="J418" s="734">
        <f t="shared" si="34"/>
        <v>0</v>
      </c>
      <c r="K418" s="734"/>
      <c r="L418" s="739"/>
      <c r="M418" s="734">
        <f t="shared" si="35"/>
        <v>0</v>
      </c>
      <c r="N418" s="739"/>
      <c r="O418" s="734">
        <f t="shared" si="36"/>
        <v>0</v>
      </c>
      <c r="P418" s="734">
        <f t="shared" si="37"/>
        <v>0</v>
      </c>
      <c r="Q418" s="684"/>
    </row>
    <row r="419" spans="1:17">
      <c r="B419" s="337"/>
      <c r="C419" s="730">
        <f>IF(D357="","-",+C418+1)</f>
        <v>2072</v>
      </c>
      <c r="D419" s="683">
        <f t="shared" si="38"/>
        <v>0</v>
      </c>
      <c r="E419" s="737">
        <f t="shared" si="39"/>
        <v>0</v>
      </c>
      <c r="F419" s="737">
        <f t="shared" si="32"/>
        <v>0</v>
      </c>
      <c r="G419" s="683">
        <f t="shared" si="33"/>
        <v>0</v>
      </c>
      <c r="H419" s="731">
        <f>+J358*G419+E419</f>
        <v>0</v>
      </c>
      <c r="I419" s="738">
        <f>+J359*G419+E419</f>
        <v>0</v>
      </c>
      <c r="J419" s="734">
        <f t="shared" si="34"/>
        <v>0</v>
      </c>
      <c r="K419" s="734"/>
      <c r="L419" s="739"/>
      <c r="M419" s="734">
        <f t="shared" si="35"/>
        <v>0</v>
      </c>
      <c r="N419" s="739"/>
      <c r="O419" s="734">
        <f t="shared" si="36"/>
        <v>0</v>
      </c>
      <c r="P419" s="734">
        <f t="shared" si="37"/>
        <v>0</v>
      </c>
      <c r="Q419" s="684"/>
    </row>
    <row r="420" spans="1:17">
      <c r="B420" s="337"/>
      <c r="C420" s="730">
        <f>IF(D357="","-",+C419+1)</f>
        <v>2073</v>
      </c>
      <c r="D420" s="683">
        <f t="shared" si="38"/>
        <v>0</v>
      </c>
      <c r="E420" s="737">
        <f t="shared" si="39"/>
        <v>0</v>
      </c>
      <c r="F420" s="737">
        <f t="shared" si="32"/>
        <v>0</v>
      </c>
      <c r="G420" s="683">
        <f t="shared" si="33"/>
        <v>0</v>
      </c>
      <c r="H420" s="731">
        <f>+J358*G420+E420</f>
        <v>0</v>
      </c>
      <c r="I420" s="738">
        <f>+J359*G420+E420</f>
        <v>0</v>
      </c>
      <c r="J420" s="734">
        <f t="shared" si="34"/>
        <v>0</v>
      </c>
      <c r="K420" s="734"/>
      <c r="L420" s="739"/>
      <c r="M420" s="734">
        <f t="shared" si="35"/>
        <v>0</v>
      </c>
      <c r="N420" s="739"/>
      <c r="O420" s="734">
        <f t="shared" si="36"/>
        <v>0</v>
      </c>
      <c r="P420" s="734">
        <f t="shared" si="37"/>
        <v>0</v>
      </c>
      <c r="Q420" s="684"/>
    </row>
    <row r="421" spans="1:17">
      <c r="B421" s="337"/>
      <c r="C421" s="730">
        <f>IF(D357="","-",+C420+1)</f>
        <v>2074</v>
      </c>
      <c r="D421" s="683">
        <f t="shared" si="38"/>
        <v>0</v>
      </c>
      <c r="E421" s="737">
        <f t="shared" si="39"/>
        <v>0</v>
      </c>
      <c r="F421" s="737">
        <f t="shared" si="32"/>
        <v>0</v>
      </c>
      <c r="G421" s="683">
        <f t="shared" si="33"/>
        <v>0</v>
      </c>
      <c r="H421" s="731">
        <f>+J358*G421+E421</f>
        <v>0</v>
      </c>
      <c r="I421" s="738">
        <f>+J359*G421+E421</f>
        <v>0</v>
      </c>
      <c r="J421" s="734">
        <f t="shared" si="34"/>
        <v>0</v>
      </c>
      <c r="K421" s="734"/>
      <c r="L421" s="739"/>
      <c r="M421" s="734">
        <f t="shared" si="35"/>
        <v>0</v>
      </c>
      <c r="N421" s="739"/>
      <c r="O421" s="734">
        <f t="shared" si="36"/>
        <v>0</v>
      </c>
      <c r="P421" s="734">
        <f t="shared" si="37"/>
        <v>0</v>
      </c>
      <c r="Q421" s="684"/>
    </row>
    <row r="422" spans="1:17" ht="13" thickBot="1">
      <c r="B422" s="337"/>
      <c r="C422" s="741">
        <f>IF(D357="","-",+C421+1)</f>
        <v>2075</v>
      </c>
      <c r="D422" s="742">
        <f t="shared" si="38"/>
        <v>0</v>
      </c>
      <c r="E422" s="1314">
        <f t="shared" si="39"/>
        <v>0</v>
      </c>
      <c r="F422" s="743">
        <f t="shared" si="32"/>
        <v>0</v>
      </c>
      <c r="G422" s="742">
        <f t="shared" si="33"/>
        <v>0</v>
      </c>
      <c r="H422" s="744">
        <f>+J358*G422+E422</f>
        <v>0</v>
      </c>
      <c r="I422" s="744">
        <f>+J359*G422+E422</f>
        <v>0</v>
      </c>
      <c r="J422" s="745">
        <f t="shared" si="34"/>
        <v>0</v>
      </c>
      <c r="K422" s="734"/>
      <c r="L422" s="746"/>
      <c r="M422" s="745">
        <f t="shared" si="35"/>
        <v>0</v>
      </c>
      <c r="N422" s="746"/>
      <c r="O422" s="745">
        <f t="shared" si="36"/>
        <v>0</v>
      </c>
      <c r="P422" s="745">
        <f t="shared" si="37"/>
        <v>0</v>
      </c>
      <c r="Q422" s="684"/>
    </row>
    <row r="423" spans="1:17">
      <c r="B423" s="337"/>
      <c r="C423" s="683" t="s">
        <v>289</v>
      </c>
      <c r="D423" s="679"/>
      <c r="E423" s="679">
        <f>SUM(E363:E422)</f>
        <v>1112263</v>
      </c>
      <c r="F423" s="679"/>
      <c r="G423" s="679"/>
      <c r="H423" s="679">
        <f>SUM(H363:H422)</f>
        <v>4202983.6324911993</v>
      </c>
      <c r="I423" s="679">
        <f>SUM(I363:I422)</f>
        <v>4202983.6324911993</v>
      </c>
      <c r="J423" s="679">
        <f>SUM(J363:J422)</f>
        <v>0</v>
      </c>
      <c r="K423" s="679"/>
      <c r="L423" s="679"/>
      <c r="M423" s="679"/>
      <c r="N423" s="679"/>
      <c r="O423" s="679"/>
      <c r="Q423" s="679"/>
    </row>
    <row r="424" spans="1:17">
      <c r="B424" s="337"/>
      <c r="D424" s="573"/>
      <c r="E424" s="550"/>
      <c r="F424" s="550"/>
      <c r="G424" s="550"/>
      <c r="H424" s="550"/>
      <c r="I424" s="656"/>
      <c r="J424" s="656"/>
      <c r="K424" s="679"/>
      <c r="L424" s="656"/>
      <c r="M424" s="656"/>
      <c r="N424" s="656"/>
      <c r="O424" s="656"/>
      <c r="Q424" s="679"/>
    </row>
    <row r="425" spans="1:17">
      <c r="B425" s="337"/>
      <c r="C425" s="550" t="s">
        <v>597</v>
      </c>
      <c r="D425" s="573"/>
      <c r="E425" s="550"/>
      <c r="F425" s="550"/>
      <c r="G425" s="550"/>
      <c r="H425" s="550"/>
      <c r="I425" s="656"/>
      <c r="J425" s="656"/>
      <c r="K425" s="679"/>
      <c r="L425" s="656"/>
      <c r="M425" s="656"/>
      <c r="N425" s="656"/>
      <c r="O425" s="656"/>
      <c r="Q425" s="679"/>
    </row>
    <row r="426" spans="1:17">
      <c r="B426" s="337"/>
      <c r="D426" s="573"/>
      <c r="E426" s="550"/>
      <c r="F426" s="550"/>
      <c r="G426" s="550"/>
      <c r="H426" s="550"/>
      <c r="I426" s="656"/>
      <c r="J426" s="656"/>
      <c r="K426" s="679"/>
      <c r="L426" s="656"/>
      <c r="M426" s="656"/>
      <c r="N426" s="656"/>
      <c r="O426" s="656"/>
      <c r="Q426" s="679"/>
    </row>
    <row r="427" spans="1:17">
      <c r="B427" s="337"/>
      <c r="C427" s="586" t="s">
        <v>598</v>
      </c>
      <c r="D427" s="683"/>
      <c r="E427" s="683"/>
      <c r="F427" s="683"/>
      <c r="G427" s="683"/>
      <c r="H427" s="679"/>
      <c r="I427" s="679"/>
      <c r="J427" s="684"/>
      <c r="K427" s="684"/>
      <c r="L427" s="684"/>
      <c r="M427" s="684"/>
      <c r="N427" s="684"/>
      <c r="O427" s="684"/>
      <c r="Q427" s="684"/>
    </row>
    <row r="428" spans="1:17">
      <c r="B428" s="337"/>
      <c r="C428" s="586" t="s">
        <v>477</v>
      </c>
      <c r="D428" s="683"/>
      <c r="E428" s="683"/>
      <c r="F428" s="683"/>
      <c r="G428" s="683"/>
      <c r="H428" s="679"/>
      <c r="I428" s="679"/>
      <c r="J428" s="684"/>
      <c r="K428" s="684"/>
      <c r="L428" s="684"/>
      <c r="M428" s="684"/>
      <c r="N428" s="684"/>
      <c r="O428" s="684"/>
      <c r="Q428" s="684"/>
    </row>
    <row r="429" spans="1:17">
      <c r="B429" s="337"/>
      <c r="C429" s="586" t="s">
        <v>290</v>
      </c>
      <c r="D429" s="683"/>
      <c r="E429" s="683"/>
      <c r="F429" s="683"/>
      <c r="G429" s="683"/>
      <c r="H429" s="679"/>
      <c r="I429" s="679"/>
      <c r="J429" s="684"/>
      <c r="K429" s="684"/>
      <c r="L429" s="684"/>
      <c r="M429" s="684"/>
      <c r="N429" s="684"/>
      <c r="O429" s="684"/>
      <c r="Q429" s="684"/>
    </row>
    <row r="430" spans="1:17" ht="13">
      <c r="B430" s="337"/>
      <c r="C430" s="682"/>
      <c r="D430" s="683"/>
      <c r="E430" s="683"/>
      <c r="F430" s="683"/>
      <c r="G430" s="683"/>
      <c r="H430" s="679"/>
      <c r="I430" s="679"/>
      <c r="J430" s="684"/>
      <c r="K430" s="684"/>
      <c r="L430" s="684"/>
      <c r="M430" s="684"/>
      <c r="N430" s="684"/>
      <c r="O430" s="684"/>
      <c r="Q430" s="684"/>
    </row>
    <row r="431" spans="1:17" ht="20">
      <c r="A431" s="685" t="s">
        <v>774</v>
      </c>
      <c r="B431" s="550"/>
      <c r="C431" s="665"/>
      <c r="D431" s="573"/>
      <c r="E431" s="550"/>
      <c r="F431" s="655"/>
      <c r="G431" s="655"/>
      <c r="H431" s="550"/>
      <c r="I431" s="656"/>
      <c r="L431" s="686"/>
      <c r="M431" s="686"/>
      <c r="N431" s="686"/>
      <c r="O431" s="601" t="str">
        <f>"Page "&amp;SUM(Q$3:Q431)&amp;" of "</f>
        <v xml:space="preserve">Page 6 of </v>
      </c>
      <c r="P431" s="602">
        <f>COUNT(Q$8:Q$58123)</f>
        <v>11</v>
      </c>
      <c r="Q431" s="767">
        <v>1</v>
      </c>
    </row>
    <row r="432" spans="1:17">
      <c r="B432" s="550"/>
      <c r="C432" s="550"/>
      <c r="D432" s="573"/>
      <c r="E432" s="550"/>
      <c r="F432" s="550"/>
      <c r="G432" s="550"/>
      <c r="H432" s="550"/>
      <c r="I432" s="656"/>
      <c r="J432" s="550"/>
      <c r="K432" s="598"/>
      <c r="Q432" s="598"/>
    </row>
    <row r="433" spans="1:17" ht="17">
      <c r="B433" s="605" t="s">
        <v>175</v>
      </c>
      <c r="C433" s="687" t="s">
        <v>291</v>
      </c>
      <c r="D433" s="573"/>
      <c r="E433" s="550"/>
      <c r="F433" s="550"/>
      <c r="G433" s="550"/>
      <c r="H433" s="550"/>
      <c r="I433" s="656"/>
      <c r="J433" s="656"/>
      <c r="K433" s="679"/>
      <c r="L433" s="656"/>
      <c r="M433" s="656"/>
      <c r="N433" s="656"/>
      <c r="O433" s="656"/>
      <c r="Q433" s="679"/>
    </row>
    <row r="434" spans="1:17" ht="18">
      <c r="B434" s="605"/>
      <c r="C434" s="604"/>
      <c r="D434" s="573"/>
      <c r="E434" s="550"/>
      <c r="F434" s="550"/>
      <c r="G434" s="550"/>
      <c r="H434" s="550"/>
      <c r="I434" s="656"/>
      <c r="J434" s="656"/>
      <c r="K434" s="679"/>
      <c r="L434" s="656"/>
      <c r="M434" s="656"/>
      <c r="N434" s="656"/>
      <c r="O434" s="656"/>
      <c r="Q434" s="679"/>
    </row>
    <row r="435" spans="1:17" ht="18">
      <c r="B435" s="605"/>
      <c r="C435" s="604" t="s">
        <v>292</v>
      </c>
      <c r="D435" s="573"/>
      <c r="E435" s="550"/>
      <c r="F435" s="550"/>
      <c r="G435" s="550"/>
      <c r="H435" s="550"/>
      <c r="I435" s="656"/>
      <c r="J435" s="656"/>
      <c r="K435" s="679"/>
      <c r="L435" s="656"/>
      <c r="M435" s="656"/>
      <c r="N435" s="656"/>
      <c r="O435" s="656"/>
      <c r="Q435" s="679"/>
    </row>
    <row r="436" spans="1:17" ht="16" thickBot="1">
      <c r="B436" s="337"/>
      <c r="C436" s="403"/>
      <c r="D436" s="573"/>
      <c r="E436" s="550"/>
      <c r="F436" s="550"/>
      <c r="G436" s="550"/>
      <c r="H436" s="550"/>
      <c r="I436" s="656"/>
      <c r="J436" s="656"/>
      <c r="K436" s="679"/>
      <c r="L436" s="656"/>
      <c r="M436" s="656"/>
      <c r="N436" s="656"/>
      <c r="O436" s="656"/>
      <c r="Q436" s="679"/>
    </row>
    <row r="437" spans="1:17" ht="15.5">
      <c r="B437" s="337"/>
      <c r="C437" s="606" t="s">
        <v>293</v>
      </c>
      <c r="D437" s="573"/>
      <c r="E437" s="550"/>
      <c r="F437" s="550"/>
      <c r="G437" s="550"/>
      <c r="H437" s="877"/>
      <c r="I437" s="550" t="s">
        <v>272</v>
      </c>
      <c r="J437" s="550"/>
      <c r="K437" s="598"/>
      <c r="L437" s="768">
        <f>+J443</f>
        <v>2019</v>
      </c>
      <c r="M437" s="750" t="s">
        <v>255</v>
      </c>
      <c r="N437" s="750" t="s">
        <v>256</v>
      </c>
      <c r="O437" s="751" t="s">
        <v>257</v>
      </c>
      <c r="Q437" s="598"/>
    </row>
    <row r="438" spans="1:17" ht="15.5">
      <c r="B438" s="337"/>
      <c r="C438" s="606"/>
      <c r="D438" s="573"/>
      <c r="E438" s="550"/>
      <c r="F438" s="550"/>
      <c r="H438" s="550"/>
      <c r="I438" s="691"/>
      <c r="J438" s="691"/>
      <c r="K438" s="692"/>
      <c r="L438" s="769" t="s">
        <v>456</v>
      </c>
      <c r="M438" s="770">
        <f>VLOOKUP(J443,C450:P509,10)</f>
        <v>91807.011269923081</v>
      </c>
      <c r="N438" s="770">
        <f>VLOOKUP(J443,C450:P509,12)</f>
        <v>91807.011269923081</v>
      </c>
      <c r="O438" s="771">
        <f>+N438-M438</f>
        <v>0</v>
      </c>
      <c r="Q438" s="692"/>
    </row>
    <row r="439" spans="1:17" ht="13">
      <c r="B439" s="337"/>
      <c r="C439" s="694" t="s">
        <v>294</v>
      </c>
      <c r="D439" s="1558" t="s">
        <v>985</v>
      </c>
      <c r="E439" s="1559"/>
      <c r="F439" s="1559"/>
      <c r="G439" s="1559"/>
      <c r="H439" s="1559"/>
      <c r="I439" s="1559"/>
      <c r="J439" s="656"/>
      <c r="K439" s="679"/>
      <c r="L439" s="769" t="s">
        <v>457</v>
      </c>
      <c r="M439" s="772">
        <f>VLOOKUP(J443,C450:P509,6)</f>
        <v>93052.329539922677</v>
      </c>
      <c r="N439" s="772">
        <f>VLOOKUP(J443,C450:P509,7)</f>
        <v>93052.329539922677</v>
      </c>
      <c r="O439" s="773">
        <f>+N439-M439</f>
        <v>0</v>
      </c>
      <c r="Q439" s="679"/>
    </row>
    <row r="440" spans="1:17" ht="13.5" thickBot="1">
      <c r="B440" s="337"/>
      <c r="C440" s="696"/>
      <c r="D440" s="1559"/>
      <c r="E440" s="1559"/>
      <c r="F440" s="1559"/>
      <c r="G440" s="1559"/>
      <c r="H440" s="1559"/>
      <c r="I440" s="1559"/>
      <c r="J440" s="656"/>
      <c r="K440" s="679"/>
      <c r="L440" s="715" t="s">
        <v>458</v>
      </c>
      <c r="M440" s="774">
        <f>+M439-M438</f>
        <v>1245.3182699995959</v>
      </c>
      <c r="N440" s="774">
        <f>+N439-N438</f>
        <v>1245.3182699995959</v>
      </c>
      <c r="O440" s="775">
        <f>+O439-O438</f>
        <v>0</v>
      </c>
      <c r="Q440" s="679"/>
    </row>
    <row r="441" spans="1:17" ht="13.5" thickBot="1">
      <c r="B441" s="337"/>
      <c r="C441" s="698"/>
      <c r="D441" s="699"/>
      <c r="E441" s="697"/>
      <c r="F441" s="697"/>
      <c r="G441" s="697"/>
      <c r="H441" s="697"/>
      <c r="I441" s="697"/>
      <c r="J441" s="697"/>
      <c r="K441" s="700"/>
      <c r="L441" s="697"/>
      <c r="M441" s="697"/>
      <c r="N441" s="697"/>
      <c r="O441" s="697"/>
      <c r="P441" s="586"/>
      <c r="Q441" s="700"/>
    </row>
    <row r="442" spans="1:17" ht="13" thickBot="1">
      <c r="B442" s="337"/>
      <c r="C442" s="701" t="s">
        <v>295</v>
      </c>
      <c r="D442" s="702"/>
      <c r="E442" s="702"/>
      <c r="F442" s="702"/>
      <c r="G442" s="702"/>
      <c r="H442" s="1465"/>
      <c r="I442" s="702"/>
      <c r="J442" s="702"/>
      <c r="K442" s="704"/>
      <c r="P442" s="705"/>
      <c r="Q442" s="704"/>
    </row>
    <row r="443" spans="1:17" ht="16">
      <c r="A443" s="1324"/>
      <c r="B443" s="337"/>
      <c r="C443" s="707" t="s">
        <v>273</v>
      </c>
      <c r="D443" s="1282">
        <v>818037</v>
      </c>
      <c r="E443" s="665" t="s">
        <v>274</v>
      </c>
      <c r="H443" s="708"/>
      <c r="I443" s="708"/>
      <c r="J443" s="709">
        <f>$J$95</f>
        <v>2019</v>
      </c>
      <c r="K443" s="596"/>
      <c r="L443" s="1560" t="s">
        <v>275</v>
      </c>
      <c r="M443" s="1560"/>
      <c r="N443" s="1560"/>
      <c r="O443" s="1560"/>
      <c r="P443" s="598"/>
      <c r="Q443" s="596"/>
    </row>
    <row r="444" spans="1:17">
      <c r="A444" s="1324"/>
      <c r="B444" s="337"/>
      <c r="C444" s="707" t="s">
        <v>276</v>
      </c>
      <c r="D444" s="879">
        <v>2013</v>
      </c>
      <c r="E444" s="707" t="s">
        <v>277</v>
      </c>
      <c r="F444" s="708"/>
      <c r="G444" s="708"/>
      <c r="I444" s="337"/>
      <c r="J444" s="882">
        <v>0</v>
      </c>
      <c r="K444" s="710"/>
      <c r="L444" s="679" t="s">
        <v>476</v>
      </c>
      <c r="P444" s="598"/>
      <c r="Q444" s="710"/>
    </row>
    <row r="445" spans="1:17">
      <c r="A445" s="1324"/>
      <c r="B445" s="337"/>
      <c r="C445" s="707" t="s">
        <v>278</v>
      </c>
      <c r="D445" s="1282">
        <v>12</v>
      </c>
      <c r="E445" s="707" t="s">
        <v>279</v>
      </c>
      <c r="F445" s="708"/>
      <c r="G445" s="708"/>
      <c r="I445" s="337"/>
      <c r="J445" s="711">
        <f>$F$70</f>
        <v>0.10552282863199051</v>
      </c>
      <c r="K445" s="712"/>
      <c r="L445" s="550" t="str">
        <f>"          INPUT TRUE-UP ARR (WITH &amp; WITHOUT INCENTIVES) FROM EACH PRIOR YEAR"</f>
        <v xml:space="preserve">          INPUT TRUE-UP ARR (WITH &amp; WITHOUT INCENTIVES) FROM EACH PRIOR YEAR</v>
      </c>
      <c r="P445" s="598"/>
      <c r="Q445" s="712"/>
    </row>
    <row r="446" spans="1:17">
      <c r="A446" s="1324"/>
      <c r="B446" s="337"/>
      <c r="C446" s="707" t="s">
        <v>280</v>
      </c>
      <c r="D446" s="713">
        <f>H79</f>
        <v>51</v>
      </c>
      <c r="E446" s="707" t="s">
        <v>281</v>
      </c>
      <c r="F446" s="708"/>
      <c r="G446" s="708"/>
      <c r="I446" s="337"/>
      <c r="J446" s="711">
        <f>IF(H437="",J445,$F$69)</f>
        <v>0.10552282863199051</v>
      </c>
      <c r="K446" s="714"/>
      <c r="L446" s="550" t="s">
        <v>363</v>
      </c>
      <c r="M446" s="714"/>
      <c r="N446" s="714"/>
      <c r="O446" s="714"/>
      <c r="P446" s="598"/>
      <c r="Q446" s="714"/>
    </row>
    <row r="447" spans="1:17" ht="13" thickBot="1">
      <c r="A447" s="1324"/>
      <c r="B447" s="337"/>
      <c r="C447" s="707" t="s">
        <v>282</v>
      </c>
      <c r="D447" s="881" t="s">
        <v>979</v>
      </c>
      <c r="E447" s="715" t="s">
        <v>283</v>
      </c>
      <c r="F447" s="716"/>
      <c r="G447" s="716"/>
      <c r="H447" s="717"/>
      <c r="I447" s="717"/>
      <c r="J447" s="695">
        <f>IF(D443=0,0,D443/D446)</f>
        <v>16039.941176470587</v>
      </c>
      <c r="K447" s="679"/>
      <c r="L447" s="679" t="s">
        <v>364</v>
      </c>
      <c r="M447" s="679"/>
      <c r="N447" s="679"/>
      <c r="O447" s="679"/>
      <c r="P447" s="598"/>
      <c r="Q447" s="679"/>
    </row>
    <row r="448" spans="1:17" ht="39">
      <c r="A448" s="537"/>
      <c r="B448" s="537"/>
      <c r="C448" s="718" t="s">
        <v>273</v>
      </c>
      <c r="D448" s="719" t="s">
        <v>284</v>
      </c>
      <c r="E448" s="720" t="s">
        <v>285</v>
      </c>
      <c r="F448" s="719" t="s">
        <v>286</v>
      </c>
      <c r="G448" s="719" t="s">
        <v>459</v>
      </c>
      <c r="H448" s="720" t="s">
        <v>357</v>
      </c>
      <c r="I448" s="721" t="s">
        <v>357</v>
      </c>
      <c r="J448" s="718" t="s">
        <v>296</v>
      </c>
      <c r="K448" s="722"/>
      <c r="L448" s="720" t="s">
        <v>359</v>
      </c>
      <c r="M448" s="720" t="s">
        <v>365</v>
      </c>
      <c r="N448" s="720" t="s">
        <v>359</v>
      </c>
      <c r="O448" s="720" t="s">
        <v>367</v>
      </c>
      <c r="P448" s="720" t="s">
        <v>287</v>
      </c>
      <c r="Q448" s="723"/>
    </row>
    <row r="449" spans="2:17" ht="13.5" thickBot="1">
      <c r="B449" s="337"/>
      <c r="C449" s="724" t="s">
        <v>178</v>
      </c>
      <c r="D449" s="725" t="s">
        <v>179</v>
      </c>
      <c r="E449" s="724" t="s">
        <v>38</v>
      </c>
      <c r="F449" s="725" t="s">
        <v>179</v>
      </c>
      <c r="G449" s="725" t="s">
        <v>179</v>
      </c>
      <c r="H449" s="726" t="s">
        <v>299</v>
      </c>
      <c r="I449" s="727" t="s">
        <v>301</v>
      </c>
      <c r="J449" s="728" t="s">
        <v>390</v>
      </c>
      <c r="K449" s="729"/>
      <c r="L449" s="726" t="s">
        <v>288</v>
      </c>
      <c r="M449" s="726" t="s">
        <v>288</v>
      </c>
      <c r="N449" s="726" t="s">
        <v>468</v>
      </c>
      <c r="O449" s="726" t="s">
        <v>468</v>
      </c>
      <c r="P449" s="726" t="s">
        <v>468</v>
      </c>
      <c r="Q449" s="596"/>
    </row>
    <row r="450" spans="2:17">
      <c r="B450" s="337"/>
      <c r="C450" s="730">
        <f>IF(D444= "","-",D444)</f>
        <v>2013</v>
      </c>
      <c r="D450" s="683">
        <f>+D443</f>
        <v>818037</v>
      </c>
      <c r="E450" s="731">
        <f>+J447/12*(12-D445)</f>
        <v>0</v>
      </c>
      <c r="F450" s="776">
        <f t="shared" ref="F450:F509" si="40">+D450-E450</f>
        <v>818037</v>
      </c>
      <c r="G450" s="683">
        <f t="shared" ref="G450:G509" si="41">+(D450+F450)/2</f>
        <v>818037</v>
      </c>
      <c r="H450" s="732">
        <f>+J445*G450+E450</f>
        <v>86321.578165627623</v>
      </c>
      <c r="I450" s="733">
        <f>+J446*G450+E450</f>
        <v>86321.578165627623</v>
      </c>
      <c r="J450" s="734">
        <f t="shared" ref="J450:J509" si="42">+I450-H450</f>
        <v>0</v>
      </c>
      <c r="K450" s="734"/>
      <c r="L450" s="735">
        <v>9.9999999999999995E-7</v>
      </c>
      <c r="M450" s="777">
        <f t="shared" ref="M450:M509" si="43">IF(L450&lt;&gt;0,+H450-L450,0)</f>
        <v>86321.57816462763</v>
      </c>
      <c r="N450" s="735">
        <v>9.9999999999999995E-7</v>
      </c>
      <c r="O450" s="777">
        <f t="shared" ref="O450:O509" si="44">IF(N450&lt;&gt;0,+I450-N450,0)</f>
        <v>86321.57816462763</v>
      </c>
      <c r="P450" s="777">
        <f t="shared" ref="P450:P509" si="45">+O450-M450</f>
        <v>0</v>
      </c>
      <c r="Q450" s="684"/>
    </row>
    <row r="451" spans="2:17">
      <c r="B451" s="337"/>
      <c r="C451" s="730">
        <f>IF(D444="","-",+C450+1)</f>
        <v>2014</v>
      </c>
      <c r="D451" s="683">
        <f t="shared" ref="D451:D509" si="46">F450</f>
        <v>818037</v>
      </c>
      <c r="E451" s="737">
        <f>IF(D451&gt;$J$447,$J$447,D451)</f>
        <v>16039.941176470587</v>
      </c>
      <c r="F451" s="737">
        <f t="shared" si="40"/>
        <v>801997.0588235294</v>
      </c>
      <c r="G451" s="683">
        <f t="shared" si="41"/>
        <v>810017.0294117647</v>
      </c>
      <c r="H451" s="731">
        <f>+J445*G451+E451</f>
        <v>101515.22936008226</v>
      </c>
      <c r="I451" s="738">
        <f>+J446*G451+E451</f>
        <v>101515.22936008226</v>
      </c>
      <c r="J451" s="734">
        <f t="shared" si="42"/>
        <v>0</v>
      </c>
      <c r="K451" s="734"/>
      <c r="L451" s="739">
        <v>139756</v>
      </c>
      <c r="M451" s="734">
        <f t="shared" si="43"/>
        <v>-38240.77063991774</v>
      </c>
      <c r="N451" s="739">
        <v>139756</v>
      </c>
      <c r="O451" s="734">
        <f t="shared" si="44"/>
        <v>-38240.77063991774</v>
      </c>
      <c r="P451" s="734">
        <f t="shared" si="45"/>
        <v>0</v>
      </c>
      <c r="Q451" s="684"/>
    </row>
    <row r="452" spans="2:17">
      <c r="B452" s="337"/>
      <c r="C452" s="730">
        <f>IF(D444="","-",+C451+1)</f>
        <v>2015</v>
      </c>
      <c r="D452" s="683">
        <f t="shared" si="46"/>
        <v>801997.0588235294</v>
      </c>
      <c r="E452" s="737">
        <f t="shared" ref="E452:E509" si="47">IF(D452&gt;$J$447,$J$447,D452)</f>
        <v>16039.941176470587</v>
      </c>
      <c r="F452" s="737">
        <f t="shared" si="40"/>
        <v>785957.1176470588</v>
      </c>
      <c r="G452" s="683">
        <f t="shared" si="41"/>
        <v>793977.0882352941</v>
      </c>
      <c r="H452" s="731">
        <f>+J445*G452+E452</f>
        <v>99822.649396050343</v>
      </c>
      <c r="I452" s="738">
        <f>+J446*G452+E452</f>
        <v>99822.649396050343</v>
      </c>
      <c r="J452" s="734">
        <f t="shared" si="42"/>
        <v>0</v>
      </c>
      <c r="K452" s="734"/>
      <c r="L452" s="739">
        <v>133078</v>
      </c>
      <c r="M452" s="734">
        <f t="shared" si="43"/>
        <v>-33255.350603949657</v>
      </c>
      <c r="N452" s="739">
        <v>133078</v>
      </c>
      <c r="O452" s="734">
        <f t="shared" si="44"/>
        <v>-33255.350603949657</v>
      </c>
      <c r="P452" s="734">
        <f t="shared" si="45"/>
        <v>0</v>
      </c>
      <c r="Q452" s="684"/>
    </row>
    <row r="453" spans="2:17">
      <c r="B453" s="337"/>
      <c r="C453" s="730">
        <f>IF(D444="","-",+C452+1)</f>
        <v>2016</v>
      </c>
      <c r="D453" s="683">
        <f t="shared" si="46"/>
        <v>785957.1176470588</v>
      </c>
      <c r="E453" s="737">
        <f t="shared" si="47"/>
        <v>16039.941176470587</v>
      </c>
      <c r="F453" s="737">
        <f t="shared" si="40"/>
        <v>769917.17647058819</v>
      </c>
      <c r="G453" s="683">
        <f t="shared" si="41"/>
        <v>777937.1470588235</v>
      </c>
      <c r="H453" s="731">
        <f>+J445*G453+E453</f>
        <v>98130.069432018427</v>
      </c>
      <c r="I453" s="738">
        <f>+J446*G453+E453</f>
        <v>98130.069432018427</v>
      </c>
      <c r="J453" s="734">
        <f t="shared" si="42"/>
        <v>0</v>
      </c>
      <c r="K453" s="734"/>
      <c r="L453" s="739">
        <v>132118</v>
      </c>
      <c r="M453" s="734">
        <f t="shared" si="43"/>
        <v>-33987.930567981573</v>
      </c>
      <c r="N453" s="739">
        <v>132118</v>
      </c>
      <c r="O453" s="734">
        <f t="shared" si="44"/>
        <v>-33987.930567981573</v>
      </c>
      <c r="P453" s="734">
        <f t="shared" si="45"/>
        <v>0</v>
      </c>
      <c r="Q453" s="684"/>
    </row>
    <row r="454" spans="2:17">
      <c r="B454" s="337"/>
      <c r="C454" s="730">
        <f>IF(D444="","-",+C453+1)</f>
        <v>2017</v>
      </c>
      <c r="D454" s="683">
        <f t="shared" si="46"/>
        <v>769917.17647058819</v>
      </c>
      <c r="E454" s="737">
        <f t="shared" si="47"/>
        <v>16039.941176470587</v>
      </c>
      <c r="F454" s="737">
        <f t="shared" si="40"/>
        <v>753877.23529411759</v>
      </c>
      <c r="G454" s="683">
        <f t="shared" si="41"/>
        <v>761897.20588235289</v>
      </c>
      <c r="H454" s="731">
        <f>+J445*G454+E454</f>
        <v>96437.48946798651</v>
      </c>
      <c r="I454" s="738">
        <f>+J446*G454+E454</f>
        <v>96437.48946798651</v>
      </c>
      <c r="J454" s="734">
        <f t="shared" si="42"/>
        <v>0</v>
      </c>
      <c r="K454" s="734"/>
      <c r="L454" s="739">
        <v>119121</v>
      </c>
      <c r="M454" s="734">
        <f t="shared" si="43"/>
        <v>-22683.51053201349</v>
      </c>
      <c r="N454" s="739">
        <v>119121</v>
      </c>
      <c r="O454" s="734">
        <f t="shared" si="44"/>
        <v>-22683.51053201349</v>
      </c>
      <c r="P454" s="734">
        <f t="shared" si="45"/>
        <v>0</v>
      </c>
      <c r="Q454" s="684"/>
    </row>
    <row r="455" spans="2:17">
      <c r="B455" s="337"/>
      <c r="C455" s="730">
        <f>IF(D444="","-",+C454+1)</f>
        <v>2018</v>
      </c>
      <c r="D455" s="1464">
        <f t="shared" si="46"/>
        <v>753877.23529411759</v>
      </c>
      <c r="E455" s="737">
        <f t="shared" si="47"/>
        <v>16039.941176470587</v>
      </c>
      <c r="F455" s="737">
        <f t="shared" si="40"/>
        <v>737837.29411764699</v>
      </c>
      <c r="G455" s="683">
        <f t="shared" si="41"/>
        <v>745857.26470588229</v>
      </c>
      <c r="H455" s="731">
        <f>+J445*G455+E455</f>
        <v>94744.909503954594</v>
      </c>
      <c r="I455" s="738">
        <f>+J446*G455+E455</f>
        <v>94744.909503954594</v>
      </c>
      <c r="J455" s="734">
        <f t="shared" si="42"/>
        <v>0</v>
      </c>
      <c r="K455" s="734"/>
      <c r="L455" s="739">
        <v>98812</v>
      </c>
      <c r="M455" s="734">
        <f t="shared" si="43"/>
        <v>-4067.0904960454063</v>
      </c>
      <c r="N455" s="739">
        <v>98812</v>
      </c>
      <c r="O455" s="734">
        <f t="shared" si="44"/>
        <v>-4067.0904960454063</v>
      </c>
      <c r="P455" s="734">
        <f t="shared" si="45"/>
        <v>0</v>
      </c>
      <c r="Q455" s="684"/>
    </row>
    <row r="456" spans="2:17">
      <c r="B456" s="337"/>
      <c r="C456" s="730">
        <f>IF(D444="","-",+C455+1)</f>
        <v>2019</v>
      </c>
      <c r="D456" s="683">
        <f t="shared" si="46"/>
        <v>737837.29411764699</v>
      </c>
      <c r="E456" s="737">
        <f t="shared" si="47"/>
        <v>16039.941176470587</v>
      </c>
      <c r="F456" s="737">
        <f t="shared" si="40"/>
        <v>721797.35294117639</v>
      </c>
      <c r="G456" s="683">
        <f t="shared" si="41"/>
        <v>729817.32352941169</v>
      </c>
      <c r="H456" s="731">
        <f>+J445*G456+E456</f>
        <v>93052.329539922677</v>
      </c>
      <c r="I456" s="738">
        <f>+J446*G456+E456</f>
        <v>93052.329539922677</v>
      </c>
      <c r="J456" s="734">
        <f t="shared" si="42"/>
        <v>0</v>
      </c>
      <c r="K456" s="734"/>
      <c r="L456" s="739">
        <v>91807.011269923081</v>
      </c>
      <c r="M456" s="734">
        <f t="shared" si="43"/>
        <v>1245.3182699995959</v>
      </c>
      <c r="N456" s="739">
        <v>91807.011269923081</v>
      </c>
      <c r="O456" s="734">
        <f t="shared" si="44"/>
        <v>1245.3182699995959</v>
      </c>
      <c r="P456" s="734">
        <f t="shared" si="45"/>
        <v>0</v>
      </c>
      <c r="Q456" s="684"/>
    </row>
    <row r="457" spans="2:17">
      <c r="B457" s="337"/>
      <c r="C457" s="730">
        <f>IF(D444="","-",+C456+1)</f>
        <v>2020</v>
      </c>
      <c r="D457" s="683">
        <f t="shared" si="46"/>
        <v>721797.35294117639</v>
      </c>
      <c r="E457" s="737">
        <f t="shared" si="47"/>
        <v>16039.941176470587</v>
      </c>
      <c r="F457" s="737">
        <f t="shared" si="40"/>
        <v>705757.41176470579</v>
      </c>
      <c r="G457" s="683">
        <f t="shared" si="41"/>
        <v>713777.38235294109</v>
      </c>
      <c r="H457" s="731">
        <f>+J445*G457+E457</f>
        <v>91359.749575890761</v>
      </c>
      <c r="I457" s="738">
        <f>+J446*G457+E457</f>
        <v>91359.749575890761</v>
      </c>
      <c r="J457" s="734">
        <f t="shared" si="42"/>
        <v>0</v>
      </c>
      <c r="K457" s="734"/>
      <c r="L457" s="739"/>
      <c r="M457" s="734">
        <f t="shared" si="43"/>
        <v>0</v>
      </c>
      <c r="N457" s="739"/>
      <c r="O457" s="734">
        <f t="shared" si="44"/>
        <v>0</v>
      </c>
      <c r="P457" s="734">
        <f t="shared" si="45"/>
        <v>0</v>
      </c>
      <c r="Q457" s="684"/>
    </row>
    <row r="458" spans="2:17">
      <c r="B458" s="337"/>
      <c r="C458" s="730">
        <f>IF(D444="","-",+C457+1)</f>
        <v>2021</v>
      </c>
      <c r="D458" s="683">
        <f t="shared" si="46"/>
        <v>705757.41176470579</v>
      </c>
      <c r="E458" s="737">
        <f t="shared" si="47"/>
        <v>16039.941176470587</v>
      </c>
      <c r="F458" s="737">
        <f t="shared" si="40"/>
        <v>689717.47058823518</v>
      </c>
      <c r="G458" s="683">
        <f t="shared" si="41"/>
        <v>697737.44117647049</v>
      </c>
      <c r="H458" s="731">
        <f>+J445*G458+E458</f>
        <v>89667.169611858844</v>
      </c>
      <c r="I458" s="738">
        <f>+J446*G458+E458</f>
        <v>89667.169611858844</v>
      </c>
      <c r="J458" s="734">
        <f t="shared" si="42"/>
        <v>0</v>
      </c>
      <c r="K458" s="734"/>
      <c r="L458" s="739"/>
      <c r="M458" s="734">
        <f t="shared" si="43"/>
        <v>0</v>
      </c>
      <c r="N458" s="739"/>
      <c r="O458" s="734">
        <f t="shared" si="44"/>
        <v>0</v>
      </c>
      <c r="P458" s="734">
        <f t="shared" si="45"/>
        <v>0</v>
      </c>
      <c r="Q458" s="684"/>
    </row>
    <row r="459" spans="2:17">
      <c r="B459" s="337"/>
      <c r="C459" s="730">
        <f>IF(D444="","-",+C458+1)</f>
        <v>2022</v>
      </c>
      <c r="D459" s="683">
        <f t="shared" si="46"/>
        <v>689717.47058823518</v>
      </c>
      <c r="E459" s="737">
        <f t="shared" si="47"/>
        <v>16039.941176470587</v>
      </c>
      <c r="F459" s="737">
        <f t="shared" si="40"/>
        <v>673677.52941176458</v>
      </c>
      <c r="G459" s="683">
        <f t="shared" si="41"/>
        <v>681697.49999999988</v>
      </c>
      <c r="H459" s="731">
        <f>+J445*G459+E459</f>
        <v>87974.589647826928</v>
      </c>
      <c r="I459" s="738">
        <f>+J446*G459+E459</f>
        <v>87974.589647826928</v>
      </c>
      <c r="J459" s="734">
        <f t="shared" si="42"/>
        <v>0</v>
      </c>
      <c r="K459" s="734"/>
      <c r="L459" s="739"/>
      <c r="M459" s="734">
        <f t="shared" si="43"/>
        <v>0</v>
      </c>
      <c r="N459" s="739"/>
      <c r="O459" s="734">
        <f t="shared" si="44"/>
        <v>0</v>
      </c>
      <c r="P459" s="734">
        <f t="shared" si="45"/>
        <v>0</v>
      </c>
      <c r="Q459" s="684"/>
    </row>
    <row r="460" spans="2:17">
      <c r="B460" s="337"/>
      <c r="C460" s="730">
        <f>IF(D444="","-",+C459+1)</f>
        <v>2023</v>
      </c>
      <c r="D460" s="683">
        <f t="shared" si="46"/>
        <v>673677.52941176458</v>
      </c>
      <c r="E460" s="737">
        <f t="shared" si="47"/>
        <v>16039.941176470587</v>
      </c>
      <c r="F460" s="737">
        <f t="shared" si="40"/>
        <v>657637.58823529398</v>
      </c>
      <c r="G460" s="683">
        <f t="shared" si="41"/>
        <v>665657.55882352928</v>
      </c>
      <c r="H460" s="731">
        <f>+J445*G460+E460</f>
        <v>86282.009683795011</v>
      </c>
      <c r="I460" s="738">
        <f>+J446*G460+E460</f>
        <v>86282.009683795011</v>
      </c>
      <c r="J460" s="734">
        <f t="shared" si="42"/>
        <v>0</v>
      </c>
      <c r="K460" s="734"/>
      <c r="L460" s="739"/>
      <c r="M460" s="734">
        <f t="shared" si="43"/>
        <v>0</v>
      </c>
      <c r="N460" s="739"/>
      <c r="O460" s="734">
        <f t="shared" si="44"/>
        <v>0</v>
      </c>
      <c r="P460" s="734">
        <f t="shared" si="45"/>
        <v>0</v>
      </c>
      <c r="Q460" s="684"/>
    </row>
    <row r="461" spans="2:17">
      <c r="B461" s="337"/>
      <c r="C461" s="730">
        <f>IF(D444="","-",+C460+1)</f>
        <v>2024</v>
      </c>
      <c r="D461" s="683">
        <f t="shared" si="46"/>
        <v>657637.58823529398</v>
      </c>
      <c r="E461" s="737">
        <f t="shared" si="47"/>
        <v>16039.941176470587</v>
      </c>
      <c r="F461" s="737">
        <f t="shared" si="40"/>
        <v>641597.64705882338</v>
      </c>
      <c r="G461" s="683">
        <f t="shared" si="41"/>
        <v>649617.61764705868</v>
      </c>
      <c r="H461" s="731">
        <f>+J445*G461+E461</f>
        <v>84589.429719763095</v>
      </c>
      <c r="I461" s="738">
        <f>+J446*G461+E461</f>
        <v>84589.429719763095</v>
      </c>
      <c r="J461" s="734">
        <f t="shared" si="42"/>
        <v>0</v>
      </c>
      <c r="K461" s="734"/>
      <c r="L461" s="739"/>
      <c r="M461" s="734">
        <f t="shared" si="43"/>
        <v>0</v>
      </c>
      <c r="N461" s="739"/>
      <c r="O461" s="734">
        <f t="shared" si="44"/>
        <v>0</v>
      </c>
      <c r="P461" s="734">
        <f t="shared" si="45"/>
        <v>0</v>
      </c>
      <c r="Q461" s="684"/>
    </row>
    <row r="462" spans="2:17">
      <c r="B462" s="337"/>
      <c r="C462" s="730">
        <f>IF(D444="","-",+C461+1)</f>
        <v>2025</v>
      </c>
      <c r="D462" s="683">
        <f t="shared" si="46"/>
        <v>641597.64705882338</v>
      </c>
      <c r="E462" s="737">
        <f t="shared" si="47"/>
        <v>16039.941176470587</v>
      </c>
      <c r="F462" s="737">
        <f t="shared" si="40"/>
        <v>625557.70588235278</v>
      </c>
      <c r="G462" s="683">
        <f t="shared" si="41"/>
        <v>633577.67647058808</v>
      </c>
      <c r="H462" s="731">
        <f>+J445*G462+E462</f>
        <v>82896.849755731178</v>
      </c>
      <c r="I462" s="738">
        <f>+J446*G462+E462</f>
        <v>82896.849755731178</v>
      </c>
      <c r="J462" s="734">
        <f t="shared" si="42"/>
        <v>0</v>
      </c>
      <c r="K462" s="734"/>
      <c r="L462" s="739"/>
      <c r="M462" s="734">
        <f t="shared" si="43"/>
        <v>0</v>
      </c>
      <c r="N462" s="739"/>
      <c r="O462" s="734">
        <f t="shared" si="44"/>
        <v>0</v>
      </c>
      <c r="P462" s="734">
        <f t="shared" si="45"/>
        <v>0</v>
      </c>
      <c r="Q462" s="684"/>
    </row>
    <row r="463" spans="2:17">
      <c r="B463" s="337"/>
      <c r="C463" s="730">
        <f>IF(D444="","-",+C462+1)</f>
        <v>2026</v>
      </c>
      <c r="D463" s="683">
        <f t="shared" si="46"/>
        <v>625557.70588235278</v>
      </c>
      <c r="E463" s="737">
        <f t="shared" si="47"/>
        <v>16039.941176470587</v>
      </c>
      <c r="F463" s="737">
        <f t="shared" si="40"/>
        <v>609517.76470588217</v>
      </c>
      <c r="G463" s="683">
        <f t="shared" si="41"/>
        <v>617537.73529411748</v>
      </c>
      <c r="H463" s="731">
        <f>+J445*G463+E463</f>
        <v>81204.269791699277</v>
      </c>
      <c r="I463" s="738">
        <f>+J446*G463+E463</f>
        <v>81204.269791699277</v>
      </c>
      <c r="J463" s="734">
        <f t="shared" si="42"/>
        <v>0</v>
      </c>
      <c r="K463" s="734"/>
      <c r="L463" s="739"/>
      <c r="M463" s="734">
        <f t="shared" si="43"/>
        <v>0</v>
      </c>
      <c r="N463" s="739"/>
      <c r="O463" s="734">
        <f t="shared" si="44"/>
        <v>0</v>
      </c>
      <c r="P463" s="734">
        <f t="shared" si="45"/>
        <v>0</v>
      </c>
      <c r="Q463" s="684"/>
    </row>
    <row r="464" spans="2:17">
      <c r="B464" s="337"/>
      <c r="C464" s="730">
        <f>IF(D444="","-",+C463+1)</f>
        <v>2027</v>
      </c>
      <c r="D464" s="683">
        <f t="shared" si="46"/>
        <v>609517.76470588217</v>
      </c>
      <c r="E464" s="737">
        <f t="shared" si="47"/>
        <v>16039.941176470587</v>
      </c>
      <c r="F464" s="737">
        <f t="shared" si="40"/>
        <v>593477.82352941157</v>
      </c>
      <c r="G464" s="683">
        <f t="shared" si="41"/>
        <v>601497.79411764687</v>
      </c>
      <c r="H464" s="731">
        <f>+J445*G464+E464</f>
        <v>79511.689827667346</v>
      </c>
      <c r="I464" s="738">
        <f>+J446*G464+E464</f>
        <v>79511.689827667346</v>
      </c>
      <c r="J464" s="734">
        <f t="shared" si="42"/>
        <v>0</v>
      </c>
      <c r="K464" s="734"/>
      <c r="L464" s="739"/>
      <c r="M464" s="734">
        <f t="shared" si="43"/>
        <v>0</v>
      </c>
      <c r="N464" s="739"/>
      <c r="O464" s="734">
        <f t="shared" si="44"/>
        <v>0</v>
      </c>
      <c r="P464" s="734">
        <f t="shared" si="45"/>
        <v>0</v>
      </c>
      <c r="Q464" s="684"/>
    </row>
    <row r="465" spans="2:17">
      <c r="B465" s="337"/>
      <c r="C465" s="730">
        <f>IF(D444="","-",+C464+1)</f>
        <v>2028</v>
      </c>
      <c r="D465" s="683">
        <f t="shared" si="46"/>
        <v>593477.82352941157</v>
      </c>
      <c r="E465" s="737">
        <f t="shared" si="47"/>
        <v>16039.941176470587</v>
      </c>
      <c r="F465" s="737">
        <f t="shared" si="40"/>
        <v>577437.88235294097</v>
      </c>
      <c r="G465" s="683">
        <f t="shared" si="41"/>
        <v>585457.85294117627</v>
      </c>
      <c r="H465" s="731">
        <f>+J445*G465+E465</f>
        <v>77819.109863635444</v>
      </c>
      <c r="I465" s="738">
        <f>+J446*G465+E465</f>
        <v>77819.109863635444</v>
      </c>
      <c r="J465" s="734">
        <f t="shared" si="42"/>
        <v>0</v>
      </c>
      <c r="K465" s="734"/>
      <c r="L465" s="739"/>
      <c r="M465" s="734">
        <f t="shared" si="43"/>
        <v>0</v>
      </c>
      <c r="N465" s="739"/>
      <c r="O465" s="734">
        <f t="shared" si="44"/>
        <v>0</v>
      </c>
      <c r="P465" s="734">
        <f t="shared" si="45"/>
        <v>0</v>
      </c>
      <c r="Q465" s="684"/>
    </row>
    <row r="466" spans="2:17">
      <c r="B466" s="337"/>
      <c r="C466" s="730">
        <f>IF(D444="","-",+C465+1)</f>
        <v>2029</v>
      </c>
      <c r="D466" s="683">
        <f t="shared" si="46"/>
        <v>577437.88235294097</v>
      </c>
      <c r="E466" s="737">
        <f t="shared" si="47"/>
        <v>16039.941176470587</v>
      </c>
      <c r="F466" s="737">
        <f t="shared" si="40"/>
        <v>561397.94117647037</v>
      </c>
      <c r="G466" s="683">
        <f t="shared" si="41"/>
        <v>569417.91176470567</v>
      </c>
      <c r="H466" s="731">
        <f>+J445*G466+E466</f>
        <v>76126.529899603513</v>
      </c>
      <c r="I466" s="738">
        <f>+J446*G466+E466</f>
        <v>76126.529899603513</v>
      </c>
      <c r="J466" s="734">
        <f t="shared" si="42"/>
        <v>0</v>
      </c>
      <c r="K466" s="734"/>
      <c r="L466" s="739"/>
      <c r="M466" s="734">
        <f t="shared" si="43"/>
        <v>0</v>
      </c>
      <c r="N466" s="739"/>
      <c r="O466" s="734">
        <f t="shared" si="44"/>
        <v>0</v>
      </c>
      <c r="P466" s="734">
        <f t="shared" si="45"/>
        <v>0</v>
      </c>
      <c r="Q466" s="684"/>
    </row>
    <row r="467" spans="2:17">
      <c r="B467" s="337"/>
      <c r="C467" s="730">
        <f>IF(D444="","-",+C466+1)</f>
        <v>2030</v>
      </c>
      <c r="D467" s="683">
        <f t="shared" si="46"/>
        <v>561397.94117647037</v>
      </c>
      <c r="E467" s="737">
        <f t="shared" si="47"/>
        <v>16039.941176470587</v>
      </c>
      <c r="F467" s="737">
        <f t="shared" si="40"/>
        <v>545357.99999999977</v>
      </c>
      <c r="G467" s="683">
        <f t="shared" si="41"/>
        <v>553377.97058823507</v>
      </c>
      <c r="H467" s="731">
        <f>+J445*G467+E467</f>
        <v>74433.949935571611</v>
      </c>
      <c r="I467" s="738">
        <f>+J446*G467+E467</f>
        <v>74433.949935571611</v>
      </c>
      <c r="J467" s="734">
        <f t="shared" si="42"/>
        <v>0</v>
      </c>
      <c r="K467" s="734"/>
      <c r="L467" s="739"/>
      <c r="M467" s="734">
        <f t="shared" si="43"/>
        <v>0</v>
      </c>
      <c r="N467" s="739"/>
      <c r="O467" s="734">
        <f t="shared" si="44"/>
        <v>0</v>
      </c>
      <c r="P467" s="734">
        <f t="shared" si="45"/>
        <v>0</v>
      </c>
      <c r="Q467" s="684"/>
    </row>
    <row r="468" spans="2:17">
      <c r="B468" s="337"/>
      <c r="C468" s="730">
        <f>IF(D444="","-",+C467+1)</f>
        <v>2031</v>
      </c>
      <c r="D468" s="683">
        <f t="shared" si="46"/>
        <v>545357.99999999977</v>
      </c>
      <c r="E468" s="737">
        <f t="shared" si="47"/>
        <v>16039.941176470587</v>
      </c>
      <c r="F468" s="737">
        <f t="shared" si="40"/>
        <v>529318.05882352917</v>
      </c>
      <c r="G468" s="683">
        <f t="shared" si="41"/>
        <v>537338.02941176447</v>
      </c>
      <c r="H468" s="731">
        <f>+J445*G468+E468</f>
        <v>72741.36997153968</v>
      </c>
      <c r="I468" s="738">
        <f>+J446*G468+E468</f>
        <v>72741.36997153968</v>
      </c>
      <c r="J468" s="734">
        <f t="shared" si="42"/>
        <v>0</v>
      </c>
      <c r="K468" s="734"/>
      <c r="L468" s="739"/>
      <c r="M468" s="734">
        <f t="shared" si="43"/>
        <v>0</v>
      </c>
      <c r="N468" s="739"/>
      <c r="O468" s="734">
        <f t="shared" si="44"/>
        <v>0</v>
      </c>
      <c r="P468" s="734">
        <f t="shared" si="45"/>
        <v>0</v>
      </c>
      <c r="Q468" s="684"/>
    </row>
    <row r="469" spans="2:17">
      <c r="B469" s="337"/>
      <c r="C469" s="730">
        <f>IF(D444="","-",+C468+1)</f>
        <v>2032</v>
      </c>
      <c r="D469" s="683">
        <f t="shared" si="46"/>
        <v>529318.05882352917</v>
      </c>
      <c r="E469" s="737">
        <f t="shared" si="47"/>
        <v>16039.941176470587</v>
      </c>
      <c r="F469" s="737">
        <f t="shared" si="40"/>
        <v>513278.11764705856</v>
      </c>
      <c r="G469" s="683">
        <f t="shared" si="41"/>
        <v>521298.08823529386</v>
      </c>
      <c r="H469" s="731">
        <f>+J445*G469+E469</f>
        <v>71048.790007507778</v>
      </c>
      <c r="I469" s="738">
        <f>+J446*G469+E469</f>
        <v>71048.790007507778</v>
      </c>
      <c r="J469" s="734">
        <f t="shared" si="42"/>
        <v>0</v>
      </c>
      <c r="K469" s="734"/>
      <c r="L469" s="739"/>
      <c r="M469" s="734">
        <f t="shared" si="43"/>
        <v>0</v>
      </c>
      <c r="N469" s="739"/>
      <c r="O469" s="734">
        <f t="shared" si="44"/>
        <v>0</v>
      </c>
      <c r="P469" s="734">
        <f t="shared" si="45"/>
        <v>0</v>
      </c>
      <c r="Q469" s="684"/>
    </row>
    <row r="470" spans="2:17">
      <c r="B470" s="337"/>
      <c r="C470" s="730">
        <f>IF(D444="","-",+C469+1)</f>
        <v>2033</v>
      </c>
      <c r="D470" s="683">
        <f t="shared" si="46"/>
        <v>513278.11764705856</v>
      </c>
      <c r="E470" s="737">
        <f t="shared" si="47"/>
        <v>16039.941176470587</v>
      </c>
      <c r="F470" s="737">
        <f t="shared" si="40"/>
        <v>497238.17647058796</v>
      </c>
      <c r="G470" s="683">
        <f t="shared" si="41"/>
        <v>505258.14705882326</v>
      </c>
      <c r="H470" s="731">
        <f>+J445*G470+E470</f>
        <v>69356.210043475847</v>
      </c>
      <c r="I470" s="738">
        <f>+J446*G470+E470</f>
        <v>69356.210043475847</v>
      </c>
      <c r="J470" s="734">
        <f t="shared" si="42"/>
        <v>0</v>
      </c>
      <c r="K470" s="734"/>
      <c r="L470" s="739"/>
      <c r="M470" s="734">
        <f t="shared" si="43"/>
        <v>0</v>
      </c>
      <c r="N470" s="739"/>
      <c r="O470" s="734">
        <f t="shared" si="44"/>
        <v>0</v>
      </c>
      <c r="P470" s="734">
        <f t="shared" si="45"/>
        <v>0</v>
      </c>
      <c r="Q470" s="684"/>
    </row>
    <row r="471" spans="2:17">
      <c r="B471" s="337"/>
      <c r="C471" s="730">
        <f>IF(D444="","-",+C470+1)</f>
        <v>2034</v>
      </c>
      <c r="D471" s="683">
        <f t="shared" si="46"/>
        <v>497238.17647058796</v>
      </c>
      <c r="E471" s="737">
        <f t="shared" si="47"/>
        <v>16039.941176470587</v>
      </c>
      <c r="F471" s="737">
        <f t="shared" si="40"/>
        <v>481198.23529411736</v>
      </c>
      <c r="G471" s="683">
        <f t="shared" si="41"/>
        <v>489218.20588235266</v>
      </c>
      <c r="H471" s="731">
        <f>+J445*G471+E471</f>
        <v>67663.630079443945</v>
      </c>
      <c r="I471" s="738">
        <f>+J446*G471+E471</f>
        <v>67663.630079443945</v>
      </c>
      <c r="J471" s="734">
        <f t="shared" si="42"/>
        <v>0</v>
      </c>
      <c r="K471" s="734"/>
      <c r="L471" s="739"/>
      <c r="M471" s="734">
        <f t="shared" si="43"/>
        <v>0</v>
      </c>
      <c r="N471" s="739"/>
      <c r="O471" s="734">
        <f t="shared" si="44"/>
        <v>0</v>
      </c>
      <c r="P471" s="734">
        <f t="shared" si="45"/>
        <v>0</v>
      </c>
      <c r="Q471" s="684"/>
    </row>
    <row r="472" spans="2:17">
      <c r="B472" s="337"/>
      <c r="C472" s="730">
        <f>IF(D444="","-",+C471+1)</f>
        <v>2035</v>
      </c>
      <c r="D472" s="683">
        <f t="shared" si="46"/>
        <v>481198.23529411736</v>
      </c>
      <c r="E472" s="737">
        <f t="shared" si="47"/>
        <v>16039.941176470587</v>
      </c>
      <c r="F472" s="737">
        <f t="shared" si="40"/>
        <v>465158.29411764676</v>
      </c>
      <c r="G472" s="683">
        <f t="shared" si="41"/>
        <v>473178.26470588206</v>
      </c>
      <c r="H472" s="731">
        <f>+J445*G472+E472</f>
        <v>65971.050115412028</v>
      </c>
      <c r="I472" s="738">
        <f>+J446*G472+E472</f>
        <v>65971.050115412028</v>
      </c>
      <c r="J472" s="734">
        <f t="shared" si="42"/>
        <v>0</v>
      </c>
      <c r="K472" s="734"/>
      <c r="L472" s="739"/>
      <c r="M472" s="734">
        <f t="shared" si="43"/>
        <v>0</v>
      </c>
      <c r="N472" s="739"/>
      <c r="O472" s="734">
        <f t="shared" si="44"/>
        <v>0</v>
      </c>
      <c r="P472" s="734">
        <f t="shared" si="45"/>
        <v>0</v>
      </c>
      <c r="Q472" s="684"/>
    </row>
    <row r="473" spans="2:17">
      <c r="B473" s="337"/>
      <c r="C473" s="730">
        <f>IF(D444="","-",+C472+1)</f>
        <v>2036</v>
      </c>
      <c r="D473" s="683">
        <f t="shared" si="46"/>
        <v>465158.29411764676</v>
      </c>
      <c r="E473" s="737">
        <f t="shared" si="47"/>
        <v>16039.941176470587</v>
      </c>
      <c r="F473" s="737">
        <f t="shared" si="40"/>
        <v>449118.35294117616</v>
      </c>
      <c r="G473" s="683">
        <f t="shared" si="41"/>
        <v>457138.32352941146</v>
      </c>
      <c r="H473" s="731">
        <f>+J445*G473+E473</f>
        <v>64278.470151380112</v>
      </c>
      <c r="I473" s="738">
        <f>+J446*G473+E473</f>
        <v>64278.470151380112</v>
      </c>
      <c r="J473" s="734">
        <f t="shared" si="42"/>
        <v>0</v>
      </c>
      <c r="K473" s="734"/>
      <c r="L473" s="739"/>
      <c r="M473" s="734">
        <f t="shared" si="43"/>
        <v>0</v>
      </c>
      <c r="N473" s="739"/>
      <c r="O473" s="734">
        <f t="shared" si="44"/>
        <v>0</v>
      </c>
      <c r="P473" s="734">
        <f t="shared" si="45"/>
        <v>0</v>
      </c>
      <c r="Q473" s="684"/>
    </row>
    <row r="474" spans="2:17">
      <c r="B474" s="337"/>
      <c r="C474" s="730">
        <f>IF(D444="","-",+C473+1)</f>
        <v>2037</v>
      </c>
      <c r="D474" s="683">
        <f t="shared" si="46"/>
        <v>449118.35294117616</v>
      </c>
      <c r="E474" s="737">
        <f t="shared" si="47"/>
        <v>16039.941176470587</v>
      </c>
      <c r="F474" s="737">
        <f t="shared" si="40"/>
        <v>433078.41176470555</v>
      </c>
      <c r="G474" s="683">
        <f t="shared" si="41"/>
        <v>441098.38235294085</v>
      </c>
      <c r="H474" s="731">
        <f>+J445*G474+E474</f>
        <v>62585.890187348195</v>
      </c>
      <c r="I474" s="738">
        <f>+J446*G474+E474</f>
        <v>62585.890187348195</v>
      </c>
      <c r="J474" s="734">
        <f t="shared" si="42"/>
        <v>0</v>
      </c>
      <c r="K474" s="734"/>
      <c r="L474" s="739"/>
      <c r="M474" s="734">
        <f t="shared" si="43"/>
        <v>0</v>
      </c>
      <c r="N474" s="739"/>
      <c r="O474" s="734">
        <f t="shared" si="44"/>
        <v>0</v>
      </c>
      <c r="P474" s="734">
        <f t="shared" si="45"/>
        <v>0</v>
      </c>
      <c r="Q474" s="684"/>
    </row>
    <row r="475" spans="2:17">
      <c r="B475" s="337"/>
      <c r="C475" s="730">
        <f>IF(D444="","-",+C474+1)</f>
        <v>2038</v>
      </c>
      <c r="D475" s="683">
        <f t="shared" si="46"/>
        <v>433078.41176470555</v>
      </c>
      <c r="E475" s="737">
        <f t="shared" si="47"/>
        <v>16039.941176470587</v>
      </c>
      <c r="F475" s="737">
        <f t="shared" si="40"/>
        <v>417038.47058823495</v>
      </c>
      <c r="G475" s="683">
        <f t="shared" si="41"/>
        <v>425058.44117647025</v>
      </c>
      <c r="H475" s="731">
        <f>+J445*G475+E475</f>
        <v>60893.310223316279</v>
      </c>
      <c r="I475" s="738">
        <f>+J446*G475+E475</f>
        <v>60893.310223316279</v>
      </c>
      <c r="J475" s="734">
        <f t="shared" si="42"/>
        <v>0</v>
      </c>
      <c r="K475" s="734"/>
      <c r="L475" s="739"/>
      <c r="M475" s="734">
        <f t="shared" si="43"/>
        <v>0</v>
      </c>
      <c r="N475" s="739"/>
      <c r="O475" s="734">
        <f t="shared" si="44"/>
        <v>0</v>
      </c>
      <c r="P475" s="734">
        <f t="shared" si="45"/>
        <v>0</v>
      </c>
      <c r="Q475" s="684"/>
    </row>
    <row r="476" spans="2:17">
      <c r="B476" s="337"/>
      <c r="C476" s="730">
        <f>IF(D444="","-",+C475+1)</f>
        <v>2039</v>
      </c>
      <c r="D476" s="683">
        <f t="shared" si="46"/>
        <v>417038.47058823495</v>
      </c>
      <c r="E476" s="737">
        <f t="shared" si="47"/>
        <v>16039.941176470587</v>
      </c>
      <c r="F476" s="737">
        <f t="shared" si="40"/>
        <v>400998.52941176435</v>
      </c>
      <c r="G476" s="683">
        <f t="shared" si="41"/>
        <v>409018.49999999965</v>
      </c>
      <c r="H476" s="731">
        <f>+J445*G476+E476</f>
        <v>59200.730259284363</v>
      </c>
      <c r="I476" s="738">
        <f>+J446*G476+E476</f>
        <v>59200.730259284363</v>
      </c>
      <c r="J476" s="734">
        <f t="shared" si="42"/>
        <v>0</v>
      </c>
      <c r="K476" s="734"/>
      <c r="L476" s="739"/>
      <c r="M476" s="734">
        <f t="shared" si="43"/>
        <v>0</v>
      </c>
      <c r="N476" s="739"/>
      <c r="O476" s="734">
        <f t="shared" si="44"/>
        <v>0</v>
      </c>
      <c r="P476" s="734">
        <f t="shared" si="45"/>
        <v>0</v>
      </c>
      <c r="Q476" s="684"/>
    </row>
    <row r="477" spans="2:17">
      <c r="B477" s="337"/>
      <c r="C477" s="730">
        <f>IF(D444="","-",+C476+1)</f>
        <v>2040</v>
      </c>
      <c r="D477" s="683">
        <f t="shared" si="46"/>
        <v>400998.52941176435</v>
      </c>
      <c r="E477" s="737">
        <f t="shared" si="47"/>
        <v>16039.941176470587</v>
      </c>
      <c r="F477" s="737">
        <f t="shared" si="40"/>
        <v>384958.58823529375</v>
      </c>
      <c r="G477" s="683">
        <f t="shared" si="41"/>
        <v>392978.55882352905</v>
      </c>
      <c r="H477" s="731">
        <f>+J445*G477+E477</f>
        <v>57508.150295252446</v>
      </c>
      <c r="I477" s="738">
        <f>+J446*G477+E477</f>
        <v>57508.150295252446</v>
      </c>
      <c r="J477" s="734">
        <f t="shared" si="42"/>
        <v>0</v>
      </c>
      <c r="K477" s="734"/>
      <c r="L477" s="739"/>
      <c r="M477" s="734">
        <f t="shared" si="43"/>
        <v>0</v>
      </c>
      <c r="N477" s="739"/>
      <c r="O477" s="734">
        <f t="shared" si="44"/>
        <v>0</v>
      </c>
      <c r="P477" s="734">
        <f t="shared" si="45"/>
        <v>0</v>
      </c>
      <c r="Q477" s="684"/>
    </row>
    <row r="478" spans="2:17">
      <c r="B478" s="337"/>
      <c r="C478" s="730">
        <f>IF(D444="","-",+C477+1)</f>
        <v>2041</v>
      </c>
      <c r="D478" s="683">
        <f t="shared" si="46"/>
        <v>384958.58823529375</v>
      </c>
      <c r="E478" s="737">
        <f t="shared" si="47"/>
        <v>16039.941176470587</v>
      </c>
      <c r="F478" s="737">
        <f t="shared" si="40"/>
        <v>368918.64705882315</v>
      </c>
      <c r="G478" s="683">
        <f t="shared" si="41"/>
        <v>376938.61764705845</v>
      </c>
      <c r="H478" s="731">
        <f>+J445*G478+E478</f>
        <v>55815.57033122053</v>
      </c>
      <c r="I478" s="738">
        <f>+J446*G478+E478</f>
        <v>55815.57033122053</v>
      </c>
      <c r="J478" s="734">
        <f t="shared" si="42"/>
        <v>0</v>
      </c>
      <c r="K478" s="734"/>
      <c r="L478" s="739"/>
      <c r="M478" s="734">
        <f t="shared" si="43"/>
        <v>0</v>
      </c>
      <c r="N478" s="739"/>
      <c r="O478" s="734">
        <f t="shared" si="44"/>
        <v>0</v>
      </c>
      <c r="P478" s="734">
        <f t="shared" si="45"/>
        <v>0</v>
      </c>
      <c r="Q478" s="684"/>
    </row>
    <row r="479" spans="2:17">
      <c r="B479" s="337"/>
      <c r="C479" s="730">
        <f>IF(D444="","-",+C478+1)</f>
        <v>2042</v>
      </c>
      <c r="D479" s="683">
        <f t="shared" si="46"/>
        <v>368918.64705882315</v>
      </c>
      <c r="E479" s="737">
        <f t="shared" si="47"/>
        <v>16039.941176470587</v>
      </c>
      <c r="F479" s="737">
        <f t="shared" si="40"/>
        <v>352878.70588235254</v>
      </c>
      <c r="G479" s="683">
        <f t="shared" si="41"/>
        <v>360898.67647058784</v>
      </c>
      <c r="H479" s="731">
        <f>+J445*G479+E479</f>
        <v>54122.990367188613</v>
      </c>
      <c r="I479" s="738">
        <f>+J446*G479+E479</f>
        <v>54122.990367188613</v>
      </c>
      <c r="J479" s="734">
        <f t="shared" si="42"/>
        <v>0</v>
      </c>
      <c r="K479" s="734"/>
      <c r="L479" s="739"/>
      <c r="M479" s="734">
        <f t="shared" si="43"/>
        <v>0</v>
      </c>
      <c r="N479" s="739"/>
      <c r="O479" s="734">
        <f t="shared" si="44"/>
        <v>0</v>
      </c>
      <c r="P479" s="734">
        <f t="shared" si="45"/>
        <v>0</v>
      </c>
      <c r="Q479" s="684"/>
    </row>
    <row r="480" spans="2:17">
      <c r="B480" s="337"/>
      <c r="C480" s="730">
        <f>IF(D444="","-",+C479+1)</f>
        <v>2043</v>
      </c>
      <c r="D480" s="683">
        <f t="shared" si="46"/>
        <v>352878.70588235254</v>
      </c>
      <c r="E480" s="737">
        <f t="shared" si="47"/>
        <v>16039.941176470587</v>
      </c>
      <c r="F480" s="737">
        <f t="shared" si="40"/>
        <v>336838.76470588194</v>
      </c>
      <c r="G480" s="683">
        <f t="shared" si="41"/>
        <v>344858.73529411724</v>
      </c>
      <c r="H480" s="731">
        <f>+J445*G480+E480</f>
        <v>52430.410403156697</v>
      </c>
      <c r="I480" s="738">
        <f>+J446*G480+E480</f>
        <v>52430.410403156697</v>
      </c>
      <c r="J480" s="734">
        <f t="shared" si="42"/>
        <v>0</v>
      </c>
      <c r="K480" s="734"/>
      <c r="L480" s="739"/>
      <c r="M480" s="734">
        <f t="shared" si="43"/>
        <v>0</v>
      </c>
      <c r="N480" s="739"/>
      <c r="O480" s="734">
        <f t="shared" si="44"/>
        <v>0</v>
      </c>
      <c r="P480" s="734">
        <f t="shared" si="45"/>
        <v>0</v>
      </c>
      <c r="Q480" s="684"/>
    </row>
    <row r="481" spans="2:17">
      <c r="B481" s="337"/>
      <c r="C481" s="730">
        <f>IF(D444="","-",+C480+1)</f>
        <v>2044</v>
      </c>
      <c r="D481" s="683">
        <f t="shared" si="46"/>
        <v>336838.76470588194</v>
      </c>
      <c r="E481" s="737">
        <f t="shared" si="47"/>
        <v>16039.941176470587</v>
      </c>
      <c r="F481" s="737">
        <f t="shared" si="40"/>
        <v>320798.82352941134</v>
      </c>
      <c r="G481" s="683">
        <f t="shared" si="41"/>
        <v>328818.79411764664</v>
      </c>
      <c r="H481" s="731">
        <f>+J445*G481+E481</f>
        <v>50737.830439124788</v>
      </c>
      <c r="I481" s="738">
        <f>+J446*G481+E481</f>
        <v>50737.830439124788</v>
      </c>
      <c r="J481" s="734">
        <f t="shared" si="42"/>
        <v>0</v>
      </c>
      <c r="K481" s="734"/>
      <c r="L481" s="739"/>
      <c r="M481" s="734">
        <f t="shared" si="43"/>
        <v>0</v>
      </c>
      <c r="N481" s="739"/>
      <c r="O481" s="734">
        <f t="shared" si="44"/>
        <v>0</v>
      </c>
      <c r="P481" s="734">
        <f t="shared" si="45"/>
        <v>0</v>
      </c>
      <c r="Q481" s="684"/>
    </row>
    <row r="482" spans="2:17">
      <c r="B482" s="337"/>
      <c r="C482" s="730">
        <f>IF(D444="","-",+C481+1)</f>
        <v>2045</v>
      </c>
      <c r="D482" s="683">
        <f t="shared" si="46"/>
        <v>320798.82352941134</v>
      </c>
      <c r="E482" s="737">
        <f t="shared" si="47"/>
        <v>16039.941176470587</v>
      </c>
      <c r="F482" s="737">
        <f t="shared" si="40"/>
        <v>304758.88235294074</v>
      </c>
      <c r="G482" s="683">
        <f t="shared" si="41"/>
        <v>312778.85294117604</v>
      </c>
      <c r="H482" s="731">
        <f>+J445*G482+E482</f>
        <v>49045.250475092871</v>
      </c>
      <c r="I482" s="738">
        <f>+J446*G482+E482</f>
        <v>49045.250475092871</v>
      </c>
      <c r="J482" s="734">
        <f t="shared" si="42"/>
        <v>0</v>
      </c>
      <c r="K482" s="734"/>
      <c r="L482" s="739"/>
      <c r="M482" s="734">
        <f t="shared" si="43"/>
        <v>0</v>
      </c>
      <c r="N482" s="739"/>
      <c r="O482" s="734">
        <f t="shared" si="44"/>
        <v>0</v>
      </c>
      <c r="P482" s="734">
        <f t="shared" si="45"/>
        <v>0</v>
      </c>
      <c r="Q482" s="684"/>
    </row>
    <row r="483" spans="2:17">
      <c r="B483" s="337"/>
      <c r="C483" s="730">
        <f>IF(D444="","-",+C482+1)</f>
        <v>2046</v>
      </c>
      <c r="D483" s="683">
        <f t="shared" si="46"/>
        <v>304758.88235294074</v>
      </c>
      <c r="E483" s="737">
        <f t="shared" si="47"/>
        <v>16039.941176470587</v>
      </c>
      <c r="F483" s="737">
        <f t="shared" si="40"/>
        <v>288718.94117647014</v>
      </c>
      <c r="G483" s="683">
        <f t="shared" si="41"/>
        <v>296738.91176470544</v>
      </c>
      <c r="H483" s="731">
        <f>+J445*G483+E483</f>
        <v>47352.670511060955</v>
      </c>
      <c r="I483" s="738">
        <f>+J446*G483+E483</f>
        <v>47352.670511060955</v>
      </c>
      <c r="J483" s="734">
        <f t="shared" si="42"/>
        <v>0</v>
      </c>
      <c r="K483" s="734"/>
      <c r="L483" s="739"/>
      <c r="M483" s="734">
        <f t="shared" si="43"/>
        <v>0</v>
      </c>
      <c r="N483" s="739"/>
      <c r="O483" s="734">
        <f t="shared" si="44"/>
        <v>0</v>
      </c>
      <c r="P483" s="734">
        <f t="shared" si="45"/>
        <v>0</v>
      </c>
      <c r="Q483" s="684"/>
    </row>
    <row r="484" spans="2:17">
      <c r="B484" s="337"/>
      <c r="C484" s="730">
        <f>IF(D444="","-",+C483+1)</f>
        <v>2047</v>
      </c>
      <c r="D484" s="683">
        <f t="shared" si="46"/>
        <v>288718.94117647014</v>
      </c>
      <c r="E484" s="737">
        <f t="shared" si="47"/>
        <v>16039.941176470587</v>
      </c>
      <c r="F484" s="737">
        <f t="shared" si="40"/>
        <v>272678.99999999953</v>
      </c>
      <c r="G484" s="683">
        <f t="shared" si="41"/>
        <v>280698.97058823484</v>
      </c>
      <c r="H484" s="731">
        <f>+J445*G484+E484</f>
        <v>45660.090547029038</v>
      </c>
      <c r="I484" s="738">
        <f>+J446*G484+E484</f>
        <v>45660.090547029038</v>
      </c>
      <c r="J484" s="734">
        <f t="shared" si="42"/>
        <v>0</v>
      </c>
      <c r="K484" s="734"/>
      <c r="L484" s="739"/>
      <c r="M484" s="734">
        <f t="shared" si="43"/>
        <v>0</v>
      </c>
      <c r="N484" s="739"/>
      <c r="O484" s="734">
        <f t="shared" si="44"/>
        <v>0</v>
      </c>
      <c r="P484" s="734">
        <f t="shared" si="45"/>
        <v>0</v>
      </c>
      <c r="Q484" s="684"/>
    </row>
    <row r="485" spans="2:17">
      <c r="B485" s="337"/>
      <c r="C485" s="730">
        <f>IF(D444="","-",+C484+1)</f>
        <v>2048</v>
      </c>
      <c r="D485" s="683">
        <f t="shared" si="46"/>
        <v>272678.99999999953</v>
      </c>
      <c r="E485" s="737">
        <f t="shared" si="47"/>
        <v>16039.941176470587</v>
      </c>
      <c r="F485" s="737">
        <f t="shared" si="40"/>
        <v>256639.05882352893</v>
      </c>
      <c r="G485" s="683">
        <f t="shared" si="41"/>
        <v>264659.02941176423</v>
      </c>
      <c r="H485" s="731">
        <f>+J445*G485+E485</f>
        <v>43967.510582997122</v>
      </c>
      <c r="I485" s="738">
        <f>+J446*G485+E485</f>
        <v>43967.510582997122</v>
      </c>
      <c r="J485" s="734">
        <f t="shared" si="42"/>
        <v>0</v>
      </c>
      <c r="K485" s="734"/>
      <c r="L485" s="739"/>
      <c r="M485" s="734">
        <f t="shared" si="43"/>
        <v>0</v>
      </c>
      <c r="N485" s="739"/>
      <c r="O485" s="734">
        <f t="shared" si="44"/>
        <v>0</v>
      </c>
      <c r="P485" s="734">
        <f t="shared" si="45"/>
        <v>0</v>
      </c>
      <c r="Q485" s="684"/>
    </row>
    <row r="486" spans="2:17">
      <c r="B486" s="337"/>
      <c r="C486" s="730">
        <f>IF(D444="","-",+C485+1)</f>
        <v>2049</v>
      </c>
      <c r="D486" s="683">
        <f t="shared" si="46"/>
        <v>256639.05882352893</v>
      </c>
      <c r="E486" s="737">
        <f t="shared" si="47"/>
        <v>16039.941176470587</v>
      </c>
      <c r="F486" s="737">
        <f t="shared" si="40"/>
        <v>240599.11764705833</v>
      </c>
      <c r="G486" s="683">
        <f t="shared" si="41"/>
        <v>248619.08823529363</v>
      </c>
      <c r="H486" s="731">
        <f>+J445*G486+E486</f>
        <v>42274.930618965205</v>
      </c>
      <c r="I486" s="738">
        <f>+J446*G486+E486</f>
        <v>42274.930618965205</v>
      </c>
      <c r="J486" s="734">
        <f t="shared" si="42"/>
        <v>0</v>
      </c>
      <c r="K486" s="734"/>
      <c r="L486" s="739"/>
      <c r="M486" s="734">
        <f t="shared" si="43"/>
        <v>0</v>
      </c>
      <c r="N486" s="739"/>
      <c r="O486" s="734">
        <f t="shared" si="44"/>
        <v>0</v>
      </c>
      <c r="P486" s="734">
        <f t="shared" si="45"/>
        <v>0</v>
      </c>
      <c r="Q486" s="684"/>
    </row>
    <row r="487" spans="2:17">
      <c r="B487" s="337"/>
      <c r="C487" s="730">
        <f>IF(D444="","-",+C486+1)</f>
        <v>2050</v>
      </c>
      <c r="D487" s="683">
        <f t="shared" si="46"/>
        <v>240599.11764705833</v>
      </c>
      <c r="E487" s="737">
        <f t="shared" si="47"/>
        <v>16039.941176470587</v>
      </c>
      <c r="F487" s="737">
        <f t="shared" si="40"/>
        <v>224559.17647058773</v>
      </c>
      <c r="G487" s="683">
        <f t="shared" si="41"/>
        <v>232579.14705882303</v>
      </c>
      <c r="H487" s="731">
        <f>+J445*G487+E487</f>
        <v>40582.350654933296</v>
      </c>
      <c r="I487" s="738">
        <f>+J446*G487+E487</f>
        <v>40582.350654933296</v>
      </c>
      <c r="J487" s="734">
        <f t="shared" si="42"/>
        <v>0</v>
      </c>
      <c r="K487" s="734"/>
      <c r="L487" s="739"/>
      <c r="M487" s="734">
        <f t="shared" si="43"/>
        <v>0</v>
      </c>
      <c r="N487" s="739"/>
      <c r="O487" s="734">
        <f t="shared" si="44"/>
        <v>0</v>
      </c>
      <c r="P487" s="734">
        <f t="shared" si="45"/>
        <v>0</v>
      </c>
      <c r="Q487" s="684"/>
    </row>
    <row r="488" spans="2:17">
      <c r="B488" s="337"/>
      <c r="C488" s="730">
        <f>IF(D444="","-",+C487+1)</f>
        <v>2051</v>
      </c>
      <c r="D488" s="683">
        <f t="shared" si="46"/>
        <v>224559.17647058773</v>
      </c>
      <c r="E488" s="737">
        <f t="shared" si="47"/>
        <v>16039.941176470587</v>
      </c>
      <c r="F488" s="737">
        <f t="shared" si="40"/>
        <v>208519.23529411713</v>
      </c>
      <c r="G488" s="683">
        <f t="shared" si="41"/>
        <v>216539.20588235243</v>
      </c>
      <c r="H488" s="731">
        <f>+J445*G488+E488</f>
        <v>38889.77069090138</v>
      </c>
      <c r="I488" s="738">
        <f>+J446*G488+E488</f>
        <v>38889.77069090138</v>
      </c>
      <c r="J488" s="734">
        <f t="shared" si="42"/>
        <v>0</v>
      </c>
      <c r="K488" s="734"/>
      <c r="L488" s="739"/>
      <c r="M488" s="734">
        <f t="shared" si="43"/>
        <v>0</v>
      </c>
      <c r="N488" s="739"/>
      <c r="O488" s="734">
        <f t="shared" si="44"/>
        <v>0</v>
      </c>
      <c r="P488" s="734">
        <f t="shared" si="45"/>
        <v>0</v>
      </c>
      <c r="Q488" s="684"/>
    </row>
    <row r="489" spans="2:17">
      <c r="B489" s="337"/>
      <c r="C489" s="730">
        <f>IF(D444="","-",+C488+1)</f>
        <v>2052</v>
      </c>
      <c r="D489" s="683">
        <f t="shared" si="46"/>
        <v>208519.23529411713</v>
      </c>
      <c r="E489" s="737">
        <f t="shared" si="47"/>
        <v>16039.941176470587</v>
      </c>
      <c r="F489" s="737">
        <f t="shared" si="40"/>
        <v>192479.29411764652</v>
      </c>
      <c r="G489" s="683">
        <f t="shared" si="41"/>
        <v>200499.26470588183</v>
      </c>
      <c r="H489" s="731">
        <f>+J445*G489+E489</f>
        <v>37197.190726869463</v>
      </c>
      <c r="I489" s="738">
        <f>+J446*G489+E489</f>
        <v>37197.190726869463</v>
      </c>
      <c r="J489" s="734">
        <f t="shared" si="42"/>
        <v>0</v>
      </c>
      <c r="K489" s="734"/>
      <c r="L489" s="739"/>
      <c r="M489" s="734">
        <f t="shared" si="43"/>
        <v>0</v>
      </c>
      <c r="N489" s="739"/>
      <c r="O489" s="734">
        <f t="shared" si="44"/>
        <v>0</v>
      </c>
      <c r="P489" s="734">
        <f t="shared" si="45"/>
        <v>0</v>
      </c>
      <c r="Q489" s="684"/>
    </row>
    <row r="490" spans="2:17">
      <c r="B490" s="337"/>
      <c r="C490" s="730">
        <f>IF(D444="","-",+C489+1)</f>
        <v>2053</v>
      </c>
      <c r="D490" s="683">
        <f t="shared" si="46"/>
        <v>192479.29411764652</v>
      </c>
      <c r="E490" s="737">
        <f t="shared" si="47"/>
        <v>16039.941176470587</v>
      </c>
      <c r="F490" s="737">
        <f t="shared" si="40"/>
        <v>176439.35294117592</v>
      </c>
      <c r="G490" s="683">
        <f t="shared" si="41"/>
        <v>184459.32352941122</v>
      </c>
      <c r="H490" s="731">
        <f>+J445*G490+E490</f>
        <v>35504.610762837547</v>
      </c>
      <c r="I490" s="738">
        <f>+J446*G490+E490</f>
        <v>35504.610762837547</v>
      </c>
      <c r="J490" s="734">
        <f t="shared" si="42"/>
        <v>0</v>
      </c>
      <c r="K490" s="734"/>
      <c r="L490" s="739"/>
      <c r="M490" s="734">
        <f t="shared" si="43"/>
        <v>0</v>
      </c>
      <c r="N490" s="739"/>
      <c r="O490" s="734">
        <f t="shared" si="44"/>
        <v>0</v>
      </c>
      <c r="P490" s="734">
        <f t="shared" si="45"/>
        <v>0</v>
      </c>
      <c r="Q490" s="684"/>
    </row>
    <row r="491" spans="2:17">
      <c r="B491" s="337"/>
      <c r="C491" s="730">
        <f>IF(D444="","-",+C490+1)</f>
        <v>2054</v>
      </c>
      <c r="D491" s="683">
        <f t="shared" si="46"/>
        <v>176439.35294117592</v>
      </c>
      <c r="E491" s="737">
        <f t="shared" si="47"/>
        <v>16039.941176470587</v>
      </c>
      <c r="F491" s="737">
        <f t="shared" si="40"/>
        <v>160399.41176470532</v>
      </c>
      <c r="G491" s="683">
        <f t="shared" si="41"/>
        <v>168419.38235294062</v>
      </c>
      <c r="H491" s="731">
        <f>+J445*G491+E491</f>
        <v>33812.03079880563</v>
      </c>
      <c r="I491" s="738">
        <f>+J446*G491+E491</f>
        <v>33812.03079880563</v>
      </c>
      <c r="J491" s="734">
        <f t="shared" si="42"/>
        <v>0</v>
      </c>
      <c r="K491" s="734"/>
      <c r="L491" s="739"/>
      <c r="M491" s="734">
        <f t="shared" si="43"/>
        <v>0</v>
      </c>
      <c r="N491" s="739"/>
      <c r="O491" s="734">
        <f t="shared" si="44"/>
        <v>0</v>
      </c>
      <c r="P491" s="734">
        <f t="shared" si="45"/>
        <v>0</v>
      </c>
      <c r="Q491" s="684"/>
    </row>
    <row r="492" spans="2:17">
      <c r="B492" s="337"/>
      <c r="C492" s="730">
        <f>IF(D444="","-",+C491+1)</f>
        <v>2055</v>
      </c>
      <c r="D492" s="683">
        <f t="shared" si="46"/>
        <v>160399.41176470532</v>
      </c>
      <c r="E492" s="737">
        <f t="shared" si="47"/>
        <v>16039.941176470587</v>
      </c>
      <c r="F492" s="737">
        <f t="shared" si="40"/>
        <v>144359.47058823472</v>
      </c>
      <c r="G492" s="683">
        <f t="shared" si="41"/>
        <v>152379.44117647002</v>
      </c>
      <c r="H492" s="731">
        <f>+J445*G492+E492</f>
        <v>32119.450834773714</v>
      </c>
      <c r="I492" s="738">
        <f>+J446*G492+E492</f>
        <v>32119.450834773714</v>
      </c>
      <c r="J492" s="734">
        <f t="shared" si="42"/>
        <v>0</v>
      </c>
      <c r="K492" s="734"/>
      <c r="L492" s="739"/>
      <c r="M492" s="734">
        <f t="shared" si="43"/>
        <v>0</v>
      </c>
      <c r="N492" s="739"/>
      <c r="O492" s="734">
        <f t="shared" si="44"/>
        <v>0</v>
      </c>
      <c r="P492" s="734">
        <f t="shared" si="45"/>
        <v>0</v>
      </c>
      <c r="Q492" s="684"/>
    </row>
    <row r="493" spans="2:17">
      <c r="B493" s="337"/>
      <c r="C493" s="730">
        <f>IF(D444="","-",+C492+1)</f>
        <v>2056</v>
      </c>
      <c r="D493" s="683">
        <f t="shared" si="46"/>
        <v>144359.47058823472</v>
      </c>
      <c r="E493" s="737">
        <f t="shared" si="47"/>
        <v>16039.941176470587</v>
      </c>
      <c r="F493" s="737">
        <f t="shared" si="40"/>
        <v>128319.52941176413</v>
      </c>
      <c r="G493" s="683">
        <f t="shared" si="41"/>
        <v>136339.49999999942</v>
      </c>
      <c r="H493" s="731">
        <f>+J445*G493+E493</f>
        <v>30426.870870741797</v>
      </c>
      <c r="I493" s="738">
        <f>+J446*G493+E493</f>
        <v>30426.870870741797</v>
      </c>
      <c r="J493" s="734">
        <f t="shared" si="42"/>
        <v>0</v>
      </c>
      <c r="K493" s="734"/>
      <c r="L493" s="739"/>
      <c r="M493" s="734">
        <f t="shared" si="43"/>
        <v>0</v>
      </c>
      <c r="N493" s="739"/>
      <c r="O493" s="734">
        <f t="shared" si="44"/>
        <v>0</v>
      </c>
      <c r="P493" s="734">
        <f t="shared" si="45"/>
        <v>0</v>
      </c>
      <c r="Q493" s="684"/>
    </row>
    <row r="494" spans="2:17">
      <c r="B494" s="337"/>
      <c r="C494" s="730">
        <f>IF(D444="","-",+C493+1)</f>
        <v>2057</v>
      </c>
      <c r="D494" s="683">
        <f t="shared" si="46"/>
        <v>128319.52941176413</v>
      </c>
      <c r="E494" s="737">
        <f t="shared" si="47"/>
        <v>16039.941176470587</v>
      </c>
      <c r="F494" s="737">
        <f t="shared" si="40"/>
        <v>112279.58823529354</v>
      </c>
      <c r="G494" s="683">
        <f t="shared" si="41"/>
        <v>120299.55882352885</v>
      </c>
      <c r="H494" s="731">
        <f>+J445*G494+E494</f>
        <v>28734.290906709884</v>
      </c>
      <c r="I494" s="738">
        <f>+J446*G494+E494</f>
        <v>28734.290906709884</v>
      </c>
      <c r="J494" s="734">
        <f t="shared" si="42"/>
        <v>0</v>
      </c>
      <c r="K494" s="734"/>
      <c r="L494" s="739"/>
      <c r="M494" s="734">
        <f t="shared" si="43"/>
        <v>0</v>
      </c>
      <c r="N494" s="739"/>
      <c r="O494" s="734">
        <f t="shared" si="44"/>
        <v>0</v>
      </c>
      <c r="P494" s="734">
        <f t="shared" si="45"/>
        <v>0</v>
      </c>
      <c r="Q494" s="684"/>
    </row>
    <row r="495" spans="2:17">
      <c r="B495" s="337"/>
      <c r="C495" s="730">
        <f>IF(D444="","-",+C494+1)</f>
        <v>2058</v>
      </c>
      <c r="D495" s="683">
        <f t="shared" si="46"/>
        <v>112279.58823529354</v>
      </c>
      <c r="E495" s="737">
        <f t="shared" si="47"/>
        <v>16039.941176470587</v>
      </c>
      <c r="F495" s="737">
        <f t="shared" si="40"/>
        <v>96239.647058822957</v>
      </c>
      <c r="G495" s="683">
        <f t="shared" si="41"/>
        <v>104259.61764705824</v>
      </c>
      <c r="H495" s="731">
        <f>+J445*G495+E495</f>
        <v>27041.710942677968</v>
      </c>
      <c r="I495" s="738">
        <f>+J446*G495+E495</f>
        <v>27041.710942677968</v>
      </c>
      <c r="J495" s="734">
        <f t="shared" si="42"/>
        <v>0</v>
      </c>
      <c r="K495" s="734"/>
      <c r="L495" s="739"/>
      <c r="M495" s="734">
        <f t="shared" si="43"/>
        <v>0</v>
      </c>
      <c r="N495" s="739"/>
      <c r="O495" s="734">
        <f t="shared" si="44"/>
        <v>0</v>
      </c>
      <c r="P495" s="734">
        <f t="shared" si="45"/>
        <v>0</v>
      </c>
      <c r="Q495" s="684"/>
    </row>
    <row r="496" spans="2:17">
      <c r="B496" s="337"/>
      <c r="C496" s="730">
        <f>IF(D444="","-",+C495+1)</f>
        <v>2059</v>
      </c>
      <c r="D496" s="683">
        <f t="shared" si="46"/>
        <v>96239.647058822957</v>
      </c>
      <c r="E496" s="737">
        <f t="shared" si="47"/>
        <v>16039.941176470587</v>
      </c>
      <c r="F496" s="737">
        <f t="shared" si="40"/>
        <v>80199.705882352369</v>
      </c>
      <c r="G496" s="683">
        <f t="shared" si="41"/>
        <v>88219.67647058767</v>
      </c>
      <c r="H496" s="731">
        <f>+J445*G496+E496</f>
        <v>25349.130978646055</v>
      </c>
      <c r="I496" s="738">
        <f>+J446*G496+E496</f>
        <v>25349.130978646055</v>
      </c>
      <c r="J496" s="734">
        <f t="shared" si="42"/>
        <v>0</v>
      </c>
      <c r="K496" s="734"/>
      <c r="L496" s="739"/>
      <c r="M496" s="734">
        <f t="shared" si="43"/>
        <v>0</v>
      </c>
      <c r="N496" s="739"/>
      <c r="O496" s="734">
        <f t="shared" si="44"/>
        <v>0</v>
      </c>
      <c r="P496" s="734">
        <f t="shared" si="45"/>
        <v>0</v>
      </c>
      <c r="Q496" s="684"/>
    </row>
    <row r="497" spans="2:17">
      <c r="B497" s="337"/>
      <c r="C497" s="730">
        <f>IF(D444="","-",+C496+1)</f>
        <v>2060</v>
      </c>
      <c r="D497" s="683">
        <f t="shared" si="46"/>
        <v>80199.705882352369</v>
      </c>
      <c r="E497" s="737">
        <f t="shared" si="47"/>
        <v>16039.941176470587</v>
      </c>
      <c r="F497" s="737">
        <f t="shared" si="40"/>
        <v>64159.764705881782</v>
      </c>
      <c r="G497" s="683">
        <f t="shared" si="41"/>
        <v>72179.735294117068</v>
      </c>
      <c r="H497" s="731">
        <f>+J445*G497+E497</f>
        <v>23656.551014614139</v>
      </c>
      <c r="I497" s="738">
        <f>+J446*G497+E497</f>
        <v>23656.551014614139</v>
      </c>
      <c r="J497" s="734">
        <f t="shared" si="42"/>
        <v>0</v>
      </c>
      <c r="K497" s="734"/>
      <c r="L497" s="739"/>
      <c r="M497" s="734">
        <f t="shared" si="43"/>
        <v>0</v>
      </c>
      <c r="N497" s="739"/>
      <c r="O497" s="734">
        <f t="shared" si="44"/>
        <v>0</v>
      </c>
      <c r="P497" s="734">
        <f t="shared" si="45"/>
        <v>0</v>
      </c>
      <c r="Q497" s="684"/>
    </row>
    <row r="498" spans="2:17">
      <c r="B498" s="337"/>
      <c r="C498" s="730">
        <f>IF(D444="","-",+C497+1)</f>
        <v>2061</v>
      </c>
      <c r="D498" s="683">
        <f t="shared" si="46"/>
        <v>64159.764705881782</v>
      </c>
      <c r="E498" s="737">
        <f t="shared" si="47"/>
        <v>16039.941176470587</v>
      </c>
      <c r="F498" s="737">
        <f t="shared" si="40"/>
        <v>48119.823529411195</v>
      </c>
      <c r="G498" s="683">
        <f t="shared" si="41"/>
        <v>56139.794117646488</v>
      </c>
      <c r="H498" s="731">
        <f>+J445*G498+E498</f>
        <v>21963.971050582226</v>
      </c>
      <c r="I498" s="738">
        <f>+J446*G498+E498</f>
        <v>21963.971050582226</v>
      </c>
      <c r="J498" s="734">
        <f t="shared" si="42"/>
        <v>0</v>
      </c>
      <c r="K498" s="734"/>
      <c r="L498" s="739"/>
      <c r="M498" s="734">
        <f t="shared" si="43"/>
        <v>0</v>
      </c>
      <c r="N498" s="739"/>
      <c r="O498" s="734">
        <f t="shared" si="44"/>
        <v>0</v>
      </c>
      <c r="P498" s="734">
        <f t="shared" si="45"/>
        <v>0</v>
      </c>
      <c r="Q498" s="684"/>
    </row>
    <row r="499" spans="2:17">
      <c r="B499" s="337"/>
      <c r="C499" s="730">
        <f>IF(D444="","-",+C498+1)</f>
        <v>2062</v>
      </c>
      <c r="D499" s="683">
        <f t="shared" si="46"/>
        <v>48119.823529411195</v>
      </c>
      <c r="E499" s="737">
        <f t="shared" si="47"/>
        <v>16039.941176470587</v>
      </c>
      <c r="F499" s="737">
        <f t="shared" si="40"/>
        <v>32079.882352940607</v>
      </c>
      <c r="G499" s="683">
        <f t="shared" si="41"/>
        <v>40099.852941175901</v>
      </c>
      <c r="H499" s="731">
        <f>+J445*G499+E499</f>
        <v>20271.391086550313</v>
      </c>
      <c r="I499" s="738">
        <f>+J446*G499+E499</f>
        <v>20271.391086550313</v>
      </c>
      <c r="J499" s="734">
        <f t="shared" si="42"/>
        <v>0</v>
      </c>
      <c r="K499" s="734"/>
      <c r="L499" s="739"/>
      <c r="M499" s="734">
        <f t="shared" si="43"/>
        <v>0</v>
      </c>
      <c r="N499" s="739"/>
      <c r="O499" s="734">
        <f t="shared" si="44"/>
        <v>0</v>
      </c>
      <c r="P499" s="734">
        <f t="shared" si="45"/>
        <v>0</v>
      </c>
      <c r="Q499" s="684"/>
    </row>
    <row r="500" spans="2:17">
      <c r="B500" s="337"/>
      <c r="C500" s="730">
        <f>IF(D444="","-",+C499+1)</f>
        <v>2063</v>
      </c>
      <c r="D500" s="683">
        <f t="shared" si="46"/>
        <v>32079.882352940607</v>
      </c>
      <c r="E500" s="737">
        <f t="shared" si="47"/>
        <v>16039.941176470587</v>
      </c>
      <c r="F500" s="737">
        <f t="shared" si="40"/>
        <v>16039.94117647002</v>
      </c>
      <c r="G500" s="683">
        <f t="shared" si="41"/>
        <v>24059.911764705314</v>
      </c>
      <c r="H500" s="731">
        <f>+J445*G500+E500</f>
        <v>18578.8111225184</v>
      </c>
      <c r="I500" s="738">
        <f>+J446*G500+E500</f>
        <v>18578.8111225184</v>
      </c>
      <c r="J500" s="734">
        <f t="shared" si="42"/>
        <v>0</v>
      </c>
      <c r="K500" s="734"/>
      <c r="L500" s="739"/>
      <c r="M500" s="734">
        <f t="shared" si="43"/>
        <v>0</v>
      </c>
      <c r="N500" s="739"/>
      <c r="O500" s="734">
        <f t="shared" si="44"/>
        <v>0</v>
      </c>
      <c r="P500" s="734">
        <f t="shared" si="45"/>
        <v>0</v>
      </c>
      <c r="Q500" s="684"/>
    </row>
    <row r="501" spans="2:17">
      <c r="B501" s="337"/>
      <c r="C501" s="730">
        <f>IF(D444="","-",+C500+1)</f>
        <v>2064</v>
      </c>
      <c r="D501" s="683">
        <f t="shared" si="46"/>
        <v>16039.94117647002</v>
      </c>
      <c r="E501" s="737">
        <f t="shared" si="47"/>
        <v>16039.94117647002</v>
      </c>
      <c r="F501" s="737">
        <f t="shared" si="40"/>
        <v>0</v>
      </c>
      <c r="G501" s="683">
        <f t="shared" si="41"/>
        <v>8019.9705882350099</v>
      </c>
      <c r="H501" s="731">
        <f>+J445*G501+E501</f>
        <v>16886.231158485945</v>
      </c>
      <c r="I501" s="738">
        <f>+J446*G501+E501</f>
        <v>16886.231158485945</v>
      </c>
      <c r="J501" s="734">
        <f t="shared" si="42"/>
        <v>0</v>
      </c>
      <c r="K501" s="734"/>
      <c r="L501" s="739"/>
      <c r="M501" s="734">
        <f t="shared" si="43"/>
        <v>0</v>
      </c>
      <c r="N501" s="739"/>
      <c r="O501" s="734">
        <f t="shared" si="44"/>
        <v>0</v>
      </c>
      <c r="P501" s="734">
        <f t="shared" si="45"/>
        <v>0</v>
      </c>
      <c r="Q501" s="684"/>
    </row>
    <row r="502" spans="2:17">
      <c r="B502" s="337"/>
      <c r="C502" s="730">
        <f>IF(D444="","-",+C501+1)</f>
        <v>2065</v>
      </c>
      <c r="D502" s="683">
        <f t="shared" si="46"/>
        <v>0</v>
      </c>
      <c r="E502" s="737">
        <f t="shared" si="47"/>
        <v>0</v>
      </c>
      <c r="F502" s="737">
        <f t="shared" si="40"/>
        <v>0</v>
      </c>
      <c r="G502" s="683">
        <f t="shared" si="41"/>
        <v>0</v>
      </c>
      <c r="H502" s="731">
        <f>+J445*G502+E502</f>
        <v>0</v>
      </c>
      <c r="I502" s="738">
        <f>+J446*G502+E502</f>
        <v>0</v>
      </c>
      <c r="J502" s="734">
        <f t="shared" si="42"/>
        <v>0</v>
      </c>
      <c r="K502" s="734"/>
      <c r="L502" s="739"/>
      <c r="M502" s="734">
        <f t="shared" si="43"/>
        <v>0</v>
      </c>
      <c r="N502" s="739"/>
      <c r="O502" s="734">
        <f t="shared" si="44"/>
        <v>0</v>
      </c>
      <c r="P502" s="734">
        <f t="shared" si="45"/>
        <v>0</v>
      </c>
      <c r="Q502" s="684"/>
    </row>
    <row r="503" spans="2:17">
      <c r="B503" s="337"/>
      <c r="C503" s="730">
        <f>IF(D444="","-",+C502+1)</f>
        <v>2066</v>
      </c>
      <c r="D503" s="683">
        <f t="shared" si="46"/>
        <v>0</v>
      </c>
      <c r="E503" s="737">
        <f t="shared" si="47"/>
        <v>0</v>
      </c>
      <c r="F503" s="737">
        <f t="shared" si="40"/>
        <v>0</v>
      </c>
      <c r="G503" s="683">
        <f t="shared" si="41"/>
        <v>0</v>
      </c>
      <c r="H503" s="731">
        <f>+J445*G503+E503</f>
        <v>0</v>
      </c>
      <c r="I503" s="738">
        <f>+J446*G503+E503</f>
        <v>0</v>
      </c>
      <c r="J503" s="734">
        <f t="shared" si="42"/>
        <v>0</v>
      </c>
      <c r="K503" s="734"/>
      <c r="L503" s="739"/>
      <c r="M503" s="734">
        <f t="shared" si="43"/>
        <v>0</v>
      </c>
      <c r="N503" s="739"/>
      <c r="O503" s="734">
        <f t="shared" si="44"/>
        <v>0</v>
      </c>
      <c r="P503" s="734">
        <f t="shared" si="45"/>
        <v>0</v>
      </c>
      <c r="Q503" s="684"/>
    </row>
    <row r="504" spans="2:17">
      <c r="B504" s="337"/>
      <c r="C504" s="730">
        <f>IF(D444="","-",+C503+1)</f>
        <v>2067</v>
      </c>
      <c r="D504" s="683">
        <f t="shared" si="46"/>
        <v>0</v>
      </c>
      <c r="E504" s="737">
        <f t="shared" si="47"/>
        <v>0</v>
      </c>
      <c r="F504" s="737">
        <f t="shared" si="40"/>
        <v>0</v>
      </c>
      <c r="G504" s="683">
        <f t="shared" si="41"/>
        <v>0</v>
      </c>
      <c r="H504" s="731">
        <f>+J445*G504+E504</f>
        <v>0</v>
      </c>
      <c r="I504" s="738">
        <f>+J446*G504+E504</f>
        <v>0</v>
      </c>
      <c r="J504" s="734">
        <f t="shared" si="42"/>
        <v>0</v>
      </c>
      <c r="K504" s="734"/>
      <c r="L504" s="739"/>
      <c r="M504" s="734">
        <f t="shared" si="43"/>
        <v>0</v>
      </c>
      <c r="N504" s="739"/>
      <c r="O504" s="734">
        <f t="shared" si="44"/>
        <v>0</v>
      </c>
      <c r="P504" s="734">
        <f t="shared" si="45"/>
        <v>0</v>
      </c>
      <c r="Q504" s="684"/>
    </row>
    <row r="505" spans="2:17">
      <c r="B505" s="337"/>
      <c r="C505" s="730">
        <f>IF(D444="","-",+C504+1)</f>
        <v>2068</v>
      </c>
      <c r="D505" s="683">
        <f t="shared" si="46"/>
        <v>0</v>
      </c>
      <c r="E505" s="737">
        <f t="shared" si="47"/>
        <v>0</v>
      </c>
      <c r="F505" s="737">
        <f t="shared" si="40"/>
        <v>0</v>
      </c>
      <c r="G505" s="683">
        <f t="shared" si="41"/>
        <v>0</v>
      </c>
      <c r="H505" s="731">
        <f>+J445*G505+E505</f>
        <v>0</v>
      </c>
      <c r="I505" s="738">
        <f>+J446*G505+E505</f>
        <v>0</v>
      </c>
      <c r="J505" s="734">
        <f t="shared" si="42"/>
        <v>0</v>
      </c>
      <c r="K505" s="734"/>
      <c r="L505" s="739"/>
      <c r="M505" s="734">
        <f t="shared" si="43"/>
        <v>0</v>
      </c>
      <c r="N505" s="739"/>
      <c r="O505" s="734">
        <f t="shared" si="44"/>
        <v>0</v>
      </c>
      <c r="P505" s="734">
        <f t="shared" si="45"/>
        <v>0</v>
      </c>
      <c r="Q505" s="684"/>
    </row>
    <row r="506" spans="2:17">
      <c r="B506" s="337"/>
      <c r="C506" s="730">
        <f>IF(D444="","-",+C505+1)</f>
        <v>2069</v>
      </c>
      <c r="D506" s="683">
        <f t="shared" si="46"/>
        <v>0</v>
      </c>
      <c r="E506" s="737">
        <f t="shared" si="47"/>
        <v>0</v>
      </c>
      <c r="F506" s="737">
        <f t="shared" si="40"/>
        <v>0</v>
      </c>
      <c r="G506" s="683">
        <f t="shared" si="41"/>
        <v>0</v>
      </c>
      <c r="H506" s="731">
        <f>+J445*G506+E506</f>
        <v>0</v>
      </c>
      <c r="I506" s="738">
        <f>+J446*G506+E506</f>
        <v>0</v>
      </c>
      <c r="J506" s="734">
        <f t="shared" si="42"/>
        <v>0</v>
      </c>
      <c r="K506" s="734"/>
      <c r="L506" s="739"/>
      <c r="M506" s="734">
        <f t="shared" si="43"/>
        <v>0</v>
      </c>
      <c r="N506" s="739"/>
      <c r="O506" s="734">
        <f t="shared" si="44"/>
        <v>0</v>
      </c>
      <c r="P506" s="734">
        <f t="shared" si="45"/>
        <v>0</v>
      </c>
      <c r="Q506" s="684"/>
    </row>
    <row r="507" spans="2:17">
      <c r="B507" s="337"/>
      <c r="C507" s="730">
        <f>IF(D444="","-",+C506+1)</f>
        <v>2070</v>
      </c>
      <c r="D507" s="683">
        <f t="shared" si="46"/>
        <v>0</v>
      </c>
      <c r="E507" s="737">
        <f t="shared" si="47"/>
        <v>0</v>
      </c>
      <c r="F507" s="737">
        <f t="shared" si="40"/>
        <v>0</v>
      </c>
      <c r="G507" s="683">
        <f t="shared" si="41"/>
        <v>0</v>
      </c>
      <c r="H507" s="731">
        <f>+J445*G507+E507</f>
        <v>0</v>
      </c>
      <c r="I507" s="738">
        <f>+J446*G507+E507</f>
        <v>0</v>
      </c>
      <c r="J507" s="734">
        <f t="shared" si="42"/>
        <v>0</v>
      </c>
      <c r="K507" s="734"/>
      <c r="L507" s="739"/>
      <c r="M507" s="734">
        <f t="shared" si="43"/>
        <v>0</v>
      </c>
      <c r="N507" s="739"/>
      <c r="O507" s="734">
        <f t="shared" si="44"/>
        <v>0</v>
      </c>
      <c r="P507" s="734">
        <f t="shared" si="45"/>
        <v>0</v>
      </c>
      <c r="Q507" s="684"/>
    </row>
    <row r="508" spans="2:17">
      <c r="B508" s="337"/>
      <c r="C508" s="730">
        <f>IF(D444="","-",+C507+1)</f>
        <v>2071</v>
      </c>
      <c r="D508" s="683">
        <f t="shared" si="46"/>
        <v>0</v>
      </c>
      <c r="E508" s="737">
        <f t="shared" si="47"/>
        <v>0</v>
      </c>
      <c r="F508" s="737">
        <f t="shared" si="40"/>
        <v>0</v>
      </c>
      <c r="G508" s="683">
        <f t="shared" si="41"/>
        <v>0</v>
      </c>
      <c r="H508" s="731">
        <f>+J445*G508+E508</f>
        <v>0</v>
      </c>
      <c r="I508" s="738">
        <f>+J446*G508+E508</f>
        <v>0</v>
      </c>
      <c r="J508" s="734">
        <f t="shared" si="42"/>
        <v>0</v>
      </c>
      <c r="K508" s="734"/>
      <c r="L508" s="739"/>
      <c r="M508" s="734">
        <f t="shared" si="43"/>
        <v>0</v>
      </c>
      <c r="N508" s="739"/>
      <c r="O508" s="734">
        <f t="shared" si="44"/>
        <v>0</v>
      </c>
      <c r="P508" s="734">
        <f t="shared" si="45"/>
        <v>0</v>
      </c>
      <c r="Q508" s="684"/>
    </row>
    <row r="509" spans="2:17" ht="13" thickBot="1">
      <c r="B509" s="337"/>
      <c r="C509" s="741">
        <f>IF(D444="","-",+C508+1)</f>
        <v>2072</v>
      </c>
      <c r="D509" s="742">
        <f t="shared" si="46"/>
        <v>0</v>
      </c>
      <c r="E509" s="1314">
        <f t="shared" si="47"/>
        <v>0</v>
      </c>
      <c r="F509" s="743">
        <f t="shared" si="40"/>
        <v>0</v>
      </c>
      <c r="G509" s="742">
        <f t="shared" si="41"/>
        <v>0</v>
      </c>
      <c r="H509" s="744">
        <f>+J445*G509+E509</f>
        <v>0</v>
      </c>
      <c r="I509" s="744">
        <f>+J446*G509+E509</f>
        <v>0</v>
      </c>
      <c r="J509" s="745">
        <f t="shared" si="42"/>
        <v>0</v>
      </c>
      <c r="K509" s="734"/>
      <c r="L509" s="746"/>
      <c r="M509" s="745">
        <f t="shared" si="43"/>
        <v>0</v>
      </c>
      <c r="N509" s="746"/>
      <c r="O509" s="745">
        <f t="shared" si="44"/>
        <v>0</v>
      </c>
      <c r="P509" s="745">
        <f t="shared" si="45"/>
        <v>0</v>
      </c>
      <c r="Q509" s="684"/>
    </row>
    <row r="510" spans="2:17">
      <c r="B510" s="337"/>
      <c r="C510" s="683" t="s">
        <v>289</v>
      </c>
      <c r="D510" s="679"/>
      <c r="E510" s="679">
        <f>SUM(E450:E509)</f>
        <v>818037</v>
      </c>
      <c r="F510" s="679"/>
      <c r="G510" s="679"/>
      <c r="H510" s="679">
        <f>SUM(H450:H509)</f>
        <v>3105558.8213891299</v>
      </c>
      <c r="I510" s="679">
        <f>SUM(I450:I509)</f>
        <v>3105558.8213891299</v>
      </c>
      <c r="J510" s="679">
        <f>SUM(J450:J509)</f>
        <v>0</v>
      </c>
      <c r="K510" s="679"/>
      <c r="L510" s="679"/>
      <c r="M510" s="679"/>
      <c r="N510" s="679"/>
      <c r="O510" s="679"/>
      <c r="Q510" s="679"/>
    </row>
    <row r="511" spans="2:17">
      <c r="B511" s="337"/>
      <c r="D511" s="573"/>
      <c r="E511" s="550"/>
      <c r="F511" s="550"/>
      <c r="G511" s="550"/>
      <c r="H511" s="550"/>
      <c r="I511" s="656"/>
      <c r="J511" s="656"/>
      <c r="K511" s="679"/>
      <c r="L511" s="656"/>
      <c r="M511" s="656"/>
      <c r="N511" s="656"/>
      <c r="O511" s="656"/>
      <c r="Q511" s="679"/>
    </row>
    <row r="512" spans="2:17">
      <c r="B512" s="337"/>
      <c r="C512" s="550" t="s">
        <v>597</v>
      </c>
      <c r="D512" s="573"/>
      <c r="E512" s="550"/>
      <c r="F512" s="550"/>
      <c r="G512" s="550"/>
      <c r="H512" s="550"/>
      <c r="I512" s="656"/>
      <c r="J512" s="656"/>
      <c r="K512" s="679"/>
      <c r="L512" s="656"/>
      <c r="M512" s="656"/>
      <c r="N512" s="656"/>
      <c r="O512" s="656"/>
      <c r="Q512" s="679"/>
    </row>
    <row r="513" spans="1:17">
      <c r="B513" s="337"/>
      <c r="D513" s="573"/>
      <c r="E513" s="550"/>
      <c r="F513" s="550"/>
      <c r="G513" s="550"/>
      <c r="H513" s="550"/>
      <c r="I513" s="656"/>
      <c r="J513" s="656"/>
      <c r="K513" s="679"/>
      <c r="L513" s="656"/>
      <c r="M513" s="656"/>
      <c r="N513" s="656"/>
      <c r="O513" s="656"/>
      <c r="Q513" s="679"/>
    </row>
    <row r="514" spans="1:17">
      <c r="B514" s="337"/>
      <c r="C514" s="586" t="s">
        <v>598</v>
      </c>
      <c r="D514" s="683"/>
      <c r="E514" s="683"/>
      <c r="F514" s="683"/>
      <c r="G514" s="683"/>
      <c r="H514" s="679"/>
      <c r="I514" s="679"/>
      <c r="J514" s="684"/>
      <c r="K514" s="684"/>
      <c r="L514" s="684"/>
      <c r="M514" s="684"/>
      <c r="N514" s="684"/>
      <c r="O514" s="684"/>
      <c r="Q514" s="684"/>
    </row>
    <row r="515" spans="1:17">
      <c r="B515" s="337"/>
      <c r="C515" s="586" t="s">
        <v>477</v>
      </c>
      <c r="D515" s="683"/>
      <c r="E515" s="683"/>
      <c r="F515" s="683"/>
      <c r="G515" s="683"/>
      <c r="H515" s="679"/>
      <c r="I515" s="679"/>
      <c r="J515" s="684"/>
      <c r="K515" s="684"/>
      <c r="L515" s="684"/>
      <c r="M515" s="684"/>
      <c r="N515" s="684"/>
      <c r="O515" s="684"/>
      <c r="Q515" s="684"/>
    </row>
    <row r="516" spans="1:17">
      <c r="B516" s="337"/>
      <c r="C516" s="586" t="s">
        <v>290</v>
      </c>
      <c r="D516" s="683"/>
      <c r="E516" s="683"/>
      <c r="F516" s="683"/>
      <c r="G516" s="683"/>
      <c r="H516" s="679"/>
      <c r="I516" s="679"/>
      <c r="J516" s="684"/>
      <c r="K516" s="684"/>
      <c r="L516" s="684"/>
      <c r="M516" s="684"/>
      <c r="N516" s="684"/>
      <c r="O516" s="684"/>
      <c r="Q516" s="684"/>
    </row>
    <row r="517" spans="1:17" ht="13">
      <c r="B517" s="337"/>
      <c r="C517" s="682"/>
      <c r="D517" s="683"/>
      <c r="E517" s="683"/>
      <c r="F517" s="683"/>
      <c r="G517" s="683"/>
      <c r="H517" s="679"/>
      <c r="I517" s="679"/>
      <c r="J517" s="684"/>
      <c r="K517" s="684"/>
      <c r="L517" s="684"/>
      <c r="M517" s="684"/>
      <c r="N517" s="684"/>
      <c r="O517" s="684"/>
      <c r="Q517" s="684"/>
    </row>
    <row r="518" spans="1:17" ht="20">
      <c r="A518" s="685" t="s">
        <v>774</v>
      </c>
      <c r="B518" s="550"/>
      <c r="C518" s="665"/>
      <c r="D518" s="573"/>
      <c r="E518" s="550"/>
      <c r="F518" s="655"/>
      <c r="G518" s="655"/>
      <c r="H518" s="550"/>
      <c r="I518" s="656"/>
      <c r="L518" s="686"/>
      <c r="M518" s="686"/>
      <c r="N518" s="686"/>
      <c r="O518" s="601" t="str">
        <f>"Page "&amp;SUM(Q$3:Q518)&amp;" of "</f>
        <v xml:space="preserve">Page 7 of </v>
      </c>
      <c r="P518" s="602">
        <f>COUNT(Q$8:Q$58123)</f>
        <v>11</v>
      </c>
      <c r="Q518" s="767">
        <v>1</v>
      </c>
    </row>
    <row r="519" spans="1:17">
      <c r="B519" s="550"/>
      <c r="C519" s="550"/>
      <c r="D519" s="573"/>
      <c r="E519" s="550"/>
      <c r="F519" s="550"/>
      <c r="G519" s="550"/>
      <c r="H519" s="550"/>
      <c r="I519" s="656"/>
      <c r="J519" s="550"/>
      <c r="K519" s="598"/>
      <c r="Q519" s="598"/>
    </row>
    <row r="520" spans="1:17" ht="17">
      <c r="B520" s="605" t="s">
        <v>175</v>
      </c>
      <c r="C520" s="687" t="s">
        <v>291</v>
      </c>
      <c r="D520" s="573"/>
      <c r="E520" s="550"/>
      <c r="F520" s="550"/>
      <c r="G520" s="550"/>
      <c r="H520" s="550"/>
      <c r="I520" s="656"/>
      <c r="J520" s="656"/>
      <c r="K520" s="679"/>
      <c r="L520" s="656"/>
      <c r="M520" s="656"/>
      <c r="N520" s="656"/>
      <c r="O520" s="656"/>
      <c r="Q520" s="679"/>
    </row>
    <row r="521" spans="1:17" ht="18">
      <c r="B521" s="605"/>
      <c r="C521" s="604"/>
      <c r="D521" s="573"/>
      <c r="E521" s="550"/>
      <c r="F521" s="550"/>
      <c r="G521" s="550"/>
      <c r="H521" s="550"/>
      <c r="I521" s="656"/>
      <c r="J521" s="656"/>
      <c r="K521" s="679"/>
      <c r="L521" s="656"/>
      <c r="M521" s="656"/>
      <c r="N521" s="656"/>
      <c r="O521" s="656"/>
      <c r="Q521" s="679"/>
    </row>
    <row r="522" spans="1:17" ht="18">
      <c r="B522" s="605"/>
      <c r="C522" s="604" t="s">
        <v>292</v>
      </c>
      <c r="D522" s="573"/>
      <c r="E522" s="550"/>
      <c r="F522" s="550"/>
      <c r="G522" s="550"/>
      <c r="H522" s="550"/>
      <c r="I522" s="656"/>
      <c r="J522" s="656"/>
      <c r="K522" s="679"/>
      <c r="L522" s="656"/>
      <c r="M522" s="656"/>
      <c r="N522" s="656"/>
      <c r="O522" s="656"/>
      <c r="Q522" s="679"/>
    </row>
    <row r="523" spans="1:17" ht="16" thickBot="1">
      <c r="B523" s="337"/>
      <c r="C523" s="403"/>
      <c r="D523" s="573"/>
      <c r="E523" s="550"/>
      <c r="F523" s="550"/>
      <c r="G523" s="550"/>
      <c r="H523" s="550"/>
      <c r="I523" s="656"/>
      <c r="J523" s="656"/>
      <c r="K523" s="679"/>
      <c r="L523" s="656"/>
      <c r="M523" s="656"/>
      <c r="N523" s="656"/>
      <c r="O523" s="656"/>
      <c r="Q523" s="679"/>
    </row>
    <row r="524" spans="1:17" ht="15.5">
      <c r="B524" s="337"/>
      <c r="C524" s="606" t="s">
        <v>293</v>
      </c>
      <c r="D524" s="573"/>
      <c r="E524" s="550"/>
      <c r="F524" s="550"/>
      <c r="G524" s="550"/>
      <c r="H524" s="877"/>
      <c r="I524" s="550" t="s">
        <v>272</v>
      </c>
      <c r="J524" s="550"/>
      <c r="K524" s="598"/>
      <c r="L524" s="768">
        <f>+J530</f>
        <v>2019</v>
      </c>
      <c r="M524" s="750" t="s">
        <v>255</v>
      </c>
      <c r="N524" s="750" t="s">
        <v>256</v>
      </c>
      <c r="O524" s="751" t="s">
        <v>257</v>
      </c>
      <c r="Q524" s="598"/>
    </row>
    <row r="525" spans="1:17" ht="15.5">
      <c r="B525" s="337"/>
      <c r="C525" s="606"/>
      <c r="D525" s="573"/>
      <c r="E525" s="550"/>
      <c r="F525" s="550"/>
      <c r="H525" s="550"/>
      <c r="I525" s="691"/>
      <c r="J525" s="691"/>
      <c r="K525" s="692"/>
      <c r="L525" s="769" t="s">
        <v>456</v>
      </c>
      <c r="M525" s="770">
        <f>VLOOKUP(J530,C537:P596,10)</f>
        <v>1164195.9622976338</v>
      </c>
      <c r="N525" s="770">
        <f>VLOOKUP(J530,C537:P596,12)</f>
        <v>1164195.9622976338</v>
      </c>
      <c r="O525" s="771">
        <f>+N525-M525</f>
        <v>0</v>
      </c>
      <c r="Q525" s="692"/>
    </row>
    <row r="526" spans="1:17" ht="13">
      <c r="B526" s="337"/>
      <c r="C526" s="694" t="s">
        <v>294</v>
      </c>
      <c r="D526" s="1547" t="s">
        <v>986</v>
      </c>
      <c r="E526" s="1548"/>
      <c r="F526" s="1548"/>
      <c r="G526" s="1548"/>
      <c r="H526" s="1548"/>
      <c r="I526" s="1548"/>
      <c r="J526" s="656"/>
      <c r="K526" s="679"/>
      <c r="L526" s="769" t="s">
        <v>457</v>
      </c>
      <c r="M526" s="772">
        <f>VLOOKUP(J530,C537:P596,6)</f>
        <v>1502204.3556743879</v>
      </c>
      <c r="N526" s="772">
        <f>VLOOKUP(J530,C537:P596,7)</f>
        <v>1502204.3556743879</v>
      </c>
      <c r="O526" s="773">
        <f>+N526-M526</f>
        <v>0</v>
      </c>
      <c r="Q526" s="679"/>
    </row>
    <row r="527" spans="1:17" ht="13.5" thickBot="1">
      <c r="B527" s="337"/>
      <c r="C527" s="696"/>
      <c r="D527" s="1548"/>
      <c r="E527" s="1548"/>
      <c r="F527" s="1548"/>
      <c r="G527" s="1548"/>
      <c r="H527" s="1548"/>
      <c r="I527" s="1548"/>
      <c r="J527" s="656"/>
      <c r="K527" s="679"/>
      <c r="L527" s="715" t="s">
        <v>458</v>
      </c>
      <c r="M527" s="774">
        <f>+M526-M525</f>
        <v>338008.39337675413</v>
      </c>
      <c r="N527" s="774">
        <f>+N526-N525</f>
        <v>338008.39337675413</v>
      </c>
      <c r="O527" s="775">
        <f>+O526-O525</f>
        <v>0</v>
      </c>
      <c r="Q527" s="679"/>
    </row>
    <row r="528" spans="1:17" ht="13.5" thickBot="1">
      <c r="B528" s="337"/>
      <c r="C528" s="698"/>
      <c r="D528" s="699"/>
      <c r="E528" s="697"/>
      <c r="F528" s="697"/>
      <c r="G528" s="697"/>
      <c r="H528" s="697"/>
      <c r="I528" s="697"/>
      <c r="J528" s="697"/>
      <c r="K528" s="700"/>
      <c r="L528" s="697"/>
      <c r="M528" s="697"/>
      <c r="N528" s="697"/>
      <c r="O528" s="697"/>
      <c r="P528" s="586"/>
      <c r="Q528" s="700"/>
    </row>
    <row r="529" spans="1:17" ht="13" thickBot="1">
      <c r="B529" s="337"/>
      <c r="C529" s="701" t="s">
        <v>295</v>
      </c>
      <c r="D529" s="702"/>
      <c r="E529" s="702"/>
      <c r="F529" s="702"/>
      <c r="G529" s="702"/>
      <c r="H529" s="702"/>
      <c r="I529" s="702"/>
      <c r="J529" s="702"/>
      <c r="K529" s="704"/>
      <c r="P529" s="705"/>
      <c r="Q529" s="704"/>
    </row>
    <row r="530" spans="1:17" ht="16">
      <c r="A530" s="1324"/>
      <c r="B530" s="337"/>
      <c r="C530" s="707" t="s">
        <v>273</v>
      </c>
      <c r="D530" s="1282">
        <v>13008915.439999999</v>
      </c>
      <c r="E530" s="665" t="s">
        <v>274</v>
      </c>
      <c r="H530" s="708"/>
      <c r="I530" s="708"/>
      <c r="J530" s="709">
        <f>$J$95</f>
        <v>2019</v>
      </c>
      <c r="K530" s="596"/>
      <c r="L530" s="1560" t="s">
        <v>275</v>
      </c>
      <c r="M530" s="1560"/>
      <c r="N530" s="1560"/>
      <c r="O530" s="1560"/>
      <c r="P530" s="598"/>
      <c r="Q530" s="596"/>
    </row>
    <row r="531" spans="1:17">
      <c r="A531" s="1324"/>
      <c r="B531" s="337"/>
      <c r="C531" s="707" t="s">
        <v>276</v>
      </c>
      <c r="D531" s="879">
        <v>2014</v>
      </c>
      <c r="E531" s="707" t="s">
        <v>277</v>
      </c>
      <c r="F531" s="708"/>
      <c r="G531" s="708"/>
      <c r="I531" s="337"/>
      <c r="J531" s="882">
        <v>0</v>
      </c>
      <c r="K531" s="710"/>
      <c r="L531" s="679" t="s">
        <v>476</v>
      </c>
      <c r="P531" s="598"/>
      <c r="Q531" s="710"/>
    </row>
    <row r="532" spans="1:17">
      <c r="A532" s="1324"/>
      <c r="B532" s="337"/>
      <c r="C532" s="707" t="s">
        <v>278</v>
      </c>
      <c r="D532" s="1282">
        <v>10</v>
      </c>
      <c r="E532" s="707" t="s">
        <v>279</v>
      </c>
      <c r="F532" s="708"/>
      <c r="G532" s="708"/>
      <c r="I532" s="337"/>
      <c r="J532" s="711">
        <f>$F$70</f>
        <v>0.10552282863199051</v>
      </c>
      <c r="K532" s="712"/>
      <c r="L532" s="550" t="str">
        <f>"          INPUT TRUE-UP ARR (WITH &amp; WITHOUT INCENTIVES) FROM EACH PRIOR YEAR"</f>
        <v xml:space="preserve">          INPUT TRUE-UP ARR (WITH &amp; WITHOUT INCENTIVES) FROM EACH PRIOR YEAR</v>
      </c>
      <c r="P532" s="598"/>
      <c r="Q532" s="712"/>
    </row>
    <row r="533" spans="1:17">
      <c r="A533" s="1324"/>
      <c r="B533" s="337"/>
      <c r="C533" s="707" t="s">
        <v>280</v>
      </c>
      <c r="D533" s="713">
        <f>H79</f>
        <v>51</v>
      </c>
      <c r="E533" s="707" t="s">
        <v>281</v>
      </c>
      <c r="F533" s="708"/>
      <c r="G533" s="708"/>
      <c r="I533" s="337"/>
      <c r="J533" s="711">
        <f>IF(H524="",J532,$F$69)</f>
        <v>0.10552282863199051</v>
      </c>
      <c r="K533" s="714"/>
      <c r="L533" s="550" t="s">
        <v>363</v>
      </c>
      <c r="M533" s="714"/>
      <c r="N533" s="714"/>
      <c r="O533" s="714"/>
      <c r="P533" s="598"/>
      <c r="Q533" s="714"/>
    </row>
    <row r="534" spans="1:17" ht="13" thickBot="1">
      <c r="A534" s="1324"/>
      <c r="B534" s="337"/>
      <c r="C534" s="707" t="s">
        <v>282</v>
      </c>
      <c r="D534" s="881" t="s">
        <v>979</v>
      </c>
      <c r="E534" s="715" t="s">
        <v>283</v>
      </c>
      <c r="F534" s="716"/>
      <c r="G534" s="716"/>
      <c r="H534" s="717"/>
      <c r="I534" s="717"/>
      <c r="J534" s="695">
        <f>IF(D530=0,0,D530/D533)</f>
        <v>255076.77333333332</v>
      </c>
      <c r="K534" s="679"/>
      <c r="L534" s="679" t="s">
        <v>364</v>
      </c>
      <c r="M534" s="679"/>
      <c r="N534" s="679"/>
      <c r="O534" s="679"/>
      <c r="P534" s="598"/>
      <c r="Q534" s="679"/>
    </row>
    <row r="535" spans="1:17" ht="39">
      <c r="A535" s="537"/>
      <c r="B535" s="537"/>
      <c r="C535" s="718" t="s">
        <v>273</v>
      </c>
      <c r="D535" s="719" t="s">
        <v>284</v>
      </c>
      <c r="E535" s="720" t="s">
        <v>285</v>
      </c>
      <c r="F535" s="719" t="s">
        <v>286</v>
      </c>
      <c r="G535" s="719" t="s">
        <v>459</v>
      </c>
      <c r="H535" s="720" t="s">
        <v>357</v>
      </c>
      <c r="I535" s="721" t="s">
        <v>357</v>
      </c>
      <c r="J535" s="718" t="s">
        <v>296</v>
      </c>
      <c r="K535" s="722"/>
      <c r="L535" s="720" t="s">
        <v>359</v>
      </c>
      <c r="M535" s="720" t="s">
        <v>365</v>
      </c>
      <c r="N535" s="720" t="s">
        <v>359</v>
      </c>
      <c r="O535" s="720" t="s">
        <v>367</v>
      </c>
      <c r="P535" s="720" t="s">
        <v>287</v>
      </c>
      <c r="Q535" s="723"/>
    </row>
    <row r="536" spans="1:17" ht="13.5" thickBot="1">
      <c r="B536" s="337"/>
      <c r="C536" s="724" t="s">
        <v>178</v>
      </c>
      <c r="D536" s="725" t="s">
        <v>179</v>
      </c>
      <c r="E536" s="724" t="s">
        <v>38</v>
      </c>
      <c r="F536" s="725" t="s">
        <v>179</v>
      </c>
      <c r="G536" s="725" t="s">
        <v>179</v>
      </c>
      <c r="H536" s="726" t="s">
        <v>299</v>
      </c>
      <c r="I536" s="727" t="s">
        <v>301</v>
      </c>
      <c r="J536" s="728" t="s">
        <v>390</v>
      </c>
      <c r="K536" s="729"/>
      <c r="L536" s="726" t="s">
        <v>288</v>
      </c>
      <c r="M536" s="726" t="s">
        <v>288</v>
      </c>
      <c r="N536" s="726" t="s">
        <v>468</v>
      </c>
      <c r="O536" s="726" t="s">
        <v>468</v>
      </c>
      <c r="P536" s="726" t="s">
        <v>468</v>
      </c>
      <c r="Q536" s="596"/>
    </row>
    <row r="537" spans="1:17">
      <c r="B537" s="337"/>
      <c r="C537" s="730">
        <f>IF(D531= "","-",D531)</f>
        <v>2014</v>
      </c>
      <c r="D537" s="683">
        <f>+D530</f>
        <v>13008915.439999999</v>
      </c>
      <c r="E537" s="731">
        <f>+J534/12*(12-D532)</f>
        <v>42512.795555555553</v>
      </c>
      <c r="F537" s="776">
        <f t="shared" ref="F537:F596" si="48">+D537-E537</f>
        <v>12966402.644444443</v>
      </c>
      <c r="G537" s="683">
        <f t="shared" ref="G537:G596" si="49">+(D537+F537)/2</f>
        <v>12987659.04222222</v>
      </c>
      <c r="H537" s="732">
        <f>+J532*G537+E537</f>
        <v>1413007.3149986928</v>
      </c>
      <c r="I537" s="733">
        <f>+J533*G537+E537</f>
        <v>1413007.3149986928</v>
      </c>
      <c r="J537" s="734">
        <f t="shared" ref="J537:J596" si="50">+I537-H537</f>
        <v>0</v>
      </c>
      <c r="K537" s="734"/>
      <c r="L537" s="735">
        <v>0</v>
      </c>
      <c r="M537" s="777">
        <f t="shared" ref="M537:M596" si="51">IF(L537&lt;&gt;0,+H537-L537,0)</f>
        <v>0</v>
      </c>
      <c r="N537" s="735">
        <v>0</v>
      </c>
      <c r="O537" s="777">
        <f t="shared" ref="O537:O596" si="52">IF(N537&lt;&gt;0,+I537-N537,0)</f>
        <v>0</v>
      </c>
      <c r="P537" s="777">
        <f t="shared" ref="P537:P596" si="53">+O537-M537</f>
        <v>0</v>
      </c>
      <c r="Q537" s="684"/>
    </row>
    <row r="538" spans="1:17">
      <c r="B538" s="337"/>
      <c r="C538" s="730">
        <f>IF(D531="","-",+C537+1)</f>
        <v>2015</v>
      </c>
      <c r="D538" s="683">
        <f t="shared" ref="D538:D596" si="54">F537</f>
        <v>12966402.644444443</v>
      </c>
      <c r="E538" s="737">
        <f>IF(D538&gt;$J$534,$J$534,D538)</f>
        <v>255076.77333333332</v>
      </c>
      <c r="F538" s="737">
        <f t="shared" si="48"/>
        <v>12711325.87111111</v>
      </c>
      <c r="G538" s="683">
        <f t="shared" si="49"/>
        <v>12838864.257777777</v>
      </c>
      <c r="H538" s="731">
        <f>+J532*G538+E538</f>
        <v>1609870.0462362058</v>
      </c>
      <c r="I538" s="738">
        <f>+J533*G538+E538</f>
        <v>1609870.0462362058</v>
      </c>
      <c r="J538" s="734">
        <f t="shared" si="50"/>
        <v>0</v>
      </c>
      <c r="K538" s="734"/>
      <c r="L538" s="739">
        <v>248467</v>
      </c>
      <c r="M538" s="734">
        <f t="shared" si="51"/>
        <v>1361403.0462362058</v>
      </c>
      <c r="N538" s="739">
        <v>248467</v>
      </c>
      <c r="O538" s="734">
        <f t="shared" si="52"/>
        <v>1361403.0462362058</v>
      </c>
      <c r="P538" s="734">
        <f t="shared" si="53"/>
        <v>0</v>
      </c>
      <c r="Q538" s="684"/>
    </row>
    <row r="539" spans="1:17">
      <c r="B539" s="337"/>
      <c r="C539" s="730">
        <f>IF(D531="","-",+C538+1)</f>
        <v>2016</v>
      </c>
      <c r="D539" s="683">
        <f t="shared" si="54"/>
        <v>12711325.87111111</v>
      </c>
      <c r="E539" s="737">
        <f t="shared" ref="E539:E596" si="55">IF(D539&gt;$J$534,$J$534,D539)</f>
        <v>255076.77333333332</v>
      </c>
      <c r="F539" s="737">
        <f t="shared" si="48"/>
        <v>12456249.097777776</v>
      </c>
      <c r="G539" s="683">
        <f t="shared" si="49"/>
        <v>12583787.484444443</v>
      </c>
      <c r="H539" s="731">
        <f>+J532*G539+E539</f>
        <v>1582953.6235957514</v>
      </c>
      <c r="I539" s="738">
        <f>+J533*G539+E539</f>
        <v>1582953.6235957514</v>
      </c>
      <c r="J539" s="734">
        <f t="shared" si="50"/>
        <v>0</v>
      </c>
      <c r="K539" s="734"/>
      <c r="L539" s="739">
        <v>562247</v>
      </c>
      <c r="M539" s="734">
        <f t="shared" si="51"/>
        <v>1020706.6235957514</v>
      </c>
      <c r="N539" s="739">
        <v>562247</v>
      </c>
      <c r="O539" s="734">
        <f t="shared" si="52"/>
        <v>1020706.6235957514</v>
      </c>
      <c r="P539" s="734">
        <f t="shared" si="53"/>
        <v>0</v>
      </c>
      <c r="Q539" s="684"/>
    </row>
    <row r="540" spans="1:17">
      <c r="B540" s="337"/>
      <c r="C540" s="730">
        <f>IF(D531="","-",+C539+1)</f>
        <v>2017</v>
      </c>
      <c r="D540" s="683">
        <f t="shared" si="54"/>
        <v>12456249.097777776</v>
      </c>
      <c r="E540" s="737">
        <f t="shared" si="55"/>
        <v>255076.77333333332</v>
      </c>
      <c r="F540" s="737">
        <f t="shared" si="48"/>
        <v>12201172.324444443</v>
      </c>
      <c r="G540" s="683">
        <f t="shared" si="49"/>
        <v>12328710.71111111</v>
      </c>
      <c r="H540" s="731">
        <f>+J532*G540+E540</f>
        <v>1556037.2009552969</v>
      </c>
      <c r="I540" s="738">
        <f>+J533*G540+E540</f>
        <v>1556037.2009552969</v>
      </c>
      <c r="J540" s="734">
        <f t="shared" si="50"/>
        <v>0</v>
      </c>
      <c r="K540" s="734"/>
      <c r="L540" s="739">
        <v>1427903</v>
      </c>
      <c r="M540" s="734">
        <f t="shared" si="51"/>
        <v>128134.20095529687</v>
      </c>
      <c r="N540" s="739">
        <v>1427903</v>
      </c>
      <c r="O540" s="734">
        <f t="shared" si="52"/>
        <v>128134.20095529687</v>
      </c>
      <c r="P540" s="734">
        <f t="shared" si="53"/>
        <v>0</v>
      </c>
      <c r="Q540" s="684"/>
    </row>
    <row r="541" spans="1:17">
      <c r="B541" s="337"/>
      <c r="C541" s="730">
        <f>IF(D531="","-",+C540+1)</f>
        <v>2018</v>
      </c>
      <c r="D541" s="1464">
        <f t="shared" si="54"/>
        <v>12201172.324444443</v>
      </c>
      <c r="E541" s="737">
        <f t="shared" si="55"/>
        <v>255076.77333333332</v>
      </c>
      <c r="F541" s="737">
        <f t="shared" si="48"/>
        <v>11946095.55111111</v>
      </c>
      <c r="G541" s="683">
        <f t="shared" si="49"/>
        <v>12073633.937777776</v>
      </c>
      <c r="H541" s="731">
        <f>+J532*G541+E541</f>
        <v>1529120.7783148424</v>
      </c>
      <c r="I541" s="738">
        <f>+J533*G541+E541</f>
        <v>1529120.7783148424</v>
      </c>
      <c r="J541" s="734">
        <f t="shared" si="50"/>
        <v>0</v>
      </c>
      <c r="K541" s="734"/>
      <c r="L541" s="739">
        <v>1271398</v>
      </c>
      <c r="M541" s="734">
        <f t="shared" si="51"/>
        <v>257722.77831484238</v>
      </c>
      <c r="N541" s="739">
        <v>1271398</v>
      </c>
      <c r="O541" s="734">
        <f t="shared" si="52"/>
        <v>257722.77831484238</v>
      </c>
      <c r="P541" s="734">
        <f t="shared" si="53"/>
        <v>0</v>
      </c>
      <c r="Q541" s="684"/>
    </row>
    <row r="542" spans="1:17">
      <c r="B542" s="337"/>
      <c r="C542" s="730">
        <f>IF(D531="","-",+C541+1)</f>
        <v>2019</v>
      </c>
      <c r="D542" s="683">
        <f t="shared" si="54"/>
        <v>11946095.55111111</v>
      </c>
      <c r="E542" s="737">
        <f t="shared" si="55"/>
        <v>255076.77333333332</v>
      </c>
      <c r="F542" s="737">
        <f t="shared" si="48"/>
        <v>11691018.777777776</v>
      </c>
      <c r="G542" s="683">
        <f t="shared" si="49"/>
        <v>11818557.164444443</v>
      </c>
      <c r="H542" s="731">
        <f>+J532*G542+E542</f>
        <v>1502204.3556743879</v>
      </c>
      <c r="I542" s="738">
        <f>+J533*G542+E542</f>
        <v>1502204.3556743879</v>
      </c>
      <c r="J542" s="734">
        <f t="shared" si="50"/>
        <v>0</v>
      </c>
      <c r="K542" s="734"/>
      <c r="L542" s="739">
        <v>1164195.9622976338</v>
      </c>
      <c r="M542" s="734">
        <f t="shared" si="51"/>
        <v>338008.39337675413</v>
      </c>
      <c r="N542" s="739">
        <v>1164195.9622976338</v>
      </c>
      <c r="O542" s="734">
        <f t="shared" si="52"/>
        <v>338008.39337675413</v>
      </c>
      <c r="P542" s="734">
        <f t="shared" si="53"/>
        <v>0</v>
      </c>
      <c r="Q542" s="684"/>
    </row>
    <row r="543" spans="1:17">
      <c r="B543" s="337"/>
      <c r="C543" s="730">
        <f>IF(D531="","-",+C542+1)</f>
        <v>2020</v>
      </c>
      <c r="D543" s="683">
        <f t="shared" si="54"/>
        <v>11691018.777777776</v>
      </c>
      <c r="E543" s="737">
        <f t="shared" si="55"/>
        <v>255076.77333333332</v>
      </c>
      <c r="F543" s="737">
        <f t="shared" si="48"/>
        <v>11435942.004444443</v>
      </c>
      <c r="G543" s="683">
        <f t="shared" si="49"/>
        <v>11563480.391111109</v>
      </c>
      <c r="H543" s="731">
        <f>+J532*G543+E543</f>
        <v>1475287.9330339334</v>
      </c>
      <c r="I543" s="738">
        <f>+J533*G543+E543</f>
        <v>1475287.9330339334</v>
      </c>
      <c r="J543" s="734">
        <f t="shared" si="50"/>
        <v>0</v>
      </c>
      <c r="K543" s="734"/>
      <c r="L543" s="739"/>
      <c r="M543" s="734">
        <f t="shared" si="51"/>
        <v>0</v>
      </c>
      <c r="N543" s="739"/>
      <c r="O543" s="734">
        <f t="shared" si="52"/>
        <v>0</v>
      </c>
      <c r="P543" s="734">
        <f t="shared" si="53"/>
        <v>0</v>
      </c>
      <c r="Q543" s="684"/>
    </row>
    <row r="544" spans="1:17">
      <c r="B544" s="337"/>
      <c r="C544" s="730">
        <f>IF(D531="","-",+C543+1)</f>
        <v>2021</v>
      </c>
      <c r="D544" s="683">
        <f t="shared" si="54"/>
        <v>11435942.004444443</v>
      </c>
      <c r="E544" s="737">
        <f t="shared" si="55"/>
        <v>255076.77333333332</v>
      </c>
      <c r="F544" s="737">
        <f t="shared" si="48"/>
        <v>11180865.231111109</v>
      </c>
      <c r="G544" s="683">
        <f t="shared" si="49"/>
        <v>11308403.617777776</v>
      </c>
      <c r="H544" s="731">
        <f>+J532*G544+E544</f>
        <v>1448371.5103934789</v>
      </c>
      <c r="I544" s="738">
        <f>+J533*G544+E544</f>
        <v>1448371.5103934789</v>
      </c>
      <c r="J544" s="734">
        <f t="shared" si="50"/>
        <v>0</v>
      </c>
      <c r="K544" s="734"/>
      <c r="L544" s="739"/>
      <c r="M544" s="734">
        <f t="shared" si="51"/>
        <v>0</v>
      </c>
      <c r="N544" s="739"/>
      <c r="O544" s="734">
        <f t="shared" si="52"/>
        <v>0</v>
      </c>
      <c r="P544" s="734">
        <f t="shared" si="53"/>
        <v>0</v>
      </c>
      <c r="Q544" s="684"/>
    </row>
    <row r="545" spans="2:17">
      <c r="B545" s="337"/>
      <c r="C545" s="730">
        <f>IF(D531="","-",+C544+1)</f>
        <v>2022</v>
      </c>
      <c r="D545" s="683">
        <f t="shared" si="54"/>
        <v>11180865.231111109</v>
      </c>
      <c r="E545" s="737">
        <f t="shared" si="55"/>
        <v>255076.77333333332</v>
      </c>
      <c r="F545" s="737">
        <f t="shared" si="48"/>
        <v>10925788.457777776</v>
      </c>
      <c r="G545" s="683">
        <f t="shared" si="49"/>
        <v>11053326.844444443</v>
      </c>
      <c r="H545" s="731">
        <f>+J532*G545+E545</f>
        <v>1421455.0877530249</v>
      </c>
      <c r="I545" s="738">
        <f>+J533*G545+E545</f>
        <v>1421455.0877530249</v>
      </c>
      <c r="J545" s="734">
        <f t="shared" si="50"/>
        <v>0</v>
      </c>
      <c r="K545" s="734"/>
      <c r="L545" s="739"/>
      <c r="M545" s="734">
        <f t="shared" si="51"/>
        <v>0</v>
      </c>
      <c r="N545" s="739"/>
      <c r="O545" s="734">
        <f t="shared" si="52"/>
        <v>0</v>
      </c>
      <c r="P545" s="734">
        <f t="shared" si="53"/>
        <v>0</v>
      </c>
      <c r="Q545" s="684"/>
    </row>
    <row r="546" spans="2:17">
      <c r="B546" s="337"/>
      <c r="C546" s="730">
        <f>IF(D531="","-",+C545+1)</f>
        <v>2023</v>
      </c>
      <c r="D546" s="683">
        <f t="shared" si="54"/>
        <v>10925788.457777776</v>
      </c>
      <c r="E546" s="737">
        <f t="shared" si="55"/>
        <v>255076.77333333332</v>
      </c>
      <c r="F546" s="737">
        <f t="shared" si="48"/>
        <v>10670711.684444442</v>
      </c>
      <c r="G546" s="683">
        <f t="shared" si="49"/>
        <v>10798250.071111109</v>
      </c>
      <c r="H546" s="731">
        <f>+J532*G546+E546</f>
        <v>1394538.6651125704</v>
      </c>
      <c r="I546" s="738">
        <f>+J533*G546+E546</f>
        <v>1394538.6651125704</v>
      </c>
      <c r="J546" s="734">
        <f t="shared" si="50"/>
        <v>0</v>
      </c>
      <c r="K546" s="734"/>
      <c r="L546" s="739"/>
      <c r="M546" s="734">
        <f t="shared" si="51"/>
        <v>0</v>
      </c>
      <c r="N546" s="739"/>
      <c r="O546" s="734">
        <f t="shared" si="52"/>
        <v>0</v>
      </c>
      <c r="P546" s="734">
        <f t="shared" si="53"/>
        <v>0</v>
      </c>
      <c r="Q546" s="684"/>
    </row>
    <row r="547" spans="2:17">
      <c r="B547" s="337"/>
      <c r="C547" s="730">
        <f>IF(D531="","-",+C546+1)</f>
        <v>2024</v>
      </c>
      <c r="D547" s="683">
        <f t="shared" si="54"/>
        <v>10670711.684444442</v>
      </c>
      <c r="E547" s="737">
        <f t="shared" si="55"/>
        <v>255076.77333333332</v>
      </c>
      <c r="F547" s="737">
        <f t="shared" si="48"/>
        <v>10415634.911111109</v>
      </c>
      <c r="G547" s="683">
        <f t="shared" si="49"/>
        <v>10543173.297777776</v>
      </c>
      <c r="H547" s="731">
        <f>+J532*G547+E547</f>
        <v>1367622.2424721159</v>
      </c>
      <c r="I547" s="738">
        <f>+J533*G547+E547</f>
        <v>1367622.2424721159</v>
      </c>
      <c r="J547" s="734">
        <f t="shared" si="50"/>
        <v>0</v>
      </c>
      <c r="K547" s="734"/>
      <c r="L547" s="739"/>
      <c r="M547" s="734">
        <f t="shared" si="51"/>
        <v>0</v>
      </c>
      <c r="N547" s="739"/>
      <c r="O547" s="734">
        <f t="shared" si="52"/>
        <v>0</v>
      </c>
      <c r="P547" s="734">
        <f t="shared" si="53"/>
        <v>0</v>
      </c>
      <c r="Q547" s="684"/>
    </row>
    <row r="548" spans="2:17">
      <c r="B548" s="337"/>
      <c r="C548" s="730">
        <f>IF(D531="","-",+C547+1)</f>
        <v>2025</v>
      </c>
      <c r="D548" s="683">
        <f t="shared" si="54"/>
        <v>10415634.911111109</v>
      </c>
      <c r="E548" s="737">
        <f t="shared" si="55"/>
        <v>255076.77333333332</v>
      </c>
      <c r="F548" s="737">
        <f t="shared" si="48"/>
        <v>10160558.137777776</v>
      </c>
      <c r="G548" s="683">
        <f t="shared" si="49"/>
        <v>10288096.524444442</v>
      </c>
      <c r="H548" s="731">
        <f>+J532*G548+E548</f>
        <v>1340705.8198316614</v>
      </c>
      <c r="I548" s="738">
        <f>+J533*G548+E548</f>
        <v>1340705.8198316614</v>
      </c>
      <c r="J548" s="734">
        <f t="shared" si="50"/>
        <v>0</v>
      </c>
      <c r="K548" s="734"/>
      <c r="L548" s="739"/>
      <c r="M548" s="734">
        <f t="shared" si="51"/>
        <v>0</v>
      </c>
      <c r="N548" s="739"/>
      <c r="O548" s="734">
        <f t="shared" si="52"/>
        <v>0</v>
      </c>
      <c r="P548" s="734">
        <f t="shared" si="53"/>
        <v>0</v>
      </c>
      <c r="Q548" s="684"/>
    </row>
    <row r="549" spans="2:17">
      <c r="B549" s="337"/>
      <c r="C549" s="730">
        <f>IF(D531="","-",+C548+1)</f>
        <v>2026</v>
      </c>
      <c r="D549" s="683">
        <f t="shared" si="54"/>
        <v>10160558.137777776</v>
      </c>
      <c r="E549" s="737">
        <f t="shared" si="55"/>
        <v>255076.77333333332</v>
      </c>
      <c r="F549" s="737">
        <f t="shared" si="48"/>
        <v>9905481.3644444421</v>
      </c>
      <c r="G549" s="683">
        <f t="shared" si="49"/>
        <v>10033019.751111109</v>
      </c>
      <c r="H549" s="731">
        <f>+J532*G549+E549</f>
        <v>1313789.3971912069</v>
      </c>
      <c r="I549" s="738">
        <f>+J533*G549+E549</f>
        <v>1313789.3971912069</v>
      </c>
      <c r="J549" s="734">
        <f t="shared" si="50"/>
        <v>0</v>
      </c>
      <c r="K549" s="734"/>
      <c r="L549" s="739"/>
      <c r="M549" s="734">
        <f t="shared" si="51"/>
        <v>0</v>
      </c>
      <c r="N549" s="739"/>
      <c r="O549" s="734">
        <f t="shared" si="52"/>
        <v>0</v>
      </c>
      <c r="P549" s="734">
        <f t="shared" si="53"/>
        <v>0</v>
      </c>
      <c r="Q549" s="684"/>
    </row>
    <row r="550" spans="2:17">
      <c r="B550" s="337"/>
      <c r="C550" s="730">
        <f>IF(D531="","-",+C549+1)</f>
        <v>2027</v>
      </c>
      <c r="D550" s="683">
        <f t="shared" si="54"/>
        <v>9905481.3644444421</v>
      </c>
      <c r="E550" s="737">
        <f t="shared" si="55"/>
        <v>255076.77333333332</v>
      </c>
      <c r="F550" s="737">
        <f t="shared" si="48"/>
        <v>9650404.5911111087</v>
      </c>
      <c r="G550" s="683">
        <f t="shared" si="49"/>
        <v>9777942.9777777754</v>
      </c>
      <c r="H550" s="731">
        <f>+J532*G550+E550</f>
        <v>1286872.9745507524</v>
      </c>
      <c r="I550" s="738">
        <f>+J533*G550+E550</f>
        <v>1286872.9745507524</v>
      </c>
      <c r="J550" s="734">
        <f t="shared" si="50"/>
        <v>0</v>
      </c>
      <c r="K550" s="734"/>
      <c r="L550" s="739"/>
      <c r="M550" s="734">
        <f t="shared" si="51"/>
        <v>0</v>
      </c>
      <c r="N550" s="739"/>
      <c r="O550" s="734">
        <f t="shared" si="52"/>
        <v>0</v>
      </c>
      <c r="P550" s="734">
        <f t="shared" si="53"/>
        <v>0</v>
      </c>
      <c r="Q550" s="684"/>
    </row>
    <row r="551" spans="2:17">
      <c r="B551" s="337"/>
      <c r="C551" s="730">
        <f>IF(D531="","-",+C550+1)</f>
        <v>2028</v>
      </c>
      <c r="D551" s="683">
        <f t="shared" si="54"/>
        <v>9650404.5911111087</v>
      </c>
      <c r="E551" s="737">
        <f t="shared" si="55"/>
        <v>255076.77333333332</v>
      </c>
      <c r="F551" s="737">
        <f t="shared" si="48"/>
        <v>9395327.8177777752</v>
      </c>
      <c r="G551" s="683">
        <f t="shared" si="49"/>
        <v>9522866.2044444419</v>
      </c>
      <c r="H551" s="731">
        <f>+J532*G551+E551</f>
        <v>1259956.5519102979</v>
      </c>
      <c r="I551" s="738">
        <f>+J533*G551+E551</f>
        <v>1259956.5519102979</v>
      </c>
      <c r="J551" s="734">
        <f t="shared" si="50"/>
        <v>0</v>
      </c>
      <c r="K551" s="734"/>
      <c r="L551" s="739"/>
      <c r="M551" s="734">
        <f t="shared" si="51"/>
        <v>0</v>
      </c>
      <c r="N551" s="739"/>
      <c r="O551" s="734">
        <f t="shared" si="52"/>
        <v>0</v>
      </c>
      <c r="P551" s="734">
        <f t="shared" si="53"/>
        <v>0</v>
      </c>
      <c r="Q551" s="684"/>
    </row>
    <row r="552" spans="2:17">
      <c r="B552" s="337"/>
      <c r="C552" s="730">
        <f>IF(D531="","-",+C551+1)</f>
        <v>2029</v>
      </c>
      <c r="D552" s="683">
        <f t="shared" si="54"/>
        <v>9395327.8177777752</v>
      </c>
      <c r="E552" s="737">
        <f t="shared" si="55"/>
        <v>255076.77333333332</v>
      </c>
      <c r="F552" s="737">
        <f t="shared" si="48"/>
        <v>9140251.0444444418</v>
      </c>
      <c r="G552" s="683">
        <f t="shared" si="49"/>
        <v>9267789.4311111085</v>
      </c>
      <c r="H552" s="731">
        <f>+J532*G552+E552</f>
        <v>1233040.1292698437</v>
      </c>
      <c r="I552" s="738">
        <f>+J533*G552+E552</f>
        <v>1233040.1292698437</v>
      </c>
      <c r="J552" s="734">
        <f t="shared" si="50"/>
        <v>0</v>
      </c>
      <c r="K552" s="734"/>
      <c r="L552" s="739"/>
      <c r="M552" s="734">
        <f t="shared" si="51"/>
        <v>0</v>
      </c>
      <c r="N552" s="739"/>
      <c r="O552" s="734">
        <f t="shared" si="52"/>
        <v>0</v>
      </c>
      <c r="P552" s="734">
        <f t="shared" si="53"/>
        <v>0</v>
      </c>
      <c r="Q552" s="684"/>
    </row>
    <row r="553" spans="2:17">
      <c r="B553" s="337"/>
      <c r="C553" s="730">
        <f>IF(D531="","-",+C552+1)</f>
        <v>2030</v>
      </c>
      <c r="D553" s="683">
        <f t="shared" si="54"/>
        <v>9140251.0444444418</v>
      </c>
      <c r="E553" s="737">
        <f t="shared" si="55"/>
        <v>255076.77333333332</v>
      </c>
      <c r="F553" s="737">
        <f t="shared" si="48"/>
        <v>8885174.2711111084</v>
      </c>
      <c r="G553" s="683">
        <f t="shared" si="49"/>
        <v>9012712.6577777751</v>
      </c>
      <c r="H553" s="731">
        <f>+J532*G553+E553</f>
        <v>1206123.7066293892</v>
      </c>
      <c r="I553" s="738">
        <f>+J533*G553+E553</f>
        <v>1206123.7066293892</v>
      </c>
      <c r="J553" s="734">
        <f t="shared" si="50"/>
        <v>0</v>
      </c>
      <c r="K553" s="734"/>
      <c r="L553" s="739"/>
      <c r="M553" s="734">
        <f t="shared" si="51"/>
        <v>0</v>
      </c>
      <c r="N553" s="739"/>
      <c r="O553" s="734">
        <f t="shared" si="52"/>
        <v>0</v>
      </c>
      <c r="P553" s="734">
        <f t="shared" si="53"/>
        <v>0</v>
      </c>
      <c r="Q553" s="684"/>
    </row>
    <row r="554" spans="2:17">
      <c r="B554" s="337"/>
      <c r="C554" s="730">
        <f>IF(D531="","-",+C553+1)</f>
        <v>2031</v>
      </c>
      <c r="D554" s="683">
        <f t="shared" si="54"/>
        <v>8885174.2711111084</v>
      </c>
      <c r="E554" s="737">
        <f t="shared" si="55"/>
        <v>255076.77333333332</v>
      </c>
      <c r="F554" s="737">
        <f t="shared" si="48"/>
        <v>8630097.4977777749</v>
      </c>
      <c r="G554" s="683">
        <f t="shared" si="49"/>
        <v>8757635.8844444416</v>
      </c>
      <c r="H554" s="731">
        <f>+J532*G554+E554</f>
        <v>1179207.2839889349</v>
      </c>
      <c r="I554" s="738">
        <f>+J533*G554+E554</f>
        <v>1179207.2839889349</v>
      </c>
      <c r="J554" s="734">
        <f t="shared" si="50"/>
        <v>0</v>
      </c>
      <c r="K554" s="734"/>
      <c r="L554" s="739"/>
      <c r="M554" s="734">
        <f t="shared" si="51"/>
        <v>0</v>
      </c>
      <c r="N554" s="739"/>
      <c r="O554" s="734">
        <f t="shared" si="52"/>
        <v>0</v>
      </c>
      <c r="P554" s="734">
        <f t="shared" si="53"/>
        <v>0</v>
      </c>
      <c r="Q554" s="684"/>
    </row>
    <row r="555" spans="2:17">
      <c r="B555" s="337"/>
      <c r="C555" s="730">
        <f>IF(D531="","-",+C554+1)</f>
        <v>2032</v>
      </c>
      <c r="D555" s="683">
        <f t="shared" si="54"/>
        <v>8630097.4977777749</v>
      </c>
      <c r="E555" s="737">
        <f t="shared" si="55"/>
        <v>255076.77333333332</v>
      </c>
      <c r="F555" s="737">
        <f t="shared" si="48"/>
        <v>8375020.7244444415</v>
      </c>
      <c r="G555" s="683">
        <f t="shared" si="49"/>
        <v>8502559.1111111082</v>
      </c>
      <c r="H555" s="731">
        <f>+J532*G555+E555</f>
        <v>1152290.8613484805</v>
      </c>
      <c r="I555" s="738">
        <f>+J533*G555+E555</f>
        <v>1152290.8613484805</v>
      </c>
      <c r="J555" s="734">
        <f t="shared" si="50"/>
        <v>0</v>
      </c>
      <c r="K555" s="734"/>
      <c r="L555" s="739"/>
      <c r="M555" s="734">
        <f t="shared" si="51"/>
        <v>0</v>
      </c>
      <c r="N555" s="739"/>
      <c r="O555" s="734">
        <f t="shared" si="52"/>
        <v>0</v>
      </c>
      <c r="P555" s="734">
        <f t="shared" si="53"/>
        <v>0</v>
      </c>
      <c r="Q555" s="684"/>
    </row>
    <row r="556" spans="2:17">
      <c r="B556" s="337"/>
      <c r="C556" s="730">
        <f>IF(D531="","-",+C555+1)</f>
        <v>2033</v>
      </c>
      <c r="D556" s="683">
        <f t="shared" si="54"/>
        <v>8375020.7244444415</v>
      </c>
      <c r="E556" s="737">
        <f t="shared" si="55"/>
        <v>255076.77333333332</v>
      </c>
      <c r="F556" s="737">
        <f t="shared" si="48"/>
        <v>8119943.9511111081</v>
      </c>
      <c r="G556" s="683">
        <f t="shared" si="49"/>
        <v>8247482.3377777748</v>
      </c>
      <c r="H556" s="731">
        <f>+J532*G556+E556</f>
        <v>1125374.438708026</v>
      </c>
      <c r="I556" s="738">
        <f>+J533*G556+E556</f>
        <v>1125374.438708026</v>
      </c>
      <c r="J556" s="734">
        <f t="shared" si="50"/>
        <v>0</v>
      </c>
      <c r="K556" s="734"/>
      <c r="L556" s="739"/>
      <c r="M556" s="734">
        <f t="shared" si="51"/>
        <v>0</v>
      </c>
      <c r="N556" s="739"/>
      <c r="O556" s="734">
        <f t="shared" si="52"/>
        <v>0</v>
      </c>
      <c r="P556" s="734">
        <f t="shared" si="53"/>
        <v>0</v>
      </c>
      <c r="Q556" s="684"/>
    </row>
    <row r="557" spans="2:17">
      <c r="B557" s="337"/>
      <c r="C557" s="730">
        <f>IF(D531="","-",+C556+1)</f>
        <v>2034</v>
      </c>
      <c r="D557" s="683">
        <f t="shared" si="54"/>
        <v>8119943.9511111081</v>
      </c>
      <c r="E557" s="737">
        <f t="shared" si="55"/>
        <v>255076.77333333332</v>
      </c>
      <c r="F557" s="737">
        <f t="shared" si="48"/>
        <v>7864867.1777777746</v>
      </c>
      <c r="G557" s="683">
        <f t="shared" si="49"/>
        <v>7992405.5644444413</v>
      </c>
      <c r="H557" s="731">
        <f>+J532*G557+E557</f>
        <v>1098458.0160675715</v>
      </c>
      <c r="I557" s="738">
        <f>+J533*G557+E557</f>
        <v>1098458.0160675715</v>
      </c>
      <c r="J557" s="734">
        <f t="shared" si="50"/>
        <v>0</v>
      </c>
      <c r="K557" s="734"/>
      <c r="L557" s="739"/>
      <c r="M557" s="734">
        <f t="shared" si="51"/>
        <v>0</v>
      </c>
      <c r="N557" s="739"/>
      <c r="O557" s="734">
        <f t="shared" si="52"/>
        <v>0</v>
      </c>
      <c r="P557" s="734">
        <f t="shared" si="53"/>
        <v>0</v>
      </c>
      <c r="Q557" s="684"/>
    </row>
    <row r="558" spans="2:17">
      <c r="B558" s="337"/>
      <c r="C558" s="730">
        <f>IF(D531="","-",+C557+1)</f>
        <v>2035</v>
      </c>
      <c r="D558" s="683">
        <f t="shared" si="54"/>
        <v>7864867.1777777746</v>
      </c>
      <c r="E558" s="737">
        <f t="shared" si="55"/>
        <v>255076.77333333332</v>
      </c>
      <c r="F558" s="737">
        <f t="shared" si="48"/>
        <v>7609790.4044444412</v>
      </c>
      <c r="G558" s="683">
        <f t="shared" si="49"/>
        <v>7737328.7911111079</v>
      </c>
      <c r="H558" s="731">
        <f>+J532*G558+E558</f>
        <v>1071541.593427117</v>
      </c>
      <c r="I558" s="738">
        <f>+J533*G558+E558</f>
        <v>1071541.593427117</v>
      </c>
      <c r="J558" s="734">
        <f t="shared" si="50"/>
        <v>0</v>
      </c>
      <c r="K558" s="734"/>
      <c r="L558" s="739"/>
      <c r="M558" s="734">
        <f t="shared" si="51"/>
        <v>0</v>
      </c>
      <c r="N558" s="739"/>
      <c r="O558" s="734">
        <f t="shared" si="52"/>
        <v>0</v>
      </c>
      <c r="P558" s="734">
        <f t="shared" si="53"/>
        <v>0</v>
      </c>
      <c r="Q558" s="684"/>
    </row>
    <row r="559" spans="2:17">
      <c r="B559" s="337"/>
      <c r="C559" s="730">
        <f>IF(D531="","-",+C558+1)</f>
        <v>2036</v>
      </c>
      <c r="D559" s="683">
        <f t="shared" si="54"/>
        <v>7609790.4044444412</v>
      </c>
      <c r="E559" s="737">
        <f t="shared" si="55"/>
        <v>255076.77333333332</v>
      </c>
      <c r="F559" s="737">
        <f t="shared" si="48"/>
        <v>7354713.6311111078</v>
      </c>
      <c r="G559" s="683">
        <f t="shared" si="49"/>
        <v>7482252.0177777745</v>
      </c>
      <c r="H559" s="731">
        <f>+J532*G559+E559</f>
        <v>1044625.1707866626</v>
      </c>
      <c r="I559" s="738">
        <f>+J533*G559+E559</f>
        <v>1044625.1707866626</v>
      </c>
      <c r="J559" s="734">
        <f t="shared" si="50"/>
        <v>0</v>
      </c>
      <c r="K559" s="734"/>
      <c r="L559" s="739"/>
      <c r="M559" s="734">
        <f t="shared" si="51"/>
        <v>0</v>
      </c>
      <c r="N559" s="739"/>
      <c r="O559" s="734">
        <f t="shared" si="52"/>
        <v>0</v>
      </c>
      <c r="P559" s="734">
        <f t="shared" si="53"/>
        <v>0</v>
      </c>
      <c r="Q559" s="684"/>
    </row>
    <row r="560" spans="2:17">
      <c r="B560" s="337"/>
      <c r="C560" s="730">
        <f>IF(D531="","-",+C559+1)</f>
        <v>2037</v>
      </c>
      <c r="D560" s="683">
        <f t="shared" si="54"/>
        <v>7354713.6311111078</v>
      </c>
      <c r="E560" s="737">
        <f t="shared" si="55"/>
        <v>255076.77333333332</v>
      </c>
      <c r="F560" s="737">
        <f t="shared" si="48"/>
        <v>7099636.8577777743</v>
      </c>
      <c r="G560" s="683">
        <f t="shared" si="49"/>
        <v>7227175.2444444411</v>
      </c>
      <c r="H560" s="731">
        <f>+J532*G560+E560</f>
        <v>1017708.7481462082</v>
      </c>
      <c r="I560" s="738">
        <f>+J533*G560+E560</f>
        <v>1017708.7481462082</v>
      </c>
      <c r="J560" s="734">
        <f t="shared" si="50"/>
        <v>0</v>
      </c>
      <c r="K560" s="734"/>
      <c r="L560" s="739"/>
      <c r="M560" s="734">
        <f t="shared" si="51"/>
        <v>0</v>
      </c>
      <c r="N560" s="739"/>
      <c r="O560" s="734">
        <f t="shared" si="52"/>
        <v>0</v>
      </c>
      <c r="P560" s="734">
        <f t="shared" si="53"/>
        <v>0</v>
      </c>
      <c r="Q560" s="684"/>
    </row>
    <row r="561" spans="2:17">
      <c r="B561" s="337"/>
      <c r="C561" s="730">
        <f>IF(D531="","-",+C560+1)</f>
        <v>2038</v>
      </c>
      <c r="D561" s="683">
        <f t="shared" si="54"/>
        <v>7099636.8577777743</v>
      </c>
      <c r="E561" s="737">
        <f t="shared" si="55"/>
        <v>255076.77333333332</v>
      </c>
      <c r="F561" s="737">
        <f t="shared" si="48"/>
        <v>6844560.0844444409</v>
      </c>
      <c r="G561" s="683">
        <f t="shared" si="49"/>
        <v>6972098.4711111076</v>
      </c>
      <c r="H561" s="731">
        <f>+J532*G561+E561</f>
        <v>990792.32550575375</v>
      </c>
      <c r="I561" s="738">
        <f>+J533*G561+E561</f>
        <v>990792.32550575375</v>
      </c>
      <c r="J561" s="734">
        <f t="shared" si="50"/>
        <v>0</v>
      </c>
      <c r="K561" s="734"/>
      <c r="L561" s="739"/>
      <c r="M561" s="734">
        <f t="shared" si="51"/>
        <v>0</v>
      </c>
      <c r="N561" s="739"/>
      <c r="O561" s="734">
        <f t="shared" si="52"/>
        <v>0</v>
      </c>
      <c r="P561" s="734">
        <f t="shared" si="53"/>
        <v>0</v>
      </c>
      <c r="Q561" s="684"/>
    </row>
    <row r="562" spans="2:17">
      <c r="B562" s="337"/>
      <c r="C562" s="730">
        <f>IF(D531="","-",+C561+1)</f>
        <v>2039</v>
      </c>
      <c r="D562" s="683">
        <f t="shared" si="54"/>
        <v>6844560.0844444409</v>
      </c>
      <c r="E562" s="737">
        <f t="shared" si="55"/>
        <v>255076.77333333332</v>
      </c>
      <c r="F562" s="737">
        <f t="shared" si="48"/>
        <v>6589483.3111111075</v>
      </c>
      <c r="G562" s="683">
        <f t="shared" si="49"/>
        <v>6717021.6977777742</v>
      </c>
      <c r="H562" s="731">
        <f>+J532*G562+E562</f>
        <v>963875.90286529937</v>
      </c>
      <c r="I562" s="738">
        <f>+J533*G562+E562</f>
        <v>963875.90286529937</v>
      </c>
      <c r="J562" s="734">
        <f t="shared" si="50"/>
        <v>0</v>
      </c>
      <c r="K562" s="734"/>
      <c r="L562" s="739"/>
      <c r="M562" s="734">
        <f t="shared" si="51"/>
        <v>0</v>
      </c>
      <c r="N562" s="739"/>
      <c r="O562" s="734">
        <f t="shared" si="52"/>
        <v>0</v>
      </c>
      <c r="P562" s="734">
        <f t="shared" si="53"/>
        <v>0</v>
      </c>
      <c r="Q562" s="684"/>
    </row>
    <row r="563" spans="2:17">
      <c r="B563" s="337"/>
      <c r="C563" s="730">
        <f>IF(D531="","-",+C562+1)</f>
        <v>2040</v>
      </c>
      <c r="D563" s="683">
        <f t="shared" si="54"/>
        <v>6589483.3111111075</v>
      </c>
      <c r="E563" s="737">
        <f t="shared" si="55"/>
        <v>255076.77333333332</v>
      </c>
      <c r="F563" s="737">
        <f t="shared" si="48"/>
        <v>6334406.537777774</v>
      </c>
      <c r="G563" s="683">
        <f t="shared" si="49"/>
        <v>6461944.9244444408</v>
      </c>
      <c r="H563" s="731">
        <f>+J532*G563+E563</f>
        <v>936959.48022484488</v>
      </c>
      <c r="I563" s="738">
        <f>+J533*G563+E563</f>
        <v>936959.48022484488</v>
      </c>
      <c r="J563" s="734">
        <f t="shared" si="50"/>
        <v>0</v>
      </c>
      <c r="K563" s="734"/>
      <c r="L563" s="739"/>
      <c r="M563" s="734">
        <f t="shared" si="51"/>
        <v>0</v>
      </c>
      <c r="N563" s="739"/>
      <c r="O563" s="734">
        <f t="shared" si="52"/>
        <v>0</v>
      </c>
      <c r="P563" s="734">
        <f t="shared" si="53"/>
        <v>0</v>
      </c>
      <c r="Q563" s="684"/>
    </row>
    <row r="564" spans="2:17">
      <c r="B564" s="337"/>
      <c r="C564" s="730">
        <f>IF(D531="","-",+C563+1)</f>
        <v>2041</v>
      </c>
      <c r="D564" s="683">
        <f t="shared" si="54"/>
        <v>6334406.537777774</v>
      </c>
      <c r="E564" s="737">
        <f t="shared" si="55"/>
        <v>255076.77333333332</v>
      </c>
      <c r="F564" s="737">
        <f t="shared" si="48"/>
        <v>6079329.7644444406</v>
      </c>
      <c r="G564" s="683">
        <f t="shared" si="49"/>
        <v>6206868.1511111073</v>
      </c>
      <c r="H564" s="731">
        <f>+J532*G564+E564</f>
        <v>910043.05758439051</v>
      </c>
      <c r="I564" s="738">
        <f>+J533*G564+E564</f>
        <v>910043.05758439051</v>
      </c>
      <c r="J564" s="734">
        <f t="shared" si="50"/>
        <v>0</v>
      </c>
      <c r="K564" s="734"/>
      <c r="L564" s="739"/>
      <c r="M564" s="734">
        <f t="shared" si="51"/>
        <v>0</v>
      </c>
      <c r="N564" s="739"/>
      <c r="O564" s="734">
        <f t="shared" si="52"/>
        <v>0</v>
      </c>
      <c r="P564" s="734">
        <f t="shared" si="53"/>
        <v>0</v>
      </c>
      <c r="Q564" s="684"/>
    </row>
    <row r="565" spans="2:17">
      <c r="B565" s="337"/>
      <c r="C565" s="730">
        <f>IF(D531="","-",+C564+1)</f>
        <v>2042</v>
      </c>
      <c r="D565" s="683">
        <f t="shared" si="54"/>
        <v>6079329.7644444406</v>
      </c>
      <c r="E565" s="737">
        <f t="shared" si="55"/>
        <v>255076.77333333332</v>
      </c>
      <c r="F565" s="737">
        <f t="shared" si="48"/>
        <v>5824252.9911111072</v>
      </c>
      <c r="G565" s="683">
        <f t="shared" si="49"/>
        <v>5951791.3777777739</v>
      </c>
      <c r="H565" s="731">
        <f>+J532*G565+E565</f>
        <v>883126.63494393602</v>
      </c>
      <c r="I565" s="738">
        <f>+J533*G565+E565</f>
        <v>883126.63494393602</v>
      </c>
      <c r="J565" s="734">
        <f t="shared" si="50"/>
        <v>0</v>
      </c>
      <c r="K565" s="734"/>
      <c r="L565" s="739"/>
      <c r="M565" s="734">
        <f t="shared" si="51"/>
        <v>0</v>
      </c>
      <c r="N565" s="739"/>
      <c r="O565" s="734">
        <f t="shared" si="52"/>
        <v>0</v>
      </c>
      <c r="P565" s="734">
        <f t="shared" si="53"/>
        <v>0</v>
      </c>
      <c r="Q565" s="684"/>
    </row>
    <row r="566" spans="2:17">
      <c r="B566" s="337"/>
      <c r="C566" s="730">
        <f>IF(D531="","-",+C565+1)</f>
        <v>2043</v>
      </c>
      <c r="D566" s="683">
        <f t="shared" si="54"/>
        <v>5824252.9911111072</v>
      </c>
      <c r="E566" s="737">
        <f t="shared" si="55"/>
        <v>255076.77333333332</v>
      </c>
      <c r="F566" s="737">
        <f t="shared" si="48"/>
        <v>5569176.2177777737</v>
      </c>
      <c r="G566" s="683">
        <f t="shared" si="49"/>
        <v>5696714.6044444405</v>
      </c>
      <c r="H566" s="731">
        <f>+J532*G566+E566</f>
        <v>856210.21230348165</v>
      </c>
      <c r="I566" s="738">
        <f>+J533*G566+E566</f>
        <v>856210.21230348165</v>
      </c>
      <c r="J566" s="734">
        <f t="shared" si="50"/>
        <v>0</v>
      </c>
      <c r="K566" s="734"/>
      <c r="L566" s="739"/>
      <c r="M566" s="734">
        <f t="shared" si="51"/>
        <v>0</v>
      </c>
      <c r="N566" s="739"/>
      <c r="O566" s="734">
        <f t="shared" si="52"/>
        <v>0</v>
      </c>
      <c r="P566" s="734">
        <f t="shared" si="53"/>
        <v>0</v>
      </c>
      <c r="Q566" s="684"/>
    </row>
    <row r="567" spans="2:17">
      <c r="B567" s="337"/>
      <c r="C567" s="730">
        <f>IF(D531="","-",+C566+1)</f>
        <v>2044</v>
      </c>
      <c r="D567" s="683">
        <f t="shared" si="54"/>
        <v>5569176.2177777737</v>
      </c>
      <c r="E567" s="737">
        <f t="shared" si="55"/>
        <v>255076.77333333332</v>
      </c>
      <c r="F567" s="737">
        <f t="shared" si="48"/>
        <v>5314099.4444444403</v>
      </c>
      <c r="G567" s="683">
        <f t="shared" si="49"/>
        <v>5441637.831111107</v>
      </c>
      <c r="H567" s="731">
        <f>+J532*G567+E567</f>
        <v>829293.78966302716</v>
      </c>
      <c r="I567" s="738">
        <f>+J533*G567+E567</f>
        <v>829293.78966302716</v>
      </c>
      <c r="J567" s="734">
        <f t="shared" si="50"/>
        <v>0</v>
      </c>
      <c r="K567" s="734"/>
      <c r="L567" s="739"/>
      <c r="M567" s="734">
        <f t="shared" si="51"/>
        <v>0</v>
      </c>
      <c r="N567" s="739"/>
      <c r="O567" s="734">
        <f t="shared" si="52"/>
        <v>0</v>
      </c>
      <c r="P567" s="734">
        <f t="shared" si="53"/>
        <v>0</v>
      </c>
      <c r="Q567" s="684"/>
    </row>
    <row r="568" spans="2:17">
      <c r="B568" s="337"/>
      <c r="C568" s="730">
        <f>IF(D531="","-",+C567+1)</f>
        <v>2045</v>
      </c>
      <c r="D568" s="683">
        <f t="shared" si="54"/>
        <v>5314099.4444444403</v>
      </c>
      <c r="E568" s="737">
        <f t="shared" si="55"/>
        <v>255076.77333333332</v>
      </c>
      <c r="F568" s="737">
        <f t="shared" si="48"/>
        <v>5059022.6711111069</v>
      </c>
      <c r="G568" s="683">
        <f t="shared" si="49"/>
        <v>5186561.0577777736</v>
      </c>
      <c r="H568" s="731">
        <f>+J532*G568+E568</f>
        <v>802377.36702257278</v>
      </c>
      <c r="I568" s="738">
        <f>+J533*G568+E568</f>
        <v>802377.36702257278</v>
      </c>
      <c r="J568" s="734">
        <f t="shared" si="50"/>
        <v>0</v>
      </c>
      <c r="K568" s="734"/>
      <c r="L568" s="739"/>
      <c r="M568" s="734">
        <f t="shared" si="51"/>
        <v>0</v>
      </c>
      <c r="N568" s="739"/>
      <c r="O568" s="734">
        <f t="shared" si="52"/>
        <v>0</v>
      </c>
      <c r="P568" s="734">
        <f t="shared" si="53"/>
        <v>0</v>
      </c>
      <c r="Q568" s="684"/>
    </row>
    <row r="569" spans="2:17">
      <c r="B569" s="337"/>
      <c r="C569" s="730">
        <f>IF(D531="","-",+C568+1)</f>
        <v>2046</v>
      </c>
      <c r="D569" s="683">
        <f t="shared" si="54"/>
        <v>5059022.6711111069</v>
      </c>
      <c r="E569" s="737">
        <f t="shared" si="55"/>
        <v>255076.77333333332</v>
      </c>
      <c r="F569" s="737">
        <f t="shared" si="48"/>
        <v>4803945.8977777734</v>
      </c>
      <c r="G569" s="683">
        <f t="shared" si="49"/>
        <v>4931484.2844444402</v>
      </c>
      <c r="H569" s="731">
        <f>+J532*G569+E569</f>
        <v>775460.94438211829</v>
      </c>
      <c r="I569" s="738">
        <f>+J533*G569+E569</f>
        <v>775460.94438211829</v>
      </c>
      <c r="J569" s="734">
        <f t="shared" si="50"/>
        <v>0</v>
      </c>
      <c r="K569" s="734"/>
      <c r="L569" s="739"/>
      <c r="M569" s="734">
        <f t="shared" si="51"/>
        <v>0</v>
      </c>
      <c r="N569" s="739"/>
      <c r="O569" s="734">
        <f t="shared" si="52"/>
        <v>0</v>
      </c>
      <c r="P569" s="734">
        <f t="shared" si="53"/>
        <v>0</v>
      </c>
      <c r="Q569" s="684"/>
    </row>
    <row r="570" spans="2:17">
      <c r="B570" s="337"/>
      <c r="C570" s="730">
        <f>IF(D531="","-",+C569+1)</f>
        <v>2047</v>
      </c>
      <c r="D570" s="683">
        <f t="shared" si="54"/>
        <v>4803945.8977777734</v>
      </c>
      <c r="E570" s="737">
        <f t="shared" si="55"/>
        <v>255076.77333333332</v>
      </c>
      <c r="F570" s="737">
        <f t="shared" si="48"/>
        <v>4548869.12444444</v>
      </c>
      <c r="G570" s="683">
        <f t="shared" si="49"/>
        <v>4676407.5111111067</v>
      </c>
      <c r="H570" s="731">
        <f>+J532*G570+E570</f>
        <v>748544.52174166392</v>
      </c>
      <c r="I570" s="738">
        <f>+J533*G570+E570</f>
        <v>748544.52174166392</v>
      </c>
      <c r="J570" s="734">
        <f t="shared" si="50"/>
        <v>0</v>
      </c>
      <c r="K570" s="734"/>
      <c r="L570" s="739"/>
      <c r="M570" s="734">
        <f t="shared" si="51"/>
        <v>0</v>
      </c>
      <c r="N570" s="739"/>
      <c r="O570" s="734">
        <f t="shared" si="52"/>
        <v>0</v>
      </c>
      <c r="P570" s="734">
        <f t="shared" si="53"/>
        <v>0</v>
      </c>
      <c r="Q570" s="684"/>
    </row>
    <row r="571" spans="2:17">
      <c r="B571" s="337"/>
      <c r="C571" s="730">
        <f>IF(D531="","-",+C570+1)</f>
        <v>2048</v>
      </c>
      <c r="D571" s="683">
        <f t="shared" si="54"/>
        <v>4548869.12444444</v>
      </c>
      <c r="E571" s="737">
        <f t="shared" si="55"/>
        <v>255076.77333333332</v>
      </c>
      <c r="F571" s="737">
        <f t="shared" si="48"/>
        <v>4293792.3511111066</v>
      </c>
      <c r="G571" s="683">
        <f t="shared" si="49"/>
        <v>4421330.7377777733</v>
      </c>
      <c r="H571" s="731">
        <f>+J532*G571+E571</f>
        <v>721628.09910120955</v>
      </c>
      <c r="I571" s="738">
        <f>+J533*G571+E571</f>
        <v>721628.09910120955</v>
      </c>
      <c r="J571" s="734">
        <f t="shared" si="50"/>
        <v>0</v>
      </c>
      <c r="K571" s="734"/>
      <c r="L571" s="739"/>
      <c r="M571" s="734">
        <f t="shared" si="51"/>
        <v>0</v>
      </c>
      <c r="N571" s="739"/>
      <c r="O571" s="734">
        <f t="shared" si="52"/>
        <v>0</v>
      </c>
      <c r="P571" s="734">
        <f t="shared" si="53"/>
        <v>0</v>
      </c>
      <c r="Q571" s="684"/>
    </row>
    <row r="572" spans="2:17">
      <c r="B572" s="337"/>
      <c r="C572" s="730">
        <f>IF(D531="","-",+C571+1)</f>
        <v>2049</v>
      </c>
      <c r="D572" s="683">
        <f t="shared" si="54"/>
        <v>4293792.3511111066</v>
      </c>
      <c r="E572" s="737">
        <f t="shared" si="55"/>
        <v>255076.77333333332</v>
      </c>
      <c r="F572" s="737">
        <f t="shared" si="48"/>
        <v>4038715.5777777731</v>
      </c>
      <c r="G572" s="683">
        <f t="shared" si="49"/>
        <v>4166253.9644444399</v>
      </c>
      <c r="H572" s="731">
        <f>+J532*G572+E572</f>
        <v>694711.67646075506</v>
      </c>
      <c r="I572" s="738">
        <f>+J533*G572+E572</f>
        <v>694711.67646075506</v>
      </c>
      <c r="J572" s="734">
        <f t="shared" si="50"/>
        <v>0</v>
      </c>
      <c r="K572" s="734"/>
      <c r="L572" s="739"/>
      <c r="M572" s="734">
        <f t="shared" si="51"/>
        <v>0</v>
      </c>
      <c r="N572" s="739"/>
      <c r="O572" s="734">
        <f t="shared" si="52"/>
        <v>0</v>
      </c>
      <c r="P572" s="734">
        <f t="shared" si="53"/>
        <v>0</v>
      </c>
      <c r="Q572" s="684"/>
    </row>
    <row r="573" spans="2:17">
      <c r="B573" s="337"/>
      <c r="C573" s="730">
        <f>IF(D531="","-",+C572+1)</f>
        <v>2050</v>
      </c>
      <c r="D573" s="683">
        <f t="shared" si="54"/>
        <v>4038715.5777777731</v>
      </c>
      <c r="E573" s="737">
        <f t="shared" si="55"/>
        <v>255076.77333333332</v>
      </c>
      <c r="F573" s="737">
        <f t="shared" si="48"/>
        <v>3783638.8044444397</v>
      </c>
      <c r="G573" s="683">
        <f t="shared" si="49"/>
        <v>3911177.1911111064</v>
      </c>
      <c r="H573" s="731">
        <f>+J532*G573+E573</f>
        <v>667795.25382030057</v>
      </c>
      <c r="I573" s="738">
        <f>+J533*G573+E573</f>
        <v>667795.25382030057</v>
      </c>
      <c r="J573" s="734">
        <f t="shared" si="50"/>
        <v>0</v>
      </c>
      <c r="K573" s="734"/>
      <c r="L573" s="739"/>
      <c r="M573" s="734">
        <f t="shared" si="51"/>
        <v>0</v>
      </c>
      <c r="N573" s="739"/>
      <c r="O573" s="734">
        <f t="shared" si="52"/>
        <v>0</v>
      </c>
      <c r="P573" s="734">
        <f t="shared" si="53"/>
        <v>0</v>
      </c>
      <c r="Q573" s="684"/>
    </row>
    <row r="574" spans="2:17">
      <c r="B574" s="337"/>
      <c r="C574" s="730">
        <f>IF(D531="","-",+C573+1)</f>
        <v>2051</v>
      </c>
      <c r="D574" s="683">
        <f t="shared" si="54"/>
        <v>3783638.8044444397</v>
      </c>
      <c r="E574" s="737">
        <f t="shared" si="55"/>
        <v>255076.77333333332</v>
      </c>
      <c r="F574" s="737">
        <f t="shared" si="48"/>
        <v>3528562.0311111063</v>
      </c>
      <c r="G574" s="683">
        <f t="shared" si="49"/>
        <v>3656100.417777773</v>
      </c>
      <c r="H574" s="731">
        <f>+J532*G574+E574</f>
        <v>640878.83117984619</v>
      </c>
      <c r="I574" s="738">
        <f>+J533*G574+E574</f>
        <v>640878.83117984619</v>
      </c>
      <c r="J574" s="734">
        <f t="shared" si="50"/>
        <v>0</v>
      </c>
      <c r="K574" s="734"/>
      <c r="L574" s="739"/>
      <c r="M574" s="734">
        <f t="shared" si="51"/>
        <v>0</v>
      </c>
      <c r="N574" s="739"/>
      <c r="O574" s="734">
        <f t="shared" si="52"/>
        <v>0</v>
      </c>
      <c r="P574" s="734">
        <f t="shared" si="53"/>
        <v>0</v>
      </c>
      <c r="Q574" s="684"/>
    </row>
    <row r="575" spans="2:17">
      <c r="B575" s="337"/>
      <c r="C575" s="730">
        <f>IF(D531="","-",+C574+1)</f>
        <v>2052</v>
      </c>
      <c r="D575" s="683">
        <f t="shared" si="54"/>
        <v>3528562.0311111063</v>
      </c>
      <c r="E575" s="737">
        <f t="shared" si="55"/>
        <v>255076.77333333332</v>
      </c>
      <c r="F575" s="737">
        <f t="shared" si="48"/>
        <v>3273485.2577777728</v>
      </c>
      <c r="G575" s="683">
        <f t="shared" si="49"/>
        <v>3401023.6444444396</v>
      </c>
      <c r="H575" s="731">
        <f>+J532*G575+E575</f>
        <v>613962.40853939182</v>
      </c>
      <c r="I575" s="738">
        <f>+J533*G575+E575</f>
        <v>613962.40853939182</v>
      </c>
      <c r="J575" s="734">
        <f t="shared" si="50"/>
        <v>0</v>
      </c>
      <c r="K575" s="734"/>
      <c r="L575" s="739"/>
      <c r="M575" s="734">
        <f t="shared" si="51"/>
        <v>0</v>
      </c>
      <c r="N575" s="739"/>
      <c r="O575" s="734">
        <f t="shared" si="52"/>
        <v>0</v>
      </c>
      <c r="P575" s="734">
        <f t="shared" si="53"/>
        <v>0</v>
      </c>
      <c r="Q575" s="684"/>
    </row>
    <row r="576" spans="2:17">
      <c r="B576" s="337"/>
      <c r="C576" s="730">
        <f>IF(D531="","-",+C575+1)</f>
        <v>2053</v>
      </c>
      <c r="D576" s="683">
        <f t="shared" si="54"/>
        <v>3273485.2577777728</v>
      </c>
      <c r="E576" s="737">
        <f t="shared" si="55"/>
        <v>255076.77333333332</v>
      </c>
      <c r="F576" s="737">
        <f t="shared" si="48"/>
        <v>3018408.4844444394</v>
      </c>
      <c r="G576" s="683">
        <f t="shared" si="49"/>
        <v>3145946.8711111061</v>
      </c>
      <c r="H576" s="731">
        <f>+J532*G576+E576</f>
        <v>587045.98589893733</v>
      </c>
      <c r="I576" s="738">
        <f>+J533*G576+E576</f>
        <v>587045.98589893733</v>
      </c>
      <c r="J576" s="734">
        <f t="shared" si="50"/>
        <v>0</v>
      </c>
      <c r="K576" s="734"/>
      <c r="L576" s="739"/>
      <c r="M576" s="734">
        <f t="shared" si="51"/>
        <v>0</v>
      </c>
      <c r="N576" s="739"/>
      <c r="O576" s="734">
        <f t="shared" si="52"/>
        <v>0</v>
      </c>
      <c r="P576" s="734">
        <f t="shared" si="53"/>
        <v>0</v>
      </c>
      <c r="Q576" s="684"/>
    </row>
    <row r="577" spans="2:17">
      <c r="B577" s="337"/>
      <c r="C577" s="730">
        <f>IF(D531="","-",+C576+1)</f>
        <v>2054</v>
      </c>
      <c r="D577" s="683">
        <f t="shared" si="54"/>
        <v>3018408.4844444394</v>
      </c>
      <c r="E577" s="737">
        <f t="shared" si="55"/>
        <v>255076.77333333332</v>
      </c>
      <c r="F577" s="737">
        <f t="shared" si="48"/>
        <v>2763331.711111106</v>
      </c>
      <c r="G577" s="683">
        <f t="shared" si="49"/>
        <v>2890870.0977777727</v>
      </c>
      <c r="H577" s="731">
        <f>+J532*G577+E577</f>
        <v>560129.56325848284</v>
      </c>
      <c r="I577" s="738">
        <f>+J533*G577+E577</f>
        <v>560129.56325848284</v>
      </c>
      <c r="J577" s="734">
        <f t="shared" si="50"/>
        <v>0</v>
      </c>
      <c r="K577" s="734"/>
      <c r="L577" s="739"/>
      <c r="M577" s="734">
        <f t="shared" si="51"/>
        <v>0</v>
      </c>
      <c r="N577" s="739"/>
      <c r="O577" s="734">
        <f t="shared" si="52"/>
        <v>0</v>
      </c>
      <c r="P577" s="734">
        <f t="shared" si="53"/>
        <v>0</v>
      </c>
      <c r="Q577" s="684"/>
    </row>
    <row r="578" spans="2:17">
      <c r="B578" s="337"/>
      <c r="C578" s="730">
        <f>IF(D531="","-",+C577+1)</f>
        <v>2055</v>
      </c>
      <c r="D578" s="683">
        <f t="shared" si="54"/>
        <v>2763331.711111106</v>
      </c>
      <c r="E578" s="737">
        <f t="shared" si="55"/>
        <v>255076.77333333332</v>
      </c>
      <c r="F578" s="737">
        <f t="shared" si="48"/>
        <v>2508254.9377777725</v>
      </c>
      <c r="G578" s="683">
        <f t="shared" si="49"/>
        <v>2635793.3244444393</v>
      </c>
      <c r="H578" s="731">
        <f>+J532*G578+E578</f>
        <v>533213.14061802847</v>
      </c>
      <c r="I578" s="738">
        <f>+J533*G578+E578</f>
        <v>533213.14061802847</v>
      </c>
      <c r="J578" s="734">
        <f t="shared" si="50"/>
        <v>0</v>
      </c>
      <c r="K578" s="734"/>
      <c r="L578" s="739"/>
      <c r="M578" s="734">
        <f t="shared" si="51"/>
        <v>0</v>
      </c>
      <c r="N578" s="739"/>
      <c r="O578" s="734">
        <f t="shared" si="52"/>
        <v>0</v>
      </c>
      <c r="P578" s="734">
        <f t="shared" si="53"/>
        <v>0</v>
      </c>
      <c r="Q578" s="684"/>
    </row>
    <row r="579" spans="2:17">
      <c r="B579" s="337"/>
      <c r="C579" s="730">
        <f>IF(D531="","-",+C578+1)</f>
        <v>2056</v>
      </c>
      <c r="D579" s="683">
        <f t="shared" si="54"/>
        <v>2508254.9377777725</v>
      </c>
      <c r="E579" s="737">
        <f t="shared" si="55"/>
        <v>255076.77333333332</v>
      </c>
      <c r="F579" s="737">
        <f t="shared" si="48"/>
        <v>2253178.1644444391</v>
      </c>
      <c r="G579" s="683">
        <f t="shared" si="49"/>
        <v>2380716.5511111058</v>
      </c>
      <c r="H579" s="731">
        <f>+J532*G579+E579</f>
        <v>506296.71797757404</v>
      </c>
      <c r="I579" s="738">
        <f>+J533*G579+E579</f>
        <v>506296.71797757404</v>
      </c>
      <c r="J579" s="734">
        <f t="shared" si="50"/>
        <v>0</v>
      </c>
      <c r="K579" s="734"/>
      <c r="L579" s="739"/>
      <c r="M579" s="734">
        <f t="shared" si="51"/>
        <v>0</v>
      </c>
      <c r="N579" s="739"/>
      <c r="O579" s="734">
        <f t="shared" si="52"/>
        <v>0</v>
      </c>
      <c r="P579" s="734">
        <f t="shared" si="53"/>
        <v>0</v>
      </c>
      <c r="Q579" s="684"/>
    </row>
    <row r="580" spans="2:17">
      <c r="B580" s="337"/>
      <c r="C580" s="730">
        <f>IF(D531="","-",+C579+1)</f>
        <v>2057</v>
      </c>
      <c r="D580" s="683">
        <f t="shared" si="54"/>
        <v>2253178.1644444391</v>
      </c>
      <c r="E580" s="737">
        <f t="shared" si="55"/>
        <v>255076.77333333332</v>
      </c>
      <c r="F580" s="737">
        <f t="shared" si="48"/>
        <v>1998101.3911111057</v>
      </c>
      <c r="G580" s="683">
        <f t="shared" si="49"/>
        <v>2125639.7777777724</v>
      </c>
      <c r="H580" s="731">
        <f>+J532*G580+E580</f>
        <v>479380.29533711961</v>
      </c>
      <c r="I580" s="738">
        <f>+J533*G580+E580</f>
        <v>479380.29533711961</v>
      </c>
      <c r="J580" s="734">
        <f t="shared" si="50"/>
        <v>0</v>
      </c>
      <c r="K580" s="734"/>
      <c r="L580" s="739"/>
      <c r="M580" s="734">
        <f t="shared" si="51"/>
        <v>0</v>
      </c>
      <c r="N580" s="739"/>
      <c r="O580" s="734">
        <f t="shared" si="52"/>
        <v>0</v>
      </c>
      <c r="P580" s="734">
        <f t="shared" si="53"/>
        <v>0</v>
      </c>
      <c r="Q580" s="684"/>
    </row>
    <row r="581" spans="2:17">
      <c r="B581" s="337"/>
      <c r="C581" s="730">
        <f>IF(D531="","-",+C580+1)</f>
        <v>2058</v>
      </c>
      <c r="D581" s="683">
        <f t="shared" si="54"/>
        <v>1998101.3911111057</v>
      </c>
      <c r="E581" s="737">
        <f t="shared" si="55"/>
        <v>255076.77333333332</v>
      </c>
      <c r="F581" s="737">
        <f t="shared" si="48"/>
        <v>1743024.6177777722</v>
      </c>
      <c r="G581" s="683">
        <f t="shared" si="49"/>
        <v>1870563.004444439</v>
      </c>
      <c r="H581" s="731">
        <f>+J532*G581+E581</f>
        <v>452463.87269666517</v>
      </c>
      <c r="I581" s="738">
        <f>+J533*G581+E581</f>
        <v>452463.87269666517</v>
      </c>
      <c r="J581" s="734">
        <f t="shared" si="50"/>
        <v>0</v>
      </c>
      <c r="K581" s="734"/>
      <c r="L581" s="739"/>
      <c r="M581" s="734">
        <f t="shared" si="51"/>
        <v>0</v>
      </c>
      <c r="N581" s="739"/>
      <c r="O581" s="734">
        <f t="shared" si="52"/>
        <v>0</v>
      </c>
      <c r="P581" s="734">
        <f t="shared" si="53"/>
        <v>0</v>
      </c>
      <c r="Q581" s="684"/>
    </row>
    <row r="582" spans="2:17">
      <c r="B582" s="337"/>
      <c r="C582" s="730">
        <f>IF(D531="","-",+C581+1)</f>
        <v>2059</v>
      </c>
      <c r="D582" s="683">
        <f t="shared" si="54"/>
        <v>1743024.6177777722</v>
      </c>
      <c r="E582" s="737">
        <f t="shared" si="55"/>
        <v>255076.77333333332</v>
      </c>
      <c r="F582" s="737">
        <f t="shared" si="48"/>
        <v>1487947.8444444388</v>
      </c>
      <c r="G582" s="683">
        <f t="shared" si="49"/>
        <v>1615486.2311111055</v>
      </c>
      <c r="H582" s="731">
        <f>+J532*G582+E582</f>
        <v>425547.45005621074</v>
      </c>
      <c r="I582" s="738">
        <f>+J533*G582+E582</f>
        <v>425547.45005621074</v>
      </c>
      <c r="J582" s="734">
        <f t="shared" si="50"/>
        <v>0</v>
      </c>
      <c r="K582" s="734"/>
      <c r="L582" s="739"/>
      <c r="M582" s="734">
        <f t="shared" si="51"/>
        <v>0</v>
      </c>
      <c r="N582" s="739"/>
      <c r="O582" s="734">
        <f t="shared" si="52"/>
        <v>0</v>
      </c>
      <c r="P582" s="734">
        <f t="shared" si="53"/>
        <v>0</v>
      </c>
      <c r="Q582" s="684"/>
    </row>
    <row r="583" spans="2:17">
      <c r="B583" s="337"/>
      <c r="C583" s="730">
        <f>IF(D531="","-",+C582+1)</f>
        <v>2060</v>
      </c>
      <c r="D583" s="683">
        <f t="shared" si="54"/>
        <v>1487947.8444444388</v>
      </c>
      <c r="E583" s="737">
        <f t="shared" si="55"/>
        <v>255076.77333333332</v>
      </c>
      <c r="F583" s="737">
        <f t="shared" si="48"/>
        <v>1232871.0711111054</v>
      </c>
      <c r="G583" s="683">
        <f t="shared" si="49"/>
        <v>1360409.4577777721</v>
      </c>
      <c r="H583" s="731">
        <f>+J532*G583+E583</f>
        <v>398631.02741575631</v>
      </c>
      <c r="I583" s="738">
        <f>+J533*G583+E583</f>
        <v>398631.02741575631</v>
      </c>
      <c r="J583" s="734">
        <f t="shared" si="50"/>
        <v>0</v>
      </c>
      <c r="K583" s="734"/>
      <c r="L583" s="739"/>
      <c r="M583" s="734">
        <f t="shared" si="51"/>
        <v>0</v>
      </c>
      <c r="N583" s="739"/>
      <c r="O583" s="734">
        <f t="shared" si="52"/>
        <v>0</v>
      </c>
      <c r="P583" s="734">
        <f t="shared" si="53"/>
        <v>0</v>
      </c>
      <c r="Q583" s="684"/>
    </row>
    <row r="584" spans="2:17">
      <c r="B584" s="337"/>
      <c r="C584" s="730">
        <f>IF(D531="","-",+C583+1)</f>
        <v>2061</v>
      </c>
      <c r="D584" s="683">
        <f t="shared" si="54"/>
        <v>1232871.0711111054</v>
      </c>
      <c r="E584" s="737">
        <f t="shared" si="55"/>
        <v>255076.77333333332</v>
      </c>
      <c r="F584" s="737">
        <f t="shared" si="48"/>
        <v>977794.29777777207</v>
      </c>
      <c r="G584" s="683">
        <f t="shared" si="49"/>
        <v>1105332.6844444387</v>
      </c>
      <c r="H584" s="731">
        <f>+J532*G584+E584</f>
        <v>371714.60477530188</v>
      </c>
      <c r="I584" s="738">
        <f>+J533*G584+E584</f>
        <v>371714.60477530188</v>
      </c>
      <c r="J584" s="734">
        <f t="shared" si="50"/>
        <v>0</v>
      </c>
      <c r="K584" s="734"/>
      <c r="L584" s="739"/>
      <c r="M584" s="734">
        <f t="shared" si="51"/>
        <v>0</v>
      </c>
      <c r="N584" s="739"/>
      <c r="O584" s="734">
        <f t="shared" si="52"/>
        <v>0</v>
      </c>
      <c r="P584" s="734">
        <f t="shared" si="53"/>
        <v>0</v>
      </c>
      <c r="Q584" s="684"/>
    </row>
    <row r="585" spans="2:17">
      <c r="B585" s="337"/>
      <c r="C585" s="730">
        <f>IF(D531="","-",+C584+1)</f>
        <v>2062</v>
      </c>
      <c r="D585" s="683">
        <f t="shared" si="54"/>
        <v>977794.29777777207</v>
      </c>
      <c r="E585" s="737">
        <f t="shared" si="55"/>
        <v>255076.77333333332</v>
      </c>
      <c r="F585" s="737">
        <f t="shared" si="48"/>
        <v>722717.52444443875</v>
      </c>
      <c r="G585" s="683">
        <f t="shared" si="49"/>
        <v>850255.91111110547</v>
      </c>
      <c r="H585" s="731">
        <f>+J532*G585+E585</f>
        <v>344798.18213484745</v>
      </c>
      <c r="I585" s="738">
        <f>+J533*G585+E585</f>
        <v>344798.18213484745</v>
      </c>
      <c r="J585" s="734">
        <f t="shared" si="50"/>
        <v>0</v>
      </c>
      <c r="K585" s="734"/>
      <c r="L585" s="739"/>
      <c r="M585" s="734">
        <f t="shared" si="51"/>
        <v>0</v>
      </c>
      <c r="N585" s="739"/>
      <c r="O585" s="734">
        <f t="shared" si="52"/>
        <v>0</v>
      </c>
      <c r="P585" s="734">
        <f t="shared" si="53"/>
        <v>0</v>
      </c>
      <c r="Q585" s="684"/>
    </row>
    <row r="586" spans="2:17">
      <c r="B586" s="337"/>
      <c r="C586" s="730">
        <f>IF(D531="","-",+C585+1)</f>
        <v>2063</v>
      </c>
      <c r="D586" s="683">
        <f t="shared" si="54"/>
        <v>722717.52444443875</v>
      </c>
      <c r="E586" s="737">
        <f t="shared" si="55"/>
        <v>255076.77333333332</v>
      </c>
      <c r="F586" s="737">
        <f t="shared" si="48"/>
        <v>467640.75111110543</v>
      </c>
      <c r="G586" s="683">
        <f t="shared" si="49"/>
        <v>595179.13777777203</v>
      </c>
      <c r="H586" s="731">
        <f>+J532*G586+E586</f>
        <v>317881.75949439302</v>
      </c>
      <c r="I586" s="738">
        <f>+J533*G586+E586</f>
        <v>317881.75949439302</v>
      </c>
      <c r="J586" s="734">
        <f t="shared" si="50"/>
        <v>0</v>
      </c>
      <c r="K586" s="734"/>
      <c r="L586" s="739"/>
      <c r="M586" s="734">
        <f t="shared" si="51"/>
        <v>0</v>
      </c>
      <c r="N586" s="739"/>
      <c r="O586" s="734">
        <f t="shared" si="52"/>
        <v>0</v>
      </c>
      <c r="P586" s="734">
        <f t="shared" si="53"/>
        <v>0</v>
      </c>
      <c r="Q586" s="684"/>
    </row>
    <row r="587" spans="2:17">
      <c r="B587" s="337"/>
      <c r="C587" s="730">
        <f>IF(D531="","-",+C586+1)</f>
        <v>2064</v>
      </c>
      <c r="D587" s="683">
        <f t="shared" si="54"/>
        <v>467640.75111110543</v>
      </c>
      <c r="E587" s="737">
        <f t="shared" si="55"/>
        <v>255076.77333333332</v>
      </c>
      <c r="F587" s="737">
        <f t="shared" si="48"/>
        <v>212563.97777777212</v>
      </c>
      <c r="G587" s="683">
        <f t="shared" si="49"/>
        <v>340102.36444443878</v>
      </c>
      <c r="H587" s="731">
        <f>+J532*G587+E587</f>
        <v>290965.33685393864</v>
      </c>
      <c r="I587" s="738">
        <f>+J533*G587+E587</f>
        <v>290965.33685393864</v>
      </c>
      <c r="J587" s="734">
        <f t="shared" si="50"/>
        <v>0</v>
      </c>
      <c r="K587" s="734"/>
      <c r="L587" s="739"/>
      <c r="M587" s="734">
        <f t="shared" si="51"/>
        <v>0</v>
      </c>
      <c r="N587" s="739"/>
      <c r="O587" s="734">
        <f t="shared" si="52"/>
        <v>0</v>
      </c>
      <c r="P587" s="734">
        <f t="shared" si="53"/>
        <v>0</v>
      </c>
      <c r="Q587" s="684"/>
    </row>
    <row r="588" spans="2:17">
      <c r="B588" s="337"/>
      <c r="C588" s="730">
        <f>IF(D531="","-",+C587+1)</f>
        <v>2065</v>
      </c>
      <c r="D588" s="683">
        <f t="shared" si="54"/>
        <v>212563.97777777212</v>
      </c>
      <c r="E588" s="737">
        <f t="shared" si="55"/>
        <v>212563.97777777212</v>
      </c>
      <c r="F588" s="737">
        <f t="shared" si="48"/>
        <v>0</v>
      </c>
      <c r="G588" s="683">
        <f t="shared" si="49"/>
        <v>106281.98888888606</v>
      </c>
      <c r="H588" s="731">
        <f>+J532*G588+E588</f>
        <v>223779.15387796116</v>
      </c>
      <c r="I588" s="738">
        <f>+J533*G588+E588</f>
        <v>223779.15387796116</v>
      </c>
      <c r="J588" s="734">
        <f t="shared" si="50"/>
        <v>0</v>
      </c>
      <c r="K588" s="734"/>
      <c r="L588" s="739"/>
      <c r="M588" s="734">
        <f t="shared" si="51"/>
        <v>0</v>
      </c>
      <c r="N588" s="739"/>
      <c r="O588" s="734">
        <f t="shared" si="52"/>
        <v>0</v>
      </c>
      <c r="P588" s="734">
        <f t="shared" si="53"/>
        <v>0</v>
      </c>
      <c r="Q588" s="684"/>
    </row>
    <row r="589" spans="2:17">
      <c r="B589" s="337"/>
      <c r="C589" s="730">
        <f>IF(D531="","-",+C588+1)</f>
        <v>2066</v>
      </c>
      <c r="D589" s="683">
        <f t="shared" si="54"/>
        <v>0</v>
      </c>
      <c r="E589" s="737">
        <f t="shared" si="55"/>
        <v>0</v>
      </c>
      <c r="F589" s="737">
        <f t="shared" si="48"/>
        <v>0</v>
      </c>
      <c r="G589" s="683">
        <f t="shared" si="49"/>
        <v>0</v>
      </c>
      <c r="H589" s="731">
        <f>+J532*G589+E589</f>
        <v>0</v>
      </c>
      <c r="I589" s="738">
        <f>+J533*G589+E589</f>
        <v>0</v>
      </c>
      <c r="J589" s="734">
        <f t="shared" si="50"/>
        <v>0</v>
      </c>
      <c r="K589" s="734"/>
      <c r="L589" s="739"/>
      <c r="M589" s="734">
        <f t="shared" si="51"/>
        <v>0</v>
      </c>
      <c r="N589" s="739"/>
      <c r="O589" s="734">
        <f t="shared" si="52"/>
        <v>0</v>
      </c>
      <c r="P589" s="734">
        <f t="shared" si="53"/>
        <v>0</v>
      </c>
      <c r="Q589" s="684"/>
    </row>
    <row r="590" spans="2:17">
      <c r="B590" s="337"/>
      <c r="C590" s="730">
        <f>IF(D531="","-",+C589+1)</f>
        <v>2067</v>
      </c>
      <c r="D590" s="683">
        <f t="shared" si="54"/>
        <v>0</v>
      </c>
      <c r="E590" s="737">
        <f t="shared" si="55"/>
        <v>0</v>
      </c>
      <c r="F590" s="737">
        <f t="shared" si="48"/>
        <v>0</v>
      </c>
      <c r="G590" s="683">
        <f t="shared" si="49"/>
        <v>0</v>
      </c>
      <c r="H590" s="731">
        <f>+J532*G590+E590</f>
        <v>0</v>
      </c>
      <c r="I590" s="738">
        <f>+J533*G590+E590</f>
        <v>0</v>
      </c>
      <c r="J590" s="734">
        <f t="shared" si="50"/>
        <v>0</v>
      </c>
      <c r="K590" s="734"/>
      <c r="L590" s="739"/>
      <c r="M590" s="734">
        <f t="shared" si="51"/>
        <v>0</v>
      </c>
      <c r="N590" s="739"/>
      <c r="O590" s="734">
        <f t="shared" si="52"/>
        <v>0</v>
      </c>
      <c r="P590" s="734">
        <f t="shared" si="53"/>
        <v>0</v>
      </c>
      <c r="Q590" s="684"/>
    </row>
    <row r="591" spans="2:17">
      <c r="B591" s="337"/>
      <c r="C591" s="730">
        <f>IF(D531="","-",+C590+1)</f>
        <v>2068</v>
      </c>
      <c r="D591" s="683">
        <f t="shared" si="54"/>
        <v>0</v>
      </c>
      <c r="E591" s="737">
        <f t="shared" si="55"/>
        <v>0</v>
      </c>
      <c r="F591" s="737">
        <f t="shared" si="48"/>
        <v>0</v>
      </c>
      <c r="G591" s="683">
        <f t="shared" si="49"/>
        <v>0</v>
      </c>
      <c r="H591" s="731">
        <f>+J532*G591+E591</f>
        <v>0</v>
      </c>
      <c r="I591" s="738">
        <f>+J533*G591+E591</f>
        <v>0</v>
      </c>
      <c r="J591" s="734">
        <f t="shared" si="50"/>
        <v>0</v>
      </c>
      <c r="K591" s="734"/>
      <c r="L591" s="739"/>
      <c r="M591" s="734">
        <f t="shared" si="51"/>
        <v>0</v>
      </c>
      <c r="N591" s="739"/>
      <c r="O591" s="734">
        <f t="shared" si="52"/>
        <v>0</v>
      </c>
      <c r="P591" s="734">
        <f t="shared" si="53"/>
        <v>0</v>
      </c>
      <c r="Q591" s="684"/>
    </row>
    <row r="592" spans="2:17">
      <c r="B592" s="337"/>
      <c r="C592" s="730">
        <f>IF(D531="","-",+C591+1)</f>
        <v>2069</v>
      </c>
      <c r="D592" s="683">
        <f t="shared" si="54"/>
        <v>0</v>
      </c>
      <c r="E592" s="737">
        <f t="shared" si="55"/>
        <v>0</v>
      </c>
      <c r="F592" s="737">
        <f t="shared" si="48"/>
        <v>0</v>
      </c>
      <c r="G592" s="683">
        <f t="shared" si="49"/>
        <v>0</v>
      </c>
      <c r="H592" s="731">
        <f>+J532*G592+E592</f>
        <v>0</v>
      </c>
      <c r="I592" s="738">
        <f>+J533*G592+E592</f>
        <v>0</v>
      </c>
      <c r="J592" s="734">
        <f t="shared" si="50"/>
        <v>0</v>
      </c>
      <c r="K592" s="734"/>
      <c r="L592" s="739"/>
      <c r="M592" s="734">
        <f t="shared" si="51"/>
        <v>0</v>
      </c>
      <c r="N592" s="739"/>
      <c r="O592" s="734">
        <f t="shared" si="52"/>
        <v>0</v>
      </c>
      <c r="P592" s="734">
        <f t="shared" si="53"/>
        <v>0</v>
      </c>
      <c r="Q592" s="684"/>
    </row>
    <row r="593" spans="1:17">
      <c r="B593" s="337"/>
      <c r="C593" s="730">
        <f>IF(D531="","-",+C592+1)</f>
        <v>2070</v>
      </c>
      <c r="D593" s="683">
        <f t="shared" si="54"/>
        <v>0</v>
      </c>
      <c r="E593" s="737">
        <f t="shared" si="55"/>
        <v>0</v>
      </c>
      <c r="F593" s="737">
        <f t="shared" si="48"/>
        <v>0</v>
      </c>
      <c r="G593" s="683">
        <f t="shared" si="49"/>
        <v>0</v>
      </c>
      <c r="H593" s="731">
        <f>+J532*G593+E593</f>
        <v>0</v>
      </c>
      <c r="I593" s="738">
        <f>+J533*G593+E593</f>
        <v>0</v>
      </c>
      <c r="J593" s="734">
        <f t="shared" si="50"/>
        <v>0</v>
      </c>
      <c r="K593" s="734"/>
      <c r="L593" s="739"/>
      <c r="M593" s="734">
        <f t="shared" si="51"/>
        <v>0</v>
      </c>
      <c r="N593" s="739"/>
      <c r="O593" s="734">
        <f t="shared" si="52"/>
        <v>0</v>
      </c>
      <c r="P593" s="734">
        <f t="shared" si="53"/>
        <v>0</v>
      </c>
      <c r="Q593" s="684"/>
    </row>
    <row r="594" spans="1:17">
      <c r="B594" s="337"/>
      <c r="C594" s="730">
        <f>IF(D531="","-",+C593+1)</f>
        <v>2071</v>
      </c>
      <c r="D594" s="683">
        <f t="shared" si="54"/>
        <v>0</v>
      </c>
      <c r="E594" s="737">
        <f t="shared" si="55"/>
        <v>0</v>
      </c>
      <c r="F594" s="737">
        <f t="shared" si="48"/>
        <v>0</v>
      </c>
      <c r="G594" s="683">
        <f t="shared" si="49"/>
        <v>0</v>
      </c>
      <c r="H594" s="731">
        <f>+J532*G594+E594</f>
        <v>0</v>
      </c>
      <c r="I594" s="738">
        <f>+J533*G594+E594</f>
        <v>0</v>
      </c>
      <c r="J594" s="734">
        <f t="shared" si="50"/>
        <v>0</v>
      </c>
      <c r="K594" s="734"/>
      <c r="L594" s="739"/>
      <c r="M594" s="734">
        <f t="shared" si="51"/>
        <v>0</v>
      </c>
      <c r="N594" s="739"/>
      <c r="O594" s="734">
        <f t="shared" si="52"/>
        <v>0</v>
      </c>
      <c r="P594" s="734">
        <f t="shared" si="53"/>
        <v>0</v>
      </c>
      <c r="Q594" s="684"/>
    </row>
    <row r="595" spans="1:17">
      <c r="B595" s="337"/>
      <c r="C595" s="730">
        <f>IF(D531="","-",+C594+1)</f>
        <v>2072</v>
      </c>
      <c r="D595" s="683">
        <f t="shared" si="54"/>
        <v>0</v>
      </c>
      <c r="E595" s="737">
        <f t="shared" si="55"/>
        <v>0</v>
      </c>
      <c r="F595" s="737">
        <f t="shared" si="48"/>
        <v>0</v>
      </c>
      <c r="G595" s="683">
        <f t="shared" si="49"/>
        <v>0</v>
      </c>
      <c r="H595" s="731">
        <f>+J532*G595+E595</f>
        <v>0</v>
      </c>
      <c r="I595" s="738">
        <f>+J533*G595+E595</f>
        <v>0</v>
      </c>
      <c r="J595" s="734">
        <f t="shared" si="50"/>
        <v>0</v>
      </c>
      <c r="K595" s="734"/>
      <c r="L595" s="739"/>
      <c r="M595" s="734">
        <f t="shared" si="51"/>
        <v>0</v>
      </c>
      <c r="N595" s="739"/>
      <c r="O595" s="734">
        <f t="shared" si="52"/>
        <v>0</v>
      </c>
      <c r="P595" s="734">
        <f t="shared" si="53"/>
        <v>0</v>
      </c>
      <c r="Q595" s="684"/>
    </row>
    <row r="596" spans="1:17" ht="13" thickBot="1">
      <c r="B596" s="337"/>
      <c r="C596" s="741">
        <f>IF(D531="","-",+C595+1)</f>
        <v>2073</v>
      </c>
      <c r="D596" s="742">
        <f t="shared" si="54"/>
        <v>0</v>
      </c>
      <c r="E596" s="1314">
        <f t="shared" si="55"/>
        <v>0</v>
      </c>
      <c r="F596" s="743">
        <f t="shared" si="48"/>
        <v>0</v>
      </c>
      <c r="G596" s="742">
        <f t="shared" si="49"/>
        <v>0</v>
      </c>
      <c r="H596" s="744">
        <f>+J532*G596+E596</f>
        <v>0</v>
      </c>
      <c r="I596" s="744">
        <f>+J533*G596+E596</f>
        <v>0</v>
      </c>
      <c r="J596" s="745">
        <f t="shared" si="50"/>
        <v>0</v>
      </c>
      <c r="K596" s="734"/>
      <c r="L596" s="746"/>
      <c r="M596" s="745">
        <f t="shared" si="51"/>
        <v>0</v>
      </c>
      <c r="N596" s="746"/>
      <c r="O596" s="745">
        <f t="shared" si="52"/>
        <v>0</v>
      </c>
      <c r="P596" s="745">
        <f t="shared" si="53"/>
        <v>0</v>
      </c>
      <c r="Q596" s="684"/>
    </row>
    <row r="597" spans="1:17">
      <c r="B597" s="337"/>
      <c r="C597" s="683" t="s">
        <v>289</v>
      </c>
      <c r="D597" s="679"/>
      <c r="E597" s="679">
        <f>SUM(E537:E596)</f>
        <v>13008915.439999998</v>
      </c>
      <c r="F597" s="679"/>
      <c r="G597" s="679"/>
      <c r="H597" s="679">
        <f>SUM(H537:H596)</f>
        <v>49157671.046130255</v>
      </c>
      <c r="I597" s="679">
        <f>SUM(I537:I596)</f>
        <v>49157671.046130255</v>
      </c>
      <c r="J597" s="679">
        <f>SUM(J537:J596)</f>
        <v>0</v>
      </c>
      <c r="K597" s="679"/>
      <c r="L597" s="679"/>
      <c r="M597" s="679"/>
      <c r="N597" s="679"/>
      <c r="O597" s="679"/>
      <c r="Q597" s="679"/>
    </row>
    <row r="598" spans="1:17">
      <c r="B598" s="337"/>
      <c r="D598" s="573"/>
      <c r="E598" s="550"/>
      <c r="F598" s="550"/>
      <c r="G598" s="550"/>
      <c r="H598" s="550"/>
      <c r="I598" s="656"/>
      <c r="J598" s="656"/>
      <c r="K598" s="679"/>
      <c r="L598" s="656"/>
      <c r="M598" s="656"/>
      <c r="N598" s="656"/>
      <c r="O598" s="656"/>
      <c r="Q598" s="679"/>
    </row>
    <row r="599" spans="1:17">
      <c r="B599" s="337"/>
      <c r="C599" s="550" t="s">
        <v>597</v>
      </c>
      <c r="D599" s="573"/>
      <c r="E599" s="550"/>
      <c r="F599" s="550"/>
      <c r="G599" s="550"/>
      <c r="H599" s="550"/>
      <c r="I599" s="656"/>
      <c r="J599" s="656"/>
      <c r="K599" s="679"/>
      <c r="L599" s="656"/>
      <c r="M599" s="656"/>
      <c r="N599" s="656"/>
      <c r="O599" s="656"/>
      <c r="Q599" s="679"/>
    </row>
    <row r="600" spans="1:17">
      <c r="B600" s="337"/>
      <c r="D600" s="573"/>
      <c r="E600" s="550"/>
      <c r="F600" s="550"/>
      <c r="G600" s="550"/>
      <c r="H600" s="550"/>
      <c r="I600" s="656"/>
      <c r="J600" s="656"/>
      <c r="K600" s="679"/>
      <c r="L600" s="656"/>
      <c r="M600" s="656"/>
      <c r="N600" s="656"/>
      <c r="O600" s="656"/>
      <c r="Q600" s="679"/>
    </row>
    <row r="601" spans="1:17">
      <c r="B601" s="337"/>
      <c r="C601" s="586" t="s">
        <v>598</v>
      </c>
      <c r="D601" s="683"/>
      <c r="E601" s="683"/>
      <c r="F601" s="683"/>
      <c r="G601" s="683"/>
      <c r="H601" s="679"/>
      <c r="I601" s="679"/>
      <c r="J601" s="684"/>
      <c r="K601" s="684"/>
      <c r="L601" s="684"/>
      <c r="M601" s="684"/>
      <c r="N601" s="684"/>
      <c r="O601" s="684"/>
      <c r="Q601" s="684"/>
    </row>
    <row r="602" spans="1:17">
      <c r="B602" s="337"/>
      <c r="C602" s="586" t="s">
        <v>477</v>
      </c>
      <c r="D602" s="683"/>
      <c r="E602" s="683"/>
      <c r="F602" s="683"/>
      <c r="G602" s="683"/>
      <c r="H602" s="679"/>
      <c r="I602" s="679"/>
      <c r="J602" s="684"/>
      <c r="K602" s="684"/>
      <c r="L602" s="684"/>
      <c r="M602" s="684"/>
      <c r="N602" s="684"/>
      <c r="O602" s="684"/>
      <c r="Q602" s="684"/>
    </row>
    <row r="603" spans="1:17">
      <c r="B603" s="337"/>
      <c r="C603" s="586" t="s">
        <v>290</v>
      </c>
      <c r="D603" s="683"/>
      <c r="E603" s="683"/>
      <c r="F603" s="683"/>
      <c r="G603" s="683"/>
      <c r="H603" s="679"/>
      <c r="I603" s="679"/>
      <c r="J603" s="684"/>
      <c r="K603" s="684"/>
      <c r="L603" s="684"/>
      <c r="M603" s="684"/>
      <c r="N603" s="684"/>
      <c r="O603" s="684"/>
      <c r="Q603" s="684"/>
    </row>
    <row r="604" spans="1:17" ht="13">
      <c r="B604" s="337"/>
      <c r="C604" s="682"/>
      <c r="D604" s="683"/>
      <c r="E604" s="683"/>
      <c r="F604" s="683"/>
      <c r="G604" s="683"/>
      <c r="H604" s="679"/>
      <c r="I604" s="679"/>
      <c r="J604" s="684"/>
      <c r="K604" s="684"/>
      <c r="L604" s="684"/>
      <c r="M604" s="684"/>
      <c r="N604" s="684"/>
      <c r="O604" s="684"/>
      <c r="Q604" s="684"/>
    </row>
    <row r="605" spans="1:17" ht="20">
      <c r="A605" s="685" t="s">
        <v>774</v>
      </c>
      <c r="B605" s="550"/>
      <c r="C605" s="665"/>
      <c r="D605" s="573"/>
      <c r="E605" s="550"/>
      <c r="F605" s="655"/>
      <c r="G605" s="655"/>
      <c r="H605" s="550"/>
      <c r="I605" s="656"/>
      <c r="L605" s="686"/>
      <c r="M605" s="686"/>
      <c r="N605" s="686"/>
      <c r="O605" s="601" t="str">
        <f>"Page "&amp;SUM(Q$3:Q605)&amp;" of "</f>
        <v xml:space="preserve">Page 8 of </v>
      </c>
      <c r="P605" s="602">
        <f>COUNT(Q$8:Q$58123)</f>
        <v>11</v>
      </c>
      <c r="Q605" s="767">
        <v>1</v>
      </c>
    </row>
    <row r="606" spans="1:17">
      <c r="B606" s="550"/>
      <c r="C606" s="550"/>
      <c r="D606" s="573"/>
      <c r="E606" s="550"/>
      <c r="F606" s="550"/>
      <c r="G606" s="550"/>
      <c r="H606" s="550"/>
      <c r="I606" s="656"/>
      <c r="J606" s="550"/>
      <c r="K606" s="598"/>
      <c r="Q606" s="598"/>
    </row>
    <row r="607" spans="1:17" ht="17">
      <c r="B607" s="605" t="s">
        <v>175</v>
      </c>
      <c r="C607" s="687" t="s">
        <v>291</v>
      </c>
      <c r="D607" s="573"/>
      <c r="E607" s="550"/>
      <c r="F607" s="550"/>
      <c r="G607" s="550"/>
      <c r="H607" s="550"/>
      <c r="I607" s="656"/>
      <c r="J607" s="656"/>
      <c r="K607" s="679"/>
      <c r="L607" s="656"/>
      <c r="M607" s="656"/>
      <c r="N607" s="656"/>
      <c r="O607" s="656"/>
      <c r="Q607" s="679"/>
    </row>
    <row r="608" spans="1:17" ht="18">
      <c r="B608" s="605"/>
      <c r="C608" s="604"/>
      <c r="D608" s="573"/>
      <c r="E608" s="550"/>
      <c r="F608" s="550"/>
      <c r="G608" s="550"/>
      <c r="H608" s="550"/>
      <c r="I608" s="656"/>
      <c r="J608" s="656"/>
      <c r="K608" s="679"/>
      <c r="L608" s="656"/>
      <c r="M608" s="656"/>
      <c r="N608" s="656"/>
      <c r="O608" s="656"/>
      <c r="Q608" s="679"/>
    </row>
    <row r="609" spans="1:17" ht="18">
      <c r="B609" s="605"/>
      <c r="C609" s="604" t="s">
        <v>292</v>
      </c>
      <c r="D609" s="573"/>
      <c r="E609" s="550"/>
      <c r="F609" s="550"/>
      <c r="G609" s="550"/>
      <c r="H609" s="550"/>
      <c r="I609" s="656"/>
      <c r="J609" s="656"/>
      <c r="K609" s="679"/>
      <c r="L609" s="656"/>
      <c r="M609" s="656"/>
      <c r="N609" s="656"/>
      <c r="O609" s="656"/>
      <c r="Q609" s="679"/>
    </row>
    <row r="610" spans="1:17" ht="16" thickBot="1">
      <c r="B610" s="337"/>
      <c r="C610" s="403"/>
      <c r="D610" s="573"/>
      <c r="E610" s="550"/>
      <c r="F610" s="550"/>
      <c r="G610" s="550"/>
      <c r="H610" s="550"/>
      <c r="I610" s="656"/>
      <c r="J610" s="656"/>
      <c r="K610" s="679"/>
      <c r="L610" s="656"/>
      <c r="M610" s="656"/>
      <c r="N610" s="656"/>
      <c r="O610" s="656"/>
      <c r="Q610" s="679"/>
    </row>
    <row r="611" spans="1:17" ht="15.5">
      <c r="B611" s="337"/>
      <c r="C611" s="606" t="s">
        <v>293</v>
      </c>
      <c r="D611" s="573"/>
      <c r="E611" s="550"/>
      <c r="F611" s="550"/>
      <c r="G611" s="550"/>
      <c r="H611" s="877"/>
      <c r="I611" s="550" t="s">
        <v>272</v>
      </c>
      <c r="J611" s="550"/>
      <c r="K611" s="598"/>
      <c r="L611" s="768">
        <f>+J617</f>
        <v>2019</v>
      </c>
      <c r="M611" s="750" t="s">
        <v>255</v>
      </c>
      <c r="N611" s="750" t="s">
        <v>256</v>
      </c>
      <c r="O611" s="751" t="s">
        <v>257</v>
      </c>
      <c r="Q611" s="598"/>
    </row>
    <row r="612" spans="1:17" ht="15.5">
      <c r="B612" s="337"/>
      <c r="C612" s="606"/>
      <c r="D612" s="573"/>
      <c r="E612" s="550"/>
      <c r="F612" s="550"/>
      <c r="H612" s="550"/>
      <c r="I612" s="691"/>
      <c r="J612" s="691"/>
      <c r="K612" s="692"/>
      <c r="L612" s="769" t="s">
        <v>456</v>
      </c>
      <c r="M612" s="770">
        <f>VLOOKUP(J617,C624:P683,10)</f>
        <v>374138.83404404536</v>
      </c>
      <c r="N612" s="770">
        <f>VLOOKUP(J617,C624:P683,12)</f>
        <v>374138.83404404536</v>
      </c>
      <c r="O612" s="771">
        <f>+N612-M612</f>
        <v>0</v>
      </c>
      <c r="Q612" s="692"/>
    </row>
    <row r="613" spans="1:17" ht="13" customHeight="1">
      <c r="B613" s="337"/>
      <c r="C613" s="694" t="s">
        <v>294</v>
      </c>
      <c r="D613" s="1547" t="s">
        <v>987</v>
      </c>
      <c r="E613" s="1548"/>
      <c r="F613" s="1548"/>
      <c r="G613" s="1548"/>
      <c r="H613" s="1548"/>
      <c r="I613" s="1548"/>
      <c r="J613" s="656"/>
      <c r="K613" s="679"/>
      <c r="L613" s="769" t="s">
        <v>457</v>
      </c>
      <c r="M613" s="772">
        <f>VLOOKUP(J617,C624:P683,6)</f>
        <v>397763.0414227799</v>
      </c>
      <c r="N613" s="772">
        <f>VLOOKUP(J617,C624:P683,7)</f>
        <v>397763.0414227799</v>
      </c>
      <c r="O613" s="773">
        <f>+N613-M613</f>
        <v>0</v>
      </c>
      <c r="Q613" s="679"/>
    </row>
    <row r="614" spans="1:17" ht="13.5" thickBot="1">
      <c r="B614" s="337"/>
      <c r="C614" s="696"/>
      <c r="D614" s="1548"/>
      <c r="E614" s="1548"/>
      <c r="F614" s="1548"/>
      <c r="G614" s="1548"/>
      <c r="H614" s="1548"/>
      <c r="I614" s="1548"/>
      <c r="J614" s="656"/>
      <c r="K614" s="679"/>
      <c r="L614" s="715" t="s">
        <v>458</v>
      </c>
      <c r="M614" s="774">
        <f>+M613-M612</f>
        <v>23624.207378734543</v>
      </c>
      <c r="N614" s="774">
        <f>+N613-N612</f>
        <v>23624.207378734543</v>
      </c>
      <c r="O614" s="775">
        <f>+O613-O612</f>
        <v>0</v>
      </c>
      <c r="Q614" s="679"/>
    </row>
    <row r="615" spans="1:17" ht="13.5" thickBot="1">
      <c r="B615" s="337"/>
      <c r="C615" s="698"/>
      <c r="D615" s="699"/>
      <c r="E615" s="697"/>
      <c r="F615" s="697"/>
      <c r="G615" s="697"/>
      <c r="H615" s="697"/>
      <c r="I615" s="697"/>
      <c r="J615" s="697"/>
      <c r="K615" s="700"/>
      <c r="L615" s="697"/>
      <c r="M615" s="697"/>
      <c r="N615" s="697"/>
      <c r="O615" s="697"/>
      <c r="P615" s="586"/>
      <c r="Q615" s="700"/>
    </row>
    <row r="616" spans="1:17" ht="13" thickBot="1">
      <c r="B616" s="337"/>
      <c r="C616" s="701" t="s">
        <v>295</v>
      </c>
      <c r="D616" s="702"/>
      <c r="E616" s="702"/>
      <c r="F616" s="702"/>
      <c r="G616" s="702"/>
      <c r="H616" s="702"/>
      <c r="I616" s="702"/>
      <c r="J616" s="702"/>
      <c r="K616" s="704"/>
      <c r="P616" s="705"/>
      <c r="Q616" s="704"/>
    </row>
    <row r="617" spans="1:17" ht="16">
      <c r="A617" s="1324"/>
      <c r="B617" s="337"/>
      <c r="C617" s="707" t="s">
        <v>273</v>
      </c>
      <c r="D617" s="878">
        <v>3315853</v>
      </c>
      <c r="E617" s="665" t="s">
        <v>274</v>
      </c>
      <c r="H617" s="708"/>
      <c r="I617" s="708"/>
      <c r="J617" s="709">
        <f>$J$95</f>
        <v>2019</v>
      </c>
      <c r="K617" s="596"/>
      <c r="L617" s="1560" t="s">
        <v>275</v>
      </c>
      <c r="M617" s="1560"/>
      <c r="N617" s="1560"/>
      <c r="O617" s="1560"/>
      <c r="P617" s="598"/>
      <c r="Q617" s="596"/>
    </row>
    <row r="618" spans="1:17">
      <c r="A618" s="1324"/>
      <c r="B618" s="337"/>
      <c r="C618" s="707" t="s">
        <v>276</v>
      </c>
      <c r="D618" s="888">
        <v>2016</v>
      </c>
      <c r="E618" s="707" t="s">
        <v>277</v>
      </c>
      <c r="F618" s="708"/>
      <c r="G618" s="708"/>
      <c r="I618" s="337"/>
      <c r="J618" s="882">
        <v>0</v>
      </c>
      <c r="K618" s="710"/>
      <c r="L618" s="679" t="s">
        <v>476</v>
      </c>
      <c r="P618" s="598"/>
      <c r="Q618" s="710"/>
    </row>
    <row r="619" spans="1:17">
      <c r="A619" s="1324"/>
      <c r="B619" s="337"/>
      <c r="C619" s="707" t="s">
        <v>278</v>
      </c>
      <c r="D619" s="880">
        <v>12</v>
      </c>
      <c r="E619" s="707" t="s">
        <v>279</v>
      </c>
      <c r="F619" s="708"/>
      <c r="G619" s="708"/>
      <c r="I619" s="337"/>
      <c r="J619" s="711">
        <f>$F$70</f>
        <v>0.10552282863199051</v>
      </c>
      <c r="K619" s="712"/>
      <c r="L619" s="550" t="str">
        <f>"          INPUT TRUE-UP ARR (WITH &amp; WITHOUT INCENTIVES) FROM EACH PRIOR YEAR"</f>
        <v xml:space="preserve">          INPUT TRUE-UP ARR (WITH &amp; WITHOUT INCENTIVES) FROM EACH PRIOR YEAR</v>
      </c>
      <c r="P619" s="598"/>
      <c r="Q619" s="712"/>
    </row>
    <row r="620" spans="1:17">
      <c r="A620" s="1324"/>
      <c r="B620" s="337"/>
      <c r="C620" s="707" t="s">
        <v>280</v>
      </c>
      <c r="D620" s="713">
        <f>H79</f>
        <v>51</v>
      </c>
      <c r="E620" s="707" t="s">
        <v>281</v>
      </c>
      <c r="F620" s="708"/>
      <c r="G620" s="708"/>
      <c r="I620" s="337"/>
      <c r="J620" s="711">
        <f>IF(H611="",J619,$F$69)</f>
        <v>0.10552282863199051</v>
      </c>
      <c r="K620" s="714"/>
      <c r="L620" s="550" t="s">
        <v>363</v>
      </c>
      <c r="M620" s="714"/>
      <c r="N620" s="714"/>
      <c r="O620" s="714"/>
      <c r="P620" s="598"/>
      <c r="Q620" s="714"/>
    </row>
    <row r="621" spans="1:17" ht="13" thickBot="1">
      <c r="A621" s="1324"/>
      <c r="B621" s="337"/>
      <c r="C621" s="707" t="s">
        <v>282</v>
      </c>
      <c r="D621" s="881" t="s">
        <v>979</v>
      </c>
      <c r="E621" s="715" t="s">
        <v>283</v>
      </c>
      <c r="F621" s="716"/>
      <c r="G621" s="716"/>
      <c r="H621" s="717"/>
      <c r="I621" s="717"/>
      <c r="J621" s="695">
        <f>IF(D617=0,0,D617/D620)</f>
        <v>65016.725490196077</v>
      </c>
      <c r="K621" s="679"/>
      <c r="L621" s="679" t="s">
        <v>364</v>
      </c>
      <c r="M621" s="679"/>
      <c r="N621" s="679"/>
      <c r="O621" s="679"/>
      <c r="P621" s="598"/>
      <c r="Q621" s="679"/>
    </row>
    <row r="622" spans="1:17" ht="39">
      <c r="A622" s="537"/>
      <c r="B622" s="537"/>
      <c r="C622" s="718" t="s">
        <v>273</v>
      </c>
      <c r="D622" s="719" t="s">
        <v>284</v>
      </c>
      <c r="E622" s="720" t="s">
        <v>285</v>
      </c>
      <c r="F622" s="719" t="s">
        <v>286</v>
      </c>
      <c r="G622" s="719" t="s">
        <v>459</v>
      </c>
      <c r="H622" s="720" t="s">
        <v>357</v>
      </c>
      <c r="I622" s="721" t="s">
        <v>357</v>
      </c>
      <c r="J622" s="718" t="s">
        <v>296</v>
      </c>
      <c r="K622" s="722"/>
      <c r="L622" s="720" t="s">
        <v>359</v>
      </c>
      <c r="M622" s="720" t="s">
        <v>365</v>
      </c>
      <c r="N622" s="720" t="s">
        <v>359</v>
      </c>
      <c r="O622" s="720" t="s">
        <v>367</v>
      </c>
      <c r="P622" s="720" t="s">
        <v>287</v>
      </c>
      <c r="Q622" s="723"/>
    </row>
    <row r="623" spans="1:17" ht="13.5" thickBot="1">
      <c r="B623" s="337"/>
      <c r="C623" s="724" t="s">
        <v>178</v>
      </c>
      <c r="D623" s="725" t="s">
        <v>179</v>
      </c>
      <c r="E623" s="724" t="s">
        <v>38</v>
      </c>
      <c r="F623" s="725" t="s">
        <v>179</v>
      </c>
      <c r="G623" s="725" t="s">
        <v>179</v>
      </c>
      <c r="H623" s="726" t="s">
        <v>299</v>
      </c>
      <c r="I623" s="727" t="s">
        <v>301</v>
      </c>
      <c r="J623" s="728" t="s">
        <v>390</v>
      </c>
      <c r="K623" s="729"/>
      <c r="L623" s="726" t="s">
        <v>288</v>
      </c>
      <c r="M623" s="726" t="s">
        <v>288</v>
      </c>
      <c r="N623" s="726" t="s">
        <v>468</v>
      </c>
      <c r="O623" s="726" t="s">
        <v>468</v>
      </c>
      <c r="P623" s="726" t="s">
        <v>468</v>
      </c>
      <c r="Q623" s="596"/>
    </row>
    <row r="624" spans="1:17">
      <c r="B624" s="337"/>
      <c r="C624" s="730">
        <f>IF(D618= "","-",D618)</f>
        <v>2016</v>
      </c>
      <c r="D624" s="683">
        <f>+D617</f>
        <v>3315853</v>
      </c>
      <c r="E624" s="731">
        <f>+J621/12*(12-D619)</f>
        <v>0</v>
      </c>
      <c r="F624" s="776">
        <f t="shared" ref="F624:F683" si="56">+D624-E624</f>
        <v>3315853</v>
      </c>
      <c r="G624" s="683">
        <f t="shared" ref="G624:G683" si="57">+(D624+F624)/2</f>
        <v>3315853</v>
      </c>
      <c r="H624" s="732">
        <f>+J619*G624+E624</f>
        <v>349898.18788787164</v>
      </c>
      <c r="I624" s="733">
        <f>+J620*G624+E624</f>
        <v>349898.18788787164</v>
      </c>
      <c r="J624" s="734">
        <f t="shared" ref="J624:J683" si="58">+I624-H624</f>
        <v>0</v>
      </c>
      <c r="K624" s="734"/>
      <c r="L624" s="735">
        <v>486138</v>
      </c>
      <c r="M624" s="777">
        <f>IF(L624&lt;&gt;0,+H624-L624,0)</f>
        <v>-136239.81211212836</v>
      </c>
      <c r="N624" s="735">
        <v>486138</v>
      </c>
      <c r="O624" s="777">
        <f t="shared" ref="O624:O683" si="59">IF(N624&lt;&gt;0,+I624-N624,0)</f>
        <v>-136239.81211212836</v>
      </c>
      <c r="P624" s="777">
        <f t="shared" ref="P624:P683" si="60">+O624-M624</f>
        <v>0</v>
      </c>
      <c r="Q624" s="684"/>
    </row>
    <row r="625" spans="2:17">
      <c r="B625" s="337"/>
      <c r="C625" s="730">
        <f>IF(D618="","-",+C624+1)</f>
        <v>2017</v>
      </c>
      <c r="D625" s="683">
        <f t="shared" ref="D625:D683" si="61">F624</f>
        <v>3315853</v>
      </c>
      <c r="E625" s="737">
        <f>IF(D625&gt;$J$621,$J$621,D625)</f>
        <v>65016.725490196077</v>
      </c>
      <c r="F625" s="737">
        <f t="shared" si="56"/>
        <v>3250836.2745098039</v>
      </c>
      <c r="G625" s="683">
        <f t="shared" si="57"/>
        <v>3283344.6372549022</v>
      </c>
      <c r="H625" s="731">
        <f>+J619*G625+E625</f>
        <v>411484.53898701019</v>
      </c>
      <c r="I625" s="738">
        <f>+J620*G625+E625</f>
        <v>411484.53898701019</v>
      </c>
      <c r="J625" s="734">
        <f t="shared" si="58"/>
        <v>0</v>
      </c>
      <c r="K625" s="734"/>
      <c r="L625" s="739">
        <v>574408</v>
      </c>
      <c r="M625" s="734">
        <f>IF(L625&lt;&gt;0,+H625-L625,0)</f>
        <v>-162923.46101298981</v>
      </c>
      <c r="N625" s="739">
        <v>574408</v>
      </c>
      <c r="O625" s="734">
        <f t="shared" si="59"/>
        <v>-162923.46101298981</v>
      </c>
      <c r="P625" s="734">
        <f t="shared" si="60"/>
        <v>0</v>
      </c>
      <c r="Q625" s="684"/>
    </row>
    <row r="626" spans="2:17">
      <c r="B626" s="337"/>
      <c r="C626" s="730">
        <f>IF(D618="","-",+C625+1)</f>
        <v>2018</v>
      </c>
      <c r="D626" s="1464">
        <f t="shared" si="61"/>
        <v>3250836.2745098039</v>
      </c>
      <c r="E626" s="737">
        <f t="shared" ref="E626:E683" si="62">IF(D626&gt;$J$621,$J$621,D626)</f>
        <v>65016.725490196077</v>
      </c>
      <c r="F626" s="737">
        <f t="shared" si="56"/>
        <v>3185819.5490196077</v>
      </c>
      <c r="G626" s="683">
        <f t="shared" si="57"/>
        <v>3218327.9117647056</v>
      </c>
      <c r="H626" s="731">
        <f>+J619*G626+E626</f>
        <v>404623.79020489502</v>
      </c>
      <c r="I626" s="738">
        <f>+J620*G626+E626</f>
        <v>404623.79020489502</v>
      </c>
      <c r="J626" s="734">
        <f t="shared" si="58"/>
        <v>0</v>
      </c>
      <c r="K626" s="734"/>
      <c r="L626" s="739">
        <v>355679</v>
      </c>
      <c r="M626" s="734">
        <f>IF(L626&lt;&gt;0,+H626-L626,0)</f>
        <v>48944.79020489502</v>
      </c>
      <c r="N626" s="739">
        <v>355679</v>
      </c>
      <c r="O626" s="734">
        <f t="shared" si="59"/>
        <v>48944.79020489502</v>
      </c>
      <c r="P626" s="734">
        <f t="shared" si="60"/>
        <v>0</v>
      </c>
      <c r="Q626" s="684"/>
    </row>
    <row r="627" spans="2:17">
      <c r="B627" s="337"/>
      <c r="C627" s="730">
        <f>IF(D618="","-",+C626+1)</f>
        <v>2019</v>
      </c>
      <c r="D627" s="683">
        <f t="shared" si="61"/>
        <v>3185819.5490196077</v>
      </c>
      <c r="E627" s="737">
        <f t="shared" si="62"/>
        <v>65016.725490196077</v>
      </c>
      <c r="F627" s="737">
        <f t="shared" si="56"/>
        <v>3120802.8235294116</v>
      </c>
      <c r="G627" s="683">
        <f t="shared" si="57"/>
        <v>3153311.1862745099</v>
      </c>
      <c r="H627" s="731">
        <f>+J619*G627+E627</f>
        <v>397763.0414227799</v>
      </c>
      <c r="I627" s="738">
        <f>+J620*G627+E627</f>
        <v>397763.0414227799</v>
      </c>
      <c r="J627" s="734">
        <f t="shared" si="58"/>
        <v>0</v>
      </c>
      <c r="K627" s="734"/>
      <c r="L627" s="739">
        <v>374138.83404404536</v>
      </c>
      <c r="M627" s="734">
        <f t="shared" ref="M627:M683" si="63">IF(L627&lt;&gt;0,+H627-L627,0)</f>
        <v>23624.207378734543</v>
      </c>
      <c r="N627" s="739">
        <v>374138.83404404536</v>
      </c>
      <c r="O627" s="734">
        <f t="shared" si="59"/>
        <v>23624.207378734543</v>
      </c>
      <c r="P627" s="734">
        <f t="shared" si="60"/>
        <v>0</v>
      </c>
      <c r="Q627" s="684"/>
    </row>
    <row r="628" spans="2:17">
      <c r="B628" s="337"/>
      <c r="C628" s="730">
        <f>IF(D618="","-",+C627+1)</f>
        <v>2020</v>
      </c>
      <c r="D628" s="683">
        <f t="shared" si="61"/>
        <v>3120802.8235294116</v>
      </c>
      <c r="E628" s="737">
        <f t="shared" si="62"/>
        <v>65016.725490196077</v>
      </c>
      <c r="F628" s="737">
        <f t="shared" si="56"/>
        <v>3055786.0980392154</v>
      </c>
      <c r="G628" s="683">
        <f t="shared" si="57"/>
        <v>3088294.4607843133</v>
      </c>
      <c r="H628" s="731">
        <f>+J619*G628+E628</f>
        <v>390902.29264066473</v>
      </c>
      <c r="I628" s="738">
        <f>+J620*G628+E628</f>
        <v>390902.29264066473</v>
      </c>
      <c r="J628" s="734">
        <f t="shared" si="58"/>
        <v>0</v>
      </c>
      <c r="K628" s="734"/>
      <c r="L628" s="739"/>
      <c r="M628" s="734">
        <f t="shared" si="63"/>
        <v>0</v>
      </c>
      <c r="N628" s="739"/>
      <c r="O628" s="734">
        <f t="shared" si="59"/>
        <v>0</v>
      </c>
      <c r="P628" s="734">
        <f t="shared" si="60"/>
        <v>0</v>
      </c>
      <c r="Q628" s="684"/>
    </row>
    <row r="629" spans="2:17">
      <c r="B629" s="337"/>
      <c r="C629" s="730">
        <f>IF(D618="","-",+C628+1)</f>
        <v>2021</v>
      </c>
      <c r="D629" s="683">
        <f t="shared" si="61"/>
        <v>3055786.0980392154</v>
      </c>
      <c r="E629" s="737">
        <f t="shared" si="62"/>
        <v>65016.725490196077</v>
      </c>
      <c r="F629" s="737">
        <f t="shared" si="56"/>
        <v>2990769.3725490193</v>
      </c>
      <c r="G629" s="683">
        <f t="shared" si="57"/>
        <v>3023277.7352941176</v>
      </c>
      <c r="H629" s="731">
        <f>+J619*G629+E629</f>
        <v>384041.54385854962</v>
      </c>
      <c r="I629" s="738">
        <f>+J620*G629+E629</f>
        <v>384041.54385854962</v>
      </c>
      <c r="J629" s="734">
        <f t="shared" si="58"/>
        <v>0</v>
      </c>
      <c r="K629" s="734"/>
      <c r="L629" s="739"/>
      <c r="M629" s="734">
        <f t="shared" si="63"/>
        <v>0</v>
      </c>
      <c r="N629" s="739"/>
      <c r="O629" s="734">
        <f t="shared" si="59"/>
        <v>0</v>
      </c>
      <c r="P629" s="734">
        <f t="shared" si="60"/>
        <v>0</v>
      </c>
      <c r="Q629" s="684"/>
    </row>
    <row r="630" spans="2:17">
      <c r="B630" s="337"/>
      <c r="C630" s="730">
        <f>IF(D618="","-",+C629+1)</f>
        <v>2022</v>
      </c>
      <c r="D630" s="683">
        <f t="shared" si="61"/>
        <v>2990769.3725490193</v>
      </c>
      <c r="E630" s="737">
        <f t="shared" si="62"/>
        <v>65016.725490196077</v>
      </c>
      <c r="F630" s="737">
        <f t="shared" si="56"/>
        <v>2925752.6470588231</v>
      </c>
      <c r="G630" s="683">
        <f t="shared" si="57"/>
        <v>2958261.009803921</v>
      </c>
      <c r="H630" s="731">
        <f>+J619*G630+E630</f>
        <v>377180.79507643444</v>
      </c>
      <c r="I630" s="738">
        <f>+J620*G630+E630</f>
        <v>377180.79507643444</v>
      </c>
      <c r="J630" s="734">
        <f t="shared" si="58"/>
        <v>0</v>
      </c>
      <c r="K630" s="734"/>
      <c r="L630" s="739"/>
      <c r="M630" s="734">
        <f t="shared" si="63"/>
        <v>0</v>
      </c>
      <c r="N630" s="739"/>
      <c r="O630" s="734">
        <f t="shared" si="59"/>
        <v>0</v>
      </c>
      <c r="P630" s="734">
        <f t="shared" si="60"/>
        <v>0</v>
      </c>
      <c r="Q630" s="684"/>
    </row>
    <row r="631" spans="2:17">
      <c r="B631" s="337"/>
      <c r="C631" s="730">
        <f>IF(D618="","-",+C630+1)</f>
        <v>2023</v>
      </c>
      <c r="D631" s="683">
        <f t="shared" si="61"/>
        <v>2925752.6470588231</v>
      </c>
      <c r="E631" s="737">
        <f t="shared" si="62"/>
        <v>65016.725490196077</v>
      </c>
      <c r="F631" s="737">
        <f t="shared" si="56"/>
        <v>2860735.921568627</v>
      </c>
      <c r="G631" s="683">
        <f t="shared" si="57"/>
        <v>2893244.2843137253</v>
      </c>
      <c r="H631" s="731">
        <f>+J619*G631+E631</f>
        <v>370320.04629431939</v>
      </c>
      <c r="I631" s="738">
        <f>+J620*G631+E631</f>
        <v>370320.04629431939</v>
      </c>
      <c r="J631" s="734">
        <f t="shared" si="58"/>
        <v>0</v>
      </c>
      <c r="K631" s="734"/>
      <c r="L631" s="739"/>
      <c r="M631" s="734">
        <f t="shared" si="63"/>
        <v>0</v>
      </c>
      <c r="N631" s="739"/>
      <c r="O631" s="734">
        <f t="shared" si="59"/>
        <v>0</v>
      </c>
      <c r="P631" s="734">
        <f t="shared" si="60"/>
        <v>0</v>
      </c>
      <c r="Q631" s="684"/>
    </row>
    <row r="632" spans="2:17">
      <c r="B632" s="337"/>
      <c r="C632" s="730">
        <f>IF(D618="","-",+C631+1)</f>
        <v>2024</v>
      </c>
      <c r="D632" s="683">
        <f t="shared" si="61"/>
        <v>2860735.921568627</v>
      </c>
      <c r="E632" s="737">
        <f t="shared" si="62"/>
        <v>65016.725490196077</v>
      </c>
      <c r="F632" s="737">
        <f t="shared" si="56"/>
        <v>2795719.1960784309</v>
      </c>
      <c r="G632" s="683">
        <f t="shared" si="57"/>
        <v>2828227.5588235287</v>
      </c>
      <c r="H632" s="731">
        <f>+J619*G632+E632</f>
        <v>363459.29751220415</v>
      </c>
      <c r="I632" s="738">
        <f>+J620*G632+E632</f>
        <v>363459.29751220415</v>
      </c>
      <c r="J632" s="734">
        <f t="shared" si="58"/>
        <v>0</v>
      </c>
      <c r="K632" s="734"/>
      <c r="L632" s="739"/>
      <c r="M632" s="734">
        <f t="shared" si="63"/>
        <v>0</v>
      </c>
      <c r="N632" s="739"/>
      <c r="O632" s="734">
        <f t="shared" si="59"/>
        <v>0</v>
      </c>
      <c r="P632" s="734">
        <f t="shared" si="60"/>
        <v>0</v>
      </c>
      <c r="Q632" s="684"/>
    </row>
    <row r="633" spans="2:17">
      <c r="B633" s="337"/>
      <c r="C633" s="730">
        <f>IF(D618="","-",+C632+1)</f>
        <v>2025</v>
      </c>
      <c r="D633" s="683">
        <f t="shared" si="61"/>
        <v>2795719.1960784309</v>
      </c>
      <c r="E633" s="737">
        <f t="shared" si="62"/>
        <v>65016.725490196077</v>
      </c>
      <c r="F633" s="737">
        <f t="shared" si="56"/>
        <v>2730702.4705882347</v>
      </c>
      <c r="G633" s="683">
        <f t="shared" si="57"/>
        <v>2763210.833333333</v>
      </c>
      <c r="H633" s="731">
        <f>+J619*G633+E633</f>
        <v>356598.5487300891</v>
      </c>
      <c r="I633" s="738">
        <f>+J620*G633+E633</f>
        <v>356598.5487300891</v>
      </c>
      <c r="J633" s="734">
        <f t="shared" si="58"/>
        <v>0</v>
      </c>
      <c r="K633" s="734"/>
      <c r="L633" s="739"/>
      <c r="M633" s="734">
        <f t="shared" si="63"/>
        <v>0</v>
      </c>
      <c r="N633" s="739"/>
      <c r="O633" s="734">
        <f t="shared" si="59"/>
        <v>0</v>
      </c>
      <c r="P633" s="734">
        <f t="shared" si="60"/>
        <v>0</v>
      </c>
      <c r="Q633" s="684"/>
    </row>
    <row r="634" spans="2:17">
      <c r="B634" s="337"/>
      <c r="C634" s="730">
        <f>IF(D618="","-",+C633+1)</f>
        <v>2026</v>
      </c>
      <c r="D634" s="683">
        <f t="shared" si="61"/>
        <v>2730702.4705882347</v>
      </c>
      <c r="E634" s="737">
        <f t="shared" si="62"/>
        <v>65016.725490196077</v>
      </c>
      <c r="F634" s="737">
        <f t="shared" si="56"/>
        <v>2665685.7450980386</v>
      </c>
      <c r="G634" s="683">
        <f t="shared" si="57"/>
        <v>2698194.1078431364</v>
      </c>
      <c r="H634" s="731">
        <f>+J619*G634+E634</f>
        <v>349737.79994797392</v>
      </c>
      <c r="I634" s="738">
        <f>+J620*G634+E634</f>
        <v>349737.79994797392</v>
      </c>
      <c r="J634" s="734">
        <f t="shared" si="58"/>
        <v>0</v>
      </c>
      <c r="K634" s="734"/>
      <c r="L634" s="739"/>
      <c r="M634" s="734">
        <f t="shared" si="63"/>
        <v>0</v>
      </c>
      <c r="N634" s="739"/>
      <c r="O634" s="734">
        <f t="shared" si="59"/>
        <v>0</v>
      </c>
      <c r="P634" s="734">
        <f t="shared" si="60"/>
        <v>0</v>
      </c>
      <c r="Q634" s="684"/>
    </row>
    <row r="635" spans="2:17">
      <c r="B635" s="337"/>
      <c r="C635" s="730">
        <f>IF(D618="","-",+C634+1)</f>
        <v>2027</v>
      </c>
      <c r="D635" s="683">
        <f t="shared" si="61"/>
        <v>2665685.7450980386</v>
      </c>
      <c r="E635" s="737">
        <f t="shared" si="62"/>
        <v>65016.725490196077</v>
      </c>
      <c r="F635" s="737">
        <f t="shared" si="56"/>
        <v>2600669.0196078424</v>
      </c>
      <c r="G635" s="683">
        <f t="shared" si="57"/>
        <v>2633177.3823529407</v>
      </c>
      <c r="H635" s="731">
        <f>+J619*G635+E635</f>
        <v>342877.05116585881</v>
      </c>
      <c r="I635" s="738">
        <f>+J620*G635+E635</f>
        <v>342877.05116585881</v>
      </c>
      <c r="J635" s="734">
        <f t="shared" si="58"/>
        <v>0</v>
      </c>
      <c r="K635" s="734"/>
      <c r="L635" s="739"/>
      <c r="M635" s="734">
        <f t="shared" si="63"/>
        <v>0</v>
      </c>
      <c r="N635" s="739"/>
      <c r="O635" s="734">
        <f t="shared" si="59"/>
        <v>0</v>
      </c>
      <c r="P635" s="734">
        <f t="shared" si="60"/>
        <v>0</v>
      </c>
      <c r="Q635" s="684"/>
    </row>
    <row r="636" spans="2:17">
      <c r="B636" s="337"/>
      <c r="C636" s="730">
        <f>IF(D618="","-",+C635+1)</f>
        <v>2028</v>
      </c>
      <c r="D636" s="683">
        <f t="shared" si="61"/>
        <v>2600669.0196078424</v>
      </c>
      <c r="E636" s="737">
        <f t="shared" si="62"/>
        <v>65016.725490196077</v>
      </c>
      <c r="F636" s="737">
        <f t="shared" si="56"/>
        <v>2535652.2941176463</v>
      </c>
      <c r="G636" s="683">
        <f t="shared" si="57"/>
        <v>2568160.6568627441</v>
      </c>
      <c r="H636" s="731">
        <f>+J619*G636+E636</f>
        <v>336016.30238374363</v>
      </c>
      <c r="I636" s="738">
        <f>+J620*G636+E636</f>
        <v>336016.30238374363</v>
      </c>
      <c r="J636" s="734">
        <f t="shared" si="58"/>
        <v>0</v>
      </c>
      <c r="K636" s="734"/>
      <c r="L636" s="739"/>
      <c r="M636" s="734">
        <f t="shared" si="63"/>
        <v>0</v>
      </c>
      <c r="N636" s="739"/>
      <c r="O636" s="734">
        <f t="shared" si="59"/>
        <v>0</v>
      </c>
      <c r="P636" s="734">
        <f t="shared" si="60"/>
        <v>0</v>
      </c>
      <c r="Q636" s="684"/>
    </row>
    <row r="637" spans="2:17">
      <c r="B637" s="337"/>
      <c r="C637" s="730">
        <f>IF(D618="","-",+C636+1)</f>
        <v>2029</v>
      </c>
      <c r="D637" s="683">
        <f t="shared" si="61"/>
        <v>2535652.2941176463</v>
      </c>
      <c r="E637" s="737">
        <f t="shared" si="62"/>
        <v>65016.725490196077</v>
      </c>
      <c r="F637" s="737">
        <f t="shared" si="56"/>
        <v>2470635.5686274501</v>
      </c>
      <c r="G637" s="683">
        <f t="shared" si="57"/>
        <v>2503143.9313725485</v>
      </c>
      <c r="H637" s="731">
        <f>+J619*G637+E637</f>
        <v>329155.55360162852</v>
      </c>
      <c r="I637" s="738">
        <f>+J620*G637+E637</f>
        <v>329155.55360162852</v>
      </c>
      <c r="J637" s="734">
        <f t="shared" si="58"/>
        <v>0</v>
      </c>
      <c r="K637" s="734"/>
      <c r="L637" s="739"/>
      <c r="M637" s="734">
        <f t="shared" si="63"/>
        <v>0</v>
      </c>
      <c r="N637" s="739"/>
      <c r="O637" s="734">
        <f t="shared" si="59"/>
        <v>0</v>
      </c>
      <c r="P637" s="734">
        <f t="shared" si="60"/>
        <v>0</v>
      </c>
      <c r="Q637" s="684"/>
    </row>
    <row r="638" spans="2:17">
      <c r="B638" s="337"/>
      <c r="C638" s="730">
        <f>IF(D618="","-",+C637+1)</f>
        <v>2030</v>
      </c>
      <c r="D638" s="683">
        <f t="shared" si="61"/>
        <v>2470635.5686274501</v>
      </c>
      <c r="E638" s="737">
        <f t="shared" si="62"/>
        <v>65016.725490196077</v>
      </c>
      <c r="F638" s="737">
        <f t="shared" si="56"/>
        <v>2405618.843137254</v>
      </c>
      <c r="G638" s="683">
        <f t="shared" si="57"/>
        <v>2438127.2058823518</v>
      </c>
      <c r="H638" s="731">
        <f>+J619*G638+E638</f>
        <v>322294.80481951335</v>
      </c>
      <c r="I638" s="738">
        <f>+J620*G638+E638</f>
        <v>322294.80481951335</v>
      </c>
      <c r="J638" s="734">
        <f t="shared" si="58"/>
        <v>0</v>
      </c>
      <c r="K638" s="734"/>
      <c r="L638" s="739"/>
      <c r="M638" s="734">
        <f t="shared" si="63"/>
        <v>0</v>
      </c>
      <c r="N638" s="739"/>
      <c r="O638" s="734">
        <f t="shared" si="59"/>
        <v>0</v>
      </c>
      <c r="P638" s="734">
        <f t="shared" si="60"/>
        <v>0</v>
      </c>
      <c r="Q638" s="684"/>
    </row>
    <row r="639" spans="2:17">
      <c r="B639" s="337"/>
      <c r="C639" s="730">
        <f>IF(D618="","-",+C638+1)</f>
        <v>2031</v>
      </c>
      <c r="D639" s="683">
        <f t="shared" si="61"/>
        <v>2405618.843137254</v>
      </c>
      <c r="E639" s="737">
        <f t="shared" si="62"/>
        <v>65016.725490196077</v>
      </c>
      <c r="F639" s="737">
        <f t="shared" si="56"/>
        <v>2340602.1176470579</v>
      </c>
      <c r="G639" s="683">
        <f t="shared" si="57"/>
        <v>2373110.4803921562</v>
      </c>
      <c r="H639" s="731">
        <f>+J619*G639+E639</f>
        <v>315434.05603739823</v>
      </c>
      <c r="I639" s="738">
        <f>+J620*G639+E639</f>
        <v>315434.05603739823</v>
      </c>
      <c r="J639" s="734">
        <f t="shared" si="58"/>
        <v>0</v>
      </c>
      <c r="K639" s="734"/>
      <c r="L639" s="739"/>
      <c r="M639" s="734">
        <f t="shared" si="63"/>
        <v>0</v>
      </c>
      <c r="N639" s="739"/>
      <c r="O639" s="734">
        <f t="shared" si="59"/>
        <v>0</v>
      </c>
      <c r="P639" s="734">
        <f t="shared" si="60"/>
        <v>0</v>
      </c>
      <c r="Q639" s="684"/>
    </row>
    <row r="640" spans="2:17">
      <c r="B640" s="337"/>
      <c r="C640" s="730">
        <f>IF(D618="","-",+C639+1)</f>
        <v>2032</v>
      </c>
      <c r="D640" s="683">
        <f t="shared" si="61"/>
        <v>2340602.1176470579</v>
      </c>
      <c r="E640" s="737">
        <f t="shared" si="62"/>
        <v>65016.725490196077</v>
      </c>
      <c r="F640" s="737">
        <f t="shared" si="56"/>
        <v>2275585.3921568617</v>
      </c>
      <c r="G640" s="683">
        <f t="shared" si="57"/>
        <v>2308093.7549019596</v>
      </c>
      <c r="H640" s="731">
        <f>+J619*G640+E640</f>
        <v>308573.30725528306</v>
      </c>
      <c r="I640" s="738">
        <f>+J620*G640+E640</f>
        <v>308573.30725528306</v>
      </c>
      <c r="J640" s="734">
        <f t="shared" si="58"/>
        <v>0</v>
      </c>
      <c r="K640" s="734"/>
      <c r="L640" s="739"/>
      <c r="M640" s="734">
        <f t="shared" si="63"/>
        <v>0</v>
      </c>
      <c r="N640" s="739"/>
      <c r="O640" s="734">
        <f t="shared" si="59"/>
        <v>0</v>
      </c>
      <c r="P640" s="734">
        <f t="shared" si="60"/>
        <v>0</v>
      </c>
      <c r="Q640" s="684"/>
    </row>
    <row r="641" spans="2:17">
      <c r="B641" s="337"/>
      <c r="C641" s="730">
        <f>IF(D618="","-",+C640+1)</f>
        <v>2033</v>
      </c>
      <c r="D641" s="683">
        <f t="shared" si="61"/>
        <v>2275585.3921568617</v>
      </c>
      <c r="E641" s="737">
        <f t="shared" si="62"/>
        <v>65016.725490196077</v>
      </c>
      <c r="F641" s="737">
        <f t="shared" si="56"/>
        <v>2210568.6666666656</v>
      </c>
      <c r="G641" s="683">
        <f t="shared" si="57"/>
        <v>2243077.0294117639</v>
      </c>
      <c r="H641" s="731">
        <f>+J619*G641+E641</f>
        <v>301712.558473168</v>
      </c>
      <c r="I641" s="738">
        <f>+J620*G641+E641</f>
        <v>301712.558473168</v>
      </c>
      <c r="J641" s="734">
        <f t="shared" si="58"/>
        <v>0</v>
      </c>
      <c r="K641" s="734"/>
      <c r="L641" s="739"/>
      <c r="M641" s="734">
        <f t="shared" si="63"/>
        <v>0</v>
      </c>
      <c r="N641" s="739"/>
      <c r="O641" s="734">
        <f t="shared" si="59"/>
        <v>0</v>
      </c>
      <c r="P641" s="734">
        <f t="shared" si="60"/>
        <v>0</v>
      </c>
      <c r="Q641" s="684"/>
    </row>
    <row r="642" spans="2:17">
      <c r="B642" s="337"/>
      <c r="C642" s="730">
        <f>IF(D618="","-",+C641+1)</f>
        <v>2034</v>
      </c>
      <c r="D642" s="683">
        <f t="shared" si="61"/>
        <v>2210568.6666666656</v>
      </c>
      <c r="E642" s="737">
        <f t="shared" si="62"/>
        <v>65016.725490196077</v>
      </c>
      <c r="F642" s="737">
        <f t="shared" si="56"/>
        <v>2145551.9411764694</v>
      </c>
      <c r="G642" s="683">
        <f t="shared" si="57"/>
        <v>2178060.3039215673</v>
      </c>
      <c r="H642" s="731">
        <f>+J619*G642+E642</f>
        <v>294851.80969105277</v>
      </c>
      <c r="I642" s="738">
        <f>+J620*G642+E642</f>
        <v>294851.80969105277</v>
      </c>
      <c r="J642" s="734">
        <f t="shared" si="58"/>
        <v>0</v>
      </c>
      <c r="K642" s="734"/>
      <c r="L642" s="739"/>
      <c r="M642" s="734">
        <f t="shared" si="63"/>
        <v>0</v>
      </c>
      <c r="N642" s="739"/>
      <c r="O642" s="734">
        <f t="shared" si="59"/>
        <v>0</v>
      </c>
      <c r="P642" s="734">
        <f t="shared" si="60"/>
        <v>0</v>
      </c>
      <c r="Q642" s="684"/>
    </row>
    <row r="643" spans="2:17">
      <c r="B643" s="337"/>
      <c r="C643" s="730">
        <f>IF(D618="","-",+C642+1)</f>
        <v>2035</v>
      </c>
      <c r="D643" s="683">
        <f t="shared" si="61"/>
        <v>2145551.9411764694</v>
      </c>
      <c r="E643" s="737">
        <f t="shared" si="62"/>
        <v>65016.725490196077</v>
      </c>
      <c r="F643" s="737">
        <f t="shared" si="56"/>
        <v>2080535.2156862733</v>
      </c>
      <c r="G643" s="683">
        <f t="shared" si="57"/>
        <v>2113043.5784313716</v>
      </c>
      <c r="H643" s="731">
        <f>+J619*G643+E643</f>
        <v>287991.06090893771</v>
      </c>
      <c r="I643" s="738">
        <f>+J620*G643+E643</f>
        <v>287991.06090893771</v>
      </c>
      <c r="J643" s="734">
        <f t="shared" si="58"/>
        <v>0</v>
      </c>
      <c r="K643" s="734"/>
      <c r="L643" s="739"/>
      <c r="M643" s="734">
        <f t="shared" si="63"/>
        <v>0</v>
      </c>
      <c r="N643" s="739"/>
      <c r="O643" s="734">
        <f t="shared" si="59"/>
        <v>0</v>
      </c>
      <c r="P643" s="734">
        <f t="shared" si="60"/>
        <v>0</v>
      </c>
      <c r="Q643" s="684"/>
    </row>
    <row r="644" spans="2:17">
      <c r="B644" s="337"/>
      <c r="C644" s="730">
        <f>IF(D618="","-",+C643+1)</f>
        <v>2036</v>
      </c>
      <c r="D644" s="683">
        <f t="shared" si="61"/>
        <v>2080535.2156862733</v>
      </c>
      <c r="E644" s="737">
        <f t="shared" si="62"/>
        <v>65016.725490196077</v>
      </c>
      <c r="F644" s="737">
        <f t="shared" si="56"/>
        <v>2015518.4901960772</v>
      </c>
      <c r="G644" s="683">
        <f t="shared" si="57"/>
        <v>2048026.8529411752</v>
      </c>
      <c r="H644" s="731">
        <f>+J619*G644+E644</f>
        <v>281130.31212682254</v>
      </c>
      <c r="I644" s="738">
        <f>+J620*G644+E644</f>
        <v>281130.31212682254</v>
      </c>
      <c r="J644" s="734">
        <f t="shared" si="58"/>
        <v>0</v>
      </c>
      <c r="K644" s="734"/>
      <c r="L644" s="739"/>
      <c r="M644" s="734">
        <f t="shared" si="63"/>
        <v>0</v>
      </c>
      <c r="N644" s="739"/>
      <c r="O644" s="734">
        <f t="shared" si="59"/>
        <v>0</v>
      </c>
      <c r="P644" s="734">
        <f t="shared" si="60"/>
        <v>0</v>
      </c>
      <c r="Q644" s="684"/>
    </row>
    <row r="645" spans="2:17">
      <c r="B645" s="337"/>
      <c r="C645" s="730">
        <f>IF(D618="","-",+C644+1)</f>
        <v>2037</v>
      </c>
      <c r="D645" s="683">
        <f t="shared" si="61"/>
        <v>2015518.4901960772</v>
      </c>
      <c r="E645" s="737">
        <f t="shared" si="62"/>
        <v>65016.725490196077</v>
      </c>
      <c r="F645" s="737">
        <f t="shared" si="56"/>
        <v>1950501.764705881</v>
      </c>
      <c r="G645" s="683">
        <f t="shared" si="57"/>
        <v>1983010.1274509791</v>
      </c>
      <c r="H645" s="731">
        <f>+J619*G645+E645</f>
        <v>274269.56334470742</v>
      </c>
      <c r="I645" s="738">
        <f>+J620*G645+E645</f>
        <v>274269.56334470742</v>
      </c>
      <c r="J645" s="734">
        <f t="shared" si="58"/>
        <v>0</v>
      </c>
      <c r="K645" s="734"/>
      <c r="L645" s="739"/>
      <c r="M645" s="734">
        <f t="shared" si="63"/>
        <v>0</v>
      </c>
      <c r="N645" s="739"/>
      <c r="O645" s="734">
        <f t="shared" si="59"/>
        <v>0</v>
      </c>
      <c r="P645" s="734">
        <f t="shared" si="60"/>
        <v>0</v>
      </c>
      <c r="Q645" s="684"/>
    </row>
    <row r="646" spans="2:17">
      <c r="B646" s="337"/>
      <c r="C646" s="730">
        <f>IF(D618="","-",+C645+1)</f>
        <v>2038</v>
      </c>
      <c r="D646" s="683">
        <f t="shared" si="61"/>
        <v>1950501.764705881</v>
      </c>
      <c r="E646" s="737">
        <f t="shared" si="62"/>
        <v>65016.725490196077</v>
      </c>
      <c r="F646" s="737">
        <f t="shared" si="56"/>
        <v>1885485.0392156849</v>
      </c>
      <c r="G646" s="683">
        <f t="shared" si="57"/>
        <v>1917993.4019607829</v>
      </c>
      <c r="H646" s="731">
        <f>+J619*G646+E646</f>
        <v>267408.81456259225</v>
      </c>
      <c r="I646" s="738">
        <f>+J620*G646+E646</f>
        <v>267408.81456259225</v>
      </c>
      <c r="J646" s="734">
        <f t="shared" si="58"/>
        <v>0</v>
      </c>
      <c r="K646" s="734"/>
      <c r="L646" s="739"/>
      <c r="M646" s="734">
        <f t="shared" si="63"/>
        <v>0</v>
      </c>
      <c r="N646" s="739"/>
      <c r="O646" s="734">
        <f t="shared" si="59"/>
        <v>0</v>
      </c>
      <c r="P646" s="734">
        <f t="shared" si="60"/>
        <v>0</v>
      </c>
      <c r="Q646" s="684"/>
    </row>
    <row r="647" spans="2:17">
      <c r="B647" s="337"/>
      <c r="C647" s="730">
        <f>IF(D618="","-",+C646+1)</f>
        <v>2039</v>
      </c>
      <c r="D647" s="683">
        <f t="shared" si="61"/>
        <v>1885485.0392156849</v>
      </c>
      <c r="E647" s="737">
        <f t="shared" si="62"/>
        <v>65016.725490196077</v>
      </c>
      <c r="F647" s="737">
        <f t="shared" si="56"/>
        <v>1820468.3137254887</v>
      </c>
      <c r="G647" s="683">
        <f t="shared" si="57"/>
        <v>1852976.6764705868</v>
      </c>
      <c r="H647" s="731">
        <f>+J619*G647+E647</f>
        <v>260548.06578047713</v>
      </c>
      <c r="I647" s="738">
        <f>+J620*G647+E647</f>
        <v>260548.06578047713</v>
      </c>
      <c r="J647" s="734">
        <f t="shared" si="58"/>
        <v>0</v>
      </c>
      <c r="K647" s="734"/>
      <c r="L647" s="739"/>
      <c r="M647" s="734">
        <f t="shared" si="63"/>
        <v>0</v>
      </c>
      <c r="N647" s="739"/>
      <c r="O647" s="734">
        <f t="shared" si="59"/>
        <v>0</v>
      </c>
      <c r="P647" s="734">
        <f t="shared" si="60"/>
        <v>0</v>
      </c>
      <c r="Q647" s="684"/>
    </row>
    <row r="648" spans="2:17">
      <c r="B648" s="337"/>
      <c r="C648" s="730">
        <f>IF(D618="","-",+C647+1)</f>
        <v>2040</v>
      </c>
      <c r="D648" s="683">
        <f t="shared" si="61"/>
        <v>1820468.3137254887</v>
      </c>
      <c r="E648" s="737">
        <f t="shared" si="62"/>
        <v>65016.725490196077</v>
      </c>
      <c r="F648" s="737">
        <f t="shared" si="56"/>
        <v>1755451.5882352926</v>
      </c>
      <c r="G648" s="683">
        <f t="shared" si="57"/>
        <v>1787959.9509803907</v>
      </c>
      <c r="H648" s="731">
        <f>+J619*G648+E648</f>
        <v>253687.31699836202</v>
      </c>
      <c r="I648" s="738">
        <f>+J620*G648+E648</f>
        <v>253687.31699836202</v>
      </c>
      <c r="J648" s="734">
        <f t="shared" si="58"/>
        <v>0</v>
      </c>
      <c r="K648" s="734"/>
      <c r="L648" s="739"/>
      <c r="M648" s="734">
        <f t="shared" si="63"/>
        <v>0</v>
      </c>
      <c r="N648" s="739"/>
      <c r="O648" s="734">
        <f t="shared" si="59"/>
        <v>0</v>
      </c>
      <c r="P648" s="734">
        <f t="shared" si="60"/>
        <v>0</v>
      </c>
      <c r="Q648" s="684"/>
    </row>
    <row r="649" spans="2:17">
      <c r="B649" s="337"/>
      <c r="C649" s="730">
        <f>IF(D618="","-",+C648+1)</f>
        <v>2041</v>
      </c>
      <c r="D649" s="683">
        <f t="shared" si="61"/>
        <v>1755451.5882352926</v>
      </c>
      <c r="E649" s="737">
        <f t="shared" si="62"/>
        <v>65016.725490196077</v>
      </c>
      <c r="F649" s="737">
        <f t="shared" si="56"/>
        <v>1690434.8627450964</v>
      </c>
      <c r="G649" s="683">
        <f t="shared" si="57"/>
        <v>1722943.2254901945</v>
      </c>
      <c r="H649" s="731">
        <f>+J619*G649+E649</f>
        <v>246826.56821624687</v>
      </c>
      <c r="I649" s="738">
        <f>+J620*G649+E649</f>
        <v>246826.56821624687</v>
      </c>
      <c r="J649" s="734">
        <f t="shared" si="58"/>
        <v>0</v>
      </c>
      <c r="K649" s="734"/>
      <c r="L649" s="739"/>
      <c r="M649" s="734">
        <f t="shared" si="63"/>
        <v>0</v>
      </c>
      <c r="N649" s="739"/>
      <c r="O649" s="734">
        <f t="shared" si="59"/>
        <v>0</v>
      </c>
      <c r="P649" s="734">
        <f t="shared" si="60"/>
        <v>0</v>
      </c>
      <c r="Q649" s="684"/>
    </row>
    <row r="650" spans="2:17">
      <c r="B650" s="337"/>
      <c r="C650" s="730">
        <f>IF(D618="","-",+C649+1)</f>
        <v>2042</v>
      </c>
      <c r="D650" s="683">
        <f t="shared" si="61"/>
        <v>1690434.8627450964</v>
      </c>
      <c r="E650" s="737">
        <f t="shared" si="62"/>
        <v>65016.725490196077</v>
      </c>
      <c r="F650" s="737">
        <f t="shared" si="56"/>
        <v>1625418.1372549003</v>
      </c>
      <c r="G650" s="683">
        <f t="shared" si="57"/>
        <v>1657926.4999999984</v>
      </c>
      <c r="H650" s="731">
        <f>+J619*G650+E650</f>
        <v>239965.81943413173</v>
      </c>
      <c r="I650" s="738">
        <f>+J620*G650+E650</f>
        <v>239965.81943413173</v>
      </c>
      <c r="J650" s="734">
        <f t="shared" si="58"/>
        <v>0</v>
      </c>
      <c r="K650" s="734"/>
      <c r="L650" s="739"/>
      <c r="M650" s="734">
        <f t="shared" si="63"/>
        <v>0</v>
      </c>
      <c r="N650" s="739"/>
      <c r="O650" s="734">
        <f t="shared" si="59"/>
        <v>0</v>
      </c>
      <c r="P650" s="734">
        <f t="shared" si="60"/>
        <v>0</v>
      </c>
      <c r="Q650" s="684"/>
    </row>
    <row r="651" spans="2:17">
      <c r="B651" s="337"/>
      <c r="C651" s="730">
        <f>IF(D618="","-",+C650+1)</f>
        <v>2043</v>
      </c>
      <c r="D651" s="683">
        <f t="shared" si="61"/>
        <v>1625418.1372549003</v>
      </c>
      <c r="E651" s="737">
        <f t="shared" si="62"/>
        <v>65016.725490196077</v>
      </c>
      <c r="F651" s="737">
        <f t="shared" si="56"/>
        <v>1560401.4117647042</v>
      </c>
      <c r="G651" s="683">
        <f t="shared" si="57"/>
        <v>1592909.7745098022</v>
      </c>
      <c r="H651" s="731">
        <f>+J619*G651+E651</f>
        <v>233105.07065201658</v>
      </c>
      <c r="I651" s="738">
        <f>+J620*G651+E651</f>
        <v>233105.07065201658</v>
      </c>
      <c r="J651" s="734">
        <f t="shared" si="58"/>
        <v>0</v>
      </c>
      <c r="K651" s="734"/>
      <c r="L651" s="739"/>
      <c r="M651" s="734">
        <f t="shared" si="63"/>
        <v>0</v>
      </c>
      <c r="N651" s="739"/>
      <c r="O651" s="734">
        <f t="shared" si="59"/>
        <v>0</v>
      </c>
      <c r="P651" s="734">
        <f t="shared" si="60"/>
        <v>0</v>
      </c>
      <c r="Q651" s="684"/>
    </row>
    <row r="652" spans="2:17">
      <c r="B652" s="337"/>
      <c r="C652" s="730">
        <f>IF(D618="","-",+C651+1)</f>
        <v>2044</v>
      </c>
      <c r="D652" s="683">
        <f t="shared" si="61"/>
        <v>1560401.4117647042</v>
      </c>
      <c r="E652" s="737">
        <f t="shared" si="62"/>
        <v>65016.725490196077</v>
      </c>
      <c r="F652" s="737">
        <f t="shared" si="56"/>
        <v>1495384.686274508</v>
      </c>
      <c r="G652" s="683">
        <f t="shared" si="57"/>
        <v>1527893.0490196061</v>
      </c>
      <c r="H652" s="731">
        <f>+J619*G652+E652</f>
        <v>226244.32186990147</v>
      </c>
      <c r="I652" s="738">
        <f>+J620*G652+E652</f>
        <v>226244.32186990147</v>
      </c>
      <c r="J652" s="734">
        <f t="shared" si="58"/>
        <v>0</v>
      </c>
      <c r="K652" s="734"/>
      <c r="L652" s="739"/>
      <c r="M652" s="734">
        <f t="shared" si="63"/>
        <v>0</v>
      </c>
      <c r="N652" s="739"/>
      <c r="O652" s="734">
        <f t="shared" si="59"/>
        <v>0</v>
      </c>
      <c r="P652" s="734">
        <f t="shared" si="60"/>
        <v>0</v>
      </c>
      <c r="Q652" s="684"/>
    </row>
    <row r="653" spans="2:17">
      <c r="B653" s="337"/>
      <c r="C653" s="730">
        <f>IF(D618="","-",+C652+1)</f>
        <v>2045</v>
      </c>
      <c r="D653" s="683">
        <f t="shared" si="61"/>
        <v>1495384.686274508</v>
      </c>
      <c r="E653" s="737">
        <f t="shared" si="62"/>
        <v>65016.725490196077</v>
      </c>
      <c r="F653" s="737">
        <f t="shared" si="56"/>
        <v>1430367.9607843119</v>
      </c>
      <c r="G653" s="683">
        <f t="shared" si="57"/>
        <v>1462876.3235294099</v>
      </c>
      <c r="H653" s="731">
        <f>+J619*G653+E653</f>
        <v>219383.57308778632</v>
      </c>
      <c r="I653" s="738">
        <f>+J620*G653+E653</f>
        <v>219383.57308778632</v>
      </c>
      <c r="J653" s="734">
        <f t="shared" si="58"/>
        <v>0</v>
      </c>
      <c r="K653" s="734"/>
      <c r="L653" s="739"/>
      <c r="M653" s="734">
        <f t="shared" si="63"/>
        <v>0</v>
      </c>
      <c r="N653" s="739"/>
      <c r="O653" s="734">
        <f t="shared" si="59"/>
        <v>0</v>
      </c>
      <c r="P653" s="734">
        <f t="shared" si="60"/>
        <v>0</v>
      </c>
      <c r="Q653" s="684"/>
    </row>
    <row r="654" spans="2:17">
      <c r="B654" s="337"/>
      <c r="C654" s="730">
        <f>IF(D618="","-",+C653+1)</f>
        <v>2046</v>
      </c>
      <c r="D654" s="683">
        <f t="shared" si="61"/>
        <v>1430367.9607843119</v>
      </c>
      <c r="E654" s="737">
        <f t="shared" si="62"/>
        <v>65016.725490196077</v>
      </c>
      <c r="F654" s="737">
        <f t="shared" si="56"/>
        <v>1365351.2352941157</v>
      </c>
      <c r="G654" s="683">
        <f t="shared" si="57"/>
        <v>1397859.5980392138</v>
      </c>
      <c r="H654" s="731">
        <f>+J619*G654+E654</f>
        <v>212522.82430567118</v>
      </c>
      <c r="I654" s="738">
        <f>+J620*G654+E654</f>
        <v>212522.82430567118</v>
      </c>
      <c r="J654" s="734">
        <f t="shared" si="58"/>
        <v>0</v>
      </c>
      <c r="K654" s="734"/>
      <c r="L654" s="739"/>
      <c r="M654" s="734">
        <f t="shared" si="63"/>
        <v>0</v>
      </c>
      <c r="N654" s="739"/>
      <c r="O654" s="734">
        <f t="shared" si="59"/>
        <v>0</v>
      </c>
      <c r="P654" s="734">
        <f t="shared" si="60"/>
        <v>0</v>
      </c>
      <c r="Q654" s="684"/>
    </row>
    <row r="655" spans="2:17">
      <c r="B655" s="337"/>
      <c r="C655" s="730">
        <f>IF(D618="","-",+C654+1)</f>
        <v>2047</v>
      </c>
      <c r="D655" s="683">
        <f t="shared" si="61"/>
        <v>1365351.2352941157</v>
      </c>
      <c r="E655" s="737">
        <f t="shared" si="62"/>
        <v>65016.725490196077</v>
      </c>
      <c r="F655" s="737">
        <f t="shared" si="56"/>
        <v>1300334.5098039196</v>
      </c>
      <c r="G655" s="683">
        <f t="shared" si="57"/>
        <v>1332842.8725490177</v>
      </c>
      <c r="H655" s="731">
        <f>+J619*G655+E655</f>
        <v>205662.07552355604</v>
      </c>
      <c r="I655" s="738">
        <f>+J620*G655+E655</f>
        <v>205662.07552355604</v>
      </c>
      <c r="J655" s="734">
        <f t="shared" si="58"/>
        <v>0</v>
      </c>
      <c r="K655" s="734"/>
      <c r="L655" s="739"/>
      <c r="M655" s="734">
        <f t="shared" si="63"/>
        <v>0</v>
      </c>
      <c r="N655" s="739"/>
      <c r="O655" s="734">
        <f t="shared" si="59"/>
        <v>0</v>
      </c>
      <c r="P655" s="734">
        <f t="shared" si="60"/>
        <v>0</v>
      </c>
      <c r="Q655" s="684"/>
    </row>
    <row r="656" spans="2:17">
      <c r="B656" s="337"/>
      <c r="C656" s="730">
        <f>IF(D618="","-",+C655+1)</f>
        <v>2048</v>
      </c>
      <c r="D656" s="683">
        <f t="shared" si="61"/>
        <v>1300334.5098039196</v>
      </c>
      <c r="E656" s="737">
        <f t="shared" si="62"/>
        <v>65016.725490196077</v>
      </c>
      <c r="F656" s="737">
        <f t="shared" si="56"/>
        <v>1235317.7843137234</v>
      </c>
      <c r="G656" s="683">
        <f t="shared" si="57"/>
        <v>1267826.1470588215</v>
      </c>
      <c r="H656" s="731">
        <f>+J619*G656+E656</f>
        <v>198801.32674144092</v>
      </c>
      <c r="I656" s="738">
        <f>+J620*G656+E656</f>
        <v>198801.32674144092</v>
      </c>
      <c r="J656" s="734">
        <f t="shared" si="58"/>
        <v>0</v>
      </c>
      <c r="K656" s="734"/>
      <c r="L656" s="739"/>
      <c r="M656" s="734">
        <f t="shared" si="63"/>
        <v>0</v>
      </c>
      <c r="N656" s="739"/>
      <c r="O656" s="734">
        <f t="shared" si="59"/>
        <v>0</v>
      </c>
      <c r="P656" s="734">
        <f t="shared" si="60"/>
        <v>0</v>
      </c>
      <c r="Q656" s="684"/>
    </row>
    <row r="657" spans="2:17">
      <c r="B657" s="337"/>
      <c r="C657" s="730">
        <f>IF(D618="","-",+C656+1)</f>
        <v>2049</v>
      </c>
      <c r="D657" s="683">
        <f t="shared" si="61"/>
        <v>1235317.7843137234</v>
      </c>
      <c r="E657" s="737">
        <f t="shared" si="62"/>
        <v>65016.725490196077</v>
      </c>
      <c r="F657" s="737">
        <f t="shared" si="56"/>
        <v>1170301.0588235273</v>
      </c>
      <c r="G657" s="683">
        <f t="shared" si="57"/>
        <v>1202809.4215686254</v>
      </c>
      <c r="H657" s="731">
        <f>+J619*G657+E657</f>
        <v>191940.57795932578</v>
      </c>
      <c r="I657" s="738">
        <f>+J620*G657+E657</f>
        <v>191940.57795932578</v>
      </c>
      <c r="J657" s="734">
        <f t="shared" si="58"/>
        <v>0</v>
      </c>
      <c r="K657" s="734"/>
      <c r="L657" s="739"/>
      <c r="M657" s="734">
        <f t="shared" si="63"/>
        <v>0</v>
      </c>
      <c r="N657" s="739"/>
      <c r="O657" s="734">
        <f t="shared" si="59"/>
        <v>0</v>
      </c>
      <c r="P657" s="734">
        <f t="shared" si="60"/>
        <v>0</v>
      </c>
      <c r="Q657" s="684"/>
    </row>
    <row r="658" spans="2:17">
      <c r="B658" s="337"/>
      <c r="C658" s="730">
        <f>IF(D618="","-",+C657+1)</f>
        <v>2050</v>
      </c>
      <c r="D658" s="683">
        <f t="shared" si="61"/>
        <v>1170301.0588235273</v>
      </c>
      <c r="E658" s="737">
        <f t="shared" si="62"/>
        <v>65016.725490196077</v>
      </c>
      <c r="F658" s="737">
        <f t="shared" si="56"/>
        <v>1105284.3333333312</v>
      </c>
      <c r="G658" s="683">
        <f t="shared" si="57"/>
        <v>1137792.6960784292</v>
      </c>
      <c r="H658" s="731">
        <f>+J619*G658+E658</f>
        <v>185079.82917721063</v>
      </c>
      <c r="I658" s="738">
        <f>+J620*G658+E658</f>
        <v>185079.82917721063</v>
      </c>
      <c r="J658" s="734">
        <f t="shared" si="58"/>
        <v>0</v>
      </c>
      <c r="K658" s="734"/>
      <c r="L658" s="739"/>
      <c r="M658" s="734">
        <f t="shared" si="63"/>
        <v>0</v>
      </c>
      <c r="N658" s="739"/>
      <c r="O658" s="734">
        <f t="shared" si="59"/>
        <v>0</v>
      </c>
      <c r="P658" s="734">
        <f t="shared" si="60"/>
        <v>0</v>
      </c>
      <c r="Q658" s="684"/>
    </row>
    <row r="659" spans="2:17">
      <c r="B659" s="337"/>
      <c r="C659" s="730">
        <f>IF(D618="","-",+C658+1)</f>
        <v>2051</v>
      </c>
      <c r="D659" s="683">
        <f t="shared" si="61"/>
        <v>1105284.3333333312</v>
      </c>
      <c r="E659" s="737">
        <f t="shared" si="62"/>
        <v>65016.725490196077</v>
      </c>
      <c r="F659" s="737">
        <f t="shared" si="56"/>
        <v>1040267.6078431351</v>
      </c>
      <c r="G659" s="683">
        <f t="shared" si="57"/>
        <v>1072775.9705882331</v>
      </c>
      <c r="H659" s="731">
        <f>+J619*G659+E659</f>
        <v>178219.08039509549</v>
      </c>
      <c r="I659" s="738">
        <f>+J620*G659+E659</f>
        <v>178219.08039509549</v>
      </c>
      <c r="J659" s="734">
        <f t="shared" si="58"/>
        <v>0</v>
      </c>
      <c r="K659" s="734"/>
      <c r="L659" s="739"/>
      <c r="M659" s="734">
        <f t="shared" si="63"/>
        <v>0</v>
      </c>
      <c r="N659" s="739"/>
      <c r="O659" s="734">
        <f t="shared" si="59"/>
        <v>0</v>
      </c>
      <c r="P659" s="734">
        <f t="shared" si="60"/>
        <v>0</v>
      </c>
      <c r="Q659" s="684"/>
    </row>
    <row r="660" spans="2:17">
      <c r="B660" s="337"/>
      <c r="C660" s="730">
        <f>IF(D618="","-",+C659+1)</f>
        <v>2052</v>
      </c>
      <c r="D660" s="683">
        <f t="shared" si="61"/>
        <v>1040267.6078431351</v>
      </c>
      <c r="E660" s="737">
        <f t="shared" si="62"/>
        <v>65016.725490196077</v>
      </c>
      <c r="F660" s="737">
        <f t="shared" si="56"/>
        <v>975250.88235293911</v>
      </c>
      <c r="G660" s="683">
        <f t="shared" si="57"/>
        <v>1007759.2450980372</v>
      </c>
      <c r="H660" s="731">
        <f>+J619*G660+E660</f>
        <v>171358.33161298037</v>
      </c>
      <c r="I660" s="738">
        <f>+J620*G660+E660</f>
        <v>171358.33161298037</v>
      </c>
      <c r="J660" s="734">
        <f t="shared" si="58"/>
        <v>0</v>
      </c>
      <c r="K660" s="734"/>
      <c r="L660" s="739"/>
      <c r="M660" s="734">
        <f t="shared" si="63"/>
        <v>0</v>
      </c>
      <c r="N660" s="739"/>
      <c r="O660" s="734">
        <f t="shared" si="59"/>
        <v>0</v>
      </c>
      <c r="P660" s="734">
        <f t="shared" si="60"/>
        <v>0</v>
      </c>
      <c r="Q660" s="684"/>
    </row>
    <row r="661" spans="2:17">
      <c r="B661" s="337"/>
      <c r="C661" s="730">
        <f>IF(D618="","-",+C660+1)</f>
        <v>2053</v>
      </c>
      <c r="D661" s="683">
        <f t="shared" si="61"/>
        <v>975250.88235293911</v>
      </c>
      <c r="E661" s="737">
        <f t="shared" si="62"/>
        <v>65016.725490196077</v>
      </c>
      <c r="F661" s="737">
        <f t="shared" si="56"/>
        <v>910234.15686274308</v>
      </c>
      <c r="G661" s="683">
        <f t="shared" si="57"/>
        <v>942742.51960784104</v>
      </c>
      <c r="H661" s="731">
        <f>+J619*G661+E661</f>
        <v>164497.58283086526</v>
      </c>
      <c r="I661" s="738">
        <f>+J620*G661+E661</f>
        <v>164497.58283086526</v>
      </c>
      <c r="J661" s="734">
        <f t="shared" si="58"/>
        <v>0</v>
      </c>
      <c r="K661" s="734"/>
      <c r="L661" s="739"/>
      <c r="M661" s="734">
        <f t="shared" si="63"/>
        <v>0</v>
      </c>
      <c r="N661" s="739"/>
      <c r="O661" s="734">
        <f t="shared" si="59"/>
        <v>0</v>
      </c>
      <c r="P661" s="734">
        <f t="shared" si="60"/>
        <v>0</v>
      </c>
      <c r="Q661" s="684"/>
    </row>
    <row r="662" spans="2:17">
      <c r="B662" s="337"/>
      <c r="C662" s="730">
        <f>IF(D618="","-",+C661+1)</f>
        <v>2054</v>
      </c>
      <c r="D662" s="683">
        <f t="shared" si="61"/>
        <v>910234.15686274308</v>
      </c>
      <c r="E662" s="737">
        <f t="shared" si="62"/>
        <v>65016.725490196077</v>
      </c>
      <c r="F662" s="737">
        <f t="shared" si="56"/>
        <v>845217.43137254706</v>
      </c>
      <c r="G662" s="683">
        <f t="shared" si="57"/>
        <v>877725.79411764513</v>
      </c>
      <c r="H662" s="731">
        <f>+J619*G662+E662</f>
        <v>157636.83404875014</v>
      </c>
      <c r="I662" s="738">
        <f>+J620*G662+E662</f>
        <v>157636.83404875014</v>
      </c>
      <c r="J662" s="734">
        <f t="shared" si="58"/>
        <v>0</v>
      </c>
      <c r="K662" s="734"/>
      <c r="L662" s="739"/>
      <c r="M662" s="734">
        <f t="shared" si="63"/>
        <v>0</v>
      </c>
      <c r="N662" s="739"/>
      <c r="O662" s="734">
        <f t="shared" si="59"/>
        <v>0</v>
      </c>
      <c r="P662" s="734">
        <f t="shared" si="60"/>
        <v>0</v>
      </c>
      <c r="Q662" s="684"/>
    </row>
    <row r="663" spans="2:17">
      <c r="B663" s="337"/>
      <c r="C663" s="730">
        <f>IF(D618="","-",+C662+1)</f>
        <v>2055</v>
      </c>
      <c r="D663" s="683">
        <f t="shared" si="61"/>
        <v>845217.43137254706</v>
      </c>
      <c r="E663" s="737">
        <f t="shared" si="62"/>
        <v>65016.725490196077</v>
      </c>
      <c r="F663" s="737">
        <f t="shared" si="56"/>
        <v>780200.70588235103</v>
      </c>
      <c r="G663" s="683">
        <f t="shared" si="57"/>
        <v>812709.06862744899</v>
      </c>
      <c r="H663" s="731">
        <f>+J619*G663+E663</f>
        <v>150776.085266635</v>
      </c>
      <c r="I663" s="738">
        <f>+J620*G663+E663</f>
        <v>150776.085266635</v>
      </c>
      <c r="J663" s="734">
        <f t="shared" si="58"/>
        <v>0</v>
      </c>
      <c r="K663" s="734"/>
      <c r="L663" s="739"/>
      <c r="M663" s="734">
        <f t="shared" si="63"/>
        <v>0</v>
      </c>
      <c r="N663" s="739"/>
      <c r="O663" s="734">
        <f t="shared" si="59"/>
        <v>0</v>
      </c>
      <c r="P663" s="734">
        <f t="shared" si="60"/>
        <v>0</v>
      </c>
      <c r="Q663" s="684"/>
    </row>
    <row r="664" spans="2:17">
      <c r="B664" s="337"/>
      <c r="C664" s="730">
        <f>IF(D618="","-",+C663+1)</f>
        <v>2056</v>
      </c>
      <c r="D664" s="683">
        <f t="shared" si="61"/>
        <v>780200.70588235103</v>
      </c>
      <c r="E664" s="737">
        <f t="shared" si="62"/>
        <v>65016.725490196077</v>
      </c>
      <c r="F664" s="737">
        <f t="shared" si="56"/>
        <v>715183.980392155</v>
      </c>
      <c r="G664" s="683">
        <f t="shared" si="57"/>
        <v>747692.34313725308</v>
      </c>
      <c r="H664" s="731">
        <f>+J619*G664+E664</f>
        <v>143915.33648451988</v>
      </c>
      <c r="I664" s="738">
        <f>+J620*G664+E664</f>
        <v>143915.33648451988</v>
      </c>
      <c r="J664" s="734">
        <f t="shared" si="58"/>
        <v>0</v>
      </c>
      <c r="K664" s="734"/>
      <c r="L664" s="739"/>
      <c r="M664" s="734">
        <f t="shared" si="63"/>
        <v>0</v>
      </c>
      <c r="N664" s="739"/>
      <c r="O664" s="734">
        <f t="shared" si="59"/>
        <v>0</v>
      </c>
      <c r="P664" s="734">
        <f t="shared" si="60"/>
        <v>0</v>
      </c>
      <c r="Q664" s="684"/>
    </row>
    <row r="665" spans="2:17">
      <c r="B665" s="337"/>
      <c r="C665" s="730">
        <f>IF(D618="","-",+C664+1)</f>
        <v>2057</v>
      </c>
      <c r="D665" s="683">
        <f t="shared" si="61"/>
        <v>715183.980392155</v>
      </c>
      <c r="E665" s="737">
        <f t="shared" si="62"/>
        <v>65016.725490196077</v>
      </c>
      <c r="F665" s="737">
        <f t="shared" si="56"/>
        <v>650167.25490195898</v>
      </c>
      <c r="G665" s="683">
        <f t="shared" si="57"/>
        <v>682675.61764705693</v>
      </c>
      <c r="H665" s="731">
        <f>+J619*G665+E665</f>
        <v>137054.58770240474</v>
      </c>
      <c r="I665" s="738">
        <f>+J620*G665+E665</f>
        <v>137054.58770240474</v>
      </c>
      <c r="J665" s="734">
        <f t="shared" si="58"/>
        <v>0</v>
      </c>
      <c r="K665" s="734"/>
      <c r="L665" s="739"/>
      <c r="M665" s="734">
        <f t="shared" si="63"/>
        <v>0</v>
      </c>
      <c r="N665" s="739"/>
      <c r="O665" s="734">
        <f t="shared" si="59"/>
        <v>0</v>
      </c>
      <c r="P665" s="734">
        <f t="shared" si="60"/>
        <v>0</v>
      </c>
      <c r="Q665" s="684"/>
    </row>
    <row r="666" spans="2:17">
      <c r="B666" s="337"/>
      <c r="C666" s="730">
        <f>IF(D618="","-",+C665+1)</f>
        <v>2058</v>
      </c>
      <c r="D666" s="683">
        <f t="shared" si="61"/>
        <v>650167.25490195898</v>
      </c>
      <c r="E666" s="737">
        <f t="shared" si="62"/>
        <v>65016.725490196077</v>
      </c>
      <c r="F666" s="737">
        <f t="shared" si="56"/>
        <v>585150.52941176295</v>
      </c>
      <c r="G666" s="683">
        <f t="shared" si="57"/>
        <v>617658.89215686102</v>
      </c>
      <c r="H666" s="731">
        <f>+J619*G666+E666</f>
        <v>130193.83892028964</v>
      </c>
      <c r="I666" s="738">
        <f>+J620*G666+E666</f>
        <v>130193.83892028964</v>
      </c>
      <c r="J666" s="734">
        <f t="shared" si="58"/>
        <v>0</v>
      </c>
      <c r="K666" s="734"/>
      <c r="L666" s="739"/>
      <c r="M666" s="734">
        <f t="shared" si="63"/>
        <v>0</v>
      </c>
      <c r="N666" s="739"/>
      <c r="O666" s="734">
        <f t="shared" si="59"/>
        <v>0</v>
      </c>
      <c r="P666" s="734">
        <f t="shared" si="60"/>
        <v>0</v>
      </c>
      <c r="Q666" s="684"/>
    </row>
    <row r="667" spans="2:17">
      <c r="B667" s="337"/>
      <c r="C667" s="730">
        <f>IF(D618="","-",+C666+1)</f>
        <v>2059</v>
      </c>
      <c r="D667" s="683">
        <f t="shared" si="61"/>
        <v>585150.52941176295</v>
      </c>
      <c r="E667" s="737">
        <f t="shared" si="62"/>
        <v>65016.725490196077</v>
      </c>
      <c r="F667" s="737">
        <f t="shared" si="56"/>
        <v>520133.80392156687</v>
      </c>
      <c r="G667" s="683">
        <f t="shared" si="57"/>
        <v>552642.16666666488</v>
      </c>
      <c r="H667" s="731">
        <f>+J619*G667+E667</f>
        <v>123333.09013817451</v>
      </c>
      <c r="I667" s="738">
        <f>+J620*G667+E667</f>
        <v>123333.09013817451</v>
      </c>
      <c r="J667" s="734">
        <f t="shared" si="58"/>
        <v>0</v>
      </c>
      <c r="K667" s="734"/>
      <c r="L667" s="739"/>
      <c r="M667" s="734">
        <f t="shared" si="63"/>
        <v>0</v>
      </c>
      <c r="N667" s="739"/>
      <c r="O667" s="734">
        <f t="shared" si="59"/>
        <v>0</v>
      </c>
      <c r="P667" s="734">
        <f t="shared" si="60"/>
        <v>0</v>
      </c>
      <c r="Q667" s="684"/>
    </row>
    <row r="668" spans="2:17">
      <c r="B668" s="337"/>
      <c r="C668" s="730">
        <f>IF(D618="","-",+C667+1)</f>
        <v>2060</v>
      </c>
      <c r="D668" s="683">
        <f t="shared" si="61"/>
        <v>520133.80392156687</v>
      </c>
      <c r="E668" s="737">
        <f t="shared" si="62"/>
        <v>65016.725490196077</v>
      </c>
      <c r="F668" s="737">
        <f t="shared" si="56"/>
        <v>455117.07843137078</v>
      </c>
      <c r="G668" s="683">
        <f t="shared" si="57"/>
        <v>487625.44117646886</v>
      </c>
      <c r="H668" s="731">
        <f>+J619*G668+E668</f>
        <v>116472.34135605936</v>
      </c>
      <c r="I668" s="738">
        <f>+J620*G668+E668</f>
        <v>116472.34135605936</v>
      </c>
      <c r="J668" s="734">
        <f t="shared" si="58"/>
        <v>0</v>
      </c>
      <c r="K668" s="734"/>
      <c r="L668" s="739"/>
      <c r="M668" s="734">
        <f t="shared" si="63"/>
        <v>0</v>
      </c>
      <c r="N668" s="739"/>
      <c r="O668" s="734">
        <f t="shared" si="59"/>
        <v>0</v>
      </c>
      <c r="P668" s="734">
        <f t="shared" si="60"/>
        <v>0</v>
      </c>
      <c r="Q668" s="684"/>
    </row>
    <row r="669" spans="2:17">
      <c r="B669" s="337"/>
      <c r="C669" s="730">
        <f>IF(D618="","-",+C668+1)</f>
        <v>2061</v>
      </c>
      <c r="D669" s="683">
        <f t="shared" si="61"/>
        <v>455117.07843137078</v>
      </c>
      <c r="E669" s="737">
        <f t="shared" si="62"/>
        <v>65016.725490196077</v>
      </c>
      <c r="F669" s="737">
        <f t="shared" si="56"/>
        <v>390100.3529411747</v>
      </c>
      <c r="G669" s="683">
        <f t="shared" si="57"/>
        <v>422608.71568627271</v>
      </c>
      <c r="H669" s="731">
        <f>+J619*G669+E669</f>
        <v>109611.59257394423</v>
      </c>
      <c r="I669" s="738">
        <f>+J620*G669+E669</f>
        <v>109611.59257394423</v>
      </c>
      <c r="J669" s="734">
        <f t="shared" si="58"/>
        <v>0</v>
      </c>
      <c r="K669" s="734"/>
      <c r="L669" s="739"/>
      <c r="M669" s="734">
        <f t="shared" si="63"/>
        <v>0</v>
      </c>
      <c r="N669" s="739"/>
      <c r="O669" s="734">
        <f t="shared" si="59"/>
        <v>0</v>
      </c>
      <c r="P669" s="734">
        <f t="shared" si="60"/>
        <v>0</v>
      </c>
      <c r="Q669" s="684"/>
    </row>
    <row r="670" spans="2:17">
      <c r="B670" s="337"/>
      <c r="C670" s="730">
        <f>IF(D618="","-",+C669+1)</f>
        <v>2062</v>
      </c>
      <c r="D670" s="683">
        <f t="shared" si="61"/>
        <v>390100.3529411747</v>
      </c>
      <c r="E670" s="737">
        <f t="shared" si="62"/>
        <v>65016.725490196077</v>
      </c>
      <c r="F670" s="737">
        <f t="shared" si="56"/>
        <v>325083.62745097862</v>
      </c>
      <c r="G670" s="683">
        <f t="shared" si="57"/>
        <v>357591.99019607669</v>
      </c>
      <c r="H670" s="731">
        <f>+J619*G670+E670</f>
        <v>102750.8437918291</v>
      </c>
      <c r="I670" s="738">
        <f>+J620*G670+E670</f>
        <v>102750.8437918291</v>
      </c>
      <c r="J670" s="734">
        <f t="shared" si="58"/>
        <v>0</v>
      </c>
      <c r="K670" s="734"/>
      <c r="L670" s="739"/>
      <c r="M670" s="734">
        <f t="shared" si="63"/>
        <v>0</v>
      </c>
      <c r="N670" s="739"/>
      <c r="O670" s="734">
        <f t="shared" si="59"/>
        <v>0</v>
      </c>
      <c r="P670" s="734">
        <f t="shared" si="60"/>
        <v>0</v>
      </c>
      <c r="Q670" s="684"/>
    </row>
    <row r="671" spans="2:17">
      <c r="B671" s="337"/>
      <c r="C671" s="730">
        <f>IF(D618="","-",+C670+1)</f>
        <v>2063</v>
      </c>
      <c r="D671" s="683">
        <f t="shared" si="61"/>
        <v>325083.62745097862</v>
      </c>
      <c r="E671" s="737">
        <f t="shared" si="62"/>
        <v>65016.725490196077</v>
      </c>
      <c r="F671" s="737">
        <f t="shared" si="56"/>
        <v>260066.90196078253</v>
      </c>
      <c r="G671" s="683">
        <f t="shared" si="57"/>
        <v>292575.26470588055</v>
      </c>
      <c r="H671" s="731">
        <f>+J619*G671+E671</f>
        <v>95890.095009713972</v>
      </c>
      <c r="I671" s="738">
        <f>+J620*G671+E671</f>
        <v>95890.095009713972</v>
      </c>
      <c r="J671" s="734">
        <f t="shared" si="58"/>
        <v>0</v>
      </c>
      <c r="K671" s="734"/>
      <c r="L671" s="739"/>
      <c r="M671" s="734">
        <f t="shared" si="63"/>
        <v>0</v>
      </c>
      <c r="N671" s="739"/>
      <c r="O671" s="734">
        <f t="shared" si="59"/>
        <v>0</v>
      </c>
      <c r="P671" s="734">
        <f t="shared" si="60"/>
        <v>0</v>
      </c>
      <c r="Q671" s="684"/>
    </row>
    <row r="672" spans="2:17">
      <c r="B672" s="337"/>
      <c r="C672" s="730">
        <f>IF(D618="","-",+C671+1)</f>
        <v>2064</v>
      </c>
      <c r="D672" s="683">
        <f t="shared" si="61"/>
        <v>260066.90196078253</v>
      </c>
      <c r="E672" s="737">
        <f t="shared" si="62"/>
        <v>65016.725490196077</v>
      </c>
      <c r="F672" s="737">
        <f t="shared" si="56"/>
        <v>195050.17647058645</v>
      </c>
      <c r="G672" s="683">
        <f t="shared" si="57"/>
        <v>227558.53921568449</v>
      </c>
      <c r="H672" s="731">
        <f>+J619*G672+E672</f>
        <v>89029.346227598842</v>
      </c>
      <c r="I672" s="738">
        <f>+J620*G672+E672</f>
        <v>89029.346227598842</v>
      </c>
      <c r="J672" s="734">
        <f t="shared" si="58"/>
        <v>0</v>
      </c>
      <c r="K672" s="734"/>
      <c r="L672" s="739"/>
      <c r="M672" s="734">
        <f t="shared" si="63"/>
        <v>0</v>
      </c>
      <c r="N672" s="739"/>
      <c r="O672" s="734">
        <f t="shared" si="59"/>
        <v>0</v>
      </c>
      <c r="P672" s="734">
        <f t="shared" si="60"/>
        <v>0</v>
      </c>
      <c r="Q672" s="684"/>
    </row>
    <row r="673" spans="2:17">
      <c r="B673" s="337"/>
      <c r="C673" s="730">
        <f>IF(D618="","-",+C672+1)</f>
        <v>2065</v>
      </c>
      <c r="D673" s="683">
        <f t="shared" si="61"/>
        <v>195050.17647058645</v>
      </c>
      <c r="E673" s="737">
        <f t="shared" si="62"/>
        <v>65016.725490196077</v>
      </c>
      <c r="F673" s="737">
        <f t="shared" si="56"/>
        <v>130033.45098039036</v>
      </c>
      <c r="G673" s="683">
        <f t="shared" si="57"/>
        <v>162541.81372548841</v>
      </c>
      <c r="H673" s="731">
        <f>+J619*G673+E673</f>
        <v>82168.597445483712</v>
      </c>
      <c r="I673" s="738">
        <f>+J620*G673+E673</f>
        <v>82168.597445483712</v>
      </c>
      <c r="J673" s="734">
        <f t="shared" si="58"/>
        <v>0</v>
      </c>
      <c r="K673" s="734"/>
      <c r="L673" s="739"/>
      <c r="M673" s="734">
        <f t="shared" si="63"/>
        <v>0</v>
      </c>
      <c r="N673" s="739"/>
      <c r="O673" s="734">
        <f t="shared" si="59"/>
        <v>0</v>
      </c>
      <c r="P673" s="734">
        <f t="shared" si="60"/>
        <v>0</v>
      </c>
      <c r="Q673" s="684"/>
    </row>
    <row r="674" spans="2:17">
      <c r="B674" s="337"/>
      <c r="C674" s="730">
        <f>IF(D618="","-",+C673+1)</f>
        <v>2066</v>
      </c>
      <c r="D674" s="683">
        <f t="shared" si="61"/>
        <v>130033.45098039036</v>
      </c>
      <c r="E674" s="737">
        <f t="shared" si="62"/>
        <v>65016.725490196077</v>
      </c>
      <c r="F674" s="737">
        <f t="shared" si="56"/>
        <v>65016.725490194287</v>
      </c>
      <c r="G674" s="683">
        <f t="shared" si="57"/>
        <v>97525.088235292322</v>
      </c>
      <c r="H674" s="731">
        <f>+J619*G674+E674</f>
        <v>75307.848663368582</v>
      </c>
      <c r="I674" s="738">
        <f>+J620*G674+E674</f>
        <v>75307.848663368582</v>
      </c>
      <c r="J674" s="734">
        <f t="shared" si="58"/>
        <v>0</v>
      </c>
      <c r="K674" s="734"/>
      <c r="L674" s="739"/>
      <c r="M674" s="734">
        <f t="shared" si="63"/>
        <v>0</v>
      </c>
      <c r="N674" s="739"/>
      <c r="O674" s="734">
        <f t="shared" si="59"/>
        <v>0</v>
      </c>
      <c r="P674" s="734">
        <f t="shared" si="60"/>
        <v>0</v>
      </c>
      <c r="Q674" s="684"/>
    </row>
    <row r="675" spans="2:17">
      <c r="B675" s="337"/>
      <c r="C675" s="730">
        <f>IF(D618="","-",+C674+1)</f>
        <v>2067</v>
      </c>
      <c r="D675" s="683">
        <f t="shared" si="61"/>
        <v>65016.725490194287</v>
      </c>
      <c r="E675" s="737">
        <f t="shared" si="62"/>
        <v>65016.725490194287</v>
      </c>
      <c r="F675" s="737">
        <f t="shared" si="56"/>
        <v>0</v>
      </c>
      <c r="G675" s="683">
        <f t="shared" si="57"/>
        <v>32508.362745097143</v>
      </c>
      <c r="H675" s="731">
        <f>+J619*G675+E675</f>
        <v>68447.099881251765</v>
      </c>
      <c r="I675" s="738">
        <f>+J620*G675+E675</f>
        <v>68447.099881251765</v>
      </c>
      <c r="J675" s="734">
        <f t="shared" si="58"/>
        <v>0</v>
      </c>
      <c r="K675" s="734"/>
      <c r="L675" s="739"/>
      <c r="M675" s="734">
        <f t="shared" si="63"/>
        <v>0</v>
      </c>
      <c r="N675" s="739"/>
      <c r="O675" s="734">
        <f t="shared" si="59"/>
        <v>0</v>
      </c>
      <c r="P675" s="734">
        <f t="shared" si="60"/>
        <v>0</v>
      </c>
      <c r="Q675" s="684"/>
    </row>
    <row r="676" spans="2:17">
      <c r="B676" s="337"/>
      <c r="C676" s="730">
        <f>IF(D618="","-",+C675+1)</f>
        <v>2068</v>
      </c>
      <c r="D676" s="683">
        <f t="shared" si="61"/>
        <v>0</v>
      </c>
      <c r="E676" s="737">
        <f t="shared" si="62"/>
        <v>0</v>
      </c>
      <c r="F676" s="737">
        <f t="shared" si="56"/>
        <v>0</v>
      </c>
      <c r="G676" s="683">
        <f t="shared" si="57"/>
        <v>0</v>
      </c>
      <c r="H676" s="731">
        <f>+J619*G676+E676</f>
        <v>0</v>
      </c>
      <c r="I676" s="738">
        <f>+J620*G676+E676</f>
        <v>0</v>
      </c>
      <c r="J676" s="734">
        <f t="shared" si="58"/>
        <v>0</v>
      </c>
      <c r="K676" s="734"/>
      <c r="L676" s="739"/>
      <c r="M676" s="734">
        <f t="shared" si="63"/>
        <v>0</v>
      </c>
      <c r="N676" s="739"/>
      <c r="O676" s="734">
        <f t="shared" si="59"/>
        <v>0</v>
      </c>
      <c r="P676" s="734">
        <f t="shared" si="60"/>
        <v>0</v>
      </c>
      <c r="Q676" s="684"/>
    </row>
    <row r="677" spans="2:17">
      <c r="B677" s="337"/>
      <c r="C677" s="730">
        <f>IF(D618="","-",+C676+1)</f>
        <v>2069</v>
      </c>
      <c r="D677" s="683">
        <f t="shared" si="61"/>
        <v>0</v>
      </c>
      <c r="E677" s="737">
        <f t="shared" si="62"/>
        <v>0</v>
      </c>
      <c r="F677" s="737">
        <f t="shared" si="56"/>
        <v>0</v>
      </c>
      <c r="G677" s="683">
        <f t="shared" si="57"/>
        <v>0</v>
      </c>
      <c r="H677" s="731">
        <f>+J619*G677+E677</f>
        <v>0</v>
      </c>
      <c r="I677" s="738">
        <f>+J620*G677+E677</f>
        <v>0</v>
      </c>
      <c r="J677" s="734">
        <f t="shared" si="58"/>
        <v>0</v>
      </c>
      <c r="K677" s="734"/>
      <c r="L677" s="739"/>
      <c r="M677" s="734">
        <f t="shared" si="63"/>
        <v>0</v>
      </c>
      <c r="N677" s="739"/>
      <c r="O677" s="734">
        <f t="shared" si="59"/>
        <v>0</v>
      </c>
      <c r="P677" s="734">
        <f t="shared" si="60"/>
        <v>0</v>
      </c>
      <c r="Q677" s="684"/>
    </row>
    <row r="678" spans="2:17">
      <c r="B678" s="337"/>
      <c r="C678" s="730">
        <f>IF(D618="","-",+C677+1)</f>
        <v>2070</v>
      </c>
      <c r="D678" s="683">
        <f t="shared" si="61"/>
        <v>0</v>
      </c>
      <c r="E678" s="737">
        <f t="shared" si="62"/>
        <v>0</v>
      </c>
      <c r="F678" s="737">
        <f t="shared" si="56"/>
        <v>0</v>
      </c>
      <c r="G678" s="683">
        <f t="shared" si="57"/>
        <v>0</v>
      </c>
      <c r="H678" s="731">
        <f>+J619*G678+E678</f>
        <v>0</v>
      </c>
      <c r="I678" s="738">
        <f>+J620*G678+E678</f>
        <v>0</v>
      </c>
      <c r="J678" s="734">
        <f t="shared" si="58"/>
        <v>0</v>
      </c>
      <c r="K678" s="734"/>
      <c r="L678" s="739"/>
      <c r="M678" s="734">
        <f t="shared" si="63"/>
        <v>0</v>
      </c>
      <c r="N678" s="739"/>
      <c r="O678" s="734">
        <f t="shared" si="59"/>
        <v>0</v>
      </c>
      <c r="P678" s="734">
        <f t="shared" si="60"/>
        <v>0</v>
      </c>
      <c r="Q678" s="684"/>
    </row>
    <row r="679" spans="2:17">
      <c r="B679" s="337"/>
      <c r="C679" s="730">
        <f>IF(D618="","-",+C678+1)</f>
        <v>2071</v>
      </c>
      <c r="D679" s="683">
        <f t="shared" si="61"/>
        <v>0</v>
      </c>
      <c r="E679" s="737">
        <f t="shared" si="62"/>
        <v>0</v>
      </c>
      <c r="F679" s="737">
        <f t="shared" si="56"/>
        <v>0</v>
      </c>
      <c r="G679" s="683">
        <f t="shared" si="57"/>
        <v>0</v>
      </c>
      <c r="H679" s="731">
        <f>+J619*G679+E679</f>
        <v>0</v>
      </c>
      <c r="I679" s="738">
        <f>+J620*G679+E679</f>
        <v>0</v>
      </c>
      <c r="J679" s="734">
        <f t="shared" si="58"/>
        <v>0</v>
      </c>
      <c r="K679" s="734"/>
      <c r="L679" s="739"/>
      <c r="M679" s="734">
        <f t="shared" si="63"/>
        <v>0</v>
      </c>
      <c r="N679" s="739"/>
      <c r="O679" s="734">
        <f t="shared" si="59"/>
        <v>0</v>
      </c>
      <c r="P679" s="734">
        <f t="shared" si="60"/>
        <v>0</v>
      </c>
      <c r="Q679" s="684"/>
    </row>
    <row r="680" spans="2:17">
      <c r="B680" s="337"/>
      <c r="C680" s="730">
        <f>IF(D618="","-",+C679+1)</f>
        <v>2072</v>
      </c>
      <c r="D680" s="683">
        <f t="shared" si="61"/>
        <v>0</v>
      </c>
      <c r="E680" s="737">
        <f t="shared" si="62"/>
        <v>0</v>
      </c>
      <c r="F680" s="737">
        <f t="shared" si="56"/>
        <v>0</v>
      </c>
      <c r="G680" s="683">
        <f t="shared" si="57"/>
        <v>0</v>
      </c>
      <c r="H680" s="731">
        <f>+J619*G680+E680</f>
        <v>0</v>
      </c>
      <c r="I680" s="738">
        <f>+J620*G680+E680</f>
        <v>0</v>
      </c>
      <c r="J680" s="734">
        <f t="shared" si="58"/>
        <v>0</v>
      </c>
      <c r="K680" s="734"/>
      <c r="L680" s="739"/>
      <c r="M680" s="734">
        <f t="shared" si="63"/>
        <v>0</v>
      </c>
      <c r="N680" s="739"/>
      <c r="O680" s="734">
        <f t="shared" si="59"/>
        <v>0</v>
      </c>
      <c r="P680" s="734">
        <f t="shared" si="60"/>
        <v>0</v>
      </c>
      <c r="Q680" s="684"/>
    </row>
    <row r="681" spans="2:17">
      <c r="B681" s="337"/>
      <c r="C681" s="730">
        <f>IF(D618="","-",+C680+1)</f>
        <v>2073</v>
      </c>
      <c r="D681" s="683">
        <f t="shared" si="61"/>
        <v>0</v>
      </c>
      <c r="E681" s="737">
        <f t="shared" si="62"/>
        <v>0</v>
      </c>
      <c r="F681" s="737">
        <f t="shared" si="56"/>
        <v>0</v>
      </c>
      <c r="G681" s="683">
        <f t="shared" si="57"/>
        <v>0</v>
      </c>
      <c r="H681" s="731">
        <f>+J619*G681+E681</f>
        <v>0</v>
      </c>
      <c r="I681" s="738">
        <f>+J620*G681+E681</f>
        <v>0</v>
      </c>
      <c r="J681" s="734">
        <f t="shared" si="58"/>
        <v>0</v>
      </c>
      <c r="K681" s="734"/>
      <c r="L681" s="739"/>
      <c r="M681" s="734">
        <f t="shared" si="63"/>
        <v>0</v>
      </c>
      <c r="N681" s="739"/>
      <c r="O681" s="734">
        <f t="shared" si="59"/>
        <v>0</v>
      </c>
      <c r="P681" s="734">
        <f t="shared" si="60"/>
        <v>0</v>
      </c>
      <c r="Q681" s="684"/>
    </row>
    <row r="682" spans="2:17">
      <c r="B682" s="337"/>
      <c r="C682" s="730">
        <f>IF(D618="","-",+C681+1)</f>
        <v>2074</v>
      </c>
      <c r="D682" s="683">
        <f t="shared" si="61"/>
        <v>0</v>
      </c>
      <c r="E682" s="737">
        <f t="shared" si="62"/>
        <v>0</v>
      </c>
      <c r="F682" s="737">
        <f t="shared" si="56"/>
        <v>0</v>
      </c>
      <c r="G682" s="683">
        <f t="shared" si="57"/>
        <v>0</v>
      </c>
      <c r="H682" s="731">
        <f>+J619*G682+E682</f>
        <v>0</v>
      </c>
      <c r="I682" s="738">
        <f>+J620*G682+E682</f>
        <v>0</v>
      </c>
      <c r="J682" s="734">
        <f t="shared" si="58"/>
        <v>0</v>
      </c>
      <c r="K682" s="734"/>
      <c r="L682" s="739"/>
      <c r="M682" s="734">
        <f t="shared" si="63"/>
        <v>0</v>
      </c>
      <c r="N682" s="739"/>
      <c r="O682" s="734">
        <f t="shared" si="59"/>
        <v>0</v>
      </c>
      <c r="P682" s="734">
        <f t="shared" si="60"/>
        <v>0</v>
      </c>
      <c r="Q682" s="684"/>
    </row>
    <row r="683" spans="2:17" ht="13" thickBot="1">
      <c r="B683" s="337"/>
      <c r="C683" s="741">
        <f>IF(D618="","-",+C682+1)</f>
        <v>2075</v>
      </c>
      <c r="D683" s="742">
        <f t="shared" si="61"/>
        <v>0</v>
      </c>
      <c r="E683" s="1314">
        <f t="shared" si="62"/>
        <v>0</v>
      </c>
      <c r="F683" s="743">
        <f t="shared" si="56"/>
        <v>0</v>
      </c>
      <c r="G683" s="742">
        <f t="shared" si="57"/>
        <v>0</v>
      </c>
      <c r="H683" s="744">
        <f>+J619*G683+E683</f>
        <v>0</v>
      </c>
      <c r="I683" s="744">
        <f>+J620*G683+E683</f>
        <v>0</v>
      </c>
      <c r="J683" s="745">
        <f t="shared" si="58"/>
        <v>0</v>
      </c>
      <c r="K683" s="734"/>
      <c r="L683" s="746"/>
      <c r="M683" s="745">
        <f t="shared" si="63"/>
        <v>0</v>
      </c>
      <c r="N683" s="746"/>
      <c r="O683" s="745">
        <f t="shared" si="59"/>
        <v>0</v>
      </c>
      <c r="P683" s="745">
        <f t="shared" si="60"/>
        <v>0</v>
      </c>
      <c r="Q683" s="684"/>
    </row>
    <row r="684" spans="2:17">
      <c r="B684" s="337"/>
      <c r="C684" s="683" t="s">
        <v>289</v>
      </c>
      <c r="D684" s="679"/>
      <c r="E684" s="679">
        <f>SUM(E624:E683)</f>
        <v>3315853</v>
      </c>
      <c r="F684" s="679"/>
      <c r="G684" s="679"/>
      <c r="H684" s="679">
        <f>SUM(H624:H683)</f>
        <v>12588154.97902859</v>
      </c>
      <c r="I684" s="679">
        <f>SUM(I624:I683)</f>
        <v>12588154.97902859</v>
      </c>
      <c r="J684" s="679">
        <f>SUM(J624:J683)</f>
        <v>0</v>
      </c>
      <c r="K684" s="679"/>
      <c r="L684" s="679"/>
      <c r="M684" s="679"/>
      <c r="N684" s="679"/>
      <c r="O684" s="679"/>
      <c r="Q684" s="679"/>
    </row>
    <row r="685" spans="2:17">
      <c r="B685" s="337"/>
      <c r="D685" s="573"/>
      <c r="E685" s="550"/>
      <c r="F685" s="550"/>
      <c r="G685" s="550"/>
      <c r="H685" s="550"/>
      <c r="I685" s="656"/>
      <c r="J685" s="656"/>
      <c r="K685" s="679"/>
      <c r="L685" s="656"/>
      <c r="M685" s="656"/>
      <c r="N685" s="656"/>
      <c r="O685" s="656"/>
      <c r="Q685" s="679"/>
    </row>
    <row r="686" spans="2:17">
      <c r="B686" s="337"/>
      <c r="C686" s="550" t="s">
        <v>597</v>
      </c>
      <c r="D686" s="573"/>
      <c r="E686" s="550"/>
      <c r="F686" s="550"/>
      <c r="G686" s="550"/>
      <c r="H686" s="550"/>
      <c r="I686" s="656"/>
      <c r="J686" s="656"/>
      <c r="K686" s="679"/>
      <c r="L686" s="656"/>
      <c r="M686" s="656"/>
      <c r="N686" s="656"/>
      <c r="O686" s="656"/>
      <c r="Q686" s="679"/>
    </row>
    <row r="687" spans="2:17">
      <c r="B687" s="337"/>
      <c r="D687" s="573"/>
      <c r="E687" s="550"/>
      <c r="F687" s="550"/>
      <c r="G687" s="550"/>
      <c r="H687" s="550"/>
      <c r="I687" s="656"/>
      <c r="J687" s="656"/>
      <c r="K687" s="679"/>
      <c r="L687" s="656"/>
      <c r="M687" s="656"/>
      <c r="N687" s="656"/>
      <c r="O687" s="656"/>
      <c r="Q687" s="679"/>
    </row>
    <row r="688" spans="2:17">
      <c r="B688" s="337"/>
      <c r="C688" s="586" t="s">
        <v>598</v>
      </c>
      <c r="D688" s="683"/>
      <c r="E688" s="683"/>
      <c r="F688" s="683"/>
      <c r="G688" s="683"/>
      <c r="H688" s="679"/>
      <c r="I688" s="679"/>
      <c r="J688" s="684"/>
      <c r="K688" s="684"/>
      <c r="L688" s="684"/>
      <c r="M688" s="684"/>
      <c r="N688" s="684"/>
      <c r="O688" s="684"/>
      <c r="Q688" s="684"/>
    </row>
    <row r="689" spans="1:17">
      <c r="B689" s="337"/>
      <c r="C689" s="586" t="s">
        <v>477</v>
      </c>
      <c r="D689" s="683"/>
      <c r="E689" s="683"/>
      <c r="F689" s="683"/>
      <c r="G689" s="683"/>
      <c r="H689" s="679"/>
      <c r="I689" s="679"/>
      <c r="J689" s="684"/>
      <c r="K689" s="684"/>
      <c r="L689" s="684"/>
      <c r="M689" s="684"/>
      <c r="N689" s="684"/>
      <c r="O689" s="684"/>
      <c r="Q689" s="684"/>
    </row>
    <row r="690" spans="1:17">
      <c r="B690" s="337"/>
      <c r="C690" s="586" t="s">
        <v>290</v>
      </c>
      <c r="D690" s="683"/>
      <c r="E690" s="683"/>
      <c r="F690" s="683"/>
      <c r="G690" s="683"/>
      <c r="H690" s="679"/>
      <c r="I690" s="679"/>
      <c r="J690" s="684"/>
      <c r="K690" s="684"/>
      <c r="L690" s="684"/>
      <c r="M690" s="684"/>
      <c r="N690" s="684"/>
      <c r="O690" s="684"/>
      <c r="Q690" s="684"/>
    </row>
    <row r="691" spans="1:17" ht="13">
      <c r="B691" s="337"/>
      <c r="C691" s="682"/>
      <c r="D691" s="683"/>
      <c r="E691" s="683"/>
      <c r="F691" s="683"/>
      <c r="G691" s="683"/>
      <c r="H691" s="679"/>
      <c r="I691" s="679"/>
      <c r="J691" s="684"/>
      <c r="K691" s="684"/>
      <c r="L691" s="684"/>
      <c r="M691" s="684"/>
      <c r="N691" s="684"/>
      <c r="O691" s="684"/>
      <c r="Q691" s="684"/>
    </row>
    <row r="692" spans="1:17" ht="20">
      <c r="A692" s="685" t="s">
        <v>774</v>
      </c>
      <c r="B692" s="550"/>
      <c r="C692" s="665"/>
      <c r="D692" s="573"/>
      <c r="E692" s="550"/>
      <c r="F692" s="655"/>
      <c r="G692" s="655"/>
      <c r="H692" s="550"/>
      <c r="I692" s="656"/>
      <c r="L692" s="686"/>
      <c r="M692" s="686"/>
      <c r="N692" s="686"/>
      <c r="O692" s="601" t="str">
        <f>"Page "&amp;SUM(Q$3:Q692)&amp;" of "</f>
        <v xml:space="preserve">Page 9 of </v>
      </c>
      <c r="P692" s="602">
        <f>COUNT(Q$8:Q$58123)</f>
        <v>11</v>
      </c>
      <c r="Q692" s="767">
        <v>1</v>
      </c>
    </row>
    <row r="693" spans="1:17">
      <c r="B693" s="550"/>
      <c r="C693" s="550"/>
      <c r="D693" s="573"/>
      <c r="E693" s="550"/>
      <c r="F693" s="550"/>
      <c r="G693" s="550"/>
      <c r="H693" s="550"/>
      <c r="I693" s="656"/>
      <c r="J693" s="550"/>
      <c r="K693" s="598"/>
      <c r="Q693" s="598"/>
    </row>
    <row r="694" spans="1:17" ht="17">
      <c r="B694" s="605" t="s">
        <v>175</v>
      </c>
      <c r="C694" s="687" t="s">
        <v>291</v>
      </c>
      <c r="D694" s="573"/>
      <c r="E694" s="550"/>
      <c r="F694" s="550"/>
      <c r="G694" s="550"/>
      <c r="H694" s="550"/>
      <c r="I694" s="656"/>
      <c r="J694" s="656"/>
      <c r="K694" s="679"/>
      <c r="L694" s="656"/>
      <c r="M694" s="656"/>
      <c r="N694" s="656"/>
      <c r="O694" s="656"/>
      <c r="Q694" s="679"/>
    </row>
    <row r="695" spans="1:17" ht="18">
      <c r="B695" s="605"/>
      <c r="C695" s="604"/>
      <c r="D695" s="573"/>
      <c r="E695" s="550"/>
      <c r="F695" s="550"/>
      <c r="G695" s="550"/>
      <c r="H695" s="550"/>
      <c r="I695" s="656"/>
      <c r="J695" s="656"/>
      <c r="K695" s="679"/>
      <c r="L695" s="656"/>
      <c r="M695" s="656"/>
      <c r="N695" s="656"/>
      <c r="O695" s="656"/>
      <c r="Q695" s="679"/>
    </row>
    <row r="696" spans="1:17" ht="18">
      <c r="B696" s="605"/>
      <c r="C696" s="604" t="s">
        <v>292</v>
      </c>
      <c r="D696" s="573"/>
      <c r="E696" s="550"/>
      <c r="F696" s="550"/>
      <c r="G696" s="550"/>
      <c r="H696" s="550"/>
      <c r="I696" s="656"/>
      <c r="J696" s="656"/>
      <c r="K696" s="679"/>
      <c r="L696" s="656"/>
      <c r="M696" s="656"/>
      <c r="N696" s="656"/>
      <c r="O696" s="656"/>
      <c r="Q696" s="679"/>
    </row>
    <row r="697" spans="1:17" ht="16" thickBot="1">
      <c r="B697" s="337"/>
      <c r="C697" s="403"/>
      <c r="D697" s="573"/>
      <c r="E697" s="550"/>
      <c r="F697" s="550"/>
      <c r="G697" s="550"/>
      <c r="H697" s="550"/>
      <c r="I697" s="656"/>
      <c r="J697" s="656"/>
      <c r="K697" s="679"/>
      <c r="L697" s="656"/>
      <c r="M697" s="656"/>
      <c r="N697" s="656"/>
      <c r="O697" s="656"/>
      <c r="Q697" s="679"/>
    </row>
    <row r="698" spans="1:17" ht="15.5">
      <c r="B698" s="337"/>
      <c r="C698" s="606" t="s">
        <v>293</v>
      </c>
      <c r="D698" s="573"/>
      <c r="E698" s="550"/>
      <c r="F698" s="550"/>
      <c r="G698" s="550"/>
      <c r="H698" s="877"/>
      <c r="I698" s="550" t="s">
        <v>272</v>
      </c>
      <c r="J698" s="550"/>
      <c r="K698" s="598"/>
      <c r="L698" s="768">
        <f>+J704</f>
        <v>2019</v>
      </c>
      <c r="M698" s="750" t="s">
        <v>255</v>
      </c>
      <c r="N698" s="750" t="s">
        <v>256</v>
      </c>
      <c r="O698" s="751" t="s">
        <v>257</v>
      </c>
      <c r="Q698" s="598"/>
    </row>
    <row r="699" spans="1:17" ht="15.5">
      <c r="B699" s="337"/>
      <c r="C699" s="606"/>
      <c r="D699" s="573"/>
      <c r="E699" s="550"/>
      <c r="F699" s="550"/>
      <c r="H699" s="550"/>
      <c r="I699" s="691"/>
      <c r="J699" s="691"/>
      <c r="K699" s="692"/>
      <c r="L699" s="769" t="s">
        <v>456</v>
      </c>
      <c r="M699" s="770">
        <f>VLOOKUP(J704,C711:P770,10)</f>
        <v>0</v>
      </c>
      <c r="N699" s="770">
        <f>VLOOKUP(J704,C711:P770,12)</f>
        <v>0</v>
      </c>
      <c r="O699" s="771">
        <f>+N699-M699</f>
        <v>0</v>
      </c>
      <c r="Q699" s="692"/>
    </row>
    <row r="700" spans="1:17" ht="13">
      <c r="B700" s="337"/>
      <c r="C700" s="694" t="s">
        <v>294</v>
      </c>
      <c r="D700" s="1558" t="s">
        <v>988</v>
      </c>
      <c r="E700" s="1559"/>
      <c r="F700" s="1559"/>
      <c r="G700" s="1559"/>
      <c r="H700" s="1559"/>
      <c r="I700" s="1559"/>
      <c r="J700" s="656"/>
      <c r="K700" s="679"/>
      <c r="L700" s="769" t="s">
        <v>457</v>
      </c>
      <c r="M700" s="772">
        <f>VLOOKUP(J704,C711:P770,6)</f>
        <v>0</v>
      </c>
      <c r="N700" s="772">
        <f>VLOOKUP(J704,C711:P770,7)</f>
        <v>0</v>
      </c>
      <c r="O700" s="773">
        <f>+N700-M700</f>
        <v>0</v>
      </c>
      <c r="Q700" s="679"/>
    </row>
    <row r="701" spans="1:17" ht="13.5" thickBot="1">
      <c r="B701" s="337"/>
      <c r="C701" s="696"/>
      <c r="D701" s="1559"/>
      <c r="E701" s="1559"/>
      <c r="F701" s="1559"/>
      <c r="G701" s="1559"/>
      <c r="H701" s="1559"/>
      <c r="I701" s="1559"/>
      <c r="J701" s="656"/>
      <c r="K701" s="679"/>
      <c r="L701" s="715" t="s">
        <v>458</v>
      </c>
      <c r="M701" s="774">
        <f>+M700-M699</f>
        <v>0</v>
      </c>
      <c r="N701" s="774">
        <f>+N700-N699</f>
        <v>0</v>
      </c>
      <c r="O701" s="775">
        <f>+O700-O699</f>
        <v>0</v>
      </c>
      <c r="Q701" s="679"/>
    </row>
    <row r="702" spans="1:17" ht="13.5" thickBot="1">
      <c r="B702" s="337"/>
      <c r="C702" s="698"/>
      <c r="D702" s="699"/>
      <c r="E702" s="697"/>
      <c r="F702" s="697"/>
      <c r="G702" s="697"/>
      <c r="H702" s="697"/>
      <c r="I702" s="697"/>
      <c r="J702" s="697"/>
      <c r="K702" s="700"/>
      <c r="L702" s="697"/>
      <c r="M702" s="697"/>
      <c r="N702" s="697"/>
      <c r="O702" s="697"/>
      <c r="P702" s="586"/>
      <c r="Q702" s="700"/>
    </row>
    <row r="703" spans="1:17" ht="13" thickBot="1">
      <c r="B703" s="337"/>
      <c r="C703" s="701" t="s">
        <v>295</v>
      </c>
      <c r="D703" s="702"/>
      <c r="E703" s="702"/>
      <c r="F703" s="702"/>
      <c r="G703" s="702"/>
      <c r="H703" s="702"/>
      <c r="I703" s="702"/>
      <c r="J703" s="702"/>
      <c r="K703" s="704"/>
      <c r="P703" s="705"/>
      <c r="Q703" s="704"/>
    </row>
    <row r="704" spans="1:17" ht="16">
      <c r="A704" s="1324"/>
      <c r="B704" s="337"/>
      <c r="C704" s="707" t="s">
        <v>273</v>
      </c>
      <c r="D704" s="1323">
        <v>0</v>
      </c>
      <c r="E704" s="665" t="s">
        <v>274</v>
      </c>
      <c r="H704" s="708"/>
      <c r="I704" s="708"/>
      <c r="J704" s="709">
        <f>$J$95</f>
        <v>2019</v>
      </c>
      <c r="K704" s="596"/>
      <c r="L704" s="1560" t="s">
        <v>275</v>
      </c>
      <c r="M704" s="1560"/>
      <c r="N704" s="1560"/>
      <c r="O704" s="1560"/>
      <c r="P704" s="598"/>
      <c r="Q704" s="596"/>
    </row>
    <row r="705" spans="1:17">
      <c r="A705" s="1324"/>
      <c r="B705" s="337"/>
      <c r="C705" s="707" t="s">
        <v>276</v>
      </c>
      <c r="D705" s="879">
        <v>2016</v>
      </c>
      <c r="E705" s="707" t="s">
        <v>277</v>
      </c>
      <c r="F705" s="708"/>
      <c r="G705" s="708"/>
      <c r="I705" s="337"/>
      <c r="J705" s="882">
        <v>0</v>
      </c>
      <c r="K705" s="710"/>
      <c r="L705" s="679" t="s">
        <v>476</v>
      </c>
      <c r="P705" s="598"/>
      <c r="Q705" s="710"/>
    </row>
    <row r="706" spans="1:17">
      <c r="A706" s="1324"/>
      <c r="B706" s="337"/>
      <c r="C706" s="707" t="s">
        <v>278</v>
      </c>
      <c r="D706" s="1282">
        <v>6</v>
      </c>
      <c r="E706" s="707" t="s">
        <v>279</v>
      </c>
      <c r="F706" s="708"/>
      <c r="G706" s="708"/>
      <c r="I706" s="337"/>
      <c r="J706" s="711">
        <f>$F$70</f>
        <v>0.10552282863199051</v>
      </c>
      <c r="K706" s="712"/>
      <c r="L706" s="550" t="str">
        <f>"          INPUT TRUE-UP ARR (WITH &amp; WITHOUT INCENTIVES) FROM EACH PRIOR YEAR"</f>
        <v xml:space="preserve">          INPUT TRUE-UP ARR (WITH &amp; WITHOUT INCENTIVES) FROM EACH PRIOR YEAR</v>
      </c>
      <c r="P706" s="598"/>
      <c r="Q706" s="712"/>
    </row>
    <row r="707" spans="1:17">
      <c r="A707" s="1324"/>
      <c r="B707" s="337"/>
      <c r="C707" s="707" t="s">
        <v>280</v>
      </c>
      <c r="D707" s="713">
        <f>H79</f>
        <v>51</v>
      </c>
      <c r="E707" s="707" t="s">
        <v>281</v>
      </c>
      <c r="F707" s="708"/>
      <c r="G707" s="708"/>
      <c r="I707" s="337"/>
      <c r="J707" s="711">
        <f>IF(H698="",J706,$F$69)</f>
        <v>0.10552282863199051</v>
      </c>
      <c r="K707" s="714"/>
      <c r="L707" s="550" t="s">
        <v>363</v>
      </c>
      <c r="M707" s="714"/>
      <c r="N707" s="714"/>
      <c r="O707" s="714"/>
      <c r="P707" s="598"/>
      <c r="Q707" s="714"/>
    </row>
    <row r="708" spans="1:17" ht="13" thickBot="1">
      <c r="A708" s="1324"/>
      <c r="B708" s="337"/>
      <c r="C708" s="707" t="s">
        <v>282</v>
      </c>
      <c r="D708" s="881" t="s">
        <v>979</v>
      </c>
      <c r="E708" s="715" t="s">
        <v>283</v>
      </c>
      <c r="F708" s="716"/>
      <c r="G708" s="716"/>
      <c r="H708" s="717"/>
      <c r="I708" s="717"/>
      <c r="J708" s="695">
        <f>IF(D704=0,0,D704/D707)</f>
        <v>0</v>
      </c>
      <c r="K708" s="679"/>
      <c r="L708" s="679" t="s">
        <v>364</v>
      </c>
      <c r="M708" s="679"/>
      <c r="N708" s="679"/>
      <c r="O708" s="679"/>
      <c r="P708" s="598"/>
      <c r="Q708" s="679"/>
    </row>
    <row r="709" spans="1:17" ht="39">
      <c r="A709" s="537"/>
      <c r="B709" s="537"/>
      <c r="C709" s="718" t="s">
        <v>273</v>
      </c>
      <c r="D709" s="719" t="s">
        <v>284</v>
      </c>
      <c r="E709" s="720" t="s">
        <v>285</v>
      </c>
      <c r="F709" s="719" t="s">
        <v>286</v>
      </c>
      <c r="G709" s="719" t="s">
        <v>459</v>
      </c>
      <c r="H709" s="720" t="s">
        <v>357</v>
      </c>
      <c r="I709" s="721" t="s">
        <v>357</v>
      </c>
      <c r="J709" s="718" t="s">
        <v>296</v>
      </c>
      <c r="K709" s="722"/>
      <c r="L709" s="720" t="s">
        <v>359</v>
      </c>
      <c r="M709" s="720" t="s">
        <v>365</v>
      </c>
      <c r="N709" s="720" t="s">
        <v>359</v>
      </c>
      <c r="O709" s="720" t="s">
        <v>367</v>
      </c>
      <c r="P709" s="720" t="s">
        <v>287</v>
      </c>
      <c r="Q709" s="723"/>
    </row>
    <row r="710" spans="1:17" ht="13.5" thickBot="1">
      <c r="B710" s="337"/>
      <c r="C710" s="724" t="s">
        <v>178</v>
      </c>
      <c r="D710" s="725" t="s">
        <v>179</v>
      </c>
      <c r="E710" s="724" t="s">
        <v>38</v>
      </c>
      <c r="F710" s="725" t="s">
        <v>179</v>
      </c>
      <c r="G710" s="725" t="s">
        <v>179</v>
      </c>
      <c r="H710" s="726" t="s">
        <v>299</v>
      </c>
      <c r="I710" s="727" t="s">
        <v>301</v>
      </c>
      <c r="J710" s="728" t="s">
        <v>390</v>
      </c>
      <c r="K710" s="729"/>
      <c r="L710" s="726" t="s">
        <v>288</v>
      </c>
      <c r="M710" s="726" t="s">
        <v>288</v>
      </c>
      <c r="N710" s="726" t="s">
        <v>468</v>
      </c>
      <c r="O710" s="726" t="s">
        <v>468</v>
      </c>
      <c r="P710" s="726" t="s">
        <v>468</v>
      </c>
      <c r="Q710" s="596"/>
    </row>
    <row r="711" spans="1:17">
      <c r="B711" s="337"/>
      <c r="C711" s="730">
        <f>IF(D705= "","-",D705)</f>
        <v>2016</v>
      </c>
      <c r="D711" s="683">
        <f>+D704</f>
        <v>0</v>
      </c>
      <c r="E711" s="731">
        <f>+J708/12*(12-D706)</f>
        <v>0</v>
      </c>
      <c r="F711" s="776">
        <f t="shared" ref="F711:F770" si="64">+D711-E711</f>
        <v>0</v>
      </c>
      <c r="G711" s="683">
        <f t="shared" ref="G711:G770" si="65">+(D711+F711)/2</f>
        <v>0</v>
      </c>
      <c r="H711" s="732">
        <f>+J706*G711+E711</f>
        <v>0</v>
      </c>
      <c r="I711" s="733">
        <f>+J707*G711+E711</f>
        <v>0</v>
      </c>
      <c r="J711" s="734">
        <f t="shared" ref="J711:J770" si="66">+I711-H711</f>
        <v>0</v>
      </c>
      <c r="K711" s="734"/>
      <c r="L711" s="735">
        <v>149902</v>
      </c>
      <c r="M711" s="777">
        <f t="shared" ref="M711:M770" si="67">IF(L711&lt;&gt;0,+H711-L711,0)</f>
        <v>-149902</v>
      </c>
      <c r="N711" s="735">
        <v>149902</v>
      </c>
      <c r="O711" s="777">
        <f t="shared" ref="O711:O770" si="68">IF(N711&lt;&gt;0,+I711-N711,0)</f>
        <v>-149902</v>
      </c>
      <c r="P711" s="777">
        <f t="shared" ref="P711:P770" si="69">+O711-M711</f>
        <v>0</v>
      </c>
      <c r="Q711" s="684"/>
    </row>
    <row r="712" spans="1:17">
      <c r="B712" s="337"/>
      <c r="C712" s="730">
        <f>IF(D705="","-",+C711+1)</f>
        <v>2017</v>
      </c>
      <c r="D712" s="683">
        <f t="shared" ref="D712:D770" si="70">F711</f>
        <v>0</v>
      </c>
      <c r="E712" s="737">
        <f>IF(D712&gt;$J$708,$J$708,D712)</f>
        <v>0</v>
      </c>
      <c r="F712" s="737">
        <f t="shared" si="64"/>
        <v>0</v>
      </c>
      <c r="G712" s="683">
        <f t="shared" si="65"/>
        <v>0</v>
      </c>
      <c r="H712" s="731">
        <f>+J706*G712+E712</f>
        <v>0</v>
      </c>
      <c r="I712" s="738">
        <f>+J707*G712+E712</f>
        <v>0</v>
      </c>
      <c r="J712" s="734">
        <f t="shared" si="66"/>
        <v>0</v>
      </c>
      <c r="K712" s="734"/>
      <c r="L712" s="739">
        <v>92121</v>
      </c>
      <c r="M712" s="734">
        <f t="shared" si="67"/>
        <v>-92121</v>
      </c>
      <c r="N712" s="739">
        <v>92121</v>
      </c>
      <c r="O712" s="734">
        <f t="shared" si="68"/>
        <v>-92121</v>
      </c>
      <c r="P712" s="734">
        <f t="shared" si="69"/>
        <v>0</v>
      </c>
      <c r="Q712" s="684"/>
    </row>
    <row r="713" spans="1:17">
      <c r="B713" s="337"/>
      <c r="C713" s="730">
        <f>IF(D705="","-",+C712+1)</f>
        <v>2018</v>
      </c>
      <c r="D713" s="1464">
        <f t="shared" si="70"/>
        <v>0</v>
      </c>
      <c r="E713" s="737">
        <f t="shared" ref="E713:E770" si="71">IF(D713&gt;$J$708,$J$708,D713)</f>
        <v>0</v>
      </c>
      <c r="F713" s="737">
        <f t="shared" si="64"/>
        <v>0</v>
      </c>
      <c r="G713" s="683">
        <f t="shared" si="65"/>
        <v>0</v>
      </c>
      <c r="H713" s="731">
        <f>+J706*G713+E713</f>
        <v>0</v>
      </c>
      <c r="I713" s="738">
        <f>+J707*G713+E713</f>
        <v>0</v>
      </c>
      <c r="J713" s="734">
        <f t="shared" si="66"/>
        <v>0</v>
      </c>
      <c r="K713" s="734"/>
      <c r="L713" s="739">
        <v>77231</v>
      </c>
      <c r="M713" s="734">
        <f t="shared" si="67"/>
        <v>-77231</v>
      </c>
      <c r="N713" s="739">
        <v>77231</v>
      </c>
      <c r="O713" s="734">
        <f t="shared" si="68"/>
        <v>-77231</v>
      </c>
      <c r="P713" s="734">
        <f t="shared" si="69"/>
        <v>0</v>
      </c>
      <c r="Q713" s="684"/>
    </row>
    <row r="714" spans="1:17">
      <c r="B714" s="337"/>
      <c r="C714" s="730">
        <f>IF(D705="","-",+C713+1)</f>
        <v>2019</v>
      </c>
      <c r="D714" s="683">
        <f t="shared" si="70"/>
        <v>0</v>
      </c>
      <c r="E714" s="737">
        <f t="shared" si="71"/>
        <v>0</v>
      </c>
      <c r="F714" s="737">
        <f t="shared" si="64"/>
        <v>0</v>
      </c>
      <c r="G714" s="683">
        <f t="shared" si="65"/>
        <v>0</v>
      </c>
      <c r="H714" s="731">
        <f>+J706*G714+E714</f>
        <v>0</v>
      </c>
      <c r="I714" s="738">
        <f>+J707*G714+E714</f>
        <v>0</v>
      </c>
      <c r="J714" s="734">
        <f t="shared" si="66"/>
        <v>0</v>
      </c>
      <c r="K714" s="734"/>
      <c r="L714" s="739"/>
      <c r="M714" s="734">
        <f t="shared" si="67"/>
        <v>0</v>
      </c>
      <c r="N714" s="739"/>
      <c r="O714" s="734">
        <f t="shared" si="68"/>
        <v>0</v>
      </c>
      <c r="P714" s="734">
        <f t="shared" si="69"/>
        <v>0</v>
      </c>
      <c r="Q714" s="684"/>
    </row>
    <row r="715" spans="1:17">
      <c r="B715" s="337"/>
      <c r="C715" s="730">
        <f>IF(D705="","-",+C714+1)</f>
        <v>2020</v>
      </c>
      <c r="D715" s="683">
        <f t="shared" si="70"/>
        <v>0</v>
      </c>
      <c r="E715" s="737">
        <f t="shared" si="71"/>
        <v>0</v>
      </c>
      <c r="F715" s="737">
        <f t="shared" si="64"/>
        <v>0</v>
      </c>
      <c r="G715" s="683">
        <f t="shared" si="65"/>
        <v>0</v>
      </c>
      <c r="H715" s="731">
        <f>+J706*G715+E715</f>
        <v>0</v>
      </c>
      <c r="I715" s="738">
        <f>+J707*G715+E715</f>
        <v>0</v>
      </c>
      <c r="J715" s="734">
        <f t="shared" si="66"/>
        <v>0</v>
      </c>
      <c r="K715" s="734"/>
      <c r="L715" s="739"/>
      <c r="M715" s="734">
        <f t="shared" si="67"/>
        <v>0</v>
      </c>
      <c r="N715" s="739"/>
      <c r="O715" s="734">
        <f t="shared" si="68"/>
        <v>0</v>
      </c>
      <c r="P715" s="734">
        <f t="shared" si="69"/>
        <v>0</v>
      </c>
      <c r="Q715" s="684"/>
    </row>
    <row r="716" spans="1:17">
      <c r="B716" s="337"/>
      <c r="C716" s="730">
        <f>IF(D705="","-",+C715+1)</f>
        <v>2021</v>
      </c>
      <c r="D716" s="683">
        <f t="shared" si="70"/>
        <v>0</v>
      </c>
      <c r="E716" s="737">
        <f t="shared" si="71"/>
        <v>0</v>
      </c>
      <c r="F716" s="737">
        <f t="shared" si="64"/>
        <v>0</v>
      </c>
      <c r="G716" s="683">
        <f t="shared" si="65"/>
        <v>0</v>
      </c>
      <c r="H716" s="731">
        <f>+J706*G716+E716</f>
        <v>0</v>
      </c>
      <c r="I716" s="738">
        <f>+J707*G716+E716</f>
        <v>0</v>
      </c>
      <c r="J716" s="734">
        <f t="shared" si="66"/>
        <v>0</v>
      </c>
      <c r="K716" s="734"/>
      <c r="L716" s="739"/>
      <c r="M716" s="734">
        <f t="shared" si="67"/>
        <v>0</v>
      </c>
      <c r="N716" s="739"/>
      <c r="O716" s="734">
        <f t="shared" si="68"/>
        <v>0</v>
      </c>
      <c r="P716" s="734">
        <f t="shared" si="69"/>
        <v>0</v>
      </c>
      <c r="Q716" s="684"/>
    </row>
    <row r="717" spans="1:17">
      <c r="B717" s="337"/>
      <c r="C717" s="730">
        <f>IF(D705="","-",+C716+1)</f>
        <v>2022</v>
      </c>
      <c r="D717" s="683">
        <f t="shared" si="70"/>
        <v>0</v>
      </c>
      <c r="E717" s="737">
        <f t="shared" si="71"/>
        <v>0</v>
      </c>
      <c r="F717" s="737">
        <f t="shared" si="64"/>
        <v>0</v>
      </c>
      <c r="G717" s="683">
        <f t="shared" si="65"/>
        <v>0</v>
      </c>
      <c r="H717" s="731">
        <f>+J706*G717+E717</f>
        <v>0</v>
      </c>
      <c r="I717" s="738">
        <f>+J707*G717+E717</f>
        <v>0</v>
      </c>
      <c r="J717" s="734">
        <f t="shared" si="66"/>
        <v>0</v>
      </c>
      <c r="K717" s="734"/>
      <c r="L717" s="739"/>
      <c r="M717" s="734">
        <f t="shared" si="67"/>
        <v>0</v>
      </c>
      <c r="N717" s="739"/>
      <c r="O717" s="734">
        <f t="shared" si="68"/>
        <v>0</v>
      </c>
      <c r="P717" s="734">
        <f t="shared" si="69"/>
        <v>0</v>
      </c>
      <c r="Q717" s="684"/>
    </row>
    <row r="718" spans="1:17">
      <c r="B718" s="337"/>
      <c r="C718" s="730">
        <f>IF(D705="","-",+C717+1)</f>
        <v>2023</v>
      </c>
      <c r="D718" s="683">
        <f t="shared" si="70"/>
        <v>0</v>
      </c>
      <c r="E718" s="737">
        <f t="shared" si="71"/>
        <v>0</v>
      </c>
      <c r="F718" s="737">
        <f t="shared" si="64"/>
        <v>0</v>
      </c>
      <c r="G718" s="683">
        <f t="shared" si="65"/>
        <v>0</v>
      </c>
      <c r="H718" s="731">
        <f>+J706*G718+E718</f>
        <v>0</v>
      </c>
      <c r="I718" s="738">
        <f>+J707*G718+E718</f>
        <v>0</v>
      </c>
      <c r="J718" s="734">
        <f t="shared" si="66"/>
        <v>0</v>
      </c>
      <c r="K718" s="734"/>
      <c r="L718" s="739"/>
      <c r="M718" s="734">
        <f t="shared" si="67"/>
        <v>0</v>
      </c>
      <c r="N718" s="739"/>
      <c r="O718" s="734">
        <f t="shared" si="68"/>
        <v>0</v>
      </c>
      <c r="P718" s="734">
        <f t="shared" si="69"/>
        <v>0</v>
      </c>
      <c r="Q718" s="684"/>
    </row>
    <row r="719" spans="1:17">
      <c r="B719" s="337"/>
      <c r="C719" s="730">
        <f>IF(D705="","-",+C718+1)</f>
        <v>2024</v>
      </c>
      <c r="D719" s="683">
        <f t="shared" si="70"/>
        <v>0</v>
      </c>
      <c r="E719" s="737">
        <f t="shared" si="71"/>
        <v>0</v>
      </c>
      <c r="F719" s="737">
        <f t="shared" si="64"/>
        <v>0</v>
      </c>
      <c r="G719" s="683">
        <f t="shared" si="65"/>
        <v>0</v>
      </c>
      <c r="H719" s="731">
        <f>+J706*G719+E719</f>
        <v>0</v>
      </c>
      <c r="I719" s="738">
        <f>+J707*G719+E719</f>
        <v>0</v>
      </c>
      <c r="J719" s="734">
        <f t="shared" si="66"/>
        <v>0</v>
      </c>
      <c r="K719" s="734"/>
      <c r="L719" s="739"/>
      <c r="M719" s="734">
        <f t="shared" si="67"/>
        <v>0</v>
      </c>
      <c r="N719" s="739"/>
      <c r="O719" s="734">
        <f t="shared" si="68"/>
        <v>0</v>
      </c>
      <c r="P719" s="734">
        <f t="shared" si="69"/>
        <v>0</v>
      </c>
      <c r="Q719" s="684"/>
    </row>
    <row r="720" spans="1:17">
      <c r="B720" s="337"/>
      <c r="C720" s="730">
        <f>IF(D705="","-",+C719+1)</f>
        <v>2025</v>
      </c>
      <c r="D720" s="683">
        <f t="shared" si="70"/>
        <v>0</v>
      </c>
      <c r="E720" s="737">
        <f t="shared" si="71"/>
        <v>0</v>
      </c>
      <c r="F720" s="737">
        <f t="shared" si="64"/>
        <v>0</v>
      </c>
      <c r="G720" s="683">
        <f t="shared" si="65"/>
        <v>0</v>
      </c>
      <c r="H720" s="731">
        <f>+J706*G720+E720</f>
        <v>0</v>
      </c>
      <c r="I720" s="738">
        <f>+J707*G720+E720</f>
        <v>0</v>
      </c>
      <c r="J720" s="734">
        <f t="shared" si="66"/>
        <v>0</v>
      </c>
      <c r="K720" s="734"/>
      <c r="L720" s="739"/>
      <c r="M720" s="734">
        <f t="shared" si="67"/>
        <v>0</v>
      </c>
      <c r="N720" s="739"/>
      <c r="O720" s="734">
        <f t="shared" si="68"/>
        <v>0</v>
      </c>
      <c r="P720" s="734">
        <f t="shared" si="69"/>
        <v>0</v>
      </c>
      <c r="Q720" s="684"/>
    </row>
    <row r="721" spans="2:17">
      <c r="B721" s="337"/>
      <c r="C721" s="730">
        <f>IF(D705="","-",+C720+1)</f>
        <v>2026</v>
      </c>
      <c r="D721" s="683">
        <f t="shared" si="70"/>
        <v>0</v>
      </c>
      <c r="E721" s="737">
        <f t="shared" si="71"/>
        <v>0</v>
      </c>
      <c r="F721" s="737">
        <f t="shared" si="64"/>
        <v>0</v>
      </c>
      <c r="G721" s="683">
        <f t="shared" si="65"/>
        <v>0</v>
      </c>
      <c r="H721" s="731">
        <f>+J706*G721+E721</f>
        <v>0</v>
      </c>
      <c r="I721" s="738">
        <f>+J707*G721+E721</f>
        <v>0</v>
      </c>
      <c r="J721" s="734">
        <f t="shared" si="66"/>
        <v>0</v>
      </c>
      <c r="K721" s="734"/>
      <c r="L721" s="739"/>
      <c r="M721" s="734">
        <f t="shared" si="67"/>
        <v>0</v>
      </c>
      <c r="N721" s="739"/>
      <c r="O721" s="734">
        <f t="shared" si="68"/>
        <v>0</v>
      </c>
      <c r="P721" s="734">
        <f t="shared" si="69"/>
        <v>0</v>
      </c>
      <c r="Q721" s="684"/>
    </row>
    <row r="722" spans="2:17">
      <c r="B722" s="337"/>
      <c r="C722" s="730">
        <f>IF(D705="","-",+C721+1)</f>
        <v>2027</v>
      </c>
      <c r="D722" s="683">
        <f t="shared" si="70"/>
        <v>0</v>
      </c>
      <c r="E722" s="737">
        <f t="shared" si="71"/>
        <v>0</v>
      </c>
      <c r="F722" s="737">
        <f t="shared" si="64"/>
        <v>0</v>
      </c>
      <c r="G722" s="683">
        <f t="shared" si="65"/>
        <v>0</v>
      </c>
      <c r="H722" s="731">
        <f>+J706*G722+E722</f>
        <v>0</v>
      </c>
      <c r="I722" s="738">
        <f>+J707*G722+E722</f>
        <v>0</v>
      </c>
      <c r="J722" s="734">
        <f t="shared" si="66"/>
        <v>0</v>
      </c>
      <c r="K722" s="734"/>
      <c r="L722" s="739"/>
      <c r="M722" s="734">
        <f t="shared" si="67"/>
        <v>0</v>
      </c>
      <c r="N722" s="739"/>
      <c r="O722" s="734">
        <f t="shared" si="68"/>
        <v>0</v>
      </c>
      <c r="P722" s="734">
        <f t="shared" si="69"/>
        <v>0</v>
      </c>
      <c r="Q722" s="684"/>
    </row>
    <row r="723" spans="2:17">
      <c r="B723" s="337"/>
      <c r="C723" s="730">
        <f>IF(D705="","-",+C722+1)</f>
        <v>2028</v>
      </c>
      <c r="D723" s="683">
        <f t="shared" si="70"/>
        <v>0</v>
      </c>
      <c r="E723" s="737">
        <f t="shared" si="71"/>
        <v>0</v>
      </c>
      <c r="F723" s="737">
        <f t="shared" si="64"/>
        <v>0</v>
      </c>
      <c r="G723" s="683">
        <f t="shared" si="65"/>
        <v>0</v>
      </c>
      <c r="H723" s="731">
        <f>+J706*G723+E723</f>
        <v>0</v>
      </c>
      <c r="I723" s="738">
        <f>+J707*G723+E723</f>
        <v>0</v>
      </c>
      <c r="J723" s="734">
        <f t="shared" si="66"/>
        <v>0</v>
      </c>
      <c r="K723" s="734"/>
      <c r="L723" s="739"/>
      <c r="M723" s="734">
        <f t="shared" si="67"/>
        <v>0</v>
      </c>
      <c r="N723" s="739"/>
      <c r="O723" s="734">
        <f t="shared" si="68"/>
        <v>0</v>
      </c>
      <c r="P723" s="734">
        <f t="shared" si="69"/>
        <v>0</v>
      </c>
      <c r="Q723" s="684"/>
    </row>
    <row r="724" spans="2:17">
      <c r="B724" s="337"/>
      <c r="C724" s="730">
        <f>IF(D705="","-",+C723+1)</f>
        <v>2029</v>
      </c>
      <c r="D724" s="683">
        <f t="shared" si="70"/>
        <v>0</v>
      </c>
      <c r="E724" s="737">
        <f t="shared" si="71"/>
        <v>0</v>
      </c>
      <c r="F724" s="737">
        <f t="shared" si="64"/>
        <v>0</v>
      </c>
      <c r="G724" s="683">
        <f t="shared" si="65"/>
        <v>0</v>
      </c>
      <c r="H724" s="731">
        <f>+J706*G724+E724</f>
        <v>0</v>
      </c>
      <c r="I724" s="738">
        <f>+J707*G724+E724</f>
        <v>0</v>
      </c>
      <c r="J724" s="734">
        <f t="shared" si="66"/>
        <v>0</v>
      </c>
      <c r="K724" s="734"/>
      <c r="L724" s="739"/>
      <c r="M724" s="734">
        <f t="shared" si="67"/>
        <v>0</v>
      </c>
      <c r="N724" s="739"/>
      <c r="O724" s="734">
        <f t="shared" si="68"/>
        <v>0</v>
      </c>
      <c r="P724" s="734">
        <f t="shared" si="69"/>
        <v>0</v>
      </c>
      <c r="Q724" s="684"/>
    </row>
    <row r="725" spans="2:17">
      <c r="B725" s="337"/>
      <c r="C725" s="730">
        <f>IF(D705="","-",+C724+1)</f>
        <v>2030</v>
      </c>
      <c r="D725" s="683">
        <f t="shared" si="70"/>
        <v>0</v>
      </c>
      <c r="E725" s="737">
        <f t="shared" si="71"/>
        <v>0</v>
      </c>
      <c r="F725" s="737">
        <f t="shared" si="64"/>
        <v>0</v>
      </c>
      <c r="G725" s="683">
        <f t="shared" si="65"/>
        <v>0</v>
      </c>
      <c r="H725" s="731">
        <f>+J706*G725+E725</f>
        <v>0</v>
      </c>
      <c r="I725" s="738">
        <f>+J707*G725+E725</f>
        <v>0</v>
      </c>
      <c r="J725" s="734">
        <f t="shared" si="66"/>
        <v>0</v>
      </c>
      <c r="K725" s="734"/>
      <c r="L725" s="739"/>
      <c r="M725" s="734">
        <f t="shared" si="67"/>
        <v>0</v>
      </c>
      <c r="N725" s="739"/>
      <c r="O725" s="734">
        <f t="shared" si="68"/>
        <v>0</v>
      </c>
      <c r="P725" s="734">
        <f t="shared" si="69"/>
        <v>0</v>
      </c>
      <c r="Q725" s="684"/>
    </row>
    <row r="726" spans="2:17">
      <c r="B726" s="337"/>
      <c r="C726" s="730">
        <f>IF(D705="","-",+C725+1)</f>
        <v>2031</v>
      </c>
      <c r="D726" s="683">
        <f t="shared" si="70"/>
        <v>0</v>
      </c>
      <c r="E726" s="737">
        <f t="shared" si="71"/>
        <v>0</v>
      </c>
      <c r="F726" s="737">
        <f t="shared" si="64"/>
        <v>0</v>
      </c>
      <c r="G726" s="683">
        <f t="shared" si="65"/>
        <v>0</v>
      </c>
      <c r="H726" s="731">
        <f>+J706*G726+E726</f>
        <v>0</v>
      </c>
      <c r="I726" s="738">
        <f>+J707*G726+E726</f>
        <v>0</v>
      </c>
      <c r="J726" s="734">
        <f t="shared" si="66"/>
        <v>0</v>
      </c>
      <c r="K726" s="734"/>
      <c r="L726" s="739"/>
      <c r="M726" s="734">
        <f t="shared" si="67"/>
        <v>0</v>
      </c>
      <c r="N726" s="739"/>
      <c r="O726" s="734">
        <f t="shared" si="68"/>
        <v>0</v>
      </c>
      <c r="P726" s="734">
        <f t="shared" si="69"/>
        <v>0</v>
      </c>
      <c r="Q726" s="684"/>
    </row>
    <row r="727" spans="2:17">
      <c r="B727" s="337"/>
      <c r="C727" s="730">
        <f>IF(D705="","-",+C726+1)</f>
        <v>2032</v>
      </c>
      <c r="D727" s="683">
        <f t="shared" si="70"/>
        <v>0</v>
      </c>
      <c r="E727" s="737">
        <f t="shared" si="71"/>
        <v>0</v>
      </c>
      <c r="F727" s="737">
        <f t="shared" si="64"/>
        <v>0</v>
      </c>
      <c r="G727" s="683">
        <f t="shared" si="65"/>
        <v>0</v>
      </c>
      <c r="H727" s="731">
        <f>+J706*G727+E727</f>
        <v>0</v>
      </c>
      <c r="I727" s="738">
        <f>+J707*G727+E727</f>
        <v>0</v>
      </c>
      <c r="J727" s="734">
        <f t="shared" si="66"/>
        <v>0</v>
      </c>
      <c r="K727" s="734"/>
      <c r="L727" s="739"/>
      <c r="M727" s="734">
        <f t="shared" si="67"/>
        <v>0</v>
      </c>
      <c r="N727" s="739"/>
      <c r="O727" s="734">
        <f t="shared" si="68"/>
        <v>0</v>
      </c>
      <c r="P727" s="734">
        <f t="shared" si="69"/>
        <v>0</v>
      </c>
      <c r="Q727" s="684"/>
    </row>
    <row r="728" spans="2:17">
      <c r="B728" s="337"/>
      <c r="C728" s="730">
        <f>IF(D705="","-",+C727+1)</f>
        <v>2033</v>
      </c>
      <c r="D728" s="683">
        <f t="shared" si="70"/>
        <v>0</v>
      </c>
      <c r="E728" s="737">
        <f t="shared" si="71"/>
        <v>0</v>
      </c>
      <c r="F728" s="737">
        <f t="shared" si="64"/>
        <v>0</v>
      </c>
      <c r="G728" s="683">
        <f t="shared" si="65"/>
        <v>0</v>
      </c>
      <c r="H728" s="731">
        <f>+J706*G728+E728</f>
        <v>0</v>
      </c>
      <c r="I728" s="738">
        <f>+J707*G728+E728</f>
        <v>0</v>
      </c>
      <c r="J728" s="734">
        <f t="shared" si="66"/>
        <v>0</v>
      </c>
      <c r="K728" s="734"/>
      <c r="L728" s="739"/>
      <c r="M728" s="734">
        <f t="shared" si="67"/>
        <v>0</v>
      </c>
      <c r="N728" s="739"/>
      <c r="O728" s="734">
        <f t="shared" si="68"/>
        <v>0</v>
      </c>
      <c r="P728" s="734">
        <f t="shared" si="69"/>
        <v>0</v>
      </c>
      <c r="Q728" s="684"/>
    </row>
    <row r="729" spans="2:17">
      <c r="B729" s="337"/>
      <c r="C729" s="730">
        <f>IF(D705="","-",+C728+1)</f>
        <v>2034</v>
      </c>
      <c r="D729" s="683">
        <f t="shared" si="70"/>
        <v>0</v>
      </c>
      <c r="E729" s="737">
        <f t="shared" si="71"/>
        <v>0</v>
      </c>
      <c r="F729" s="737">
        <f t="shared" si="64"/>
        <v>0</v>
      </c>
      <c r="G729" s="683">
        <f t="shared" si="65"/>
        <v>0</v>
      </c>
      <c r="H729" s="731">
        <f>+J706*G729+E729</f>
        <v>0</v>
      </c>
      <c r="I729" s="738">
        <f>+J707*G729+E729</f>
        <v>0</v>
      </c>
      <c r="J729" s="734">
        <f t="shared" si="66"/>
        <v>0</v>
      </c>
      <c r="K729" s="734"/>
      <c r="L729" s="739"/>
      <c r="M729" s="734">
        <f t="shared" si="67"/>
        <v>0</v>
      </c>
      <c r="N729" s="739"/>
      <c r="O729" s="734">
        <f t="shared" si="68"/>
        <v>0</v>
      </c>
      <c r="P729" s="734">
        <f t="shared" si="69"/>
        <v>0</v>
      </c>
      <c r="Q729" s="684"/>
    </row>
    <row r="730" spans="2:17">
      <c r="B730" s="337"/>
      <c r="C730" s="730">
        <f>IF(D705="","-",+C729+1)</f>
        <v>2035</v>
      </c>
      <c r="D730" s="683">
        <f t="shared" si="70"/>
        <v>0</v>
      </c>
      <c r="E730" s="737">
        <f t="shared" si="71"/>
        <v>0</v>
      </c>
      <c r="F730" s="737">
        <f t="shared" si="64"/>
        <v>0</v>
      </c>
      <c r="G730" s="683">
        <f t="shared" si="65"/>
        <v>0</v>
      </c>
      <c r="H730" s="731">
        <f>+J706*G730+E730</f>
        <v>0</v>
      </c>
      <c r="I730" s="738">
        <f>+J707*G730+E730</f>
        <v>0</v>
      </c>
      <c r="J730" s="734">
        <f t="shared" si="66"/>
        <v>0</v>
      </c>
      <c r="K730" s="734"/>
      <c r="L730" s="739"/>
      <c r="M730" s="734">
        <f t="shared" si="67"/>
        <v>0</v>
      </c>
      <c r="N730" s="739"/>
      <c r="O730" s="734">
        <f t="shared" si="68"/>
        <v>0</v>
      </c>
      <c r="P730" s="734">
        <f t="shared" si="69"/>
        <v>0</v>
      </c>
      <c r="Q730" s="684"/>
    </row>
    <row r="731" spans="2:17">
      <c r="B731" s="337"/>
      <c r="C731" s="730">
        <f>IF(D705="","-",+C730+1)</f>
        <v>2036</v>
      </c>
      <c r="D731" s="683">
        <f t="shared" si="70"/>
        <v>0</v>
      </c>
      <c r="E731" s="737">
        <f t="shared" si="71"/>
        <v>0</v>
      </c>
      <c r="F731" s="737">
        <f t="shared" si="64"/>
        <v>0</v>
      </c>
      <c r="G731" s="683">
        <f t="shared" si="65"/>
        <v>0</v>
      </c>
      <c r="H731" s="731">
        <f>+J706*G731+E731</f>
        <v>0</v>
      </c>
      <c r="I731" s="738">
        <f>+J707*G731+E731</f>
        <v>0</v>
      </c>
      <c r="J731" s="734">
        <f t="shared" si="66"/>
        <v>0</v>
      </c>
      <c r="K731" s="734"/>
      <c r="L731" s="739"/>
      <c r="M731" s="734">
        <f t="shared" si="67"/>
        <v>0</v>
      </c>
      <c r="N731" s="739"/>
      <c r="O731" s="734">
        <f t="shared" si="68"/>
        <v>0</v>
      </c>
      <c r="P731" s="734">
        <f t="shared" si="69"/>
        <v>0</v>
      </c>
      <c r="Q731" s="684"/>
    </row>
    <row r="732" spans="2:17">
      <c r="B732" s="337"/>
      <c r="C732" s="730">
        <f>IF(D705="","-",+C731+1)</f>
        <v>2037</v>
      </c>
      <c r="D732" s="683">
        <f t="shared" si="70"/>
        <v>0</v>
      </c>
      <c r="E732" s="737">
        <f t="shared" si="71"/>
        <v>0</v>
      </c>
      <c r="F732" s="737">
        <f t="shared" si="64"/>
        <v>0</v>
      </c>
      <c r="G732" s="683">
        <f t="shared" si="65"/>
        <v>0</v>
      </c>
      <c r="H732" s="731">
        <f>+J706*G732+E732</f>
        <v>0</v>
      </c>
      <c r="I732" s="738">
        <f>+J707*G732+E732</f>
        <v>0</v>
      </c>
      <c r="J732" s="734">
        <f t="shared" si="66"/>
        <v>0</v>
      </c>
      <c r="K732" s="734"/>
      <c r="L732" s="739"/>
      <c r="M732" s="734">
        <f t="shared" si="67"/>
        <v>0</v>
      </c>
      <c r="N732" s="739"/>
      <c r="O732" s="734">
        <f t="shared" si="68"/>
        <v>0</v>
      </c>
      <c r="P732" s="734">
        <f t="shared" si="69"/>
        <v>0</v>
      </c>
      <c r="Q732" s="684"/>
    </row>
    <row r="733" spans="2:17">
      <c r="B733" s="337"/>
      <c r="C733" s="730">
        <f>IF(D705="","-",+C732+1)</f>
        <v>2038</v>
      </c>
      <c r="D733" s="683">
        <f t="shared" si="70"/>
        <v>0</v>
      </c>
      <c r="E733" s="737">
        <f t="shared" si="71"/>
        <v>0</v>
      </c>
      <c r="F733" s="737">
        <f t="shared" si="64"/>
        <v>0</v>
      </c>
      <c r="G733" s="683">
        <f t="shared" si="65"/>
        <v>0</v>
      </c>
      <c r="H733" s="731">
        <f>+J706*G733+E733</f>
        <v>0</v>
      </c>
      <c r="I733" s="738">
        <f>+J707*G733+E733</f>
        <v>0</v>
      </c>
      <c r="J733" s="734">
        <f t="shared" si="66"/>
        <v>0</v>
      </c>
      <c r="K733" s="734"/>
      <c r="L733" s="739"/>
      <c r="M733" s="734">
        <f t="shared" si="67"/>
        <v>0</v>
      </c>
      <c r="N733" s="739"/>
      <c r="O733" s="734">
        <f t="shared" si="68"/>
        <v>0</v>
      </c>
      <c r="P733" s="734">
        <f t="shared" si="69"/>
        <v>0</v>
      </c>
      <c r="Q733" s="684"/>
    </row>
    <row r="734" spans="2:17">
      <c r="B734" s="337"/>
      <c r="C734" s="730">
        <f>IF(D705="","-",+C733+1)</f>
        <v>2039</v>
      </c>
      <c r="D734" s="683">
        <f t="shared" si="70"/>
        <v>0</v>
      </c>
      <c r="E734" s="737">
        <f t="shared" si="71"/>
        <v>0</v>
      </c>
      <c r="F734" s="737">
        <f t="shared" si="64"/>
        <v>0</v>
      </c>
      <c r="G734" s="683">
        <f t="shared" si="65"/>
        <v>0</v>
      </c>
      <c r="H734" s="731">
        <f>+J706*G734+E734</f>
        <v>0</v>
      </c>
      <c r="I734" s="738">
        <f>+J707*G734+E734</f>
        <v>0</v>
      </c>
      <c r="J734" s="734">
        <f t="shared" si="66"/>
        <v>0</v>
      </c>
      <c r="K734" s="734"/>
      <c r="L734" s="739"/>
      <c r="M734" s="734">
        <f t="shared" si="67"/>
        <v>0</v>
      </c>
      <c r="N734" s="739"/>
      <c r="O734" s="734">
        <f t="shared" si="68"/>
        <v>0</v>
      </c>
      <c r="P734" s="734">
        <f t="shared" si="69"/>
        <v>0</v>
      </c>
      <c r="Q734" s="684"/>
    </row>
    <row r="735" spans="2:17">
      <c r="B735" s="337"/>
      <c r="C735" s="730">
        <f>IF(D705="","-",+C734+1)</f>
        <v>2040</v>
      </c>
      <c r="D735" s="683">
        <f t="shared" si="70"/>
        <v>0</v>
      </c>
      <c r="E735" s="737">
        <f t="shared" si="71"/>
        <v>0</v>
      </c>
      <c r="F735" s="737">
        <f t="shared" si="64"/>
        <v>0</v>
      </c>
      <c r="G735" s="683">
        <f t="shared" si="65"/>
        <v>0</v>
      </c>
      <c r="H735" s="731">
        <f>+J706*G735+E735</f>
        <v>0</v>
      </c>
      <c r="I735" s="738">
        <f>+J707*G735+E735</f>
        <v>0</v>
      </c>
      <c r="J735" s="734">
        <f t="shared" si="66"/>
        <v>0</v>
      </c>
      <c r="K735" s="734"/>
      <c r="L735" s="739"/>
      <c r="M735" s="734">
        <f t="shared" si="67"/>
        <v>0</v>
      </c>
      <c r="N735" s="739"/>
      <c r="O735" s="734">
        <f t="shared" si="68"/>
        <v>0</v>
      </c>
      <c r="P735" s="734">
        <f t="shared" si="69"/>
        <v>0</v>
      </c>
      <c r="Q735" s="684"/>
    </row>
    <row r="736" spans="2:17">
      <c r="B736" s="337"/>
      <c r="C736" s="730">
        <f>IF(D705="","-",+C735+1)</f>
        <v>2041</v>
      </c>
      <c r="D736" s="683">
        <f t="shared" si="70"/>
        <v>0</v>
      </c>
      <c r="E736" s="737">
        <f t="shared" si="71"/>
        <v>0</v>
      </c>
      <c r="F736" s="737">
        <f t="shared" si="64"/>
        <v>0</v>
      </c>
      <c r="G736" s="683">
        <f t="shared" si="65"/>
        <v>0</v>
      </c>
      <c r="H736" s="731">
        <f>+J706*G736+E736</f>
        <v>0</v>
      </c>
      <c r="I736" s="738">
        <f>+J707*G736+E736</f>
        <v>0</v>
      </c>
      <c r="J736" s="734">
        <f t="shared" si="66"/>
        <v>0</v>
      </c>
      <c r="K736" s="734"/>
      <c r="L736" s="739"/>
      <c r="M736" s="734">
        <f t="shared" si="67"/>
        <v>0</v>
      </c>
      <c r="N736" s="739"/>
      <c r="O736" s="734">
        <f t="shared" si="68"/>
        <v>0</v>
      </c>
      <c r="P736" s="734">
        <f t="shared" si="69"/>
        <v>0</v>
      </c>
      <c r="Q736" s="684"/>
    </row>
    <row r="737" spans="2:17">
      <c r="B737" s="337"/>
      <c r="C737" s="730">
        <f>IF(D705="","-",+C736+1)</f>
        <v>2042</v>
      </c>
      <c r="D737" s="683">
        <f t="shared" si="70"/>
        <v>0</v>
      </c>
      <c r="E737" s="737">
        <f t="shared" si="71"/>
        <v>0</v>
      </c>
      <c r="F737" s="737">
        <f t="shared" si="64"/>
        <v>0</v>
      </c>
      <c r="G737" s="683">
        <f t="shared" si="65"/>
        <v>0</v>
      </c>
      <c r="H737" s="731">
        <f>+J706*G737+E737</f>
        <v>0</v>
      </c>
      <c r="I737" s="738">
        <f>+J707*G737+E737</f>
        <v>0</v>
      </c>
      <c r="J737" s="734">
        <f t="shared" si="66"/>
        <v>0</v>
      </c>
      <c r="K737" s="734"/>
      <c r="L737" s="739"/>
      <c r="M737" s="734">
        <f t="shared" si="67"/>
        <v>0</v>
      </c>
      <c r="N737" s="739"/>
      <c r="O737" s="734">
        <f t="shared" si="68"/>
        <v>0</v>
      </c>
      <c r="P737" s="734">
        <f t="shared" si="69"/>
        <v>0</v>
      </c>
      <c r="Q737" s="684"/>
    </row>
    <row r="738" spans="2:17">
      <c r="B738" s="337"/>
      <c r="C738" s="730">
        <f>IF(D705="","-",+C737+1)</f>
        <v>2043</v>
      </c>
      <c r="D738" s="683">
        <f t="shared" si="70"/>
        <v>0</v>
      </c>
      <c r="E738" s="737">
        <f t="shared" si="71"/>
        <v>0</v>
      </c>
      <c r="F738" s="737">
        <f t="shared" si="64"/>
        <v>0</v>
      </c>
      <c r="G738" s="683">
        <f t="shared" si="65"/>
        <v>0</v>
      </c>
      <c r="H738" s="731">
        <f>+J706*G738+E738</f>
        <v>0</v>
      </c>
      <c r="I738" s="738">
        <f>+J707*G738+E738</f>
        <v>0</v>
      </c>
      <c r="J738" s="734">
        <f t="shared" si="66"/>
        <v>0</v>
      </c>
      <c r="K738" s="734"/>
      <c r="L738" s="739"/>
      <c r="M738" s="734">
        <f t="shared" si="67"/>
        <v>0</v>
      </c>
      <c r="N738" s="739"/>
      <c r="O738" s="734">
        <f t="shared" si="68"/>
        <v>0</v>
      </c>
      <c r="P738" s="734">
        <f t="shared" si="69"/>
        <v>0</v>
      </c>
      <c r="Q738" s="684"/>
    </row>
    <row r="739" spans="2:17">
      <c r="B739" s="337"/>
      <c r="C739" s="730">
        <f>IF(D705="","-",+C738+1)</f>
        <v>2044</v>
      </c>
      <c r="D739" s="683">
        <f t="shared" si="70"/>
        <v>0</v>
      </c>
      <c r="E739" s="737">
        <f t="shared" si="71"/>
        <v>0</v>
      </c>
      <c r="F739" s="737">
        <f t="shared" si="64"/>
        <v>0</v>
      </c>
      <c r="G739" s="683">
        <f t="shared" si="65"/>
        <v>0</v>
      </c>
      <c r="H739" s="731">
        <f>+J706*G739+E739</f>
        <v>0</v>
      </c>
      <c r="I739" s="738">
        <f>+J707*G739+E739</f>
        <v>0</v>
      </c>
      <c r="J739" s="734">
        <f t="shared" si="66"/>
        <v>0</v>
      </c>
      <c r="K739" s="734"/>
      <c r="L739" s="739"/>
      <c r="M739" s="734">
        <f t="shared" si="67"/>
        <v>0</v>
      </c>
      <c r="N739" s="739"/>
      <c r="O739" s="734">
        <f t="shared" si="68"/>
        <v>0</v>
      </c>
      <c r="P739" s="734">
        <f t="shared" si="69"/>
        <v>0</v>
      </c>
      <c r="Q739" s="684"/>
    </row>
    <row r="740" spans="2:17">
      <c r="B740" s="337"/>
      <c r="C740" s="730">
        <f>IF(D705="","-",+C739+1)</f>
        <v>2045</v>
      </c>
      <c r="D740" s="683">
        <f t="shared" si="70"/>
        <v>0</v>
      </c>
      <c r="E740" s="737">
        <f t="shared" si="71"/>
        <v>0</v>
      </c>
      <c r="F740" s="737">
        <f t="shared" si="64"/>
        <v>0</v>
      </c>
      <c r="G740" s="683">
        <f t="shared" si="65"/>
        <v>0</v>
      </c>
      <c r="H740" s="731">
        <f>+J706*G740+E740</f>
        <v>0</v>
      </c>
      <c r="I740" s="738">
        <f>+J707*G740+E740</f>
        <v>0</v>
      </c>
      <c r="J740" s="734">
        <f t="shared" si="66"/>
        <v>0</v>
      </c>
      <c r="K740" s="734"/>
      <c r="L740" s="739"/>
      <c r="M740" s="734">
        <f t="shared" si="67"/>
        <v>0</v>
      </c>
      <c r="N740" s="739"/>
      <c r="O740" s="734">
        <f t="shared" si="68"/>
        <v>0</v>
      </c>
      <c r="P740" s="734">
        <f t="shared" si="69"/>
        <v>0</v>
      </c>
      <c r="Q740" s="684"/>
    </row>
    <row r="741" spans="2:17">
      <c r="B741" s="337"/>
      <c r="C741" s="730">
        <f>IF(D705="","-",+C740+1)</f>
        <v>2046</v>
      </c>
      <c r="D741" s="683">
        <f t="shared" si="70"/>
        <v>0</v>
      </c>
      <c r="E741" s="737">
        <f t="shared" si="71"/>
        <v>0</v>
      </c>
      <c r="F741" s="737">
        <f t="shared" si="64"/>
        <v>0</v>
      </c>
      <c r="G741" s="683">
        <f t="shared" si="65"/>
        <v>0</v>
      </c>
      <c r="H741" s="731">
        <f>+J706*G741+E741</f>
        <v>0</v>
      </c>
      <c r="I741" s="738">
        <f>+J707*G741+E741</f>
        <v>0</v>
      </c>
      <c r="J741" s="734">
        <f t="shared" si="66"/>
        <v>0</v>
      </c>
      <c r="K741" s="734"/>
      <c r="L741" s="739"/>
      <c r="M741" s="734">
        <f t="shared" si="67"/>
        <v>0</v>
      </c>
      <c r="N741" s="739"/>
      <c r="O741" s="734">
        <f t="shared" si="68"/>
        <v>0</v>
      </c>
      <c r="P741" s="734">
        <f t="shared" si="69"/>
        <v>0</v>
      </c>
      <c r="Q741" s="684"/>
    </row>
    <row r="742" spans="2:17">
      <c r="B742" s="337"/>
      <c r="C742" s="730">
        <f>IF(D705="","-",+C741+1)</f>
        <v>2047</v>
      </c>
      <c r="D742" s="683">
        <f t="shared" si="70"/>
        <v>0</v>
      </c>
      <c r="E742" s="737">
        <f t="shared" si="71"/>
        <v>0</v>
      </c>
      <c r="F742" s="737">
        <f t="shared" si="64"/>
        <v>0</v>
      </c>
      <c r="G742" s="683">
        <f t="shared" si="65"/>
        <v>0</v>
      </c>
      <c r="H742" s="731">
        <f>+J706*G742+E742</f>
        <v>0</v>
      </c>
      <c r="I742" s="738">
        <f>+J707*G742+E742</f>
        <v>0</v>
      </c>
      <c r="J742" s="734">
        <f t="shared" si="66"/>
        <v>0</v>
      </c>
      <c r="K742" s="734"/>
      <c r="L742" s="739"/>
      <c r="M742" s="734">
        <f t="shared" si="67"/>
        <v>0</v>
      </c>
      <c r="N742" s="739"/>
      <c r="O742" s="734">
        <f t="shared" si="68"/>
        <v>0</v>
      </c>
      <c r="P742" s="734">
        <f t="shared" si="69"/>
        <v>0</v>
      </c>
      <c r="Q742" s="684"/>
    </row>
    <row r="743" spans="2:17">
      <c r="B743" s="337"/>
      <c r="C743" s="730">
        <f>IF(D705="","-",+C742+1)</f>
        <v>2048</v>
      </c>
      <c r="D743" s="683">
        <f t="shared" si="70"/>
        <v>0</v>
      </c>
      <c r="E743" s="737">
        <f t="shared" si="71"/>
        <v>0</v>
      </c>
      <c r="F743" s="737">
        <f t="shared" si="64"/>
        <v>0</v>
      </c>
      <c r="G743" s="683">
        <f t="shared" si="65"/>
        <v>0</v>
      </c>
      <c r="H743" s="731">
        <f>+J706*G743+E743</f>
        <v>0</v>
      </c>
      <c r="I743" s="738">
        <f>+J707*G743+E743</f>
        <v>0</v>
      </c>
      <c r="J743" s="734">
        <f t="shared" si="66"/>
        <v>0</v>
      </c>
      <c r="K743" s="734"/>
      <c r="L743" s="739"/>
      <c r="M743" s="734">
        <f t="shared" si="67"/>
        <v>0</v>
      </c>
      <c r="N743" s="739"/>
      <c r="O743" s="734">
        <f t="shared" si="68"/>
        <v>0</v>
      </c>
      <c r="P743" s="734">
        <f t="shared" si="69"/>
        <v>0</v>
      </c>
      <c r="Q743" s="684"/>
    </row>
    <row r="744" spans="2:17">
      <c r="B744" s="337"/>
      <c r="C744" s="730">
        <f>IF(D705="","-",+C743+1)</f>
        <v>2049</v>
      </c>
      <c r="D744" s="683">
        <f t="shared" si="70"/>
        <v>0</v>
      </c>
      <c r="E744" s="737">
        <f t="shared" si="71"/>
        <v>0</v>
      </c>
      <c r="F744" s="737">
        <f t="shared" si="64"/>
        <v>0</v>
      </c>
      <c r="G744" s="683">
        <f t="shared" si="65"/>
        <v>0</v>
      </c>
      <c r="H744" s="731">
        <f>+J706*G744+E744</f>
        <v>0</v>
      </c>
      <c r="I744" s="738">
        <f>+J707*G744+E744</f>
        <v>0</v>
      </c>
      <c r="J744" s="734">
        <f t="shared" si="66"/>
        <v>0</v>
      </c>
      <c r="K744" s="734"/>
      <c r="L744" s="739"/>
      <c r="M744" s="734">
        <f t="shared" si="67"/>
        <v>0</v>
      </c>
      <c r="N744" s="739"/>
      <c r="O744" s="734">
        <f t="shared" si="68"/>
        <v>0</v>
      </c>
      <c r="P744" s="734">
        <f t="shared" si="69"/>
        <v>0</v>
      </c>
      <c r="Q744" s="684"/>
    </row>
    <row r="745" spans="2:17">
      <c r="B745" s="337"/>
      <c r="C745" s="730">
        <f>IF(D705="","-",+C744+1)</f>
        <v>2050</v>
      </c>
      <c r="D745" s="683">
        <f t="shared" si="70"/>
        <v>0</v>
      </c>
      <c r="E745" s="737">
        <f t="shared" si="71"/>
        <v>0</v>
      </c>
      <c r="F745" s="737">
        <f t="shared" si="64"/>
        <v>0</v>
      </c>
      <c r="G745" s="683">
        <f t="shared" si="65"/>
        <v>0</v>
      </c>
      <c r="H745" s="731">
        <f>+J706*G745+E745</f>
        <v>0</v>
      </c>
      <c r="I745" s="738">
        <f>+J707*G745+E745</f>
        <v>0</v>
      </c>
      <c r="J745" s="734">
        <f t="shared" si="66"/>
        <v>0</v>
      </c>
      <c r="K745" s="734"/>
      <c r="L745" s="739"/>
      <c r="M745" s="734">
        <f t="shared" si="67"/>
        <v>0</v>
      </c>
      <c r="N745" s="739"/>
      <c r="O745" s="734">
        <f t="shared" si="68"/>
        <v>0</v>
      </c>
      <c r="P745" s="734">
        <f t="shared" si="69"/>
        <v>0</v>
      </c>
      <c r="Q745" s="684"/>
    </row>
    <row r="746" spans="2:17">
      <c r="B746" s="337"/>
      <c r="C746" s="730">
        <f>IF(D705="","-",+C745+1)</f>
        <v>2051</v>
      </c>
      <c r="D746" s="683">
        <f t="shared" si="70"/>
        <v>0</v>
      </c>
      <c r="E746" s="737">
        <f t="shared" si="71"/>
        <v>0</v>
      </c>
      <c r="F746" s="737">
        <f t="shared" si="64"/>
        <v>0</v>
      </c>
      <c r="G746" s="683">
        <f t="shared" si="65"/>
        <v>0</v>
      </c>
      <c r="H746" s="731">
        <f>+J706*G746+E746</f>
        <v>0</v>
      </c>
      <c r="I746" s="738">
        <f>+J707*G746+E746</f>
        <v>0</v>
      </c>
      <c r="J746" s="734">
        <f t="shared" si="66"/>
        <v>0</v>
      </c>
      <c r="K746" s="734"/>
      <c r="L746" s="739"/>
      <c r="M746" s="734">
        <f t="shared" si="67"/>
        <v>0</v>
      </c>
      <c r="N746" s="739"/>
      <c r="O746" s="734">
        <f t="shared" si="68"/>
        <v>0</v>
      </c>
      <c r="P746" s="734">
        <f t="shared" si="69"/>
        <v>0</v>
      </c>
      <c r="Q746" s="684"/>
    </row>
    <row r="747" spans="2:17">
      <c r="B747" s="337"/>
      <c r="C747" s="730">
        <f>IF(D705="","-",+C746+1)</f>
        <v>2052</v>
      </c>
      <c r="D747" s="683">
        <f t="shared" si="70"/>
        <v>0</v>
      </c>
      <c r="E747" s="737">
        <f t="shared" si="71"/>
        <v>0</v>
      </c>
      <c r="F747" s="737">
        <f t="shared" si="64"/>
        <v>0</v>
      </c>
      <c r="G747" s="683">
        <f t="shared" si="65"/>
        <v>0</v>
      </c>
      <c r="H747" s="731">
        <f>+J706*G747+E747</f>
        <v>0</v>
      </c>
      <c r="I747" s="738">
        <f>+J707*G747+E747</f>
        <v>0</v>
      </c>
      <c r="J747" s="734">
        <f t="shared" si="66"/>
        <v>0</v>
      </c>
      <c r="K747" s="734"/>
      <c r="L747" s="739"/>
      <c r="M747" s="734">
        <f t="shared" si="67"/>
        <v>0</v>
      </c>
      <c r="N747" s="739"/>
      <c r="O747" s="734">
        <f t="shared" si="68"/>
        <v>0</v>
      </c>
      <c r="P747" s="734">
        <f t="shared" si="69"/>
        <v>0</v>
      </c>
      <c r="Q747" s="684"/>
    </row>
    <row r="748" spans="2:17">
      <c r="B748" s="337"/>
      <c r="C748" s="730">
        <f>IF(D705="","-",+C747+1)</f>
        <v>2053</v>
      </c>
      <c r="D748" s="683">
        <f t="shared" si="70"/>
        <v>0</v>
      </c>
      <c r="E748" s="737">
        <f t="shared" si="71"/>
        <v>0</v>
      </c>
      <c r="F748" s="737">
        <f t="shared" si="64"/>
        <v>0</v>
      </c>
      <c r="G748" s="683">
        <f t="shared" si="65"/>
        <v>0</v>
      </c>
      <c r="H748" s="731">
        <f>+J706*G748+E748</f>
        <v>0</v>
      </c>
      <c r="I748" s="738">
        <f>+J707*G748+E748</f>
        <v>0</v>
      </c>
      <c r="J748" s="734">
        <f t="shared" si="66"/>
        <v>0</v>
      </c>
      <c r="K748" s="734"/>
      <c r="L748" s="739"/>
      <c r="M748" s="734">
        <f t="shared" si="67"/>
        <v>0</v>
      </c>
      <c r="N748" s="739"/>
      <c r="O748" s="734">
        <f t="shared" si="68"/>
        <v>0</v>
      </c>
      <c r="P748" s="734">
        <f t="shared" si="69"/>
        <v>0</v>
      </c>
      <c r="Q748" s="684"/>
    </row>
    <row r="749" spans="2:17">
      <c r="B749" s="337"/>
      <c r="C749" s="730">
        <f>IF(D705="","-",+C748+1)</f>
        <v>2054</v>
      </c>
      <c r="D749" s="683">
        <f t="shared" si="70"/>
        <v>0</v>
      </c>
      <c r="E749" s="737">
        <f t="shared" si="71"/>
        <v>0</v>
      </c>
      <c r="F749" s="737">
        <f t="shared" si="64"/>
        <v>0</v>
      </c>
      <c r="G749" s="683">
        <f t="shared" si="65"/>
        <v>0</v>
      </c>
      <c r="H749" s="731">
        <f>+J706*G749+E749</f>
        <v>0</v>
      </c>
      <c r="I749" s="738">
        <f>+J707*G749+E749</f>
        <v>0</v>
      </c>
      <c r="J749" s="734">
        <f t="shared" si="66"/>
        <v>0</v>
      </c>
      <c r="K749" s="734"/>
      <c r="L749" s="739"/>
      <c r="M749" s="734">
        <f t="shared" si="67"/>
        <v>0</v>
      </c>
      <c r="N749" s="739"/>
      <c r="O749" s="734">
        <f t="shared" si="68"/>
        <v>0</v>
      </c>
      <c r="P749" s="734">
        <f t="shared" si="69"/>
        <v>0</v>
      </c>
      <c r="Q749" s="684"/>
    </row>
    <row r="750" spans="2:17">
      <c r="B750" s="337"/>
      <c r="C750" s="730">
        <f>IF(D705="","-",+C749+1)</f>
        <v>2055</v>
      </c>
      <c r="D750" s="683">
        <f t="shared" si="70"/>
        <v>0</v>
      </c>
      <c r="E750" s="737">
        <f t="shared" si="71"/>
        <v>0</v>
      </c>
      <c r="F750" s="737">
        <f t="shared" si="64"/>
        <v>0</v>
      </c>
      <c r="G750" s="683">
        <f t="shared" si="65"/>
        <v>0</v>
      </c>
      <c r="H750" s="731">
        <f>+J706*G750+E750</f>
        <v>0</v>
      </c>
      <c r="I750" s="738">
        <f>+J707*G750+E750</f>
        <v>0</v>
      </c>
      <c r="J750" s="734">
        <f t="shared" si="66"/>
        <v>0</v>
      </c>
      <c r="K750" s="734"/>
      <c r="L750" s="739"/>
      <c r="M750" s="734">
        <f t="shared" si="67"/>
        <v>0</v>
      </c>
      <c r="N750" s="739"/>
      <c r="O750" s="734">
        <f t="shared" si="68"/>
        <v>0</v>
      </c>
      <c r="P750" s="734">
        <f t="shared" si="69"/>
        <v>0</v>
      </c>
      <c r="Q750" s="684"/>
    </row>
    <row r="751" spans="2:17">
      <c r="B751" s="337"/>
      <c r="C751" s="730">
        <f>IF(D705="","-",+C750+1)</f>
        <v>2056</v>
      </c>
      <c r="D751" s="683">
        <f t="shared" si="70"/>
        <v>0</v>
      </c>
      <c r="E751" s="737">
        <f t="shared" si="71"/>
        <v>0</v>
      </c>
      <c r="F751" s="737">
        <f t="shared" si="64"/>
        <v>0</v>
      </c>
      <c r="G751" s="683">
        <f t="shared" si="65"/>
        <v>0</v>
      </c>
      <c r="H751" s="731">
        <f>+J706*G751+E751</f>
        <v>0</v>
      </c>
      <c r="I751" s="738">
        <f>+J707*G751+E751</f>
        <v>0</v>
      </c>
      <c r="J751" s="734">
        <f t="shared" si="66"/>
        <v>0</v>
      </c>
      <c r="K751" s="734"/>
      <c r="L751" s="739"/>
      <c r="M751" s="734">
        <f t="shared" si="67"/>
        <v>0</v>
      </c>
      <c r="N751" s="739"/>
      <c r="O751" s="734">
        <f t="shared" si="68"/>
        <v>0</v>
      </c>
      <c r="P751" s="734">
        <f t="shared" si="69"/>
        <v>0</v>
      </c>
      <c r="Q751" s="684"/>
    </row>
    <row r="752" spans="2:17">
      <c r="B752" s="337"/>
      <c r="C752" s="730">
        <f>IF(D705="","-",+C751+1)</f>
        <v>2057</v>
      </c>
      <c r="D752" s="683">
        <f t="shared" si="70"/>
        <v>0</v>
      </c>
      <c r="E752" s="737">
        <f t="shared" si="71"/>
        <v>0</v>
      </c>
      <c r="F752" s="737">
        <f t="shared" si="64"/>
        <v>0</v>
      </c>
      <c r="G752" s="683">
        <f t="shared" si="65"/>
        <v>0</v>
      </c>
      <c r="H752" s="731">
        <f>+J706*G752+E752</f>
        <v>0</v>
      </c>
      <c r="I752" s="738">
        <f>+J707*G752+E752</f>
        <v>0</v>
      </c>
      <c r="J752" s="734">
        <f t="shared" si="66"/>
        <v>0</v>
      </c>
      <c r="K752" s="734"/>
      <c r="L752" s="739"/>
      <c r="M752" s="734">
        <f t="shared" si="67"/>
        <v>0</v>
      </c>
      <c r="N752" s="739"/>
      <c r="O752" s="734">
        <f t="shared" si="68"/>
        <v>0</v>
      </c>
      <c r="P752" s="734">
        <f t="shared" si="69"/>
        <v>0</v>
      </c>
      <c r="Q752" s="684"/>
    </row>
    <row r="753" spans="2:17">
      <c r="B753" s="337"/>
      <c r="C753" s="730">
        <f>IF(D705="","-",+C752+1)</f>
        <v>2058</v>
      </c>
      <c r="D753" s="683">
        <f t="shared" si="70"/>
        <v>0</v>
      </c>
      <c r="E753" s="737">
        <f t="shared" si="71"/>
        <v>0</v>
      </c>
      <c r="F753" s="737">
        <f t="shared" si="64"/>
        <v>0</v>
      </c>
      <c r="G753" s="683">
        <f t="shared" si="65"/>
        <v>0</v>
      </c>
      <c r="H753" s="731">
        <f>+J706*G753+E753</f>
        <v>0</v>
      </c>
      <c r="I753" s="738">
        <f>+J707*G753+E753</f>
        <v>0</v>
      </c>
      <c r="J753" s="734">
        <f t="shared" si="66"/>
        <v>0</v>
      </c>
      <c r="K753" s="734"/>
      <c r="L753" s="739"/>
      <c r="M753" s="734">
        <f t="shared" si="67"/>
        <v>0</v>
      </c>
      <c r="N753" s="739"/>
      <c r="O753" s="734">
        <f t="shared" si="68"/>
        <v>0</v>
      </c>
      <c r="P753" s="734">
        <f t="shared" si="69"/>
        <v>0</v>
      </c>
      <c r="Q753" s="684"/>
    </row>
    <row r="754" spans="2:17">
      <c r="B754" s="337"/>
      <c r="C754" s="730">
        <f>IF(D705="","-",+C753+1)</f>
        <v>2059</v>
      </c>
      <c r="D754" s="683">
        <f t="shared" si="70"/>
        <v>0</v>
      </c>
      <c r="E754" s="737">
        <f t="shared" si="71"/>
        <v>0</v>
      </c>
      <c r="F754" s="737">
        <f t="shared" si="64"/>
        <v>0</v>
      </c>
      <c r="G754" s="683">
        <f t="shared" si="65"/>
        <v>0</v>
      </c>
      <c r="H754" s="731">
        <f>+J706*G754+E754</f>
        <v>0</v>
      </c>
      <c r="I754" s="738">
        <f>+J707*G754+E754</f>
        <v>0</v>
      </c>
      <c r="J754" s="734">
        <f t="shared" si="66"/>
        <v>0</v>
      </c>
      <c r="K754" s="734"/>
      <c r="L754" s="739"/>
      <c r="M754" s="734">
        <f t="shared" si="67"/>
        <v>0</v>
      </c>
      <c r="N754" s="739"/>
      <c r="O754" s="734">
        <f t="shared" si="68"/>
        <v>0</v>
      </c>
      <c r="P754" s="734">
        <f t="shared" si="69"/>
        <v>0</v>
      </c>
      <c r="Q754" s="684"/>
    </row>
    <row r="755" spans="2:17">
      <c r="B755" s="337"/>
      <c r="C755" s="730">
        <f>IF(D705="","-",+C754+1)</f>
        <v>2060</v>
      </c>
      <c r="D755" s="683">
        <f t="shared" si="70"/>
        <v>0</v>
      </c>
      <c r="E755" s="737">
        <f t="shared" si="71"/>
        <v>0</v>
      </c>
      <c r="F755" s="737">
        <f t="shared" si="64"/>
        <v>0</v>
      </c>
      <c r="G755" s="683">
        <f t="shared" si="65"/>
        <v>0</v>
      </c>
      <c r="H755" s="731">
        <f>+J706*G755+E755</f>
        <v>0</v>
      </c>
      <c r="I755" s="738">
        <f>+J707*G755+E755</f>
        <v>0</v>
      </c>
      <c r="J755" s="734">
        <f t="shared" si="66"/>
        <v>0</v>
      </c>
      <c r="K755" s="734"/>
      <c r="L755" s="739"/>
      <c r="M755" s="734">
        <f t="shared" si="67"/>
        <v>0</v>
      </c>
      <c r="N755" s="739"/>
      <c r="O755" s="734">
        <f t="shared" si="68"/>
        <v>0</v>
      </c>
      <c r="P755" s="734">
        <f t="shared" si="69"/>
        <v>0</v>
      </c>
      <c r="Q755" s="684"/>
    </row>
    <row r="756" spans="2:17">
      <c r="B756" s="337"/>
      <c r="C756" s="730">
        <f>IF(D705="","-",+C755+1)</f>
        <v>2061</v>
      </c>
      <c r="D756" s="683">
        <f t="shared" si="70"/>
        <v>0</v>
      </c>
      <c r="E756" s="737">
        <f t="shared" si="71"/>
        <v>0</v>
      </c>
      <c r="F756" s="737">
        <f t="shared" si="64"/>
        <v>0</v>
      </c>
      <c r="G756" s="683">
        <f t="shared" si="65"/>
        <v>0</v>
      </c>
      <c r="H756" s="731">
        <f>+J706*G756+E756</f>
        <v>0</v>
      </c>
      <c r="I756" s="738">
        <f>+J707*G756+E756</f>
        <v>0</v>
      </c>
      <c r="J756" s="734">
        <f t="shared" si="66"/>
        <v>0</v>
      </c>
      <c r="K756" s="734"/>
      <c r="L756" s="739"/>
      <c r="M756" s="734">
        <f t="shared" si="67"/>
        <v>0</v>
      </c>
      <c r="N756" s="739"/>
      <c r="O756" s="734">
        <f t="shared" si="68"/>
        <v>0</v>
      </c>
      <c r="P756" s="734">
        <f t="shared" si="69"/>
        <v>0</v>
      </c>
      <c r="Q756" s="684"/>
    </row>
    <row r="757" spans="2:17">
      <c r="B757" s="337"/>
      <c r="C757" s="730">
        <f>IF(D705="","-",+C756+1)</f>
        <v>2062</v>
      </c>
      <c r="D757" s="683">
        <f t="shared" si="70"/>
        <v>0</v>
      </c>
      <c r="E757" s="737">
        <f t="shared" si="71"/>
        <v>0</v>
      </c>
      <c r="F757" s="737">
        <f t="shared" si="64"/>
        <v>0</v>
      </c>
      <c r="G757" s="683">
        <f t="shared" si="65"/>
        <v>0</v>
      </c>
      <c r="H757" s="731">
        <f>+J706*G757+E757</f>
        <v>0</v>
      </c>
      <c r="I757" s="738">
        <f>+J707*G757+E757</f>
        <v>0</v>
      </c>
      <c r="J757" s="734">
        <f t="shared" si="66"/>
        <v>0</v>
      </c>
      <c r="K757" s="734"/>
      <c r="L757" s="739"/>
      <c r="M757" s="734">
        <f t="shared" si="67"/>
        <v>0</v>
      </c>
      <c r="N757" s="739"/>
      <c r="O757" s="734">
        <f t="shared" si="68"/>
        <v>0</v>
      </c>
      <c r="P757" s="734">
        <f t="shared" si="69"/>
        <v>0</v>
      </c>
      <c r="Q757" s="684"/>
    </row>
    <row r="758" spans="2:17">
      <c r="B758" s="337"/>
      <c r="C758" s="730">
        <f>IF(D705="","-",+C757+1)</f>
        <v>2063</v>
      </c>
      <c r="D758" s="683">
        <f t="shared" si="70"/>
        <v>0</v>
      </c>
      <c r="E758" s="737">
        <f t="shared" si="71"/>
        <v>0</v>
      </c>
      <c r="F758" s="737">
        <f t="shared" si="64"/>
        <v>0</v>
      </c>
      <c r="G758" s="683">
        <f t="shared" si="65"/>
        <v>0</v>
      </c>
      <c r="H758" s="731">
        <f>+J706*G758+E758</f>
        <v>0</v>
      </c>
      <c r="I758" s="738">
        <f>+J707*G758+E758</f>
        <v>0</v>
      </c>
      <c r="J758" s="734">
        <f t="shared" si="66"/>
        <v>0</v>
      </c>
      <c r="K758" s="734"/>
      <c r="L758" s="739"/>
      <c r="M758" s="734">
        <f t="shared" si="67"/>
        <v>0</v>
      </c>
      <c r="N758" s="739"/>
      <c r="O758" s="734">
        <f t="shared" si="68"/>
        <v>0</v>
      </c>
      <c r="P758" s="734">
        <f t="shared" si="69"/>
        <v>0</v>
      </c>
      <c r="Q758" s="684"/>
    </row>
    <row r="759" spans="2:17">
      <c r="B759" s="337"/>
      <c r="C759" s="730">
        <f>IF(D705="","-",+C758+1)</f>
        <v>2064</v>
      </c>
      <c r="D759" s="683">
        <f t="shared" si="70"/>
        <v>0</v>
      </c>
      <c r="E759" s="737">
        <f t="shared" si="71"/>
        <v>0</v>
      </c>
      <c r="F759" s="737">
        <f t="shared" si="64"/>
        <v>0</v>
      </c>
      <c r="G759" s="683">
        <f t="shared" si="65"/>
        <v>0</v>
      </c>
      <c r="H759" s="731">
        <f>+J706*G759+E759</f>
        <v>0</v>
      </c>
      <c r="I759" s="738">
        <f>+J707*G759+E759</f>
        <v>0</v>
      </c>
      <c r="J759" s="734">
        <f t="shared" si="66"/>
        <v>0</v>
      </c>
      <c r="K759" s="734"/>
      <c r="L759" s="739"/>
      <c r="M759" s="734">
        <f t="shared" si="67"/>
        <v>0</v>
      </c>
      <c r="N759" s="739"/>
      <c r="O759" s="734">
        <f t="shared" si="68"/>
        <v>0</v>
      </c>
      <c r="P759" s="734">
        <f t="shared" si="69"/>
        <v>0</v>
      </c>
      <c r="Q759" s="684"/>
    </row>
    <row r="760" spans="2:17">
      <c r="B760" s="337"/>
      <c r="C760" s="730">
        <f>IF(D705="","-",+C759+1)</f>
        <v>2065</v>
      </c>
      <c r="D760" s="683">
        <f t="shared" si="70"/>
        <v>0</v>
      </c>
      <c r="E760" s="737">
        <f t="shared" si="71"/>
        <v>0</v>
      </c>
      <c r="F760" s="737">
        <f t="shared" si="64"/>
        <v>0</v>
      </c>
      <c r="G760" s="683">
        <f t="shared" si="65"/>
        <v>0</v>
      </c>
      <c r="H760" s="731">
        <f>+J706*G760+E760</f>
        <v>0</v>
      </c>
      <c r="I760" s="738">
        <f>+J707*G760+E760</f>
        <v>0</v>
      </c>
      <c r="J760" s="734">
        <f t="shared" si="66"/>
        <v>0</v>
      </c>
      <c r="K760" s="734"/>
      <c r="L760" s="739"/>
      <c r="M760" s="734">
        <f t="shared" si="67"/>
        <v>0</v>
      </c>
      <c r="N760" s="739"/>
      <c r="O760" s="734">
        <f t="shared" si="68"/>
        <v>0</v>
      </c>
      <c r="P760" s="734">
        <f t="shared" si="69"/>
        <v>0</v>
      </c>
      <c r="Q760" s="684"/>
    </row>
    <row r="761" spans="2:17">
      <c r="B761" s="337"/>
      <c r="C761" s="730">
        <f>IF(D705="","-",+C760+1)</f>
        <v>2066</v>
      </c>
      <c r="D761" s="683">
        <f t="shared" si="70"/>
        <v>0</v>
      </c>
      <c r="E761" s="737">
        <f t="shared" si="71"/>
        <v>0</v>
      </c>
      <c r="F761" s="737">
        <f t="shared" si="64"/>
        <v>0</v>
      </c>
      <c r="G761" s="683">
        <f t="shared" si="65"/>
        <v>0</v>
      </c>
      <c r="H761" s="731">
        <f>+J706*G761+E761</f>
        <v>0</v>
      </c>
      <c r="I761" s="738">
        <f>+J707*G761+E761</f>
        <v>0</v>
      </c>
      <c r="J761" s="734">
        <f t="shared" si="66"/>
        <v>0</v>
      </c>
      <c r="K761" s="734"/>
      <c r="L761" s="739"/>
      <c r="M761" s="734">
        <f t="shared" si="67"/>
        <v>0</v>
      </c>
      <c r="N761" s="739"/>
      <c r="O761" s="734">
        <f t="shared" si="68"/>
        <v>0</v>
      </c>
      <c r="P761" s="734">
        <f t="shared" si="69"/>
        <v>0</v>
      </c>
      <c r="Q761" s="684"/>
    </row>
    <row r="762" spans="2:17">
      <c r="B762" s="337"/>
      <c r="C762" s="730">
        <f>IF(D705="","-",+C761+1)</f>
        <v>2067</v>
      </c>
      <c r="D762" s="683">
        <f t="shared" si="70"/>
        <v>0</v>
      </c>
      <c r="E762" s="737">
        <f t="shared" si="71"/>
        <v>0</v>
      </c>
      <c r="F762" s="737">
        <f t="shared" si="64"/>
        <v>0</v>
      </c>
      <c r="G762" s="683">
        <f t="shared" si="65"/>
        <v>0</v>
      </c>
      <c r="H762" s="731">
        <f>+J706*G762+E762</f>
        <v>0</v>
      </c>
      <c r="I762" s="738">
        <f>+J707*G762+E762</f>
        <v>0</v>
      </c>
      <c r="J762" s="734">
        <f t="shared" si="66"/>
        <v>0</v>
      </c>
      <c r="K762" s="734"/>
      <c r="L762" s="739"/>
      <c r="M762" s="734">
        <f t="shared" si="67"/>
        <v>0</v>
      </c>
      <c r="N762" s="739"/>
      <c r="O762" s="734">
        <f t="shared" si="68"/>
        <v>0</v>
      </c>
      <c r="P762" s="734">
        <f t="shared" si="69"/>
        <v>0</v>
      </c>
      <c r="Q762" s="684"/>
    </row>
    <row r="763" spans="2:17">
      <c r="B763" s="337"/>
      <c r="C763" s="730">
        <f>IF(D705="","-",+C762+1)</f>
        <v>2068</v>
      </c>
      <c r="D763" s="683">
        <f t="shared" si="70"/>
        <v>0</v>
      </c>
      <c r="E763" s="737">
        <f t="shared" si="71"/>
        <v>0</v>
      </c>
      <c r="F763" s="737">
        <f t="shared" si="64"/>
        <v>0</v>
      </c>
      <c r="G763" s="683">
        <f t="shared" si="65"/>
        <v>0</v>
      </c>
      <c r="H763" s="731">
        <f>+J706*G763+E763</f>
        <v>0</v>
      </c>
      <c r="I763" s="738">
        <f>+J707*G763+E763</f>
        <v>0</v>
      </c>
      <c r="J763" s="734">
        <f t="shared" si="66"/>
        <v>0</v>
      </c>
      <c r="K763" s="734"/>
      <c r="L763" s="739"/>
      <c r="M763" s="734">
        <f t="shared" si="67"/>
        <v>0</v>
      </c>
      <c r="N763" s="739"/>
      <c r="O763" s="734">
        <f t="shared" si="68"/>
        <v>0</v>
      </c>
      <c r="P763" s="734">
        <f t="shared" si="69"/>
        <v>0</v>
      </c>
      <c r="Q763" s="684"/>
    </row>
    <row r="764" spans="2:17">
      <c r="B764" s="337"/>
      <c r="C764" s="730">
        <f>IF(D705="","-",+C763+1)</f>
        <v>2069</v>
      </c>
      <c r="D764" s="683">
        <f t="shared" si="70"/>
        <v>0</v>
      </c>
      <c r="E764" s="737">
        <f t="shared" si="71"/>
        <v>0</v>
      </c>
      <c r="F764" s="737">
        <f t="shared" si="64"/>
        <v>0</v>
      </c>
      <c r="G764" s="683">
        <f t="shared" si="65"/>
        <v>0</v>
      </c>
      <c r="H764" s="731">
        <f>+J706*G764+E764</f>
        <v>0</v>
      </c>
      <c r="I764" s="738">
        <f>+J707*G764+E764</f>
        <v>0</v>
      </c>
      <c r="J764" s="734">
        <f t="shared" si="66"/>
        <v>0</v>
      </c>
      <c r="K764" s="734"/>
      <c r="L764" s="739"/>
      <c r="M764" s="734">
        <f t="shared" si="67"/>
        <v>0</v>
      </c>
      <c r="N764" s="739"/>
      <c r="O764" s="734">
        <f t="shared" si="68"/>
        <v>0</v>
      </c>
      <c r="P764" s="734">
        <f t="shared" si="69"/>
        <v>0</v>
      </c>
      <c r="Q764" s="684"/>
    </row>
    <row r="765" spans="2:17">
      <c r="B765" s="337"/>
      <c r="C765" s="730">
        <f>IF(D705="","-",+C764+1)</f>
        <v>2070</v>
      </c>
      <c r="D765" s="683">
        <f t="shared" si="70"/>
        <v>0</v>
      </c>
      <c r="E765" s="737">
        <f t="shared" si="71"/>
        <v>0</v>
      </c>
      <c r="F765" s="737">
        <f t="shared" si="64"/>
        <v>0</v>
      </c>
      <c r="G765" s="683">
        <f t="shared" si="65"/>
        <v>0</v>
      </c>
      <c r="H765" s="731">
        <f>+J706*G765+E765</f>
        <v>0</v>
      </c>
      <c r="I765" s="738">
        <f>+J707*G765+E765</f>
        <v>0</v>
      </c>
      <c r="J765" s="734">
        <f t="shared" si="66"/>
        <v>0</v>
      </c>
      <c r="K765" s="734"/>
      <c r="L765" s="739"/>
      <c r="M765" s="734">
        <f t="shared" si="67"/>
        <v>0</v>
      </c>
      <c r="N765" s="739"/>
      <c r="O765" s="734">
        <f t="shared" si="68"/>
        <v>0</v>
      </c>
      <c r="P765" s="734">
        <f t="shared" si="69"/>
        <v>0</v>
      </c>
      <c r="Q765" s="684"/>
    </row>
    <row r="766" spans="2:17">
      <c r="B766" s="337"/>
      <c r="C766" s="730">
        <f>IF(D705="","-",+C765+1)</f>
        <v>2071</v>
      </c>
      <c r="D766" s="683">
        <f t="shared" si="70"/>
        <v>0</v>
      </c>
      <c r="E766" s="737">
        <f t="shared" si="71"/>
        <v>0</v>
      </c>
      <c r="F766" s="737">
        <f t="shared" si="64"/>
        <v>0</v>
      </c>
      <c r="G766" s="683">
        <f t="shared" si="65"/>
        <v>0</v>
      </c>
      <c r="H766" s="731">
        <f>+J706*G766+E766</f>
        <v>0</v>
      </c>
      <c r="I766" s="738">
        <f>+J707*G766+E766</f>
        <v>0</v>
      </c>
      <c r="J766" s="734">
        <f t="shared" si="66"/>
        <v>0</v>
      </c>
      <c r="K766" s="734"/>
      <c r="L766" s="739"/>
      <c r="M766" s="734">
        <f t="shared" si="67"/>
        <v>0</v>
      </c>
      <c r="N766" s="739"/>
      <c r="O766" s="734">
        <f t="shared" si="68"/>
        <v>0</v>
      </c>
      <c r="P766" s="734">
        <f t="shared" si="69"/>
        <v>0</v>
      </c>
      <c r="Q766" s="684"/>
    </row>
    <row r="767" spans="2:17">
      <c r="B767" s="337"/>
      <c r="C767" s="730">
        <f>IF(D705="","-",+C766+1)</f>
        <v>2072</v>
      </c>
      <c r="D767" s="683">
        <f t="shared" si="70"/>
        <v>0</v>
      </c>
      <c r="E767" s="737">
        <f t="shared" si="71"/>
        <v>0</v>
      </c>
      <c r="F767" s="737">
        <f t="shared" si="64"/>
        <v>0</v>
      </c>
      <c r="G767" s="683">
        <f t="shared" si="65"/>
        <v>0</v>
      </c>
      <c r="H767" s="731">
        <f>+J706*G767+E767</f>
        <v>0</v>
      </c>
      <c r="I767" s="738">
        <f>+J707*G767+E767</f>
        <v>0</v>
      </c>
      <c r="J767" s="734">
        <f t="shared" si="66"/>
        <v>0</v>
      </c>
      <c r="K767" s="734"/>
      <c r="L767" s="739"/>
      <c r="M767" s="734">
        <f t="shared" si="67"/>
        <v>0</v>
      </c>
      <c r="N767" s="739"/>
      <c r="O767" s="734">
        <f t="shared" si="68"/>
        <v>0</v>
      </c>
      <c r="P767" s="734">
        <f t="shared" si="69"/>
        <v>0</v>
      </c>
      <c r="Q767" s="684"/>
    </row>
    <row r="768" spans="2:17">
      <c r="B768" s="337"/>
      <c r="C768" s="730">
        <f>IF(D705="","-",+C767+1)</f>
        <v>2073</v>
      </c>
      <c r="D768" s="683">
        <f t="shared" si="70"/>
        <v>0</v>
      </c>
      <c r="E768" s="737">
        <f t="shared" si="71"/>
        <v>0</v>
      </c>
      <c r="F768" s="737">
        <f t="shared" si="64"/>
        <v>0</v>
      </c>
      <c r="G768" s="683">
        <f t="shared" si="65"/>
        <v>0</v>
      </c>
      <c r="H768" s="731">
        <f>+J706*G768+E768</f>
        <v>0</v>
      </c>
      <c r="I768" s="738">
        <f>+J707*G768+E768</f>
        <v>0</v>
      </c>
      <c r="J768" s="734">
        <f t="shared" si="66"/>
        <v>0</v>
      </c>
      <c r="K768" s="734"/>
      <c r="L768" s="739"/>
      <c r="M768" s="734">
        <f t="shared" si="67"/>
        <v>0</v>
      </c>
      <c r="N768" s="739"/>
      <c r="O768" s="734">
        <f t="shared" si="68"/>
        <v>0</v>
      </c>
      <c r="P768" s="734">
        <f t="shared" si="69"/>
        <v>0</v>
      </c>
      <c r="Q768" s="684"/>
    </row>
    <row r="769" spans="1:17">
      <c r="B769" s="337"/>
      <c r="C769" s="730">
        <f>IF(D705="","-",+C768+1)</f>
        <v>2074</v>
      </c>
      <c r="D769" s="683">
        <f t="shared" si="70"/>
        <v>0</v>
      </c>
      <c r="E769" s="737">
        <f t="shared" si="71"/>
        <v>0</v>
      </c>
      <c r="F769" s="737">
        <f t="shared" si="64"/>
        <v>0</v>
      </c>
      <c r="G769" s="683">
        <f t="shared" si="65"/>
        <v>0</v>
      </c>
      <c r="H769" s="731">
        <f>+J706*G769+E769</f>
        <v>0</v>
      </c>
      <c r="I769" s="738">
        <f>+J707*G769+E769</f>
        <v>0</v>
      </c>
      <c r="J769" s="734">
        <f t="shared" si="66"/>
        <v>0</v>
      </c>
      <c r="K769" s="734"/>
      <c r="L769" s="739"/>
      <c r="M769" s="734">
        <f t="shared" si="67"/>
        <v>0</v>
      </c>
      <c r="N769" s="739"/>
      <c r="O769" s="734">
        <f t="shared" si="68"/>
        <v>0</v>
      </c>
      <c r="P769" s="734">
        <f t="shared" si="69"/>
        <v>0</v>
      </c>
      <c r="Q769" s="684"/>
    </row>
    <row r="770" spans="1:17" ht="13" thickBot="1">
      <c r="B770" s="337"/>
      <c r="C770" s="741">
        <f>IF(D705="","-",+C769+1)</f>
        <v>2075</v>
      </c>
      <c r="D770" s="742">
        <f t="shared" si="70"/>
        <v>0</v>
      </c>
      <c r="E770" s="1314">
        <f t="shared" si="71"/>
        <v>0</v>
      </c>
      <c r="F770" s="743">
        <f t="shared" si="64"/>
        <v>0</v>
      </c>
      <c r="G770" s="742">
        <f t="shared" si="65"/>
        <v>0</v>
      </c>
      <c r="H770" s="744">
        <f>+J706*G770+E770</f>
        <v>0</v>
      </c>
      <c r="I770" s="744">
        <f>+J707*G770+E770</f>
        <v>0</v>
      </c>
      <c r="J770" s="745">
        <f t="shared" si="66"/>
        <v>0</v>
      </c>
      <c r="K770" s="734"/>
      <c r="L770" s="746"/>
      <c r="M770" s="745">
        <f t="shared" si="67"/>
        <v>0</v>
      </c>
      <c r="N770" s="746"/>
      <c r="O770" s="745">
        <f t="shared" si="68"/>
        <v>0</v>
      </c>
      <c r="P770" s="745">
        <f t="shared" si="69"/>
        <v>0</v>
      </c>
      <c r="Q770" s="684"/>
    </row>
    <row r="771" spans="1:17">
      <c r="B771" s="337"/>
      <c r="C771" s="683" t="s">
        <v>289</v>
      </c>
      <c r="D771" s="679"/>
      <c r="E771" s="679">
        <f>SUM(E711:E770)</f>
        <v>0</v>
      </c>
      <c r="F771" s="679"/>
      <c r="G771" s="679"/>
      <c r="H771" s="679">
        <f>SUM(H711:H770)</f>
        <v>0</v>
      </c>
      <c r="I771" s="679">
        <f>SUM(I711:I770)</f>
        <v>0</v>
      </c>
      <c r="J771" s="679">
        <f>SUM(J711:J770)</f>
        <v>0</v>
      </c>
      <c r="K771" s="679"/>
      <c r="L771" s="679"/>
      <c r="M771" s="679"/>
      <c r="N771" s="679"/>
      <c r="O771" s="679"/>
      <c r="Q771" s="679"/>
    </row>
    <row r="772" spans="1:17">
      <c r="B772" s="337"/>
      <c r="D772" s="573"/>
      <c r="E772" s="550"/>
      <c r="F772" s="550"/>
      <c r="G772" s="550"/>
      <c r="H772" s="550"/>
      <c r="I772" s="656"/>
      <c r="J772" s="656"/>
      <c r="K772" s="679"/>
      <c r="L772" s="656"/>
      <c r="M772" s="656"/>
      <c r="N772" s="656"/>
      <c r="O772" s="656"/>
      <c r="Q772" s="679"/>
    </row>
    <row r="773" spans="1:17">
      <c r="B773" s="337"/>
      <c r="C773" s="550" t="s">
        <v>597</v>
      </c>
      <c r="D773" s="573"/>
      <c r="E773" s="550"/>
      <c r="F773" s="550"/>
      <c r="G773" s="550"/>
      <c r="H773" s="550"/>
      <c r="I773" s="656"/>
      <c r="J773" s="656"/>
      <c r="K773" s="679"/>
      <c r="L773" s="656"/>
      <c r="M773" s="656"/>
      <c r="N773" s="656"/>
      <c r="O773" s="656"/>
      <c r="Q773" s="679"/>
    </row>
    <row r="774" spans="1:17">
      <c r="B774" s="337"/>
      <c r="D774" s="573"/>
      <c r="E774" s="550"/>
      <c r="F774" s="550"/>
      <c r="G774" s="550"/>
      <c r="H774" s="550"/>
      <c r="I774" s="656"/>
      <c r="J774" s="656"/>
      <c r="K774" s="679"/>
      <c r="L774" s="656"/>
      <c r="M774" s="656"/>
      <c r="N774" s="656"/>
      <c r="O774" s="656"/>
      <c r="Q774" s="679"/>
    </row>
    <row r="775" spans="1:17">
      <c r="B775" s="337"/>
      <c r="C775" s="586" t="s">
        <v>598</v>
      </c>
      <c r="D775" s="683"/>
      <c r="E775" s="683"/>
      <c r="F775" s="683"/>
      <c r="G775" s="683"/>
      <c r="H775" s="679"/>
      <c r="I775" s="679"/>
      <c r="J775" s="684"/>
      <c r="K775" s="684"/>
      <c r="L775" s="684"/>
      <c r="M775" s="684"/>
      <c r="N775" s="684"/>
      <c r="O775" s="684"/>
      <c r="Q775" s="684"/>
    </row>
    <row r="776" spans="1:17">
      <c r="B776" s="337"/>
      <c r="C776" s="586" t="s">
        <v>477</v>
      </c>
      <c r="D776" s="683"/>
      <c r="E776" s="683"/>
      <c r="F776" s="683"/>
      <c r="G776" s="683"/>
      <c r="H776" s="679"/>
      <c r="I776" s="679"/>
      <c r="J776" s="684"/>
      <c r="K776" s="684"/>
      <c r="L776" s="684"/>
      <c r="M776" s="684"/>
      <c r="N776" s="684"/>
      <c r="O776" s="684"/>
      <c r="Q776" s="684"/>
    </row>
    <row r="777" spans="1:17">
      <c r="B777" s="337"/>
      <c r="C777" s="586" t="s">
        <v>290</v>
      </c>
      <c r="D777" s="683"/>
      <c r="E777" s="683"/>
      <c r="F777" s="683"/>
      <c r="G777" s="683"/>
      <c r="H777" s="679"/>
      <c r="I777" s="679"/>
      <c r="J777" s="684"/>
      <c r="K777" s="684"/>
      <c r="L777" s="684"/>
      <c r="M777" s="684"/>
      <c r="N777" s="684"/>
      <c r="O777" s="684"/>
      <c r="Q777" s="684"/>
    </row>
    <row r="778" spans="1:17">
      <c r="B778" s="337"/>
      <c r="C778" s="586"/>
      <c r="D778" s="683"/>
      <c r="E778" s="683"/>
      <c r="F778" s="683"/>
      <c r="G778" s="683"/>
      <c r="H778" s="679"/>
      <c r="I778" s="679"/>
      <c r="J778" s="684"/>
      <c r="K778" s="684"/>
      <c r="L778" s="684"/>
      <c r="M778" s="684"/>
      <c r="N778" s="684"/>
      <c r="O778" s="684"/>
      <c r="Q778" s="684"/>
    </row>
    <row r="779" spans="1:17" ht="20">
      <c r="A779" s="685" t="s">
        <v>774</v>
      </c>
      <c r="B779" s="550"/>
      <c r="C779" s="665"/>
      <c r="D779" s="573"/>
      <c r="E779" s="550"/>
      <c r="F779" s="655"/>
      <c r="G779" s="655"/>
      <c r="H779" s="550"/>
      <c r="I779" s="656"/>
      <c r="L779" s="686"/>
      <c r="M779" s="686"/>
      <c r="N779" s="686"/>
      <c r="O779" s="601" t="str">
        <f>"Page "&amp;SUM(Q$3:Q779)&amp;" of "</f>
        <v xml:space="preserve">Page 10 of </v>
      </c>
      <c r="P779" s="602">
        <f>COUNT(Q$8:Q$58123)</f>
        <v>11</v>
      </c>
      <c r="Q779" s="767">
        <v>1</v>
      </c>
    </row>
    <row r="780" spans="1:17">
      <c r="B780" s="550"/>
      <c r="C780" s="550"/>
      <c r="D780" s="573"/>
      <c r="E780" s="550"/>
      <c r="F780" s="550"/>
      <c r="G780" s="550"/>
      <c r="H780" s="550"/>
      <c r="I780" s="656"/>
      <c r="J780" s="550"/>
      <c r="K780" s="598"/>
      <c r="Q780" s="598"/>
    </row>
    <row r="781" spans="1:17" ht="17">
      <c r="B781" s="605" t="s">
        <v>175</v>
      </c>
      <c r="C781" s="687" t="s">
        <v>291</v>
      </c>
      <c r="D781" s="573"/>
      <c r="E781" s="550"/>
      <c r="F781" s="550"/>
      <c r="G781" s="550"/>
      <c r="H781" s="550"/>
      <c r="I781" s="656"/>
      <c r="J781" s="656"/>
      <c r="K781" s="679"/>
      <c r="L781" s="656"/>
      <c r="M781" s="656"/>
      <c r="N781" s="656"/>
      <c r="O781" s="656"/>
      <c r="Q781" s="679"/>
    </row>
    <row r="782" spans="1:17" ht="18">
      <c r="B782" s="605"/>
      <c r="C782" s="604"/>
      <c r="D782" s="573"/>
      <c r="E782" s="550"/>
      <c r="F782" s="550"/>
      <c r="G782" s="550"/>
      <c r="H782" s="550"/>
      <c r="I782" s="656"/>
      <c r="J782" s="656"/>
      <c r="K782" s="679"/>
      <c r="L782" s="656"/>
      <c r="M782" s="656"/>
      <c r="N782" s="656"/>
      <c r="O782" s="656"/>
      <c r="Q782" s="679"/>
    </row>
    <row r="783" spans="1:17" ht="18">
      <c r="B783" s="605"/>
      <c r="C783" s="604" t="s">
        <v>292</v>
      </c>
      <c r="D783" s="573"/>
      <c r="E783" s="550"/>
      <c r="F783" s="550"/>
      <c r="G783" s="550"/>
      <c r="H783" s="550"/>
      <c r="I783" s="656"/>
      <c r="J783" s="656"/>
      <c r="K783" s="679"/>
      <c r="L783" s="656"/>
      <c r="M783" s="656"/>
      <c r="N783" s="656"/>
      <c r="O783" s="656"/>
      <c r="Q783" s="679"/>
    </row>
    <row r="784" spans="1:17" ht="16" thickBot="1">
      <c r="B784" s="337"/>
      <c r="C784" s="403"/>
      <c r="D784" s="573"/>
      <c r="E784" s="550"/>
      <c r="F784" s="550"/>
      <c r="G784" s="550"/>
      <c r="H784" s="550"/>
      <c r="I784" s="656"/>
      <c r="J784" s="656"/>
      <c r="K784" s="679"/>
      <c r="L784" s="656"/>
      <c r="M784" s="656"/>
      <c r="N784" s="656"/>
      <c r="O784" s="656"/>
      <c r="Q784" s="679"/>
    </row>
    <row r="785" spans="1:17" ht="15.5">
      <c r="B785" s="337"/>
      <c r="C785" s="606" t="s">
        <v>293</v>
      </c>
      <c r="D785" s="573"/>
      <c r="E785" s="550"/>
      <c r="F785" s="550"/>
      <c r="G785" s="550"/>
      <c r="H785" s="877"/>
      <c r="I785" s="550" t="s">
        <v>272</v>
      </c>
      <c r="J785" s="550"/>
      <c r="K785" s="598"/>
      <c r="L785" s="768">
        <f>+J791</f>
        <v>2019</v>
      </c>
      <c r="M785" s="750" t="s">
        <v>255</v>
      </c>
      <c r="N785" s="750" t="s">
        <v>256</v>
      </c>
      <c r="O785" s="751" t="s">
        <v>257</v>
      </c>
      <c r="Q785" s="598"/>
    </row>
    <row r="786" spans="1:17" ht="15.5">
      <c r="B786" s="337"/>
      <c r="C786" s="606"/>
      <c r="D786" s="573"/>
      <c r="E786" s="550"/>
      <c r="F786" s="550"/>
      <c r="H786" s="550"/>
      <c r="I786" s="691"/>
      <c r="J786" s="691"/>
      <c r="K786" s="692"/>
      <c r="L786" s="769" t="s">
        <v>456</v>
      </c>
      <c r="M786" s="770">
        <f>VLOOKUP(J791,C798:P857,10)</f>
        <v>70225.840099402631</v>
      </c>
      <c r="N786" s="770">
        <f>VLOOKUP(J791,C798:P857,12)</f>
        <v>70225.840099402631</v>
      </c>
      <c r="O786" s="771">
        <f>+N786-M786</f>
        <v>0</v>
      </c>
      <c r="Q786" s="692"/>
    </row>
    <row r="787" spans="1:17" ht="13">
      <c r="B787" s="337"/>
      <c r="C787" s="694" t="s">
        <v>294</v>
      </c>
      <c r="D787" s="1558" t="s">
        <v>1003</v>
      </c>
      <c r="E787" s="1559"/>
      <c r="F787" s="1559"/>
      <c r="G787" s="1559"/>
      <c r="H787" s="1559"/>
      <c r="I787" s="1559"/>
      <c r="J787" s="656"/>
      <c r="K787" s="679"/>
      <c r="L787" s="769" t="s">
        <v>457</v>
      </c>
      <c r="M787" s="772">
        <f>VLOOKUP(J791,C798:P857,6)</f>
        <v>76544.36533306718</v>
      </c>
      <c r="N787" s="772">
        <f>VLOOKUP(J791,C798:P857,7)</f>
        <v>76544.36533306718</v>
      </c>
      <c r="O787" s="773">
        <f>+N787-M787</f>
        <v>0</v>
      </c>
      <c r="Q787" s="679"/>
    </row>
    <row r="788" spans="1:17" ht="13.5" thickBot="1">
      <c r="B788" s="337"/>
      <c r="C788" s="696"/>
      <c r="D788" s="1559"/>
      <c r="E788" s="1559"/>
      <c r="F788" s="1559"/>
      <c r="G788" s="1559"/>
      <c r="H788" s="1559"/>
      <c r="I788" s="1559"/>
      <c r="J788" s="656"/>
      <c r="K788" s="679"/>
      <c r="L788" s="715" t="s">
        <v>458</v>
      </c>
      <c r="M788" s="774">
        <f>+M787-M786</f>
        <v>6318.5252336645499</v>
      </c>
      <c r="N788" s="774">
        <f>+N787-N786</f>
        <v>6318.5252336645499</v>
      </c>
      <c r="O788" s="775">
        <f>+O787-O786</f>
        <v>0</v>
      </c>
      <c r="Q788" s="679"/>
    </row>
    <row r="789" spans="1:17" ht="13.5" thickBot="1">
      <c r="B789" s="337"/>
      <c r="C789" s="698"/>
      <c r="D789" s="699"/>
      <c r="E789" s="697"/>
      <c r="F789" s="697"/>
      <c r="G789" s="697"/>
      <c r="H789" s="697"/>
      <c r="I789" s="697"/>
      <c r="J789" s="697"/>
      <c r="K789" s="1322"/>
      <c r="L789" s="697"/>
      <c r="M789" s="697"/>
      <c r="N789" s="697"/>
      <c r="O789" s="697"/>
      <c r="P789" s="586"/>
      <c r="Q789" s="1322"/>
    </row>
    <row r="790" spans="1:17" ht="13" thickBot="1">
      <c r="B790" s="337"/>
      <c r="C790" s="701" t="s">
        <v>295</v>
      </c>
      <c r="D790" s="702"/>
      <c r="E790" s="702"/>
      <c r="F790" s="702"/>
      <c r="G790" s="702"/>
      <c r="H790" s="702"/>
      <c r="I790" s="702"/>
      <c r="J790" s="702"/>
      <c r="K790" s="704"/>
      <c r="P790" s="705"/>
      <c r="Q790" s="704"/>
    </row>
    <row r="791" spans="1:17" ht="16">
      <c r="A791" s="1324"/>
      <c r="B791" s="337"/>
      <c r="C791" s="707" t="s">
        <v>273</v>
      </c>
      <c r="D791" s="1323">
        <v>633540</v>
      </c>
      <c r="E791" s="665" t="s">
        <v>274</v>
      </c>
      <c r="H791" s="708"/>
      <c r="I791" s="708"/>
      <c r="J791" s="709">
        <f>$J$95</f>
        <v>2019</v>
      </c>
      <c r="K791" s="596"/>
      <c r="L791" s="1560" t="s">
        <v>275</v>
      </c>
      <c r="M791" s="1560"/>
      <c r="N791" s="1560"/>
      <c r="O791" s="1560"/>
      <c r="P791" s="598"/>
      <c r="Q791" s="596"/>
    </row>
    <row r="792" spans="1:17">
      <c r="A792" s="1324"/>
      <c r="B792" s="337"/>
      <c r="C792" s="707" t="s">
        <v>276</v>
      </c>
      <c r="D792" s="879">
        <v>2017</v>
      </c>
      <c r="E792" s="707" t="s">
        <v>277</v>
      </c>
      <c r="F792" s="708"/>
      <c r="G792" s="708"/>
      <c r="I792" s="337"/>
      <c r="J792" s="882">
        <v>0</v>
      </c>
      <c r="K792" s="710"/>
      <c r="L792" s="679" t="s">
        <v>476</v>
      </c>
      <c r="P792" s="598"/>
      <c r="Q792" s="710"/>
    </row>
    <row r="793" spans="1:17">
      <c r="A793" s="1324"/>
      <c r="B793" s="337"/>
      <c r="C793" s="707" t="s">
        <v>278</v>
      </c>
      <c r="D793" s="1282">
        <v>5</v>
      </c>
      <c r="E793" s="707" t="s">
        <v>279</v>
      </c>
      <c r="F793" s="708"/>
      <c r="G793" s="708"/>
      <c r="I793" s="337"/>
      <c r="J793" s="711">
        <f>$F$70</f>
        <v>0.10552282863199051</v>
      </c>
      <c r="K793" s="712"/>
      <c r="L793" s="550" t="str">
        <f>"          INPUT TRUE-UP ARR (WITH &amp; WITHOUT INCENTIVES) FROM EACH PRIOR YEAR"</f>
        <v xml:space="preserve">          INPUT TRUE-UP ARR (WITH &amp; WITHOUT INCENTIVES) FROM EACH PRIOR YEAR</v>
      </c>
      <c r="P793" s="598"/>
      <c r="Q793" s="712"/>
    </row>
    <row r="794" spans="1:17">
      <c r="A794" s="1324"/>
      <c r="B794" s="337"/>
      <c r="C794" s="707" t="s">
        <v>280</v>
      </c>
      <c r="D794" s="713">
        <f>H79</f>
        <v>51</v>
      </c>
      <c r="E794" s="707" t="s">
        <v>281</v>
      </c>
      <c r="F794" s="708"/>
      <c r="G794" s="708"/>
      <c r="I794" s="337"/>
      <c r="J794" s="711">
        <f>IF(H785="",J793,$F$69)</f>
        <v>0.10552282863199051</v>
      </c>
      <c r="K794" s="714"/>
      <c r="L794" s="550" t="s">
        <v>363</v>
      </c>
      <c r="M794" s="714"/>
      <c r="N794" s="714"/>
      <c r="O794" s="714"/>
      <c r="P794" s="598"/>
      <c r="Q794" s="714"/>
    </row>
    <row r="795" spans="1:17" ht="13" thickBot="1">
      <c r="A795" s="1324"/>
      <c r="B795" s="337"/>
      <c r="C795" s="707" t="s">
        <v>282</v>
      </c>
      <c r="D795" s="881" t="s">
        <v>979</v>
      </c>
      <c r="E795" s="715" t="s">
        <v>283</v>
      </c>
      <c r="F795" s="716"/>
      <c r="G795" s="716"/>
      <c r="H795" s="717"/>
      <c r="I795" s="717"/>
      <c r="J795" s="695">
        <f>IF(D791=0,0,D791/D794)</f>
        <v>12422.35294117647</v>
      </c>
      <c r="K795" s="679"/>
      <c r="L795" s="679" t="s">
        <v>364</v>
      </c>
      <c r="M795" s="679"/>
      <c r="N795" s="679"/>
      <c r="O795" s="679"/>
      <c r="P795" s="598"/>
      <c r="Q795" s="679"/>
    </row>
    <row r="796" spans="1:17" ht="39">
      <c r="A796" s="1321"/>
      <c r="B796" s="1321"/>
      <c r="C796" s="718" t="s">
        <v>273</v>
      </c>
      <c r="D796" s="719" t="s">
        <v>284</v>
      </c>
      <c r="E796" s="720" t="s">
        <v>285</v>
      </c>
      <c r="F796" s="719" t="s">
        <v>286</v>
      </c>
      <c r="G796" s="719" t="s">
        <v>459</v>
      </c>
      <c r="H796" s="720" t="s">
        <v>357</v>
      </c>
      <c r="I796" s="721" t="s">
        <v>357</v>
      </c>
      <c r="J796" s="718" t="s">
        <v>296</v>
      </c>
      <c r="K796" s="722"/>
      <c r="L796" s="720" t="s">
        <v>359</v>
      </c>
      <c r="M796" s="720" t="s">
        <v>365</v>
      </c>
      <c r="N796" s="720" t="s">
        <v>359</v>
      </c>
      <c r="O796" s="720" t="s">
        <v>367</v>
      </c>
      <c r="P796" s="720" t="s">
        <v>287</v>
      </c>
      <c r="Q796" s="723"/>
    </row>
    <row r="797" spans="1:17" ht="13.5" thickBot="1">
      <c r="B797" s="337"/>
      <c r="C797" s="724" t="s">
        <v>178</v>
      </c>
      <c r="D797" s="725" t="s">
        <v>179</v>
      </c>
      <c r="E797" s="724" t="s">
        <v>38</v>
      </c>
      <c r="F797" s="725" t="s">
        <v>179</v>
      </c>
      <c r="G797" s="725" t="s">
        <v>179</v>
      </c>
      <c r="H797" s="726" t="s">
        <v>299</v>
      </c>
      <c r="I797" s="727" t="s">
        <v>301</v>
      </c>
      <c r="J797" s="728" t="s">
        <v>390</v>
      </c>
      <c r="K797" s="729"/>
      <c r="L797" s="726" t="s">
        <v>288</v>
      </c>
      <c r="M797" s="726" t="s">
        <v>288</v>
      </c>
      <c r="N797" s="726" t="s">
        <v>468</v>
      </c>
      <c r="O797" s="726" t="s">
        <v>468</v>
      </c>
      <c r="P797" s="726" t="s">
        <v>468</v>
      </c>
      <c r="Q797" s="596"/>
    </row>
    <row r="798" spans="1:17">
      <c r="B798" s="337"/>
      <c r="C798" s="730">
        <f>IF(D792= "","-",D792)</f>
        <v>2017</v>
      </c>
      <c r="D798" s="683">
        <f>+D791</f>
        <v>633540</v>
      </c>
      <c r="E798" s="731">
        <f>+J795/12*(12-D793)</f>
        <v>7246.3725490196084</v>
      </c>
      <c r="F798" s="776">
        <f t="shared" ref="F798:F857" si="72">+D798-E798</f>
        <v>626293.62745098036</v>
      </c>
      <c r="G798" s="683">
        <f t="shared" ref="G798:G857" si="73">+(D798+F798)/2</f>
        <v>629916.81372549012</v>
      </c>
      <c r="H798" s="732">
        <f>+J793*G798+E798</f>
        <v>73716.976536183996</v>
      </c>
      <c r="I798" s="733">
        <f>+J794*G798+E798</f>
        <v>73716.976536183996</v>
      </c>
      <c r="J798" s="734">
        <f t="shared" ref="J798:J857" si="74">+I798-H798</f>
        <v>0</v>
      </c>
      <c r="K798" s="734"/>
      <c r="L798" s="735">
        <v>0</v>
      </c>
      <c r="M798" s="777">
        <f t="shared" ref="M798:M857" si="75">IF(L798&lt;&gt;0,+H798-L798,0)</f>
        <v>0</v>
      </c>
      <c r="N798" s="735">
        <v>0</v>
      </c>
      <c r="O798" s="777">
        <f t="shared" ref="O798:O857" si="76">IF(N798&lt;&gt;0,+I798-N798,0)</f>
        <v>0</v>
      </c>
      <c r="P798" s="777">
        <f t="shared" ref="P798:P857" si="77">+O798-M798</f>
        <v>0</v>
      </c>
      <c r="Q798" s="684"/>
    </row>
    <row r="799" spans="1:17">
      <c r="B799" s="337"/>
      <c r="C799" s="730">
        <f>IF(D792="","-",+C798+1)</f>
        <v>2018</v>
      </c>
      <c r="D799" s="1464">
        <f t="shared" ref="D799:D857" si="78">F798</f>
        <v>626293.62745098036</v>
      </c>
      <c r="E799" s="737">
        <f>IF(D799&gt;$J$795,$J$795,D799)</f>
        <v>12422.35294117647</v>
      </c>
      <c r="F799" s="737">
        <f t="shared" si="72"/>
        <v>613871.27450980386</v>
      </c>
      <c r="G799" s="683">
        <f t="shared" si="73"/>
        <v>620082.45098039205</v>
      </c>
      <c r="H799" s="731">
        <f>+J793*G799+E799</f>
        <v>77855.207153685042</v>
      </c>
      <c r="I799" s="738">
        <f>+J794*G799+E799</f>
        <v>77855.207153685042</v>
      </c>
      <c r="J799" s="734">
        <f t="shared" si="74"/>
        <v>0</v>
      </c>
      <c r="K799" s="734"/>
      <c r="L799" s="739">
        <v>0</v>
      </c>
      <c r="M799" s="734">
        <f t="shared" si="75"/>
        <v>0</v>
      </c>
      <c r="N799" s="739">
        <v>0</v>
      </c>
      <c r="O799" s="734">
        <f t="shared" si="76"/>
        <v>0</v>
      </c>
      <c r="P799" s="734">
        <f t="shared" si="77"/>
        <v>0</v>
      </c>
      <c r="Q799" s="684"/>
    </row>
    <row r="800" spans="1:17">
      <c r="B800" s="337"/>
      <c r="C800" s="730">
        <f>IF(D792="","-",+C799+1)</f>
        <v>2019</v>
      </c>
      <c r="D800" s="1297">
        <f t="shared" si="78"/>
        <v>613871.27450980386</v>
      </c>
      <c r="E800" s="737">
        <f t="shared" ref="E800:E857" si="79">IF(D800&gt;$J$795,$J$795,D800)</f>
        <v>12422.35294117647</v>
      </c>
      <c r="F800" s="737">
        <f t="shared" si="72"/>
        <v>601448.92156862735</v>
      </c>
      <c r="G800" s="683">
        <f t="shared" si="73"/>
        <v>607660.09803921566</v>
      </c>
      <c r="H800" s="731">
        <f>+J793*G800+E800</f>
        <v>76544.36533306718</v>
      </c>
      <c r="I800" s="738">
        <f>+J794*G800+E800</f>
        <v>76544.36533306718</v>
      </c>
      <c r="J800" s="734">
        <f t="shared" si="74"/>
        <v>0</v>
      </c>
      <c r="K800" s="734"/>
      <c r="L800" s="739">
        <v>70225.840099402631</v>
      </c>
      <c r="M800" s="734">
        <f t="shared" si="75"/>
        <v>6318.5252336645499</v>
      </c>
      <c r="N800" s="739">
        <v>70225.840099402631</v>
      </c>
      <c r="O800" s="734">
        <f t="shared" si="76"/>
        <v>6318.5252336645499</v>
      </c>
      <c r="P800" s="734">
        <f t="shared" si="77"/>
        <v>0</v>
      </c>
      <c r="Q800" s="684"/>
    </row>
    <row r="801" spans="2:17">
      <c r="B801" s="337"/>
      <c r="C801" s="730">
        <f>IF(D792="","-",+C800+1)</f>
        <v>2020</v>
      </c>
      <c r="D801" s="683">
        <f t="shared" si="78"/>
        <v>601448.92156862735</v>
      </c>
      <c r="E801" s="737">
        <f t="shared" si="79"/>
        <v>12422.35294117647</v>
      </c>
      <c r="F801" s="737">
        <f t="shared" si="72"/>
        <v>589026.56862745085</v>
      </c>
      <c r="G801" s="683">
        <f t="shared" si="73"/>
        <v>595237.74509803904</v>
      </c>
      <c r="H801" s="731">
        <f>+J793*G801+E801</f>
        <v>75233.523512449305</v>
      </c>
      <c r="I801" s="738">
        <f>+J794*G801+E801</f>
        <v>75233.523512449305</v>
      </c>
      <c r="J801" s="734">
        <f t="shared" si="74"/>
        <v>0</v>
      </c>
      <c r="K801" s="734"/>
      <c r="L801" s="739"/>
      <c r="M801" s="734">
        <f t="shared" si="75"/>
        <v>0</v>
      </c>
      <c r="N801" s="739"/>
      <c r="O801" s="734">
        <f t="shared" si="76"/>
        <v>0</v>
      </c>
      <c r="P801" s="734">
        <f t="shared" si="77"/>
        <v>0</v>
      </c>
      <c r="Q801" s="684"/>
    </row>
    <row r="802" spans="2:17">
      <c r="B802" s="337"/>
      <c r="C802" s="730">
        <f>IF(D792="","-",+C801+1)</f>
        <v>2021</v>
      </c>
      <c r="D802" s="683">
        <f t="shared" si="78"/>
        <v>589026.56862745085</v>
      </c>
      <c r="E802" s="737">
        <f t="shared" si="79"/>
        <v>12422.35294117647</v>
      </c>
      <c r="F802" s="737">
        <f t="shared" si="72"/>
        <v>576604.21568627434</v>
      </c>
      <c r="G802" s="683">
        <f t="shared" si="73"/>
        <v>582815.39215686265</v>
      </c>
      <c r="H802" s="731">
        <f>+J793*G802+E802</f>
        <v>73922.681691831443</v>
      </c>
      <c r="I802" s="738">
        <f>+J794*G802+E802</f>
        <v>73922.681691831443</v>
      </c>
      <c r="J802" s="734">
        <f t="shared" si="74"/>
        <v>0</v>
      </c>
      <c r="K802" s="734"/>
      <c r="L802" s="739"/>
      <c r="M802" s="734">
        <f t="shared" si="75"/>
        <v>0</v>
      </c>
      <c r="N802" s="739"/>
      <c r="O802" s="734">
        <f t="shared" si="76"/>
        <v>0</v>
      </c>
      <c r="P802" s="734">
        <f t="shared" si="77"/>
        <v>0</v>
      </c>
      <c r="Q802" s="684"/>
    </row>
    <row r="803" spans="2:17">
      <c r="B803" s="337"/>
      <c r="C803" s="730">
        <f>IF(D792="","-",+C802+1)</f>
        <v>2022</v>
      </c>
      <c r="D803" s="683">
        <f t="shared" si="78"/>
        <v>576604.21568627434</v>
      </c>
      <c r="E803" s="737">
        <f t="shared" si="79"/>
        <v>12422.35294117647</v>
      </c>
      <c r="F803" s="737">
        <f t="shared" si="72"/>
        <v>564181.86274509784</v>
      </c>
      <c r="G803" s="683">
        <f t="shared" si="73"/>
        <v>570393.03921568603</v>
      </c>
      <c r="H803" s="731">
        <f>+J793*G803+E803</f>
        <v>72611.839871213553</v>
      </c>
      <c r="I803" s="738">
        <f>+J794*G803+E803</f>
        <v>72611.839871213553</v>
      </c>
      <c r="J803" s="734">
        <f t="shared" si="74"/>
        <v>0</v>
      </c>
      <c r="K803" s="734"/>
      <c r="L803" s="739"/>
      <c r="M803" s="734">
        <f t="shared" si="75"/>
        <v>0</v>
      </c>
      <c r="N803" s="739"/>
      <c r="O803" s="734">
        <f t="shared" si="76"/>
        <v>0</v>
      </c>
      <c r="P803" s="734">
        <f t="shared" si="77"/>
        <v>0</v>
      </c>
      <c r="Q803" s="684"/>
    </row>
    <row r="804" spans="2:17">
      <c r="B804" s="337"/>
      <c r="C804" s="730">
        <f>IF(D792="","-",+C803+1)</f>
        <v>2023</v>
      </c>
      <c r="D804" s="683">
        <f t="shared" si="78"/>
        <v>564181.86274509784</v>
      </c>
      <c r="E804" s="737">
        <f t="shared" si="79"/>
        <v>12422.35294117647</v>
      </c>
      <c r="F804" s="737">
        <f t="shared" si="72"/>
        <v>551759.50980392133</v>
      </c>
      <c r="G804" s="683">
        <f t="shared" si="73"/>
        <v>557970.68627450964</v>
      </c>
      <c r="H804" s="731">
        <f>+J793*G804+E804</f>
        <v>71300.998050595692</v>
      </c>
      <c r="I804" s="738">
        <f>+J794*G804+E804</f>
        <v>71300.998050595692</v>
      </c>
      <c r="J804" s="734">
        <f t="shared" si="74"/>
        <v>0</v>
      </c>
      <c r="K804" s="734"/>
      <c r="L804" s="739"/>
      <c r="M804" s="734">
        <f t="shared" si="75"/>
        <v>0</v>
      </c>
      <c r="N804" s="739"/>
      <c r="O804" s="734">
        <f t="shared" si="76"/>
        <v>0</v>
      </c>
      <c r="P804" s="734">
        <f t="shared" si="77"/>
        <v>0</v>
      </c>
      <c r="Q804" s="684"/>
    </row>
    <row r="805" spans="2:17">
      <c r="B805" s="337"/>
      <c r="C805" s="730">
        <f>IF(D792="","-",+C804+1)</f>
        <v>2024</v>
      </c>
      <c r="D805" s="683">
        <f t="shared" si="78"/>
        <v>551759.50980392133</v>
      </c>
      <c r="E805" s="737">
        <f t="shared" si="79"/>
        <v>12422.35294117647</v>
      </c>
      <c r="F805" s="737">
        <f t="shared" si="72"/>
        <v>539337.15686274483</v>
      </c>
      <c r="G805" s="683">
        <f t="shared" si="73"/>
        <v>545548.33333333302</v>
      </c>
      <c r="H805" s="731">
        <f>+J793*G805+E805</f>
        <v>69990.156229977816</v>
      </c>
      <c r="I805" s="738">
        <f>+J794*G805+E805</f>
        <v>69990.156229977816</v>
      </c>
      <c r="J805" s="734">
        <f t="shared" si="74"/>
        <v>0</v>
      </c>
      <c r="K805" s="734"/>
      <c r="L805" s="739"/>
      <c r="M805" s="734">
        <f t="shared" si="75"/>
        <v>0</v>
      </c>
      <c r="N805" s="739"/>
      <c r="O805" s="734">
        <f t="shared" si="76"/>
        <v>0</v>
      </c>
      <c r="P805" s="734">
        <f t="shared" si="77"/>
        <v>0</v>
      </c>
      <c r="Q805" s="684"/>
    </row>
    <row r="806" spans="2:17">
      <c r="B806" s="337"/>
      <c r="C806" s="730">
        <f>IF(D792="","-",+C805+1)</f>
        <v>2025</v>
      </c>
      <c r="D806" s="683">
        <f t="shared" si="78"/>
        <v>539337.15686274483</v>
      </c>
      <c r="E806" s="737">
        <f t="shared" si="79"/>
        <v>12422.35294117647</v>
      </c>
      <c r="F806" s="737">
        <f t="shared" si="72"/>
        <v>526914.80392156832</v>
      </c>
      <c r="G806" s="683">
        <f t="shared" si="73"/>
        <v>533125.98039215663</v>
      </c>
      <c r="H806" s="731">
        <f>+J793*G806+E806</f>
        <v>68679.314409359955</v>
      </c>
      <c r="I806" s="738">
        <f>+J794*G806+E806</f>
        <v>68679.314409359955</v>
      </c>
      <c r="J806" s="734">
        <f t="shared" si="74"/>
        <v>0</v>
      </c>
      <c r="K806" s="734"/>
      <c r="L806" s="739"/>
      <c r="M806" s="734">
        <f t="shared" si="75"/>
        <v>0</v>
      </c>
      <c r="N806" s="739"/>
      <c r="O806" s="734">
        <f t="shared" si="76"/>
        <v>0</v>
      </c>
      <c r="P806" s="734">
        <f t="shared" si="77"/>
        <v>0</v>
      </c>
      <c r="Q806" s="684"/>
    </row>
    <row r="807" spans="2:17">
      <c r="B807" s="337"/>
      <c r="C807" s="730">
        <f>IF(D792="","-",+C806+1)</f>
        <v>2026</v>
      </c>
      <c r="D807" s="683">
        <f t="shared" si="78"/>
        <v>526914.80392156832</v>
      </c>
      <c r="E807" s="737">
        <f t="shared" si="79"/>
        <v>12422.35294117647</v>
      </c>
      <c r="F807" s="737">
        <f t="shared" si="72"/>
        <v>514492.45098039188</v>
      </c>
      <c r="G807" s="683">
        <f t="shared" si="73"/>
        <v>520703.62745098013</v>
      </c>
      <c r="H807" s="731">
        <f>+J793*G807+E807</f>
        <v>67368.472588742079</v>
      </c>
      <c r="I807" s="738">
        <f>+J794*G807+E807</f>
        <v>67368.472588742079</v>
      </c>
      <c r="J807" s="734">
        <f t="shared" si="74"/>
        <v>0</v>
      </c>
      <c r="K807" s="734"/>
      <c r="L807" s="739"/>
      <c r="M807" s="734">
        <f t="shared" si="75"/>
        <v>0</v>
      </c>
      <c r="N807" s="739"/>
      <c r="O807" s="734">
        <f t="shared" si="76"/>
        <v>0</v>
      </c>
      <c r="P807" s="734">
        <f t="shared" si="77"/>
        <v>0</v>
      </c>
      <c r="Q807" s="684"/>
    </row>
    <row r="808" spans="2:17">
      <c r="B808" s="337"/>
      <c r="C808" s="730">
        <f>IF(D792="","-",+C807+1)</f>
        <v>2027</v>
      </c>
      <c r="D808" s="683">
        <f t="shared" si="78"/>
        <v>514492.45098039188</v>
      </c>
      <c r="E808" s="737">
        <f t="shared" si="79"/>
        <v>12422.35294117647</v>
      </c>
      <c r="F808" s="737">
        <f t="shared" si="72"/>
        <v>502070.09803921543</v>
      </c>
      <c r="G808" s="683">
        <f t="shared" si="73"/>
        <v>508281.27450980362</v>
      </c>
      <c r="H808" s="731">
        <f>+J793*G808+E808</f>
        <v>66057.630768124203</v>
      </c>
      <c r="I808" s="738">
        <f>+J794*G808+E808</f>
        <v>66057.630768124203</v>
      </c>
      <c r="J808" s="734">
        <f t="shared" si="74"/>
        <v>0</v>
      </c>
      <c r="K808" s="734"/>
      <c r="L808" s="739"/>
      <c r="M808" s="734">
        <f t="shared" si="75"/>
        <v>0</v>
      </c>
      <c r="N808" s="739"/>
      <c r="O808" s="734">
        <f t="shared" si="76"/>
        <v>0</v>
      </c>
      <c r="P808" s="734">
        <f t="shared" si="77"/>
        <v>0</v>
      </c>
      <c r="Q808" s="684"/>
    </row>
    <row r="809" spans="2:17">
      <c r="B809" s="337"/>
      <c r="C809" s="730">
        <f>IF(D792="","-",+C808+1)</f>
        <v>2028</v>
      </c>
      <c r="D809" s="683">
        <f t="shared" si="78"/>
        <v>502070.09803921543</v>
      </c>
      <c r="E809" s="737">
        <f t="shared" si="79"/>
        <v>12422.35294117647</v>
      </c>
      <c r="F809" s="737">
        <f t="shared" si="72"/>
        <v>489647.74509803898</v>
      </c>
      <c r="G809" s="683">
        <f t="shared" si="73"/>
        <v>495858.92156862724</v>
      </c>
      <c r="H809" s="731">
        <f>+J793*G809+E809</f>
        <v>64746.788947506342</v>
      </c>
      <c r="I809" s="738">
        <f>+J794*G809+E809</f>
        <v>64746.788947506342</v>
      </c>
      <c r="J809" s="734">
        <f t="shared" si="74"/>
        <v>0</v>
      </c>
      <c r="K809" s="734"/>
      <c r="L809" s="739"/>
      <c r="M809" s="734">
        <f t="shared" si="75"/>
        <v>0</v>
      </c>
      <c r="N809" s="739"/>
      <c r="O809" s="734">
        <f t="shared" si="76"/>
        <v>0</v>
      </c>
      <c r="P809" s="734">
        <f t="shared" si="77"/>
        <v>0</v>
      </c>
      <c r="Q809" s="684"/>
    </row>
    <row r="810" spans="2:17">
      <c r="B810" s="337"/>
      <c r="C810" s="730">
        <f>IF(D792="","-",+C809+1)</f>
        <v>2029</v>
      </c>
      <c r="D810" s="683">
        <f t="shared" si="78"/>
        <v>489647.74509803898</v>
      </c>
      <c r="E810" s="737">
        <f t="shared" si="79"/>
        <v>12422.35294117647</v>
      </c>
      <c r="F810" s="737">
        <f t="shared" si="72"/>
        <v>477225.39215686254</v>
      </c>
      <c r="G810" s="683">
        <f t="shared" si="73"/>
        <v>483436.56862745073</v>
      </c>
      <c r="H810" s="731">
        <f>+J793*G810+E810</f>
        <v>63435.947126888474</v>
      </c>
      <c r="I810" s="738">
        <f>+J794*G810+E810</f>
        <v>63435.947126888474</v>
      </c>
      <c r="J810" s="734">
        <f t="shared" si="74"/>
        <v>0</v>
      </c>
      <c r="K810" s="734"/>
      <c r="L810" s="739"/>
      <c r="M810" s="734">
        <f t="shared" si="75"/>
        <v>0</v>
      </c>
      <c r="N810" s="739"/>
      <c r="O810" s="734">
        <f t="shared" si="76"/>
        <v>0</v>
      </c>
      <c r="P810" s="734">
        <f t="shared" si="77"/>
        <v>0</v>
      </c>
      <c r="Q810" s="684"/>
    </row>
    <row r="811" spans="2:17">
      <c r="B811" s="337"/>
      <c r="C811" s="730">
        <f>IF(D792="","-",+C810+1)</f>
        <v>2030</v>
      </c>
      <c r="D811" s="683">
        <f t="shared" si="78"/>
        <v>477225.39215686254</v>
      </c>
      <c r="E811" s="737">
        <f t="shared" si="79"/>
        <v>12422.35294117647</v>
      </c>
      <c r="F811" s="737">
        <f t="shared" si="72"/>
        <v>464803.03921568609</v>
      </c>
      <c r="G811" s="683">
        <f t="shared" si="73"/>
        <v>471014.21568627434</v>
      </c>
      <c r="H811" s="731">
        <f>+J793*G811+E811</f>
        <v>62125.105306270612</v>
      </c>
      <c r="I811" s="738">
        <f>+J794*G811+E811</f>
        <v>62125.105306270612</v>
      </c>
      <c r="J811" s="734">
        <f t="shared" si="74"/>
        <v>0</v>
      </c>
      <c r="K811" s="734"/>
      <c r="L811" s="739"/>
      <c r="M811" s="734">
        <f t="shared" si="75"/>
        <v>0</v>
      </c>
      <c r="N811" s="739"/>
      <c r="O811" s="734">
        <f t="shared" si="76"/>
        <v>0</v>
      </c>
      <c r="P811" s="734">
        <f t="shared" si="77"/>
        <v>0</v>
      </c>
      <c r="Q811" s="684"/>
    </row>
    <row r="812" spans="2:17">
      <c r="B812" s="337"/>
      <c r="C812" s="730">
        <f>IF(D792="","-",+C811+1)</f>
        <v>2031</v>
      </c>
      <c r="D812" s="683">
        <f t="shared" si="78"/>
        <v>464803.03921568609</v>
      </c>
      <c r="E812" s="737">
        <f t="shared" si="79"/>
        <v>12422.35294117647</v>
      </c>
      <c r="F812" s="737">
        <f t="shared" si="72"/>
        <v>452380.68627450964</v>
      </c>
      <c r="G812" s="683">
        <f t="shared" si="73"/>
        <v>458591.86274509784</v>
      </c>
      <c r="H812" s="731">
        <f>+J793*G812+E812</f>
        <v>60814.263485652744</v>
      </c>
      <c r="I812" s="738">
        <f>+J794*G812+E812</f>
        <v>60814.263485652744</v>
      </c>
      <c r="J812" s="734">
        <f t="shared" si="74"/>
        <v>0</v>
      </c>
      <c r="K812" s="734"/>
      <c r="L812" s="739"/>
      <c r="M812" s="734">
        <f t="shared" si="75"/>
        <v>0</v>
      </c>
      <c r="N812" s="739"/>
      <c r="O812" s="734">
        <f t="shared" si="76"/>
        <v>0</v>
      </c>
      <c r="P812" s="734">
        <f t="shared" si="77"/>
        <v>0</v>
      </c>
      <c r="Q812" s="684"/>
    </row>
    <row r="813" spans="2:17">
      <c r="B813" s="337"/>
      <c r="C813" s="730">
        <f>IF(D792="","-",+C812+1)</f>
        <v>2032</v>
      </c>
      <c r="D813" s="683">
        <f t="shared" si="78"/>
        <v>452380.68627450964</v>
      </c>
      <c r="E813" s="737">
        <f t="shared" si="79"/>
        <v>12422.35294117647</v>
      </c>
      <c r="F813" s="737">
        <f t="shared" si="72"/>
        <v>439958.3333333332</v>
      </c>
      <c r="G813" s="683">
        <f t="shared" si="73"/>
        <v>446169.50980392145</v>
      </c>
      <c r="H813" s="731">
        <f>+J793*G813+E813</f>
        <v>59503.421665034883</v>
      </c>
      <c r="I813" s="738">
        <f>+J794*G813+E813</f>
        <v>59503.421665034883</v>
      </c>
      <c r="J813" s="734">
        <f t="shared" si="74"/>
        <v>0</v>
      </c>
      <c r="K813" s="734"/>
      <c r="L813" s="739"/>
      <c r="M813" s="734">
        <f t="shared" si="75"/>
        <v>0</v>
      </c>
      <c r="N813" s="739"/>
      <c r="O813" s="734">
        <f t="shared" si="76"/>
        <v>0</v>
      </c>
      <c r="P813" s="734">
        <f t="shared" si="77"/>
        <v>0</v>
      </c>
      <c r="Q813" s="684"/>
    </row>
    <row r="814" spans="2:17">
      <c r="B814" s="337"/>
      <c r="C814" s="730">
        <f>IF(D792="","-",+C813+1)</f>
        <v>2033</v>
      </c>
      <c r="D814" s="683">
        <f t="shared" si="78"/>
        <v>439958.3333333332</v>
      </c>
      <c r="E814" s="737">
        <f t="shared" si="79"/>
        <v>12422.35294117647</v>
      </c>
      <c r="F814" s="737">
        <f t="shared" si="72"/>
        <v>427535.98039215675</v>
      </c>
      <c r="G814" s="683">
        <f t="shared" si="73"/>
        <v>433747.15686274495</v>
      </c>
      <c r="H814" s="731">
        <f>+J793*G814+E814</f>
        <v>58192.579844417014</v>
      </c>
      <c r="I814" s="738">
        <f>+J794*G814+E814</f>
        <v>58192.579844417014</v>
      </c>
      <c r="J814" s="734">
        <f t="shared" si="74"/>
        <v>0</v>
      </c>
      <c r="K814" s="734"/>
      <c r="L814" s="739"/>
      <c r="M814" s="734">
        <f t="shared" si="75"/>
        <v>0</v>
      </c>
      <c r="N814" s="739"/>
      <c r="O814" s="734">
        <f t="shared" si="76"/>
        <v>0</v>
      </c>
      <c r="P814" s="734">
        <f t="shared" si="77"/>
        <v>0</v>
      </c>
      <c r="Q814" s="684"/>
    </row>
    <row r="815" spans="2:17">
      <c r="B815" s="337"/>
      <c r="C815" s="730">
        <f>IF(D792="","-",+C814+1)</f>
        <v>2034</v>
      </c>
      <c r="D815" s="683">
        <f t="shared" si="78"/>
        <v>427535.98039215675</v>
      </c>
      <c r="E815" s="737">
        <f t="shared" si="79"/>
        <v>12422.35294117647</v>
      </c>
      <c r="F815" s="737">
        <f t="shared" si="72"/>
        <v>415113.6274509803</v>
      </c>
      <c r="G815" s="683">
        <f t="shared" si="73"/>
        <v>421324.80392156856</v>
      </c>
      <c r="H815" s="731">
        <f>+J793*G815+E815</f>
        <v>56881.738023799153</v>
      </c>
      <c r="I815" s="738">
        <f>+J794*G815+E815</f>
        <v>56881.738023799153</v>
      </c>
      <c r="J815" s="734">
        <f t="shared" si="74"/>
        <v>0</v>
      </c>
      <c r="K815" s="734"/>
      <c r="L815" s="739"/>
      <c r="M815" s="734">
        <f t="shared" si="75"/>
        <v>0</v>
      </c>
      <c r="N815" s="739"/>
      <c r="O815" s="734">
        <f t="shared" si="76"/>
        <v>0</v>
      </c>
      <c r="P815" s="734">
        <f t="shared" si="77"/>
        <v>0</v>
      </c>
      <c r="Q815" s="684"/>
    </row>
    <row r="816" spans="2:17">
      <c r="B816" s="337"/>
      <c r="C816" s="730">
        <f>IF(D792="","-",+C815+1)</f>
        <v>2035</v>
      </c>
      <c r="D816" s="683">
        <f t="shared" si="78"/>
        <v>415113.6274509803</v>
      </c>
      <c r="E816" s="737">
        <f t="shared" si="79"/>
        <v>12422.35294117647</v>
      </c>
      <c r="F816" s="737">
        <f t="shared" si="72"/>
        <v>402691.27450980386</v>
      </c>
      <c r="G816" s="683">
        <f t="shared" si="73"/>
        <v>408902.45098039205</v>
      </c>
      <c r="H816" s="731">
        <f>+J793*G816+E816</f>
        <v>55570.896203181277</v>
      </c>
      <c r="I816" s="738">
        <f>+J794*G816+E816</f>
        <v>55570.896203181277</v>
      </c>
      <c r="J816" s="734">
        <f t="shared" si="74"/>
        <v>0</v>
      </c>
      <c r="K816" s="734"/>
      <c r="L816" s="739"/>
      <c r="M816" s="734">
        <f t="shared" si="75"/>
        <v>0</v>
      </c>
      <c r="N816" s="739"/>
      <c r="O816" s="734">
        <f t="shared" si="76"/>
        <v>0</v>
      </c>
      <c r="P816" s="734">
        <f t="shared" si="77"/>
        <v>0</v>
      </c>
      <c r="Q816" s="684"/>
    </row>
    <row r="817" spans="2:17">
      <c r="B817" s="337"/>
      <c r="C817" s="730">
        <f>IF(D792="","-",+C816+1)</f>
        <v>2036</v>
      </c>
      <c r="D817" s="683">
        <f t="shared" si="78"/>
        <v>402691.27450980386</v>
      </c>
      <c r="E817" s="737">
        <f t="shared" si="79"/>
        <v>12422.35294117647</v>
      </c>
      <c r="F817" s="737">
        <f t="shared" si="72"/>
        <v>390268.92156862741</v>
      </c>
      <c r="G817" s="683">
        <f t="shared" si="73"/>
        <v>396480.09803921566</v>
      </c>
      <c r="H817" s="731">
        <f>+J793*G817+E817</f>
        <v>54260.054382563423</v>
      </c>
      <c r="I817" s="738">
        <f>+J794*G817+E817</f>
        <v>54260.054382563423</v>
      </c>
      <c r="J817" s="734">
        <f t="shared" si="74"/>
        <v>0</v>
      </c>
      <c r="K817" s="734"/>
      <c r="L817" s="739"/>
      <c r="M817" s="734">
        <f t="shared" si="75"/>
        <v>0</v>
      </c>
      <c r="N817" s="739"/>
      <c r="O817" s="734">
        <f t="shared" si="76"/>
        <v>0</v>
      </c>
      <c r="P817" s="734">
        <f t="shared" si="77"/>
        <v>0</v>
      </c>
      <c r="Q817" s="684"/>
    </row>
    <row r="818" spans="2:17">
      <c r="B818" s="337"/>
      <c r="C818" s="730">
        <f>IF(D792="","-",+C817+1)</f>
        <v>2037</v>
      </c>
      <c r="D818" s="683">
        <f t="shared" si="78"/>
        <v>390268.92156862741</v>
      </c>
      <c r="E818" s="737">
        <f t="shared" si="79"/>
        <v>12422.35294117647</v>
      </c>
      <c r="F818" s="737">
        <f t="shared" si="72"/>
        <v>377846.56862745096</v>
      </c>
      <c r="G818" s="683">
        <f t="shared" si="73"/>
        <v>384057.74509803916</v>
      </c>
      <c r="H818" s="731">
        <f>+J793*G818+E818</f>
        <v>52949.212561945547</v>
      </c>
      <c r="I818" s="738">
        <f>+J794*G818+E818</f>
        <v>52949.212561945547</v>
      </c>
      <c r="J818" s="734">
        <f t="shared" si="74"/>
        <v>0</v>
      </c>
      <c r="K818" s="734"/>
      <c r="L818" s="739"/>
      <c r="M818" s="734">
        <f t="shared" si="75"/>
        <v>0</v>
      </c>
      <c r="N818" s="739"/>
      <c r="O818" s="734">
        <f t="shared" si="76"/>
        <v>0</v>
      </c>
      <c r="P818" s="734">
        <f t="shared" si="77"/>
        <v>0</v>
      </c>
      <c r="Q818" s="684"/>
    </row>
    <row r="819" spans="2:17">
      <c r="B819" s="337"/>
      <c r="C819" s="730">
        <f>IF(D792="","-",+C818+1)</f>
        <v>2038</v>
      </c>
      <c r="D819" s="683">
        <f t="shared" si="78"/>
        <v>377846.56862745096</v>
      </c>
      <c r="E819" s="737">
        <f t="shared" si="79"/>
        <v>12422.35294117647</v>
      </c>
      <c r="F819" s="737">
        <f t="shared" si="72"/>
        <v>365424.21568627452</v>
      </c>
      <c r="G819" s="683">
        <f t="shared" si="73"/>
        <v>371635.39215686277</v>
      </c>
      <c r="H819" s="731">
        <f>+J793*G819+E819</f>
        <v>51638.370741327693</v>
      </c>
      <c r="I819" s="738">
        <f>+J794*G819+E819</f>
        <v>51638.370741327693</v>
      </c>
      <c r="J819" s="734">
        <f t="shared" si="74"/>
        <v>0</v>
      </c>
      <c r="K819" s="734"/>
      <c r="L819" s="739"/>
      <c r="M819" s="734">
        <f t="shared" si="75"/>
        <v>0</v>
      </c>
      <c r="N819" s="739"/>
      <c r="O819" s="734">
        <f t="shared" si="76"/>
        <v>0</v>
      </c>
      <c r="P819" s="734">
        <f t="shared" si="77"/>
        <v>0</v>
      </c>
      <c r="Q819" s="684"/>
    </row>
    <row r="820" spans="2:17">
      <c r="B820" s="337"/>
      <c r="C820" s="730">
        <f>IF(D792="","-",+C819+1)</f>
        <v>2039</v>
      </c>
      <c r="D820" s="683">
        <f t="shared" si="78"/>
        <v>365424.21568627452</v>
      </c>
      <c r="E820" s="737">
        <f t="shared" si="79"/>
        <v>12422.35294117647</v>
      </c>
      <c r="F820" s="737">
        <f t="shared" si="72"/>
        <v>353001.86274509807</v>
      </c>
      <c r="G820" s="683">
        <f t="shared" si="73"/>
        <v>359213.03921568627</v>
      </c>
      <c r="H820" s="731">
        <f>+J793*G820+E820</f>
        <v>50327.528920709818</v>
      </c>
      <c r="I820" s="738">
        <f>+J794*G820+E820</f>
        <v>50327.528920709818</v>
      </c>
      <c r="J820" s="734">
        <f t="shared" si="74"/>
        <v>0</v>
      </c>
      <c r="K820" s="734"/>
      <c r="L820" s="739"/>
      <c r="M820" s="734">
        <f t="shared" si="75"/>
        <v>0</v>
      </c>
      <c r="N820" s="739"/>
      <c r="O820" s="734">
        <f t="shared" si="76"/>
        <v>0</v>
      </c>
      <c r="P820" s="734">
        <f t="shared" si="77"/>
        <v>0</v>
      </c>
      <c r="Q820" s="684"/>
    </row>
    <row r="821" spans="2:17">
      <c r="B821" s="337"/>
      <c r="C821" s="730">
        <f>IF(D792="","-",+C820+1)</f>
        <v>2040</v>
      </c>
      <c r="D821" s="683">
        <f t="shared" si="78"/>
        <v>353001.86274509807</v>
      </c>
      <c r="E821" s="737">
        <f t="shared" si="79"/>
        <v>12422.35294117647</v>
      </c>
      <c r="F821" s="737">
        <f t="shared" si="72"/>
        <v>340579.50980392162</v>
      </c>
      <c r="G821" s="683">
        <f t="shared" si="73"/>
        <v>346790.68627450988</v>
      </c>
      <c r="H821" s="731">
        <f>+J793*G821+E821</f>
        <v>49016.687100091956</v>
      </c>
      <c r="I821" s="738">
        <f>+J794*G821+E821</f>
        <v>49016.687100091956</v>
      </c>
      <c r="J821" s="734">
        <f t="shared" si="74"/>
        <v>0</v>
      </c>
      <c r="K821" s="734"/>
      <c r="L821" s="739"/>
      <c r="M821" s="734">
        <f t="shared" si="75"/>
        <v>0</v>
      </c>
      <c r="N821" s="739"/>
      <c r="O821" s="734">
        <f t="shared" si="76"/>
        <v>0</v>
      </c>
      <c r="P821" s="734">
        <f t="shared" si="77"/>
        <v>0</v>
      </c>
      <c r="Q821" s="684"/>
    </row>
    <row r="822" spans="2:17">
      <c r="B822" s="337"/>
      <c r="C822" s="730">
        <f>IF(D792="","-",+C821+1)</f>
        <v>2041</v>
      </c>
      <c r="D822" s="683">
        <f t="shared" si="78"/>
        <v>340579.50980392162</v>
      </c>
      <c r="E822" s="737">
        <f t="shared" si="79"/>
        <v>12422.35294117647</v>
      </c>
      <c r="F822" s="737">
        <f t="shared" si="72"/>
        <v>328157.15686274518</v>
      </c>
      <c r="G822" s="683">
        <f t="shared" si="73"/>
        <v>334368.33333333337</v>
      </c>
      <c r="H822" s="731">
        <f>+J793*G822+E822</f>
        <v>47705.845279474088</v>
      </c>
      <c r="I822" s="738">
        <f>+J794*G822+E822</f>
        <v>47705.845279474088</v>
      </c>
      <c r="J822" s="734">
        <f t="shared" si="74"/>
        <v>0</v>
      </c>
      <c r="K822" s="734"/>
      <c r="L822" s="739"/>
      <c r="M822" s="734">
        <f t="shared" si="75"/>
        <v>0</v>
      </c>
      <c r="N822" s="739"/>
      <c r="O822" s="734">
        <f t="shared" si="76"/>
        <v>0</v>
      </c>
      <c r="P822" s="734">
        <f t="shared" si="77"/>
        <v>0</v>
      </c>
      <c r="Q822" s="684"/>
    </row>
    <row r="823" spans="2:17">
      <c r="B823" s="337"/>
      <c r="C823" s="730">
        <f>IF(D792="","-",+C822+1)</f>
        <v>2042</v>
      </c>
      <c r="D823" s="683">
        <f t="shared" si="78"/>
        <v>328157.15686274518</v>
      </c>
      <c r="E823" s="737">
        <f t="shared" si="79"/>
        <v>12422.35294117647</v>
      </c>
      <c r="F823" s="737">
        <f t="shared" si="72"/>
        <v>315734.80392156873</v>
      </c>
      <c r="G823" s="683">
        <f t="shared" si="73"/>
        <v>321945.98039215698</v>
      </c>
      <c r="H823" s="731">
        <f>+J793*G823+E823</f>
        <v>46395.003458856227</v>
      </c>
      <c r="I823" s="738">
        <f>+J794*G823+E823</f>
        <v>46395.003458856227</v>
      </c>
      <c r="J823" s="734">
        <f t="shared" si="74"/>
        <v>0</v>
      </c>
      <c r="K823" s="734"/>
      <c r="L823" s="739"/>
      <c r="M823" s="734">
        <f t="shared" si="75"/>
        <v>0</v>
      </c>
      <c r="N823" s="739"/>
      <c r="O823" s="734">
        <f t="shared" si="76"/>
        <v>0</v>
      </c>
      <c r="P823" s="734">
        <f t="shared" si="77"/>
        <v>0</v>
      </c>
      <c r="Q823" s="684"/>
    </row>
    <row r="824" spans="2:17">
      <c r="B824" s="337"/>
      <c r="C824" s="730">
        <f>IF(D792="","-",+C823+1)</f>
        <v>2043</v>
      </c>
      <c r="D824" s="683">
        <f t="shared" si="78"/>
        <v>315734.80392156873</v>
      </c>
      <c r="E824" s="737">
        <f t="shared" si="79"/>
        <v>12422.35294117647</v>
      </c>
      <c r="F824" s="737">
        <f t="shared" si="72"/>
        <v>303312.45098039228</v>
      </c>
      <c r="G824" s="683">
        <f t="shared" si="73"/>
        <v>309523.62745098048</v>
      </c>
      <c r="H824" s="731">
        <f>+J793*G824+E824</f>
        <v>45084.161638238358</v>
      </c>
      <c r="I824" s="738">
        <f>+J794*G824+E824</f>
        <v>45084.161638238358</v>
      </c>
      <c r="J824" s="734">
        <f t="shared" si="74"/>
        <v>0</v>
      </c>
      <c r="K824" s="734"/>
      <c r="L824" s="739"/>
      <c r="M824" s="734">
        <f t="shared" si="75"/>
        <v>0</v>
      </c>
      <c r="N824" s="739"/>
      <c r="O824" s="734">
        <f t="shared" si="76"/>
        <v>0</v>
      </c>
      <c r="P824" s="734">
        <f t="shared" si="77"/>
        <v>0</v>
      </c>
      <c r="Q824" s="684"/>
    </row>
    <row r="825" spans="2:17">
      <c r="B825" s="337"/>
      <c r="C825" s="730">
        <f>IF(D792="","-",+C824+1)</f>
        <v>2044</v>
      </c>
      <c r="D825" s="683">
        <f t="shared" si="78"/>
        <v>303312.45098039228</v>
      </c>
      <c r="E825" s="737">
        <f t="shared" si="79"/>
        <v>12422.35294117647</v>
      </c>
      <c r="F825" s="737">
        <f t="shared" si="72"/>
        <v>290890.09803921584</v>
      </c>
      <c r="G825" s="683">
        <f t="shared" si="73"/>
        <v>297101.27450980409</v>
      </c>
      <c r="H825" s="731">
        <f>+J793*G825+E825</f>
        <v>43773.319817620497</v>
      </c>
      <c r="I825" s="738">
        <f>+J794*G825+E825</f>
        <v>43773.319817620497</v>
      </c>
      <c r="J825" s="734">
        <f t="shared" si="74"/>
        <v>0</v>
      </c>
      <c r="K825" s="734"/>
      <c r="L825" s="739"/>
      <c r="M825" s="734">
        <f t="shared" si="75"/>
        <v>0</v>
      </c>
      <c r="N825" s="739"/>
      <c r="O825" s="734">
        <f t="shared" si="76"/>
        <v>0</v>
      </c>
      <c r="P825" s="734">
        <f t="shared" si="77"/>
        <v>0</v>
      </c>
      <c r="Q825" s="684"/>
    </row>
    <row r="826" spans="2:17">
      <c r="B826" s="337"/>
      <c r="C826" s="730">
        <f>IF(D792="","-",+C825+1)</f>
        <v>2045</v>
      </c>
      <c r="D826" s="683">
        <f t="shared" si="78"/>
        <v>290890.09803921584</v>
      </c>
      <c r="E826" s="737">
        <f t="shared" si="79"/>
        <v>12422.35294117647</v>
      </c>
      <c r="F826" s="737">
        <f t="shared" si="72"/>
        <v>278467.74509803939</v>
      </c>
      <c r="G826" s="683">
        <f t="shared" si="73"/>
        <v>284678.92156862759</v>
      </c>
      <c r="H826" s="731">
        <f>+J793*G826+E826</f>
        <v>42462.477997002628</v>
      </c>
      <c r="I826" s="738">
        <f>+J794*G826+E826</f>
        <v>42462.477997002628</v>
      </c>
      <c r="J826" s="734">
        <f t="shared" si="74"/>
        <v>0</v>
      </c>
      <c r="K826" s="734"/>
      <c r="L826" s="739"/>
      <c r="M826" s="734">
        <f t="shared" si="75"/>
        <v>0</v>
      </c>
      <c r="N826" s="739"/>
      <c r="O826" s="734">
        <f t="shared" si="76"/>
        <v>0</v>
      </c>
      <c r="P826" s="734">
        <f t="shared" si="77"/>
        <v>0</v>
      </c>
      <c r="Q826" s="684"/>
    </row>
    <row r="827" spans="2:17">
      <c r="B827" s="337"/>
      <c r="C827" s="730">
        <f>IF(D792="","-",+C826+1)</f>
        <v>2046</v>
      </c>
      <c r="D827" s="683">
        <f t="shared" si="78"/>
        <v>278467.74509803939</v>
      </c>
      <c r="E827" s="737">
        <f t="shared" si="79"/>
        <v>12422.35294117647</v>
      </c>
      <c r="F827" s="737">
        <f t="shared" si="72"/>
        <v>266045.39215686294</v>
      </c>
      <c r="G827" s="683">
        <f t="shared" si="73"/>
        <v>272256.5686274512</v>
      </c>
      <c r="H827" s="731">
        <f>+J793*G827+E827</f>
        <v>41151.636176384767</v>
      </c>
      <c r="I827" s="738">
        <f>+J794*G827+E827</f>
        <v>41151.636176384767</v>
      </c>
      <c r="J827" s="734">
        <f t="shared" si="74"/>
        <v>0</v>
      </c>
      <c r="K827" s="734"/>
      <c r="L827" s="739"/>
      <c r="M827" s="734">
        <f t="shared" si="75"/>
        <v>0</v>
      </c>
      <c r="N827" s="739"/>
      <c r="O827" s="734">
        <f t="shared" si="76"/>
        <v>0</v>
      </c>
      <c r="P827" s="734">
        <f t="shared" si="77"/>
        <v>0</v>
      </c>
      <c r="Q827" s="684"/>
    </row>
    <row r="828" spans="2:17">
      <c r="B828" s="337"/>
      <c r="C828" s="730">
        <f>IF(D792="","-",+C827+1)</f>
        <v>2047</v>
      </c>
      <c r="D828" s="683">
        <f t="shared" si="78"/>
        <v>266045.39215686294</v>
      </c>
      <c r="E828" s="737">
        <f t="shared" si="79"/>
        <v>12422.35294117647</v>
      </c>
      <c r="F828" s="737">
        <f t="shared" si="72"/>
        <v>253623.03921568647</v>
      </c>
      <c r="G828" s="683">
        <f t="shared" si="73"/>
        <v>259834.21568627469</v>
      </c>
      <c r="H828" s="731">
        <f>+J793*G828+E828</f>
        <v>39840.794355766899</v>
      </c>
      <c r="I828" s="738">
        <f>+J794*G828+E828</f>
        <v>39840.794355766899</v>
      </c>
      <c r="J828" s="734">
        <f t="shared" si="74"/>
        <v>0</v>
      </c>
      <c r="K828" s="734"/>
      <c r="L828" s="739"/>
      <c r="M828" s="734">
        <f t="shared" si="75"/>
        <v>0</v>
      </c>
      <c r="N828" s="739"/>
      <c r="O828" s="734">
        <f t="shared" si="76"/>
        <v>0</v>
      </c>
      <c r="P828" s="734">
        <f t="shared" si="77"/>
        <v>0</v>
      </c>
      <c r="Q828" s="684"/>
    </row>
    <row r="829" spans="2:17">
      <c r="B829" s="337"/>
      <c r="C829" s="730">
        <f>IF(D792="","-",+C828+1)</f>
        <v>2048</v>
      </c>
      <c r="D829" s="683">
        <f t="shared" si="78"/>
        <v>253623.03921568647</v>
      </c>
      <c r="E829" s="737">
        <f t="shared" si="79"/>
        <v>12422.35294117647</v>
      </c>
      <c r="F829" s="737">
        <f t="shared" si="72"/>
        <v>241200.68627450999</v>
      </c>
      <c r="G829" s="683">
        <f t="shared" si="73"/>
        <v>247411.86274509825</v>
      </c>
      <c r="H829" s="731">
        <f>+J793*G829+E829</f>
        <v>38529.95253514903</v>
      </c>
      <c r="I829" s="738">
        <f>+J794*G829+E829</f>
        <v>38529.95253514903</v>
      </c>
      <c r="J829" s="734">
        <f t="shared" si="74"/>
        <v>0</v>
      </c>
      <c r="K829" s="734"/>
      <c r="L829" s="739"/>
      <c r="M829" s="734">
        <f t="shared" si="75"/>
        <v>0</v>
      </c>
      <c r="N829" s="739"/>
      <c r="O829" s="734">
        <f t="shared" si="76"/>
        <v>0</v>
      </c>
      <c r="P829" s="734">
        <f t="shared" si="77"/>
        <v>0</v>
      </c>
      <c r="Q829" s="684"/>
    </row>
    <row r="830" spans="2:17">
      <c r="B830" s="337"/>
      <c r="C830" s="730">
        <f>IF(D792="","-",+C829+1)</f>
        <v>2049</v>
      </c>
      <c r="D830" s="683">
        <f t="shared" si="78"/>
        <v>241200.68627450999</v>
      </c>
      <c r="E830" s="737">
        <f t="shared" si="79"/>
        <v>12422.35294117647</v>
      </c>
      <c r="F830" s="737">
        <f t="shared" si="72"/>
        <v>228778.33333333352</v>
      </c>
      <c r="G830" s="683">
        <f t="shared" si="73"/>
        <v>234989.50980392174</v>
      </c>
      <c r="H830" s="731">
        <f>+J793*G830+E830</f>
        <v>37219.110714531162</v>
      </c>
      <c r="I830" s="738">
        <f>+J794*G830+E830</f>
        <v>37219.110714531162</v>
      </c>
      <c r="J830" s="734">
        <f t="shared" si="74"/>
        <v>0</v>
      </c>
      <c r="K830" s="734"/>
      <c r="L830" s="739"/>
      <c r="M830" s="734">
        <f t="shared" si="75"/>
        <v>0</v>
      </c>
      <c r="N830" s="739"/>
      <c r="O830" s="734">
        <f t="shared" si="76"/>
        <v>0</v>
      </c>
      <c r="P830" s="734">
        <f t="shared" si="77"/>
        <v>0</v>
      </c>
      <c r="Q830" s="684"/>
    </row>
    <row r="831" spans="2:17">
      <c r="B831" s="337"/>
      <c r="C831" s="730">
        <f>IF(D792="","-",+C830+1)</f>
        <v>2050</v>
      </c>
      <c r="D831" s="683">
        <f t="shared" si="78"/>
        <v>228778.33333333352</v>
      </c>
      <c r="E831" s="737">
        <f t="shared" si="79"/>
        <v>12422.35294117647</v>
      </c>
      <c r="F831" s="737">
        <f t="shared" si="72"/>
        <v>216355.98039215704</v>
      </c>
      <c r="G831" s="683">
        <f t="shared" si="73"/>
        <v>222567.15686274529</v>
      </c>
      <c r="H831" s="731">
        <f>+J793*G831+E831</f>
        <v>35908.268893913293</v>
      </c>
      <c r="I831" s="738">
        <f>+J794*G831+E831</f>
        <v>35908.268893913293</v>
      </c>
      <c r="J831" s="734">
        <f t="shared" si="74"/>
        <v>0</v>
      </c>
      <c r="K831" s="734"/>
      <c r="L831" s="739"/>
      <c r="M831" s="734">
        <f t="shared" si="75"/>
        <v>0</v>
      </c>
      <c r="N831" s="739"/>
      <c r="O831" s="734">
        <f t="shared" si="76"/>
        <v>0</v>
      </c>
      <c r="P831" s="734">
        <f t="shared" si="77"/>
        <v>0</v>
      </c>
      <c r="Q831" s="684"/>
    </row>
    <row r="832" spans="2:17">
      <c r="B832" s="337"/>
      <c r="C832" s="730">
        <f>IF(D792="","-",+C831+1)</f>
        <v>2051</v>
      </c>
      <c r="D832" s="683">
        <f t="shared" si="78"/>
        <v>216355.98039215704</v>
      </c>
      <c r="E832" s="737">
        <f t="shared" si="79"/>
        <v>12422.35294117647</v>
      </c>
      <c r="F832" s="737">
        <f t="shared" si="72"/>
        <v>203933.62745098057</v>
      </c>
      <c r="G832" s="683">
        <f t="shared" si="73"/>
        <v>210144.80392156879</v>
      </c>
      <c r="H832" s="731">
        <f>+J793*G832+E832</f>
        <v>34597.427073295425</v>
      </c>
      <c r="I832" s="738">
        <f>+J794*G832+E832</f>
        <v>34597.427073295425</v>
      </c>
      <c r="J832" s="734">
        <f t="shared" si="74"/>
        <v>0</v>
      </c>
      <c r="K832" s="734"/>
      <c r="L832" s="739"/>
      <c r="M832" s="734">
        <f t="shared" si="75"/>
        <v>0</v>
      </c>
      <c r="N832" s="739"/>
      <c r="O832" s="734">
        <f t="shared" si="76"/>
        <v>0</v>
      </c>
      <c r="P832" s="734">
        <f t="shared" si="77"/>
        <v>0</v>
      </c>
      <c r="Q832" s="684"/>
    </row>
    <row r="833" spans="2:17">
      <c r="B833" s="337"/>
      <c r="C833" s="730">
        <f>IF(D792="","-",+C832+1)</f>
        <v>2052</v>
      </c>
      <c r="D833" s="683">
        <f t="shared" si="78"/>
        <v>203933.62745098057</v>
      </c>
      <c r="E833" s="737">
        <f t="shared" si="79"/>
        <v>12422.35294117647</v>
      </c>
      <c r="F833" s="737">
        <f t="shared" si="72"/>
        <v>191511.27450980409</v>
      </c>
      <c r="G833" s="683">
        <f t="shared" si="73"/>
        <v>197722.45098039234</v>
      </c>
      <c r="H833" s="731">
        <f>+J793*G833+E833</f>
        <v>33286.585252677556</v>
      </c>
      <c r="I833" s="738">
        <f>+J794*G833+E833</f>
        <v>33286.585252677556</v>
      </c>
      <c r="J833" s="734">
        <f t="shared" si="74"/>
        <v>0</v>
      </c>
      <c r="K833" s="734"/>
      <c r="L833" s="739"/>
      <c r="M833" s="734">
        <f t="shared" si="75"/>
        <v>0</v>
      </c>
      <c r="N833" s="739"/>
      <c r="O833" s="734">
        <f t="shared" si="76"/>
        <v>0</v>
      </c>
      <c r="P833" s="734">
        <f t="shared" si="77"/>
        <v>0</v>
      </c>
      <c r="Q833" s="684"/>
    </row>
    <row r="834" spans="2:17">
      <c r="B834" s="337"/>
      <c r="C834" s="730">
        <f>IF(D792="","-",+C833+1)</f>
        <v>2053</v>
      </c>
      <c r="D834" s="683">
        <f t="shared" si="78"/>
        <v>191511.27450980409</v>
      </c>
      <c r="E834" s="737">
        <f t="shared" si="79"/>
        <v>12422.35294117647</v>
      </c>
      <c r="F834" s="737">
        <f t="shared" si="72"/>
        <v>179088.92156862761</v>
      </c>
      <c r="G834" s="683">
        <f t="shared" si="73"/>
        <v>185300.09803921584</v>
      </c>
      <c r="H834" s="731">
        <f>+J793*G834+E834</f>
        <v>31975.743432059688</v>
      </c>
      <c r="I834" s="738">
        <f>+J794*G834+E834</f>
        <v>31975.743432059688</v>
      </c>
      <c r="J834" s="734">
        <f t="shared" si="74"/>
        <v>0</v>
      </c>
      <c r="K834" s="734"/>
      <c r="L834" s="739"/>
      <c r="M834" s="734">
        <f t="shared" si="75"/>
        <v>0</v>
      </c>
      <c r="N834" s="739"/>
      <c r="O834" s="734">
        <f t="shared" si="76"/>
        <v>0</v>
      </c>
      <c r="P834" s="734">
        <f t="shared" si="77"/>
        <v>0</v>
      </c>
      <c r="Q834" s="684"/>
    </row>
    <row r="835" spans="2:17">
      <c r="B835" s="337"/>
      <c r="C835" s="730">
        <f>IF(D792="","-",+C834+1)</f>
        <v>2054</v>
      </c>
      <c r="D835" s="683">
        <f t="shared" si="78"/>
        <v>179088.92156862761</v>
      </c>
      <c r="E835" s="737">
        <f t="shared" si="79"/>
        <v>12422.35294117647</v>
      </c>
      <c r="F835" s="737">
        <f t="shared" si="72"/>
        <v>166666.56862745114</v>
      </c>
      <c r="G835" s="683">
        <f t="shared" si="73"/>
        <v>172877.74509803939</v>
      </c>
      <c r="H835" s="731">
        <f>+J793*G835+E835</f>
        <v>30664.901611441819</v>
      </c>
      <c r="I835" s="738">
        <f>+J794*G835+E835</f>
        <v>30664.901611441819</v>
      </c>
      <c r="J835" s="734">
        <f t="shared" si="74"/>
        <v>0</v>
      </c>
      <c r="K835" s="734"/>
      <c r="L835" s="739"/>
      <c r="M835" s="734">
        <f t="shared" si="75"/>
        <v>0</v>
      </c>
      <c r="N835" s="739"/>
      <c r="O835" s="734">
        <f t="shared" si="76"/>
        <v>0</v>
      </c>
      <c r="P835" s="734">
        <f t="shared" si="77"/>
        <v>0</v>
      </c>
      <c r="Q835" s="684"/>
    </row>
    <row r="836" spans="2:17">
      <c r="B836" s="337"/>
      <c r="C836" s="730">
        <f>IF(D792="","-",+C835+1)</f>
        <v>2055</v>
      </c>
      <c r="D836" s="683">
        <f t="shared" si="78"/>
        <v>166666.56862745114</v>
      </c>
      <c r="E836" s="737">
        <f t="shared" si="79"/>
        <v>12422.35294117647</v>
      </c>
      <c r="F836" s="737">
        <f t="shared" si="72"/>
        <v>154244.21568627466</v>
      </c>
      <c r="G836" s="683">
        <f t="shared" si="73"/>
        <v>160455.39215686289</v>
      </c>
      <c r="H836" s="731">
        <f>+J793*G836+E836</f>
        <v>29354.059790823951</v>
      </c>
      <c r="I836" s="738">
        <f>+J794*G836+E836</f>
        <v>29354.059790823951</v>
      </c>
      <c r="J836" s="734">
        <f t="shared" si="74"/>
        <v>0</v>
      </c>
      <c r="K836" s="734"/>
      <c r="L836" s="739"/>
      <c r="M836" s="734">
        <f t="shared" si="75"/>
        <v>0</v>
      </c>
      <c r="N836" s="739"/>
      <c r="O836" s="734">
        <f t="shared" si="76"/>
        <v>0</v>
      </c>
      <c r="P836" s="734">
        <f t="shared" si="77"/>
        <v>0</v>
      </c>
      <c r="Q836" s="684"/>
    </row>
    <row r="837" spans="2:17">
      <c r="B837" s="337"/>
      <c r="C837" s="730">
        <f>IF(D792="","-",+C836+1)</f>
        <v>2056</v>
      </c>
      <c r="D837" s="683">
        <f t="shared" si="78"/>
        <v>154244.21568627466</v>
      </c>
      <c r="E837" s="737">
        <f t="shared" si="79"/>
        <v>12422.35294117647</v>
      </c>
      <c r="F837" s="737">
        <f t="shared" si="72"/>
        <v>141821.86274509819</v>
      </c>
      <c r="G837" s="683">
        <f t="shared" si="73"/>
        <v>148033.03921568644</v>
      </c>
      <c r="H837" s="731">
        <f>+J793*G837+E837</f>
        <v>28043.217970206082</v>
      </c>
      <c r="I837" s="738">
        <f>+J794*G837+E837</f>
        <v>28043.217970206082</v>
      </c>
      <c r="J837" s="734">
        <f t="shared" si="74"/>
        <v>0</v>
      </c>
      <c r="K837" s="734"/>
      <c r="L837" s="739"/>
      <c r="M837" s="734">
        <f t="shared" si="75"/>
        <v>0</v>
      </c>
      <c r="N837" s="739"/>
      <c r="O837" s="734">
        <f t="shared" si="76"/>
        <v>0</v>
      </c>
      <c r="P837" s="734">
        <f t="shared" si="77"/>
        <v>0</v>
      </c>
      <c r="Q837" s="684"/>
    </row>
    <row r="838" spans="2:17">
      <c r="B838" s="337"/>
      <c r="C838" s="730">
        <f>IF(D792="","-",+C837+1)</f>
        <v>2057</v>
      </c>
      <c r="D838" s="683">
        <f t="shared" si="78"/>
        <v>141821.86274509819</v>
      </c>
      <c r="E838" s="737">
        <f t="shared" si="79"/>
        <v>12422.35294117647</v>
      </c>
      <c r="F838" s="737">
        <f t="shared" si="72"/>
        <v>129399.50980392171</v>
      </c>
      <c r="G838" s="683">
        <f t="shared" si="73"/>
        <v>135610.68627450994</v>
      </c>
      <c r="H838" s="731">
        <f>+J793*G838+E838</f>
        <v>26732.37614958821</v>
      </c>
      <c r="I838" s="738">
        <f>+J794*G838+E838</f>
        <v>26732.37614958821</v>
      </c>
      <c r="J838" s="734">
        <f t="shared" si="74"/>
        <v>0</v>
      </c>
      <c r="K838" s="734"/>
      <c r="L838" s="739"/>
      <c r="M838" s="734">
        <f t="shared" si="75"/>
        <v>0</v>
      </c>
      <c r="N838" s="739"/>
      <c r="O838" s="734">
        <f t="shared" si="76"/>
        <v>0</v>
      </c>
      <c r="P838" s="734">
        <f t="shared" si="77"/>
        <v>0</v>
      </c>
      <c r="Q838" s="684"/>
    </row>
    <row r="839" spans="2:17">
      <c r="B839" s="337"/>
      <c r="C839" s="730">
        <f>IF(D792="","-",+C838+1)</f>
        <v>2058</v>
      </c>
      <c r="D839" s="683">
        <f t="shared" si="78"/>
        <v>129399.50980392171</v>
      </c>
      <c r="E839" s="737">
        <f t="shared" si="79"/>
        <v>12422.35294117647</v>
      </c>
      <c r="F839" s="737">
        <f t="shared" si="72"/>
        <v>116977.15686274524</v>
      </c>
      <c r="G839" s="683">
        <f t="shared" si="73"/>
        <v>123188.33333333347</v>
      </c>
      <c r="H839" s="731">
        <f>+J793*G839+E839</f>
        <v>25421.534328970345</v>
      </c>
      <c r="I839" s="738">
        <f>+J794*G839+E839</f>
        <v>25421.534328970345</v>
      </c>
      <c r="J839" s="734">
        <f t="shared" si="74"/>
        <v>0</v>
      </c>
      <c r="K839" s="734"/>
      <c r="L839" s="739"/>
      <c r="M839" s="734">
        <f t="shared" si="75"/>
        <v>0</v>
      </c>
      <c r="N839" s="739"/>
      <c r="O839" s="734">
        <f t="shared" si="76"/>
        <v>0</v>
      </c>
      <c r="P839" s="734">
        <f t="shared" si="77"/>
        <v>0</v>
      </c>
      <c r="Q839" s="684"/>
    </row>
    <row r="840" spans="2:17">
      <c r="B840" s="337"/>
      <c r="C840" s="730">
        <f>IF(D792="","-",+C839+1)</f>
        <v>2059</v>
      </c>
      <c r="D840" s="683">
        <f t="shared" si="78"/>
        <v>116977.15686274524</v>
      </c>
      <c r="E840" s="737">
        <f t="shared" si="79"/>
        <v>12422.35294117647</v>
      </c>
      <c r="F840" s="737">
        <f t="shared" si="72"/>
        <v>104554.80392156876</v>
      </c>
      <c r="G840" s="683">
        <f t="shared" si="73"/>
        <v>110765.980392157</v>
      </c>
      <c r="H840" s="731">
        <f>+J793*G840+E840</f>
        <v>24110.692508352477</v>
      </c>
      <c r="I840" s="738">
        <f>+J794*G840+E840</f>
        <v>24110.692508352477</v>
      </c>
      <c r="J840" s="734">
        <f t="shared" si="74"/>
        <v>0</v>
      </c>
      <c r="K840" s="734"/>
      <c r="L840" s="739"/>
      <c r="M840" s="734">
        <f t="shared" si="75"/>
        <v>0</v>
      </c>
      <c r="N840" s="739"/>
      <c r="O840" s="734">
        <f t="shared" si="76"/>
        <v>0</v>
      </c>
      <c r="P840" s="734">
        <f t="shared" si="77"/>
        <v>0</v>
      </c>
      <c r="Q840" s="684"/>
    </row>
    <row r="841" spans="2:17">
      <c r="B841" s="337"/>
      <c r="C841" s="730">
        <f>IF(D792="","-",+C840+1)</f>
        <v>2060</v>
      </c>
      <c r="D841" s="683">
        <f t="shared" si="78"/>
        <v>104554.80392156876</v>
      </c>
      <c r="E841" s="737">
        <f t="shared" si="79"/>
        <v>12422.35294117647</v>
      </c>
      <c r="F841" s="737">
        <f t="shared" si="72"/>
        <v>92132.450980392285</v>
      </c>
      <c r="G841" s="683">
        <f t="shared" si="73"/>
        <v>98343.627450980523</v>
      </c>
      <c r="H841" s="731">
        <f>+J793*G841+E841</f>
        <v>22799.850687734608</v>
      </c>
      <c r="I841" s="738">
        <f>+J794*G841+E841</f>
        <v>22799.850687734608</v>
      </c>
      <c r="J841" s="734">
        <f t="shared" si="74"/>
        <v>0</v>
      </c>
      <c r="K841" s="734"/>
      <c r="L841" s="739"/>
      <c r="M841" s="734">
        <f t="shared" si="75"/>
        <v>0</v>
      </c>
      <c r="N841" s="739"/>
      <c r="O841" s="734">
        <f t="shared" si="76"/>
        <v>0</v>
      </c>
      <c r="P841" s="734">
        <f t="shared" si="77"/>
        <v>0</v>
      </c>
      <c r="Q841" s="684"/>
    </row>
    <row r="842" spans="2:17">
      <c r="B842" s="337"/>
      <c r="C842" s="730">
        <f>IF(D792="","-",+C841+1)</f>
        <v>2061</v>
      </c>
      <c r="D842" s="683">
        <f t="shared" si="78"/>
        <v>92132.450980392285</v>
      </c>
      <c r="E842" s="737">
        <f t="shared" si="79"/>
        <v>12422.35294117647</v>
      </c>
      <c r="F842" s="737">
        <f t="shared" si="72"/>
        <v>79710.098039215809</v>
      </c>
      <c r="G842" s="683">
        <f t="shared" si="73"/>
        <v>85921.274509804047</v>
      </c>
      <c r="H842" s="731">
        <f>+J793*G842+E842</f>
        <v>21489.00886711674</v>
      </c>
      <c r="I842" s="738">
        <f>+J794*G842+E842</f>
        <v>21489.00886711674</v>
      </c>
      <c r="J842" s="734">
        <f t="shared" si="74"/>
        <v>0</v>
      </c>
      <c r="K842" s="734"/>
      <c r="L842" s="739"/>
      <c r="M842" s="734">
        <f t="shared" si="75"/>
        <v>0</v>
      </c>
      <c r="N842" s="739"/>
      <c r="O842" s="734">
        <f t="shared" si="76"/>
        <v>0</v>
      </c>
      <c r="P842" s="734">
        <f t="shared" si="77"/>
        <v>0</v>
      </c>
      <c r="Q842" s="684"/>
    </row>
    <row r="843" spans="2:17">
      <c r="B843" s="337"/>
      <c r="C843" s="730">
        <f>IF(D792="","-",+C842+1)</f>
        <v>2062</v>
      </c>
      <c r="D843" s="683">
        <f t="shared" si="78"/>
        <v>79710.098039215809</v>
      </c>
      <c r="E843" s="737">
        <f t="shared" si="79"/>
        <v>12422.35294117647</v>
      </c>
      <c r="F843" s="737">
        <f t="shared" si="72"/>
        <v>67287.745098039333</v>
      </c>
      <c r="G843" s="683">
        <f t="shared" si="73"/>
        <v>73498.921568627571</v>
      </c>
      <c r="H843" s="731">
        <f>+J793*G843+E843</f>
        <v>20178.167046498871</v>
      </c>
      <c r="I843" s="738">
        <f>+J794*G843+E843</f>
        <v>20178.167046498871</v>
      </c>
      <c r="J843" s="734">
        <f t="shared" si="74"/>
        <v>0</v>
      </c>
      <c r="K843" s="734"/>
      <c r="L843" s="739"/>
      <c r="M843" s="734">
        <f t="shared" si="75"/>
        <v>0</v>
      </c>
      <c r="N843" s="739"/>
      <c r="O843" s="734">
        <f t="shared" si="76"/>
        <v>0</v>
      </c>
      <c r="P843" s="734">
        <f t="shared" si="77"/>
        <v>0</v>
      </c>
      <c r="Q843" s="684"/>
    </row>
    <row r="844" spans="2:17">
      <c r="B844" s="337"/>
      <c r="C844" s="730">
        <f>IF(D792="","-",+C843+1)</f>
        <v>2063</v>
      </c>
      <c r="D844" s="683">
        <f t="shared" si="78"/>
        <v>67287.745098039333</v>
      </c>
      <c r="E844" s="737">
        <f t="shared" si="79"/>
        <v>12422.35294117647</v>
      </c>
      <c r="F844" s="737">
        <f t="shared" si="72"/>
        <v>54865.392156862865</v>
      </c>
      <c r="G844" s="683">
        <f t="shared" si="73"/>
        <v>61076.568627451095</v>
      </c>
      <c r="H844" s="731">
        <f>+J793*G844+E844</f>
        <v>18867.325225881003</v>
      </c>
      <c r="I844" s="738">
        <f>+J794*G844+E844</f>
        <v>18867.325225881003</v>
      </c>
      <c r="J844" s="734">
        <f t="shared" si="74"/>
        <v>0</v>
      </c>
      <c r="K844" s="734"/>
      <c r="L844" s="739"/>
      <c r="M844" s="734">
        <f t="shared" si="75"/>
        <v>0</v>
      </c>
      <c r="N844" s="739"/>
      <c r="O844" s="734">
        <f t="shared" si="76"/>
        <v>0</v>
      </c>
      <c r="P844" s="734">
        <f t="shared" si="77"/>
        <v>0</v>
      </c>
      <c r="Q844" s="684"/>
    </row>
    <row r="845" spans="2:17">
      <c r="B845" s="337"/>
      <c r="C845" s="730">
        <f>IF(D792="","-",+C844+1)</f>
        <v>2064</v>
      </c>
      <c r="D845" s="683">
        <f t="shared" si="78"/>
        <v>54865.392156862865</v>
      </c>
      <c r="E845" s="737">
        <f t="shared" si="79"/>
        <v>12422.35294117647</v>
      </c>
      <c r="F845" s="737">
        <f t="shared" si="72"/>
        <v>42443.039215686396</v>
      </c>
      <c r="G845" s="683">
        <f t="shared" si="73"/>
        <v>48654.215686274634</v>
      </c>
      <c r="H845" s="731">
        <f>+J793*G845+E845</f>
        <v>17556.483405263134</v>
      </c>
      <c r="I845" s="738">
        <f>+J794*G845+E845</f>
        <v>17556.483405263134</v>
      </c>
      <c r="J845" s="734">
        <f t="shared" si="74"/>
        <v>0</v>
      </c>
      <c r="K845" s="734"/>
      <c r="L845" s="739"/>
      <c r="M845" s="734">
        <f t="shared" si="75"/>
        <v>0</v>
      </c>
      <c r="N845" s="739"/>
      <c r="O845" s="734">
        <f t="shared" si="76"/>
        <v>0</v>
      </c>
      <c r="P845" s="734">
        <f t="shared" si="77"/>
        <v>0</v>
      </c>
      <c r="Q845" s="684"/>
    </row>
    <row r="846" spans="2:17">
      <c r="B846" s="337"/>
      <c r="C846" s="730">
        <f>IF(D792="","-",+C845+1)</f>
        <v>2065</v>
      </c>
      <c r="D846" s="683">
        <f t="shared" si="78"/>
        <v>42443.039215686396</v>
      </c>
      <c r="E846" s="737">
        <f t="shared" si="79"/>
        <v>12422.35294117647</v>
      </c>
      <c r="F846" s="737">
        <f t="shared" si="72"/>
        <v>30020.686274509928</v>
      </c>
      <c r="G846" s="683">
        <f t="shared" si="73"/>
        <v>36231.862745098158</v>
      </c>
      <c r="H846" s="731">
        <f>+J793*G846+E846</f>
        <v>16245.641584645266</v>
      </c>
      <c r="I846" s="738">
        <f>+J794*G846+E846</f>
        <v>16245.641584645266</v>
      </c>
      <c r="J846" s="734">
        <f t="shared" si="74"/>
        <v>0</v>
      </c>
      <c r="K846" s="734"/>
      <c r="L846" s="739"/>
      <c r="M846" s="734">
        <f t="shared" si="75"/>
        <v>0</v>
      </c>
      <c r="N846" s="739"/>
      <c r="O846" s="734">
        <f t="shared" si="76"/>
        <v>0</v>
      </c>
      <c r="P846" s="734">
        <f t="shared" si="77"/>
        <v>0</v>
      </c>
      <c r="Q846" s="684"/>
    </row>
    <row r="847" spans="2:17">
      <c r="B847" s="337"/>
      <c r="C847" s="730">
        <f>IF(D792="","-",+C846+1)</f>
        <v>2066</v>
      </c>
      <c r="D847" s="683">
        <f t="shared" si="78"/>
        <v>30020.686274509928</v>
      </c>
      <c r="E847" s="737">
        <f t="shared" si="79"/>
        <v>12422.35294117647</v>
      </c>
      <c r="F847" s="737">
        <f t="shared" si="72"/>
        <v>17598.333333333459</v>
      </c>
      <c r="G847" s="683">
        <f t="shared" si="73"/>
        <v>23809.509803921694</v>
      </c>
      <c r="H847" s="731">
        <f>+J793*G847+E847</f>
        <v>14934.799764027397</v>
      </c>
      <c r="I847" s="738">
        <f>+J794*G847+E847</f>
        <v>14934.799764027397</v>
      </c>
      <c r="J847" s="734">
        <f t="shared" si="74"/>
        <v>0</v>
      </c>
      <c r="K847" s="734"/>
      <c r="L847" s="739"/>
      <c r="M847" s="734">
        <f t="shared" si="75"/>
        <v>0</v>
      </c>
      <c r="N847" s="739"/>
      <c r="O847" s="734">
        <f t="shared" si="76"/>
        <v>0</v>
      </c>
      <c r="P847" s="734">
        <f t="shared" si="77"/>
        <v>0</v>
      </c>
      <c r="Q847" s="684"/>
    </row>
    <row r="848" spans="2:17">
      <c r="B848" s="337"/>
      <c r="C848" s="730">
        <f>IF(D792="","-",+C847+1)</f>
        <v>2067</v>
      </c>
      <c r="D848" s="683">
        <f t="shared" si="78"/>
        <v>17598.333333333459</v>
      </c>
      <c r="E848" s="737">
        <f t="shared" si="79"/>
        <v>12422.35294117647</v>
      </c>
      <c r="F848" s="737">
        <f t="shared" si="72"/>
        <v>5175.9803921569892</v>
      </c>
      <c r="G848" s="683">
        <f t="shared" si="73"/>
        <v>11387.156862745225</v>
      </c>
      <c r="H848" s="731">
        <f>+J793*G848+E848</f>
        <v>13623.957943409529</v>
      </c>
      <c r="I848" s="738">
        <f>+J794*G848+E848</f>
        <v>13623.957943409529</v>
      </c>
      <c r="J848" s="734">
        <f t="shared" si="74"/>
        <v>0</v>
      </c>
      <c r="K848" s="734"/>
      <c r="L848" s="739"/>
      <c r="M848" s="734">
        <f t="shared" si="75"/>
        <v>0</v>
      </c>
      <c r="N848" s="739"/>
      <c r="O848" s="734">
        <f t="shared" si="76"/>
        <v>0</v>
      </c>
      <c r="P848" s="734">
        <f t="shared" si="77"/>
        <v>0</v>
      </c>
      <c r="Q848" s="684"/>
    </row>
    <row r="849" spans="2:17">
      <c r="B849" s="337"/>
      <c r="C849" s="730">
        <f>IF(D792="","-",+C848+1)</f>
        <v>2068</v>
      </c>
      <c r="D849" s="683">
        <f t="shared" si="78"/>
        <v>5175.9803921569892</v>
      </c>
      <c r="E849" s="737">
        <f t="shared" si="79"/>
        <v>5175.9803921569892</v>
      </c>
      <c r="F849" s="737">
        <f t="shared" si="72"/>
        <v>0</v>
      </c>
      <c r="G849" s="683">
        <f t="shared" si="73"/>
        <v>2587.9901960784946</v>
      </c>
      <c r="H849" s="731">
        <f>+J793*G849+E849</f>
        <v>5449.0724381190521</v>
      </c>
      <c r="I849" s="738">
        <f>+J794*G849+E849</f>
        <v>5449.0724381190521</v>
      </c>
      <c r="J849" s="734">
        <f t="shared" si="74"/>
        <v>0</v>
      </c>
      <c r="K849" s="734"/>
      <c r="L849" s="739"/>
      <c r="M849" s="734">
        <f t="shared" si="75"/>
        <v>0</v>
      </c>
      <c r="N849" s="739"/>
      <c r="O849" s="734">
        <f t="shared" si="76"/>
        <v>0</v>
      </c>
      <c r="P849" s="734">
        <f t="shared" si="77"/>
        <v>0</v>
      </c>
      <c r="Q849" s="684"/>
    </row>
    <row r="850" spans="2:17">
      <c r="B850" s="337"/>
      <c r="C850" s="730">
        <f>IF(D792="","-",+C849+1)</f>
        <v>2069</v>
      </c>
      <c r="D850" s="683">
        <f t="shared" si="78"/>
        <v>0</v>
      </c>
      <c r="E850" s="737">
        <f t="shared" si="79"/>
        <v>0</v>
      </c>
      <c r="F850" s="737">
        <f t="shared" si="72"/>
        <v>0</v>
      </c>
      <c r="G850" s="683">
        <f t="shared" si="73"/>
        <v>0</v>
      </c>
      <c r="H850" s="731">
        <f>+J793*G850+E850</f>
        <v>0</v>
      </c>
      <c r="I850" s="738">
        <f>+J794*G850+E850</f>
        <v>0</v>
      </c>
      <c r="J850" s="734">
        <f t="shared" si="74"/>
        <v>0</v>
      </c>
      <c r="K850" s="734"/>
      <c r="L850" s="739"/>
      <c r="M850" s="734">
        <f t="shared" si="75"/>
        <v>0</v>
      </c>
      <c r="N850" s="739"/>
      <c r="O850" s="734">
        <f t="shared" si="76"/>
        <v>0</v>
      </c>
      <c r="P850" s="734">
        <f t="shared" si="77"/>
        <v>0</v>
      </c>
      <c r="Q850" s="684"/>
    </row>
    <row r="851" spans="2:17">
      <c r="B851" s="337"/>
      <c r="C851" s="730">
        <f>IF(D792="","-",+C850+1)</f>
        <v>2070</v>
      </c>
      <c r="D851" s="683">
        <f t="shared" si="78"/>
        <v>0</v>
      </c>
      <c r="E851" s="737">
        <f t="shared" si="79"/>
        <v>0</v>
      </c>
      <c r="F851" s="737">
        <f t="shared" si="72"/>
        <v>0</v>
      </c>
      <c r="G851" s="683">
        <f t="shared" si="73"/>
        <v>0</v>
      </c>
      <c r="H851" s="731">
        <f>+J793*G851+E851</f>
        <v>0</v>
      </c>
      <c r="I851" s="738">
        <f>+J794*G851+E851</f>
        <v>0</v>
      </c>
      <c r="J851" s="734">
        <f t="shared" si="74"/>
        <v>0</v>
      </c>
      <c r="K851" s="734"/>
      <c r="L851" s="739"/>
      <c r="M851" s="734">
        <f t="shared" si="75"/>
        <v>0</v>
      </c>
      <c r="N851" s="739"/>
      <c r="O851" s="734">
        <f t="shared" si="76"/>
        <v>0</v>
      </c>
      <c r="P851" s="734">
        <f t="shared" si="77"/>
        <v>0</v>
      </c>
      <c r="Q851" s="684"/>
    </row>
    <row r="852" spans="2:17">
      <c r="B852" s="337"/>
      <c r="C852" s="730">
        <f>IF(D792="","-",+C851+1)</f>
        <v>2071</v>
      </c>
      <c r="D852" s="683">
        <f t="shared" si="78"/>
        <v>0</v>
      </c>
      <c r="E852" s="737">
        <f t="shared" si="79"/>
        <v>0</v>
      </c>
      <c r="F852" s="737">
        <f t="shared" si="72"/>
        <v>0</v>
      </c>
      <c r="G852" s="683">
        <f t="shared" si="73"/>
        <v>0</v>
      </c>
      <c r="H852" s="731">
        <f>+J793*G852+E852</f>
        <v>0</v>
      </c>
      <c r="I852" s="738">
        <f>+J794*G852+E852</f>
        <v>0</v>
      </c>
      <c r="J852" s="734">
        <f t="shared" si="74"/>
        <v>0</v>
      </c>
      <c r="K852" s="734"/>
      <c r="L852" s="739"/>
      <c r="M852" s="734">
        <f t="shared" si="75"/>
        <v>0</v>
      </c>
      <c r="N852" s="739"/>
      <c r="O852" s="734">
        <f t="shared" si="76"/>
        <v>0</v>
      </c>
      <c r="P852" s="734">
        <f t="shared" si="77"/>
        <v>0</v>
      </c>
      <c r="Q852" s="684"/>
    </row>
    <row r="853" spans="2:17">
      <c r="B853" s="337"/>
      <c r="C853" s="730">
        <f>IF(D792="","-",+C852+1)</f>
        <v>2072</v>
      </c>
      <c r="D853" s="683">
        <f t="shared" si="78"/>
        <v>0</v>
      </c>
      <c r="E853" s="737">
        <f t="shared" si="79"/>
        <v>0</v>
      </c>
      <c r="F853" s="737">
        <f t="shared" si="72"/>
        <v>0</v>
      </c>
      <c r="G853" s="683">
        <f t="shared" si="73"/>
        <v>0</v>
      </c>
      <c r="H853" s="731">
        <f>+J793*G853+E853</f>
        <v>0</v>
      </c>
      <c r="I853" s="738">
        <f>+J794*G853+E853</f>
        <v>0</v>
      </c>
      <c r="J853" s="734">
        <f t="shared" si="74"/>
        <v>0</v>
      </c>
      <c r="K853" s="734"/>
      <c r="L853" s="739"/>
      <c r="M853" s="734">
        <f t="shared" si="75"/>
        <v>0</v>
      </c>
      <c r="N853" s="739"/>
      <c r="O853" s="734">
        <f t="shared" si="76"/>
        <v>0</v>
      </c>
      <c r="P853" s="734">
        <f t="shared" si="77"/>
        <v>0</v>
      </c>
      <c r="Q853" s="684"/>
    </row>
    <row r="854" spans="2:17">
      <c r="B854" s="337"/>
      <c r="C854" s="730">
        <f>IF(D792="","-",+C853+1)</f>
        <v>2073</v>
      </c>
      <c r="D854" s="683">
        <f t="shared" si="78"/>
        <v>0</v>
      </c>
      <c r="E854" s="737">
        <f t="shared" si="79"/>
        <v>0</v>
      </c>
      <c r="F854" s="737">
        <f t="shared" si="72"/>
        <v>0</v>
      </c>
      <c r="G854" s="683">
        <f t="shared" si="73"/>
        <v>0</v>
      </c>
      <c r="H854" s="731">
        <f>+J793*G854+E854</f>
        <v>0</v>
      </c>
      <c r="I854" s="738">
        <f>+J794*G854+E854</f>
        <v>0</v>
      </c>
      <c r="J854" s="734">
        <f t="shared" si="74"/>
        <v>0</v>
      </c>
      <c r="K854" s="734"/>
      <c r="L854" s="739"/>
      <c r="M854" s="734">
        <f t="shared" si="75"/>
        <v>0</v>
      </c>
      <c r="N854" s="739"/>
      <c r="O854" s="734">
        <f t="shared" si="76"/>
        <v>0</v>
      </c>
      <c r="P854" s="734">
        <f t="shared" si="77"/>
        <v>0</v>
      </c>
      <c r="Q854" s="684"/>
    </row>
    <row r="855" spans="2:17">
      <c r="B855" s="337"/>
      <c r="C855" s="730">
        <f>IF(D792="","-",+C854+1)</f>
        <v>2074</v>
      </c>
      <c r="D855" s="683">
        <f t="shared" si="78"/>
        <v>0</v>
      </c>
      <c r="E855" s="737">
        <f t="shared" si="79"/>
        <v>0</v>
      </c>
      <c r="F855" s="737">
        <f t="shared" si="72"/>
        <v>0</v>
      </c>
      <c r="G855" s="683">
        <f t="shared" si="73"/>
        <v>0</v>
      </c>
      <c r="H855" s="731">
        <f>+J793*G855+E855</f>
        <v>0</v>
      </c>
      <c r="I855" s="738">
        <f>+J794*G855+E855</f>
        <v>0</v>
      </c>
      <c r="J855" s="734">
        <f t="shared" si="74"/>
        <v>0</v>
      </c>
      <c r="K855" s="734"/>
      <c r="L855" s="739"/>
      <c r="M855" s="734">
        <f t="shared" si="75"/>
        <v>0</v>
      </c>
      <c r="N855" s="739"/>
      <c r="O855" s="734">
        <f t="shared" si="76"/>
        <v>0</v>
      </c>
      <c r="P855" s="734">
        <f t="shared" si="77"/>
        <v>0</v>
      </c>
      <c r="Q855" s="684"/>
    </row>
    <row r="856" spans="2:17">
      <c r="B856" s="337"/>
      <c r="C856" s="730">
        <f>IF(D792="","-",+C855+1)</f>
        <v>2075</v>
      </c>
      <c r="D856" s="683">
        <f t="shared" si="78"/>
        <v>0</v>
      </c>
      <c r="E856" s="737">
        <f t="shared" si="79"/>
        <v>0</v>
      </c>
      <c r="F856" s="737">
        <f t="shared" si="72"/>
        <v>0</v>
      </c>
      <c r="G856" s="683">
        <f t="shared" si="73"/>
        <v>0</v>
      </c>
      <c r="H856" s="731">
        <f>+J793*G856+E856</f>
        <v>0</v>
      </c>
      <c r="I856" s="738">
        <f>+J794*G856+E856</f>
        <v>0</v>
      </c>
      <c r="J856" s="734">
        <f t="shared" si="74"/>
        <v>0</v>
      </c>
      <c r="K856" s="734"/>
      <c r="L856" s="739"/>
      <c r="M856" s="734">
        <f t="shared" si="75"/>
        <v>0</v>
      </c>
      <c r="N856" s="739"/>
      <c r="O856" s="734">
        <f t="shared" si="76"/>
        <v>0</v>
      </c>
      <c r="P856" s="734">
        <f t="shared" si="77"/>
        <v>0</v>
      </c>
      <c r="Q856" s="684"/>
    </row>
    <row r="857" spans="2:17" ht="13" thickBot="1">
      <c r="B857" s="337"/>
      <c r="C857" s="741">
        <f>IF(D792="","-",+C856+1)</f>
        <v>2076</v>
      </c>
      <c r="D857" s="742">
        <f t="shared" si="78"/>
        <v>0</v>
      </c>
      <c r="E857" s="1314">
        <f t="shared" si="79"/>
        <v>0</v>
      </c>
      <c r="F857" s="743">
        <f t="shared" si="72"/>
        <v>0</v>
      </c>
      <c r="G857" s="742">
        <f t="shared" si="73"/>
        <v>0</v>
      </c>
      <c r="H857" s="744">
        <f>+J793*G857+E857</f>
        <v>0</v>
      </c>
      <c r="I857" s="744">
        <f>+J794*G857+E857</f>
        <v>0</v>
      </c>
      <c r="J857" s="745">
        <f t="shared" si="74"/>
        <v>0</v>
      </c>
      <c r="K857" s="734"/>
      <c r="L857" s="746"/>
      <c r="M857" s="745">
        <f t="shared" si="75"/>
        <v>0</v>
      </c>
      <c r="N857" s="746"/>
      <c r="O857" s="745">
        <f t="shared" si="76"/>
        <v>0</v>
      </c>
      <c r="P857" s="745">
        <f t="shared" si="77"/>
        <v>0</v>
      </c>
      <c r="Q857" s="684"/>
    </row>
    <row r="858" spans="2:17">
      <c r="B858" s="337"/>
      <c r="C858" s="683" t="s">
        <v>289</v>
      </c>
      <c r="D858" s="679"/>
      <c r="E858" s="679">
        <f>SUM(E798:E857)</f>
        <v>633540</v>
      </c>
      <c r="F858" s="679"/>
      <c r="G858" s="679"/>
      <c r="H858" s="679">
        <f>SUM(H798:H857)</f>
        <v>2366145.1764016673</v>
      </c>
      <c r="I858" s="679">
        <f>SUM(I798:I857)</f>
        <v>2366145.1764016673</v>
      </c>
      <c r="J858" s="679">
        <f>SUM(J798:J857)</f>
        <v>0</v>
      </c>
      <c r="K858" s="679"/>
      <c r="L858" s="679"/>
      <c r="M858" s="679"/>
      <c r="N858" s="679"/>
      <c r="O858" s="679"/>
      <c r="Q858" s="679"/>
    </row>
    <row r="859" spans="2:17">
      <c r="B859" s="337"/>
      <c r="D859" s="573"/>
      <c r="E859" s="550"/>
      <c r="F859" s="550"/>
      <c r="G859" s="550"/>
      <c r="H859" s="550"/>
      <c r="I859" s="656"/>
      <c r="J859" s="656"/>
      <c r="K859" s="679"/>
      <c r="L859" s="656"/>
      <c r="M859" s="656"/>
      <c r="N859" s="656"/>
      <c r="O859" s="656"/>
      <c r="Q859" s="679"/>
    </row>
    <row r="860" spans="2:17">
      <c r="B860" s="337"/>
      <c r="C860" s="550" t="s">
        <v>597</v>
      </c>
      <c r="D860" s="573"/>
      <c r="E860" s="550"/>
      <c r="F860" s="550"/>
      <c r="G860" s="550"/>
      <c r="H860" s="550"/>
      <c r="I860" s="656"/>
      <c r="J860" s="656"/>
      <c r="K860" s="679"/>
      <c r="L860" s="656"/>
      <c r="M860" s="656"/>
      <c r="N860" s="656"/>
      <c r="O860" s="656"/>
      <c r="Q860" s="679"/>
    </row>
    <row r="861" spans="2:17">
      <c r="B861" s="337"/>
      <c r="D861" s="573"/>
      <c r="E861" s="550"/>
      <c r="F861" s="550"/>
      <c r="G861" s="550"/>
      <c r="H861" s="550"/>
      <c r="I861" s="656"/>
      <c r="J861" s="656"/>
      <c r="K861" s="679"/>
      <c r="L861" s="656"/>
      <c r="M861" s="656"/>
      <c r="N861" s="656"/>
      <c r="O861" s="656"/>
      <c r="Q861" s="679"/>
    </row>
    <row r="862" spans="2:17">
      <c r="B862" s="337"/>
      <c r="C862" s="586" t="s">
        <v>598</v>
      </c>
      <c r="D862" s="683"/>
      <c r="E862" s="683"/>
      <c r="F862" s="683"/>
      <c r="G862" s="683"/>
      <c r="H862" s="679"/>
      <c r="I862" s="679"/>
      <c r="J862" s="684"/>
      <c r="K862" s="684"/>
      <c r="L862" s="684"/>
      <c r="M862" s="684"/>
      <c r="N862" s="684"/>
      <c r="O862" s="684"/>
      <c r="Q862" s="684"/>
    </row>
    <row r="863" spans="2:17">
      <c r="B863" s="337"/>
      <c r="C863" s="586" t="s">
        <v>477</v>
      </c>
      <c r="D863" s="683"/>
      <c r="E863" s="683"/>
      <c r="F863" s="683"/>
      <c r="G863" s="683"/>
      <c r="H863" s="679"/>
      <c r="I863" s="679"/>
      <c r="J863" s="684"/>
      <c r="K863" s="684"/>
      <c r="L863" s="684"/>
      <c r="M863" s="684"/>
      <c r="N863" s="684"/>
      <c r="O863" s="684"/>
      <c r="Q863" s="684"/>
    </row>
    <row r="864" spans="2:17">
      <c r="B864" s="337"/>
      <c r="C864" s="586" t="s">
        <v>290</v>
      </c>
      <c r="D864" s="683"/>
      <c r="E864" s="683"/>
      <c r="F864" s="683"/>
      <c r="G864" s="683"/>
      <c r="H864" s="679"/>
      <c r="I864" s="679"/>
      <c r="J864" s="684"/>
      <c r="K864" s="684"/>
      <c r="L864" s="684"/>
      <c r="M864" s="684"/>
      <c r="N864" s="684"/>
      <c r="O864" s="684"/>
      <c r="Q864" s="684"/>
    </row>
    <row r="865" spans="1:17">
      <c r="B865" s="337"/>
      <c r="C865" s="586"/>
      <c r="D865" s="683"/>
      <c r="E865" s="683"/>
      <c r="F865" s="683"/>
      <c r="G865" s="683"/>
      <c r="H865" s="679"/>
      <c r="I865" s="679"/>
      <c r="J865" s="684"/>
      <c r="K865" s="684"/>
      <c r="L865" s="684"/>
      <c r="M865" s="684"/>
      <c r="N865" s="684"/>
      <c r="O865" s="684"/>
      <c r="Q865" s="684"/>
    </row>
    <row r="866" spans="1:17" ht="20">
      <c r="A866" s="685" t="s">
        <v>774</v>
      </c>
      <c r="B866" s="550"/>
      <c r="C866" s="665"/>
      <c r="D866" s="573"/>
      <c r="E866" s="550"/>
      <c r="F866" s="655"/>
      <c r="G866" s="655"/>
      <c r="H866" s="550"/>
      <c r="I866" s="656"/>
      <c r="L866" s="686"/>
      <c r="M866" s="686"/>
      <c r="N866" s="686"/>
      <c r="O866" s="601" t="str">
        <f>"Page "&amp;SUM(Q$3:Q866)&amp;" of "</f>
        <v xml:space="preserve">Page 11 of </v>
      </c>
      <c r="P866" s="602">
        <f>COUNT(Q$8:Q$58123)</f>
        <v>11</v>
      </c>
      <c r="Q866" s="767">
        <v>1</v>
      </c>
    </row>
    <row r="867" spans="1:17">
      <c r="B867" s="550"/>
      <c r="C867" s="550"/>
      <c r="D867" s="573"/>
      <c r="E867" s="550"/>
      <c r="F867" s="550"/>
      <c r="G867" s="550"/>
      <c r="H867" s="550"/>
      <c r="I867" s="656"/>
      <c r="J867" s="550"/>
      <c r="K867" s="598"/>
      <c r="Q867" s="598"/>
    </row>
    <row r="868" spans="1:17" ht="17">
      <c r="B868" s="605" t="s">
        <v>175</v>
      </c>
      <c r="C868" s="687" t="s">
        <v>291</v>
      </c>
      <c r="D868" s="573"/>
      <c r="E868" s="550"/>
      <c r="F868" s="550"/>
      <c r="G868" s="550"/>
      <c r="H868" s="550"/>
      <c r="I868" s="656"/>
      <c r="J868" s="656"/>
      <c r="K868" s="679"/>
      <c r="L868" s="656"/>
      <c r="M868" s="656"/>
      <c r="N868" s="656"/>
      <c r="O868" s="656"/>
      <c r="Q868" s="679"/>
    </row>
    <row r="869" spans="1:17" ht="18">
      <c r="B869" s="605"/>
      <c r="C869" s="604"/>
      <c r="D869" s="573"/>
      <c r="E869" s="550"/>
      <c r="F869" s="550"/>
      <c r="G869" s="550"/>
      <c r="H869" s="550"/>
      <c r="I869" s="656"/>
      <c r="J869" s="656"/>
      <c r="K869" s="679"/>
      <c r="L869" s="656"/>
      <c r="M869" s="656"/>
      <c r="N869" s="656"/>
      <c r="O869" s="656"/>
      <c r="Q869" s="679"/>
    </row>
    <row r="870" spans="1:17" ht="18">
      <c r="B870" s="605"/>
      <c r="C870" s="604" t="s">
        <v>292</v>
      </c>
      <c r="D870" s="573"/>
      <c r="E870" s="550"/>
      <c r="F870" s="550"/>
      <c r="G870" s="550"/>
      <c r="H870" s="550"/>
      <c r="I870" s="656"/>
      <c r="J870" s="656"/>
      <c r="K870" s="679"/>
      <c r="L870" s="656"/>
      <c r="M870" s="656"/>
      <c r="N870" s="656"/>
      <c r="O870" s="656"/>
      <c r="Q870" s="679"/>
    </row>
    <row r="871" spans="1:17" ht="16" thickBot="1">
      <c r="B871" s="337"/>
      <c r="C871" s="403"/>
      <c r="D871" s="573"/>
      <c r="E871" s="550"/>
      <c r="F871" s="550"/>
      <c r="G871" s="550"/>
      <c r="H871" s="550"/>
      <c r="I871" s="656"/>
      <c r="J871" s="656"/>
      <c r="K871" s="679"/>
      <c r="L871" s="656"/>
      <c r="M871" s="656"/>
      <c r="N871" s="656"/>
      <c r="O871" s="656"/>
      <c r="Q871" s="679"/>
    </row>
    <row r="872" spans="1:17" ht="15.5">
      <c r="B872" s="337"/>
      <c r="C872" s="606" t="s">
        <v>293</v>
      </c>
      <c r="D872" s="573"/>
      <c r="E872" s="550"/>
      <c r="F872" s="550"/>
      <c r="G872" s="550"/>
      <c r="H872" s="877"/>
      <c r="I872" s="550" t="s">
        <v>272</v>
      </c>
      <c r="J872" s="550"/>
      <c r="K872" s="598"/>
      <c r="L872" s="768">
        <f>+J878</f>
        <v>2019</v>
      </c>
      <c r="M872" s="750" t="s">
        <v>255</v>
      </c>
      <c r="N872" s="750" t="s">
        <v>256</v>
      </c>
      <c r="O872" s="751" t="s">
        <v>257</v>
      </c>
      <c r="Q872" s="598"/>
    </row>
    <row r="873" spans="1:17" ht="15.5">
      <c r="B873" s="337"/>
      <c r="C873" s="606"/>
      <c r="D873" s="573"/>
      <c r="E873" s="550"/>
      <c r="F873" s="550"/>
      <c r="H873" s="550"/>
      <c r="I873" s="691"/>
      <c r="J873" s="691"/>
      <c r="K873" s="692"/>
      <c r="L873" s="769" t="s">
        <v>456</v>
      </c>
      <c r="M873" s="770">
        <f>VLOOKUP(J878,C885:P944,10)</f>
        <v>67813.107115754596</v>
      </c>
      <c r="N873" s="770">
        <f>VLOOKUP(J878,C885:P944,12)</f>
        <v>67813.107115754596</v>
      </c>
      <c r="O873" s="771">
        <f>+N873-M873</f>
        <v>0</v>
      </c>
      <c r="Q873" s="692"/>
    </row>
    <row r="874" spans="1:17" ht="13">
      <c r="B874" s="337"/>
      <c r="C874" s="694" t="s">
        <v>294</v>
      </c>
      <c r="D874" s="1558" t="s">
        <v>1004</v>
      </c>
      <c r="E874" s="1559"/>
      <c r="F874" s="1559"/>
      <c r="G874" s="1559"/>
      <c r="H874" s="1559"/>
      <c r="I874" s="1559"/>
      <c r="J874" s="656"/>
      <c r="K874" s="679"/>
      <c r="L874" s="769" t="s">
        <v>457</v>
      </c>
      <c r="M874" s="772">
        <f>VLOOKUP(J878,C885:P944,6)</f>
        <v>80337.476297068381</v>
      </c>
      <c r="N874" s="772">
        <f>VLOOKUP(J878,C885:P944,7)</f>
        <v>80337.476297068381</v>
      </c>
      <c r="O874" s="773">
        <f>+N874-M874</f>
        <v>0</v>
      </c>
      <c r="Q874" s="679"/>
    </row>
    <row r="875" spans="1:17" ht="13.5" thickBot="1">
      <c r="B875" s="337"/>
      <c r="C875" s="696"/>
      <c r="D875" s="1559"/>
      <c r="E875" s="1559"/>
      <c r="F875" s="1559"/>
      <c r="G875" s="1559"/>
      <c r="H875" s="1559"/>
      <c r="I875" s="1559"/>
      <c r="J875" s="656"/>
      <c r="K875" s="679"/>
      <c r="L875" s="715" t="s">
        <v>458</v>
      </c>
      <c r="M875" s="774">
        <f>+M874-M873</f>
        <v>12524.369181313785</v>
      </c>
      <c r="N875" s="774">
        <f>+N874-N873</f>
        <v>12524.369181313785</v>
      </c>
      <c r="O875" s="775">
        <f>+O874-O873</f>
        <v>0</v>
      </c>
      <c r="Q875" s="679"/>
    </row>
    <row r="876" spans="1:17" ht="13.5" thickBot="1">
      <c r="B876" s="337"/>
      <c r="C876" s="698"/>
      <c r="D876" s="699"/>
      <c r="E876" s="697"/>
      <c r="F876" s="697"/>
      <c r="G876" s="697"/>
      <c r="H876" s="697"/>
      <c r="I876" s="697"/>
      <c r="J876" s="697"/>
      <c r="K876" s="1322"/>
      <c r="L876" s="697"/>
      <c r="M876" s="697"/>
      <c r="N876" s="697"/>
      <c r="O876" s="697"/>
      <c r="P876" s="586"/>
      <c r="Q876" s="1322"/>
    </row>
    <row r="877" spans="1:17" ht="13" thickBot="1">
      <c r="B877" s="337"/>
      <c r="C877" s="701" t="s">
        <v>295</v>
      </c>
      <c r="D877" s="702"/>
      <c r="E877" s="702"/>
      <c r="F877" s="702"/>
      <c r="G877" s="702"/>
      <c r="H877" s="702"/>
      <c r="I877" s="702"/>
      <c r="J877" s="702"/>
      <c r="K877" s="704"/>
      <c r="P877" s="705"/>
      <c r="Q877" s="704"/>
    </row>
    <row r="878" spans="1:17" ht="16">
      <c r="A878" s="1324"/>
      <c r="B878" s="337"/>
      <c r="C878" s="707" t="s">
        <v>273</v>
      </c>
      <c r="D878" s="1323">
        <v>653739.25</v>
      </c>
      <c r="E878" s="665" t="s">
        <v>274</v>
      </c>
      <c r="H878" s="708"/>
      <c r="I878" s="708"/>
      <c r="J878" s="709">
        <f>$J$95</f>
        <v>2019</v>
      </c>
      <c r="K878" s="596"/>
      <c r="L878" s="1560" t="s">
        <v>275</v>
      </c>
      <c r="M878" s="1560"/>
      <c r="N878" s="1560"/>
      <c r="O878" s="1560"/>
      <c r="P878" s="598"/>
      <c r="Q878" s="596"/>
    </row>
    <row r="879" spans="1:17">
      <c r="A879" s="1324"/>
      <c r="B879" s="337"/>
      <c r="C879" s="707" t="s">
        <v>276</v>
      </c>
      <c r="D879" s="879">
        <v>2018</v>
      </c>
      <c r="E879" s="707" t="s">
        <v>277</v>
      </c>
      <c r="F879" s="708"/>
      <c r="G879" s="708"/>
      <c r="I879" s="337"/>
      <c r="J879" s="882">
        <v>0</v>
      </c>
      <c r="K879" s="710"/>
      <c r="L879" s="679" t="s">
        <v>476</v>
      </c>
      <c r="P879" s="598"/>
      <c r="Q879" s="710"/>
    </row>
    <row r="880" spans="1:17">
      <c r="A880" s="1324"/>
      <c r="B880" s="337"/>
      <c r="C880" s="707" t="s">
        <v>278</v>
      </c>
      <c r="D880" s="1282">
        <v>5</v>
      </c>
      <c r="E880" s="707" t="s">
        <v>279</v>
      </c>
      <c r="F880" s="708"/>
      <c r="G880" s="708"/>
      <c r="I880" s="337"/>
      <c r="J880" s="711">
        <f>$F$70</f>
        <v>0.10552282863199051</v>
      </c>
      <c r="K880" s="712"/>
      <c r="L880" s="550" t="str">
        <f>"          INPUT TRUE-UP ARR (WITH &amp; WITHOUT INCENTIVES) FROM EACH PRIOR YEAR"</f>
        <v xml:space="preserve">          INPUT TRUE-UP ARR (WITH &amp; WITHOUT INCENTIVES) FROM EACH PRIOR YEAR</v>
      </c>
      <c r="P880" s="598"/>
      <c r="Q880" s="712"/>
    </row>
    <row r="881" spans="1:17">
      <c r="A881" s="1324"/>
      <c r="B881" s="337"/>
      <c r="C881" s="707" t="s">
        <v>280</v>
      </c>
      <c r="D881" s="713">
        <f>H79</f>
        <v>51</v>
      </c>
      <c r="E881" s="707" t="s">
        <v>281</v>
      </c>
      <c r="F881" s="708"/>
      <c r="G881" s="708"/>
      <c r="I881" s="337"/>
      <c r="J881" s="711">
        <f>IF(H872="",J880,$F$69)</f>
        <v>0.10552282863199051</v>
      </c>
      <c r="K881" s="714"/>
      <c r="L881" s="550" t="s">
        <v>363</v>
      </c>
      <c r="M881" s="714"/>
      <c r="N881" s="714"/>
      <c r="O881" s="714"/>
      <c r="P881" s="598"/>
      <c r="Q881" s="714"/>
    </row>
    <row r="882" spans="1:17" ht="13" thickBot="1">
      <c r="A882" s="1324"/>
      <c r="B882" s="337"/>
      <c r="C882" s="707" t="s">
        <v>282</v>
      </c>
      <c r="D882" s="881" t="s">
        <v>979</v>
      </c>
      <c r="E882" s="715" t="s">
        <v>283</v>
      </c>
      <c r="F882" s="716"/>
      <c r="G882" s="716"/>
      <c r="H882" s="717"/>
      <c r="I882" s="717"/>
      <c r="J882" s="695">
        <f>IF(D878=0,0,D878/D881)</f>
        <v>12818.416666666666</v>
      </c>
      <c r="K882" s="679"/>
      <c r="L882" s="679" t="s">
        <v>364</v>
      </c>
      <c r="M882" s="679"/>
      <c r="N882" s="679"/>
      <c r="O882" s="679"/>
      <c r="P882" s="598"/>
      <c r="Q882" s="679"/>
    </row>
    <row r="883" spans="1:17" ht="39">
      <c r="A883" s="1321"/>
      <c r="B883" s="1321"/>
      <c r="C883" s="718" t="s">
        <v>273</v>
      </c>
      <c r="D883" s="719" t="s">
        <v>284</v>
      </c>
      <c r="E883" s="720" t="s">
        <v>285</v>
      </c>
      <c r="F883" s="719" t="s">
        <v>286</v>
      </c>
      <c r="G883" s="719" t="s">
        <v>459</v>
      </c>
      <c r="H883" s="720" t="s">
        <v>357</v>
      </c>
      <c r="I883" s="721" t="s">
        <v>357</v>
      </c>
      <c r="J883" s="718" t="s">
        <v>296</v>
      </c>
      <c r="K883" s="722"/>
      <c r="L883" s="720" t="s">
        <v>359</v>
      </c>
      <c r="M883" s="720" t="s">
        <v>365</v>
      </c>
      <c r="N883" s="720" t="s">
        <v>359</v>
      </c>
      <c r="O883" s="720" t="s">
        <v>367</v>
      </c>
      <c r="P883" s="720" t="s">
        <v>287</v>
      </c>
      <c r="Q883" s="723"/>
    </row>
    <row r="884" spans="1:17" ht="13.5" thickBot="1">
      <c r="B884" s="337"/>
      <c r="C884" s="724" t="s">
        <v>178</v>
      </c>
      <c r="D884" s="725" t="s">
        <v>179</v>
      </c>
      <c r="E884" s="724" t="s">
        <v>38</v>
      </c>
      <c r="F884" s="725" t="s">
        <v>179</v>
      </c>
      <c r="G884" s="725" t="s">
        <v>179</v>
      </c>
      <c r="H884" s="726" t="s">
        <v>299</v>
      </c>
      <c r="I884" s="727" t="s">
        <v>301</v>
      </c>
      <c r="J884" s="728" t="s">
        <v>390</v>
      </c>
      <c r="K884" s="729"/>
      <c r="L884" s="726" t="s">
        <v>288</v>
      </c>
      <c r="M884" s="726" t="s">
        <v>288</v>
      </c>
      <c r="N884" s="726" t="s">
        <v>468</v>
      </c>
      <c r="O884" s="726" t="s">
        <v>468</v>
      </c>
      <c r="P884" s="726" t="s">
        <v>468</v>
      </c>
      <c r="Q884" s="596"/>
    </row>
    <row r="885" spans="1:17">
      <c r="B885" s="337"/>
      <c r="C885" s="730">
        <f>IF(D879= "","-",D879)</f>
        <v>2018</v>
      </c>
      <c r="D885" s="1464">
        <f>+D878</f>
        <v>653739.25</v>
      </c>
      <c r="E885" s="731">
        <f>+J882/12*(12-D880)</f>
        <v>7477.4097222222226</v>
      </c>
      <c r="F885" s="776">
        <f t="shared" ref="F885:F944" si="80">+D885-E885</f>
        <v>646261.84027777775</v>
      </c>
      <c r="G885" s="683">
        <f t="shared" ref="G885:G944" si="81">+(D885+F885)/2</f>
        <v>650000.54513888888</v>
      </c>
      <c r="H885" s="732">
        <f>+J880*G885+E885</f>
        <v>76067.30585761361</v>
      </c>
      <c r="I885" s="733">
        <f>+J881*G885+E885</f>
        <v>76067.30585761361</v>
      </c>
      <c r="J885" s="734">
        <f t="shared" ref="J885:J944" si="82">+I885-H885</f>
        <v>0</v>
      </c>
      <c r="K885" s="734"/>
      <c r="L885" s="735">
        <v>0</v>
      </c>
      <c r="M885" s="777">
        <f t="shared" ref="M885:M944" si="83">IF(L885&lt;&gt;0,+H885-L885,0)</f>
        <v>0</v>
      </c>
      <c r="N885" s="735">
        <v>0</v>
      </c>
      <c r="O885" s="777">
        <f t="shared" ref="O885:O944" si="84">IF(N885&lt;&gt;0,+I885-N885,0)</f>
        <v>0</v>
      </c>
      <c r="P885" s="777">
        <f t="shared" ref="P885:P944" si="85">+O885-M885</f>
        <v>0</v>
      </c>
      <c r="Q885" s="684"/>
    </row>
    <row r="886" spans="1:17">
      <c r="B886" s="337"/>
      <c r="C886" s="730">
        <f>IF(D879="","-",+C885+1)</f>
        <v>2019</v>
      </c>
      <c r="D886" s="1297">
        <f t="shared" ref="D886:D944" si="86">F885</f>
        <v>646261.84027777775</v>
      </c>
      <c r="E886" s="737">
        <f>IF(D886&gt;$J$882,$J$882,D886)</f>
        <v>12818.416666666666</v>
      </c>
      <c r="F886" s="737">
        <f t="shared" si="80"/>
        <v>633443.42361111112</v>
      </c>
      <c r="G886" s="683">
        <f t="shared" si="81"/>
        <v>639852.6319444445</v>
      </c>
      <c r="H886" s="731">
        <f>+J880*G886+E886</f>
        <v>80337.476297068381</v>
      </c>
      <c r="I886" s="738">
        <f>+J881*G886+E886</f>
        <v>80337.476297068381</v>
      </c>
      <c r="J886" s="734">
        <f t="shared" si="82"/>
        <v>0</v>
      </c>
      <c r="K886" s="734"/>
      <c r="L886" s="739">
        <v>67813.107115754596</v>
      </c>
      <c r="M886" s="734">
        <f t="shared" si="83"/>
        <v>12524.369181313785</v>
      </c>
      <c r="N886" s="739">
        <v>67813.107115754596</v>
      </c>
      <c r="O886" s="734">
        <f t="shared" si="84"/>
        <v>12524.369181313785</v>
      </c>
      <c r="P886" s="734">
        <f t="shared" si="85"/>
        <v>0</v>
      </c>
      <c r="Q886" s="684"/>
    </row>
    <row r="887" spans="1:17">
      <c r="B887" s="337"/>
      <c r="C887" s="730">
        <f>IF(D879="","-",+C886+1)</f>
        <v>2020</v>
      </c>
      <c r="D887" s="1297">
        <f t="shared" si="86"/>
        <v>633443.42361111112</v>
      </c>
      <c r="E887" s="737">
        <f t="shared" ref="E887:E944" si="87">IF(D887&gt;$J$882,$J$882,D887)</f>
        <v>12818.416666666666</v>
      </c>
      <c r="F887" s="737">
        <f t="shared" si="80"/>
        <v>620625.0069444445</v>
      </c>
      <c r="G887" s="683">
        <f t="shared" si="81"/>
        <v>627034.21527777775</v>
      </c>
      <c r="H887" s="731">
        <f>+J880*G887+E887</f>
        <v>78984.840711818266</v>
      </c>
      <c r="I887" s="738">
        <f>+J881*G887+E887</f>
        <v>78984.840711818266</v>
      </c>
      <c r="J887" s="734">
        <f t="shared" si="82"/>
        <v>0</v>
      </c>
      <c r="K887" s="734"/>
      <c r="L887" s="739">
        <v>0</v>
      </c>
      <c r="M887" s="734">
        <f t="shared" si="83"/>
        <v>0</v>
      </c>
      <c r="N887" s="739">
        <v>0</v>
      </c>
      <c r="O887" s="734">
        <f t="shared" si="84"/>
        <v>0</v>
      </c>
      <c r="P887" s="734">
        <f t="shared" si="85"/>
        <v>0</v>
      </c>
      <c r="Q887" s="684"/>
    </row>
    <row r="888" spans="1:17">
      <c r="B888" s="337"/>
      <c r="C888" s="730">
        <f>IF(D879="","-",+C887+1)</f>
        <v>2021</v>
      </c>
      <c r="D888" s="683">
        <f t="shared" si="86"/>
        <v>620625.0069444445</v>
      </c>
      <c r="E888" s="737">
        <f t="shared" si="87"/>
        <v>12818.416666666666</v>
      </c>
      <c r="F888" s="737">
        <f t="shared" si="80"/>
        <v>607806.59027777787</v>
      </c>
      <c r="G888" s="683">
        <f t="shared" si="81"/>
        <v>614215.79861111124</v>
      </c>
      <c r="H888" s="731">
        <f>+J880*G888+E888</f>
        <v>77632.205126568151</v>
      </c>
      <c r="I888" s="738">
        <f>+J881*G888+E888</f>
        <v>77632.205126568151</v>
      </c>
      <c r="J888" s="734">
        <f t="shared" si="82"/>
        <v>0</v>
      </c>
      <c r="K888" s="734"/>
      <c r="L888" s="739"/>
      <c r="M888" s="734">
        <f t="shared" si="83"/>
        <v>0</v>
      </c>
      <c r="N888" s="739"/>
      <c r="O888" s="734">
        <f t="shared" si="84"/>
        <v>0</v>
      </c>
      <c r="P888" s="734">
        <f t="shared" si="85"/>
        <v>0</v>
      </c>
      <c r="Q888" s="684"/>
    </row>
    <row r="889" spans="1:17">
      <c r="B889" s="337"/>
      <c r="C889" s="730">
        <f>IF(D879="","-",+C888+1)</f>
        <v>2022</v>
      </c>
      <c r="D889" s="683">
        <f t="shared" si="86"/>
        <v>607806.59027777787</v>
      </c>
      <c r="E889" s="737">
        <f t="shared" si="87"/>
        <v>12818.416666666666</v>
      </c>
      <c r="F889" s="737">
        <f t="shared" si="80"/>
        <v>594988.17361111124</v>
      </c>
      <c r="G889" s="683">
        <f t="shared" si="81"/>
        <v>601397.3819444445</v>
      </c>
      <c r="H889" s="731">
        <f>+J880*G889+E889</f>
        <v>76279.569541318036</v>
      </c>
      <c r="I889" s="738">
        <f>+J881*G889+E889</f>
        <v>76279.569541318036</v>
      </c>
      <c r="J889" s="734">
        <f t="shared" si="82"/>
        <v>0</v>
      </c>
      <c r="K889" s="734"/>
      <c r="L889" s="739"/>
      <c r="M889" s="734">
        <f t="shared" si="83"/>
        <v>0</v>
      </c>
      <c r="N889" s="739"/>
      <c r="O889" s="734">
        <f t="shared" si="84"/>
        <v>0</v>
      </c>
      <c r="P889" s="734">
        <f t="shared" si="85"/>
        <v>0</v>
      </c>
      <c r="Q889" s="684"/>
    </row>
    <row r="890" spans="1:17">
      <c r="B890" s="337"/>
      <c r="C890" s="730">
        <f>IF(D879="","-",+C889+1)</f>
        <v>2023</v>
      </c>
      <c r="D890" s="683">
        <f t="shared" si="86"/>
        <v>594988.17361111124</v>
      </c>
      <c r="E890" s="737">
        <f t="shared" si="87"/>
        <v>12818.416666666666</v>
      </c>
      <c r="F890" s="737">
        <f t="shared" si="80"/>
        <v>582169.75694444461</v>
      </c>
      <c r="G890" s="683">
        <f t="shared" si="81"/>
        <v>588578.96527777798</v>
      </c>
      <c r="H890" s="731">
        <f>+J880*G890+E890</f>
        <v>74926.933956067936</v>
      </c>
      <c r="I890" s="738">
        <f>+J881*G890+E890</f>
        <v>74926.933956067936</v>
      </c>
      <c r="J890" s="734">
        <f t="shared" si="82"/>
        <v>0</v>
      </c>
      <c r="K890" s="734"/>
      <c r="L890" s="739"/>
      <c r="M890" s="734">
        <f t="shared" si="83"/>
        <v>0</v>
      </c>
      <c r="N890" s="739"/>
      <c r="O890" s="734">
        <f t="shared" si="84"/>
        <v>0</v>
      </c>
      <c r="P890" s="734">
        <f t="shared" si="85"/>
        <v>0</v>
      </c>
      <c r="Q890" s="684"/>
    </row>
    <row r="891" spans="1:17">
      <c r="B891" s="337"/>
      <c r="C891" s="730">
        <f>IF(D879="","-",+C890+1)</f>
        <v>2024</v>
      </c>
      <c r="D891" s="683">
        <f t="shared" si="86"/>
        <v>582169.75694444461</v>
      </c>
      <c r="E891" s="737">
        <f t="shared" si="87"/>
        <v>12818.416666666666</v>
      </c>
      <c r="F891" s="737">
        <f t="shared" si="80"/>
        <v>569351.34027777798</v>
      </c>
      <c r="G891" s="683">
        <f t="shared" si="81"/>
        <v>575760.54861111124</v>
      </c>
      <c r="H891" s="731">
        <f>+J880*G891+E891</f>
        <v>73574.298370817807</v>
      </c>
      <c r="I891" s="738">
        <f>+J881*G891+E891</f>
        <v>73574.298370817807</v>
      </c>
      <c r="J891" s="734">
        <f t="shared" si="82"/>
        <v>0</v>
      </c>
      <c r="K891" s="734"/>
      <c r="L891" s="739"/>
      <c r="M891" s="734">
        <f t="shared" si="83"/>
        <v>0</v>
      </c>
      <c r="N891" s="739"/>
      <c r="O891" s="734">
        <f t="shared" si="84"/>
        <v>0</v>
      </c>
      <c r="P891" s="734">
        <f t="shared" si="85"/>
        <v>0</v>
      </c>
      <c r="Q891" s="684"/>
    </row>
    <row r="892" spans="1:17">
      <c r="B892" s="337"/>
      <c r="C892" s="730">
        <f>IF(D879="","-",+C891+1)</f>
        <v>2025</v>
      </c>
      <c r="D892" s="683">
        <f t="shared" si="86"/>
        <v>569351.34027777798</v>
      </c>
      <c r="E892" s="737">
        <f t="shared" si="87"/>
        <v>12818.416666666666</v>
      </c>
      <c r="F892" s="737">
        <f t="shared" si="80"/>
        <v>556532.92361111136</v>
      </c>
      <c r="G892" s="683">
        <f t="shared" si="81"/>
        <v>562942.13194444473</v>
      </c>
      <c r="H892" s="731">
        <f>+J880*G892+E892</f>
        <v>72221.662785567707</v>
      </c>
      <c r="I892" s="738">
        <f>+J881*G892+E892</f>
        <v>72221.662785567707</v>
      </c>
      <c r="J892" s="734">
        <f t="shared" si="82"/>
        <v>0</v>
      </c>
      <c r="K892" s="734"/>
      <c r="L892" s="739"/>
      <c r="M892" s="734">
        <f t="shared" si="83"/>
        <v>0</v>
      </c>
      <c r="N892" s="739"/>
      <c r="O892" s="734">
        <f t="shared" si="84"/>
        <v>0</v>
      </c>
      <c r="P892" s="734">
        <f t="shared" si="85"/>
        <v>0</v>
      </c>
      <c r="Q892" s="684"/>
    </row>
    <row r="893" spans="1:17">
      <c r="B893" s="337"/>
      <c r="C893" s="730">
        <f>IF(D879="","-",+C892+1)</f>
        <v>2026</v>
      </c>
      <c r="D893" s="683">
        <f t="shared" si="86"/>
        <v>556532.92361111136</v>
      </c>
      <c r="E893" s="737">
        <f t="shared" si="87"/>
        <v>12818.416666666666</v>
      </c>
      <c r="F893" s="737">
        <f t="shared" si="80"/>
        <v>543714.50694444473</v>
      </c>
      <c r="G893" s="683">
        <f t="shared" si="81"/>
        <v>550123.71527777798</v>
      </c>
      <c r="H893" s="731">
        <f>+J880*G893+E893</f>
        <v>70869.027200317578</v>
      </c>
      <c r="I893" s="738">
        <f>+J881*G893+E893</f>
        <v>70869.027200317578</v>
      </c>
      <c r="J893" s="734">
        <f t="shared" si="82"/>
        <v>0</v>
      </c>
      <c r="K893" s="734"/>
      <c r="L893" s="739"/>
      <c r="M893" s="734">
        <f t="shared" si="83"/>
        <v>0</v>
      </c>
      <c r="N893" s="739"/>
      <c r="O893" s="734">
        <f t="shared" si="84"/>
        <v>0</v>
      </c>
      <c r="P893" s="734">
        <f t="shared" si="85"/>
        <v>0</v>
      </c>
      <c r="Q893" s="684"/>
    </row>
    <row r="894" spans="1:17">
      <c r="B894" s="337"/>
      <c r="C894" s="730">
        <f>IF(D879="","-",+C893+1)</f>
        <v>2027</v>
      </c>
      <c r="D894" s="683">
        <f t="shared" si="86"/>
        <v>543714.50694444473</v>
      </c>
      <c r="E894" s="737">
        <f t="shared" si="87"/>
        <v>12818.416666666666</v>
      </c>
      <c r="F894" s="737">
        <f t="shared" si="80"/>
        <v>530896.0902777781</v>
      </c>
      <c r="G894" s="683">
        <f t="shared" si="81"/>
        <v>537305.29861111147</v>
      </c>
      <c r="H894" s="731">
        <f>+J880*G894+E894</f>
        <v>69516.391615067478</v>
      </c>
      <c r="I894" s="738">
        <f>+J881*G894+E894</f>
        <v>69516.391615067478</v>
      </c>
      <c r="J894" s="734">
        <f t="shared" si="82"/>
        <v>0</v>
      </c>
      <c r="K894" s="734"/>
      <c r="L894" s="739"/>
      <c r="M894" s="734">
        <f t="shared" si="83"/>
        <v>0</v>
      </c>
      <c r="N894" s="739"/>
      <c r="O894" s="734">
        <f t="shared" si="84"/>
        <v>0</v>
      </c>
      <c r="P894" s="734">
        <f t="shared" si="85"/>
        <v>0</v>
      </c>
      <c r="Q894" s="684"/>
    </row>
    <row r="895" spans="1:17">
      <c r="B895" s="337"/>
      <c r="C895" s="730">
        <f>IF(D879="","-",+C894+1)</f>
        <v>2028</v>
      </c>
      <c r="D895" s="683">
        <f t="shared" si="86"/>
        <v>530896.0902777781</v>
      </c>
      <c r="E895" s="737">
        <f t="shared" si="87"/>
        <v>12818.416666666666</v>
      </c>
      <c r="F895" s="737">
        <f t="shared" si="80"/>
        <v>518077.67361111142</v>
      </c>
      <c r="G895" s="683">
        <f t="shared" si="81"/>
        <v>524486.88194444473</v>
      </c>
      <c r="H895" s="731">
        <f>+J880*G895+E895</f>
        <v>68163.756029817348</v>
      </c>
      <c r="I895" s="738">
        <f>+J881*G895+E895</f>
        <v>68163.756029817348</v>
      </c>
      <c r="J895" s="734">
        <f t="shared" si="82"/>
        <v>0</v>
      </c>
      <c r="K895" s="734"/>
      <c r="L895" s="739"/>
      <c r="M895" s="734">
        <f t="shared" si="83"/>
        <v>0</v>
      </c>
      <c r="N895" s="739"/>
      <c r="O895" s="734">
        <f t="shared" si="84"/>
        <v>0</v>
      </c>
      <c r="P895" s="734">
        <f t="shared" si="85"/>
        <v>0</v>
      </c>
      <c r="Q895" s="684"/>
    </row>
    <row r="896" spans="1:17">
      <c r="B896" s="337"/>
      <c r="C896" s="730">
        <f>IF(D879="","-",+C895+1)</f>
        <v>2029</v>
      </c>
      <c r="D896" s="683">
        <f t="shared" si="86"/>
        <v>518077.67361111142</v>
      </c>
      <c r="E896" s="737">
        <f t="shared" si="87"/>
        <v>12818.416666666666</v>
      </c>
      <c r="F896" s="737">
        <f t="shared" si="80"/>
        <v>505259.25694444473</v>
      </c>
      <c r="G896" s="683">
        <f t="shared" si="81"/>
        <v>511668.4652777781</v>
      </c>
      <c r="H896" s="731">
        <f>+J880*G896+E896</f>
        <v>66811.120444567234</v>
      </c>
      <c r="I896" s="738">
        <f>+J881*G896+E896</f>
        <v>66811.120444567234</v>
      </c>
      <c r="J896" s="734">
        <f t="shared" si="82"/>
        <v>0</v>
      </c>
      <c r="K896" s="734"/>
      <c r="L896" s="739"/>
      <c r="M896" s="734">
        <f t="shared" si="83"/>
        <v>0</v>
      </c>
      <c r="N896" s="739"/>
      <c r="O896" s="734">
        <f t="shared" si="84"/>
        <v>0</v>
      </c>
      <c r="P896" s="734">
        <f t="shared" si="85"/>
        <v>0</v>
      </c>
      <c r="Q896" s="684"/>
    </row>
    <row r="897" spans="2:17">
      <c r="B897" s="337"/>
      <c r="C897" s="730">
        <f>IF(D879="","-",+C896+1)</f>
        <v>2030</v>
      </c>
      <c r="D897" s="683">
        <f t="shared" si="86"/>
        <v>505259.25694444473</v>
      </c>
      <c r="E897" s="737">
        <f t="shared" si="87"/>
        <v>12818.416666666666</v>
      </c>
      <c r="F897" s="737">
        <f t="shared" si="80"/>
        <v>492440.84027777804</v>
      </c>
      <c r="G897" s="683">
        <f t="shared" si="81"/>
        <v>498850.04861111136</v>
      </c>
      <c r="H897" s="731">
        <f>+J880*G897+E897</f>
        <v>65458.484859317105</v>
      </c>
      <c r="I897" s="738">
        <f>+J881*G897+E897</f>
        <v>65458.484859317105</v>
      </c>
      <c r="J897" s="734">
        <f t="shared" si="82"/>
        <v>0</v>
      </c>
      <c r="K897" s="734"/>
      <c r="L897" s="739"/>
      <c r="M897" s="734">
        <f t="shared" si="83"/>
        <v>0</v>
      </c>
      <c r="N897" s="739"/>
      <c r="O897" s="734">
        <f t="shared" si="84"/>
        <v>0</v>
      </c>
      <c r="P897" s="734">
        <f t="shared" si="85"/>
        <v>0</v>
      </c>
      <c r="Q897" s="684"/>
    </row>
    <row r="898" spans="2:17">
      <c r="B898" s="337"/>
      <c r="C898" s="730">
        <f>IF(D879="","-",+C897+1)</f>
        <v>2031</v>
      </c>
      <c r="D898" s="683">
        <f t="shared" si="86"/>
        <v>492440.84027777804</v>
      </c>
      <c r="E898" s="737">
        <f t="shared" si="87"/>
        <v>12818.416666666666</v>
      </c>
      <c r="F898" s="737">
        <f t="shared" si="80"/>
        <v>479622.42361111136</v>
      </c>
      <c r="G898" s="683">
        <f t="shared" si="81"/>
        <v>486031.63194444473</v>
      </c>
      <c r="H898" s="731">
        <f>+J880*G898+E898</f>
        <v>64105.84927406699</v>
      </c>
      <c r="I898" s="738">
        <f>+J881*G898+E898</f>
        <v>64105.84927406699</v>
      </c>
      <c r="J898" s="734">
        <f t="shared" si="82"/>
        <v>0</v>
      </c>
      <c r="K898" s="734"/>
      <c r="L898" s="739"/>
      <c r="M898" s="734">
        <f t="shared" si="83"/>
        <v>0</v>
      </c>
      <c r="N898" s="739"/>
      <c r="O898" s="734">
        <f t="shared" si="84"/>
        <v>0</v>
      </c>
      <c r="P898" s="734">
        <f t="shared" si="85"/>
        <v>0</v>
      </c>
      <c r="Q898" s="684"/>
    </row>
    <row r="899" spans="2:17">
      <c r="B899" s="337"/>
      <c r="C899" s="730">
        <f>IF(D879="","-",+C898+1)</f>
        <v>2032</v>
      </c>
      <c r="D899" s="683">
        <f t="shared" si="86"/>
        <v>479622.42361111136</v>
      </c>
      <c r="E899" s="737">
        <f t="shared" si="87"/>
        <v>12818.416666666666</v>
      </c>
      <c r="F899" s="737">
        <f t="shared" si="80"/>
        <v>466804.00694444467</v>
      </c>
      <c r="G899" s="683">
        <f t="shared" si="81"/>
        <v>473213.21527777798</v>
      </c>
      <c r="H899" s="731">
        <f>+J880*G899+E899</f>
        <v>62753.213688816868</v>
      </c>
      <c r="I899" s="738">
        <f>+J881*G899+E899</f>
        <v>62753.213688816868</v>
      </c>
      <c r="J899" s="734">
        <f t="shared" si="82"/>
        <v>0</v>
      </c>
      <c r="K899" s="734"/>
      <c r="L899" s="739"/>
      <c r="M899" s="734">
        <f t="shared" si="83"/>
        <v>0</v>
      </c>
      <c r="N899" s="739"/>
      <c r="O899" s="734">
        <f t="shared" si="84"/>
        <v>0</v>
      </c>
      <c r="P899" s="734">
        <f t="shared" si="85"/>
        <v>0</v>
      </c>
      <c r="Q899" s="684"/>
    </row>
    <row r="900" spans="2:17">
      <c r="B900" s="337"/>
      <c r="C900" s="730">
        <f>IF(D879="","-",+C899+1)</f>
        <v>2033</v>
      </c>
      <c r="D900" s="683">
        <f t="shared" si="86"/>
        <v>466804.00694444467</v>
      </c>
      <c r="E900" s="737">
        <f t="shared" si="87"/>
        <v>12818.416666666666</v>
      </c>
      <c r="F900" s="737">
        <f t="shared" si="80"/>
        <v>453985.59027777798</v>
      </c>
      <c r="G900" s="683">
        <f t="shared" si="81"/>
        <v>460394.79861111136</v>
      </c>
      <c r="H900" s="731">
        <f>+J880*G900+E900</f>
        <v>61400.578103566753</v>
      </c>
      <c r="I900" s="738">
        <f>+J881*G900+E900</f>
        <v>61400.578103566753</v>
      </c>
      <c r="J900" s="734">
        <f t="shared" si="82"/>
        <v>0</v>
      </c>
      <c r="K900" s="734"/>
      <c r="L900" s="739"/>
      <c r="M900" s="734">
        <f t="shared" si="83"/>
        <v>0</v>
      </c>
      <c r="N900" s="739"/>
      <c r="O900" s="734">
        <f t="shared" si="84"/>
        <v>0</v>
      </c>
      <c r="P900" s="734">
        <f t="shared" si="85"/>
        <v>0</v>
      </c>
      <c r="Q900" s="684"/>
    </row>
    <row r="901" spans="2:17">
      <c r="B901" s="337"/>
      <c r="C901" s="730">
        <f>IF(D879="","-",+C900+1)</f>
        <v>2034</v>
      </c>
      <c r="D901" s="683">
        <f t="shared" si="86"/>
        <v>453985.59027777798</v>
      </c>
      <c r="E901" s="737">
        <f t="shared" si="87"/>
        <v>12818.416666666666</v>
      </c>
      <c r="F901" s="737">
        <f t="shared" si="80"/>
        <v>441167.1736111113</v>
      </c>
      <c r="G901" s="683">
        <f t="shared" si="81"/>
        <v>447576.38194444461</v>
      </c>
      <c r="H901" s="731">
        <f>+J880*G901+E901</f>
        <v>60047.942518316624</v>
      </c>
      <c r="I901" s="738">
        <f>+J881*G901+E901</f>
        <v>60047.942518316624</v>
      </c>
      <c r="J901" s="734">
        <f t="shared" si="82"/>
        <v>0</v>
      </c>
      <c r="K901" s="734"/>
      <c r="L901" s="739"/>
      <c r="M901" s="734">
        <f t="shared" si="83"/>
        <v>0</v>
      </c>
      <c r="N901" s="739"/>
      <c r="O901" s="734">
        <f t="shared" si="84"/>
        <v>0</v>
      </c>
      <c r="P901" s="734">
        <f t="shared" si="85"/>
        <v>0</v>
      </c>
      <c r="Q901" s="684"/>
    </row>
    <row r="902" spans="2:17">
      <c r="B902" s="337"/>
      <c r="C902" s="730">
        <f>IF(D879="","-",+C901+1)</f>
        <v>2035</v>
      </c>
      <c r="D902" s="683">
        <f t="shared" si="86"/>
        <v>441167.1736111113</v>
      </c>
      <c r="E902" s="737">
        <f t="shared" si="87"/>
        <v>12818.416666666666</v>
      </c>
      <c r="F902" s="737">
        <f t="shared" si="80"/>
        <v>428348.75694444461</v>
      </c>
      <c r="G902" s="683">
        <f t="shared" si="81"/>
        <v>434757.96527777798</v>
      </c>
      <c r="H902" s="731">
        <f>+J880*G902+E902</f>
        <v>58695.306933066509</v>
      </c>
      <c r="I902" s="738">
        <f>+J881*G902+E902</f>
        <v>58695.306933066509</v>
      </c>
      <c r="J902" s="734">
        <f t="shared" si="82"/>
        <v>0</v>
      </c>
      <c r="K902" s="734"/>
      <c r="L902" s="739"/>
      <c r="M902" s="734">
        <f t="shared" si="83"/>
        <v>0</v>
      </c>
      <c r="N902" s="739"/>
      <c r="O902" s="734">
        <f t="shared" si="84"/>
        <v>0</v>
      </c>
      <c r="P902" s="734">
        <f t="shared" si="85"/>
        <v>0</v>
      </c>
      <c r="Q902" s="684"/>
    </row>
    <row r="903" spans="2:17">
      <c r="B903" s="337"/>
      <c r="C903" s="730">
        <f>IF(D879="","-",+C902+1)</f>
        <v>2036</v>
      </c>
      <c r="D903" s="683">
        <f t="shared" si="86"/>
        <v>428348.75694444461</v>
      </c>
      <c r="E903" s="737">
        <f t="shared" si="87"/>
        <v>12818.416666666666</v>
      </c>
      <c r="F903" s="737">
        <f t="shared" si="80"/>
        <v>415530.34027777793</v>
      </c>
      <c r="G903" s="683">
        <f t="shared" si="81"/>
        <v>421939.54861111124</v>
      </c>
      <c r="H903" s="731">
        <f>+J880*G903+E903</f>
        <v>57342.671347816387</v>
      </c>
      <c r="I903" s="738">
        <f>+J881*G903+E903</f>
        <v>57342.671347816387</v>
      </c>
      <c r="J903" s="734">
        <f t="shared" si="82"/>
        <v>0</v>
      </c>
      <c r="K903" s="734"/>
      <c r="L903" s="739"/>
      <c r="M903" s="734">
        <f t="shared" si="83"/>
        <v>0</v>
      </c>
      <c r="N903" s="739"/>
      <c r="O903" s="734">
        <f t="shared" si="84"/>
        <v>0</v>
      </c>
      <c r="P903" s="734">
        <f t="shared" si="85"/>
        <v>0</v>
      </c>
      <c r="Q903" s="684"/>
    </row>
    <row r="904" spans="2:17">
      <c r="B904" s="337"/>
      <c r="C904" s="730">
        <f>IF(D879="","-",+C903+1)</f>
        <v>2037</v>
      </c>
      <c r="D904" s="683">
        <f t="shared" si="86"/>
        <v>415530.34027777793</v>
      </c>
      <c r="E904" s="737">
        <f t="shared" si="87"/>
        <v>12818.416666666666</v>
      </c>
      <c r="F904" s="737">
        <f t="shared" si="80"/>
        <v>402711.92361111124</v>
      </c>
      <c r="G904" s="683">
        <f t="shared" si="81"/>
        <v>409121.13194444461</v>
      </c>
      <c r="H904" s="731">
        <f>+J880*G904+E904</f>
        <v>55990.035762566273</v>
      </c>
      <c r="I904" s="738">
        <f>+J881*G904+E904</f>
        <v>55990.035762566273</v>
      </c>
      <c r="J904" s="734">
        <f t="shared" si="82"/>
        <v>0</v>
      </c>
      <c r="K904" s="734"/>
      <c r="L904" s="739"/>
      <c r="M904" s="734">
        <f t="shared" si="83"/>
        <v>0</v>
      </c>
      <c r="N904" s="739"/>
      <c r="O904" s="734">
        <f t="shared" si="84"/>
        <v>0</v>
      </c>
      <c r="P904" s="734">
        <f t="shared" si="85"/>
        <v>0</v>
      </c>
      <c r="Q904" s="684"/>
    </row>
    <row r="905" spans="2:17">
      <c r="B905" s="337"/>
      <c r="C905" s="730">
        <f>IF(D879="","-",+C904+1)</f>
        <v>2038</v>
      </c>
      <c r="D905" s="683">
        <f t="shared" si="86"/>
        <v>402711.92361111124</v>
      </c>
      <c r="E905" s="737">
        <f t="shared" si="87"/>
        <v>12818.416666666666</v>
      </c>
      <c r="F905" s="737">
        <f t="shared" si="80"/>
        <v>389893.50694444455</v>
      </c>
      <c r="G905" s="683">
        <f t="shared" si="81"/>
        <v>396302.71527777787</v>
      </c>
      <c r="H905" s="731">
        <f>+J880*G905+E905</f>
        <v>54637.400177316151</v>
      </c>
      <c r="I905" s="738">
        <f>+J881*G905+E905</f>
        <v>54637.400177316151</v>
      </c>
      <c r="J905" s="734">
        <f t="shared" si="82"/>
        <v>0</v>
      </c>
      <c r="K905" s="734"/>
      <c r="L905" s="739"/>
      <c r="M905" s="734">
        <f t="shared" si="83"/>
        <v>0</v>
      </c>
      <c r="N905" s="739"/>
      <c r="O905" s="734">
        <f t="shared" si="84"/>
        <v>0</v>
      </c>
      <c r="P905" s="734">
        <f t="shared" si="85"/>
        <v>0</v>
      </c>
      <c r="Q905" s="684"/>
    </row>
    <row r="906" spans="2:17">
      <c r="B906" s="337"/>
      <c r="C906" s="730">
        <f>IF(D879="","-",+C905+1)</f>
        <v>2039</v>
      </c>
      <c r="D906" s="683">
        <f t="shared" si="86"/>
        <v>389893.50694444455</v>
      </c>
      <c r="E906" s="737">
        <f t="shared" si="87"/>
        <v>12818.416666666666</v>
      </c>
      <c r="F906" s="737">
        <f t="shared" si="80"/>
        <v>377075.09027777787</v>
      </c>
      <c r="G906" s="683">
        <f t="shared" si="81"/>
        <v>383484.29861111124</v>
      </c>
      <c r="H906" s="731">
        <f>+J880*G906+E906</f>
        <v>53284.764592066036</v>
      </c>
      <c r="I906" s="738">
        <f>+J881*G906+E906</f>
        <v>53284.764592066036</v>
      </c>
      <c r="J906" s="734">
        <f t="shared" si="82"/>
        <v>0</v>
      </c>
      <c r="K906" s="734"/>
      <c r="L906" s="739"/>
      <c r="M906" s="734">
        <f t="shared" si="83"/>
        <v>0</v>
      </c>
      <c r="N906" s="739"/>
      <c r="O906" s="734">
        <f t="shared" si="84"/>
        <v>0</v>
      </c>
      <c r="P906" s="734">
        <f t="shared" si="85"/>
        <v>0</v>
      </c>
      <c r="Q906" s="684"/>
    </row>
    <row r="907" spans="2:17">
      <c r="B907" s="337"/>
      <c r="C907" s="730">
        <f>IF(D879="","-",+C906+1)</f>
        <v>2040</v>
      </c>
      <c r="D907" s="683">
        <f t="shared" si="86"/>
        <v>377075.09027777787</v>
      </c>
      <c r="E907" s="737">
        <f t="shared" si="87"/>
        <v>12818.416666666666</v>
      </c>
      <c r="F907" s="737">
        <f t="shared" si="80"/>
        <v>364256.67361111118</v>
      </c>
      <c r="G907" s="683">
        <f t="shared" si="81"/>
        <v>370665.8819444445</v>
      </c>
      <c r="H907" s="731">
        <f>+J880*G907+E907</f>
        <v>51932.129006815907</v>
      </c>
      <c r="I907" s="738">
        <f>+J881*G907+E907</f>
        <v>51932.129006815907</v>
      </c>
      <c r="J907" s="734">
        <f t="shared" si="82"/>
        <v>0</v>
      </c>
      <c r="K907" s="734"/>
      <c r="L907" s="739"/>
      <c r="M907" s="734">
        <f t="shared" si="83"/>
        <v>0</v>
      </c>
      <c r="N907" s="739"/>
      <c r="O907" s="734">
        <f t="shared" si="84"/>
        <v>0</v>
      </c>
      <c r="P907" s="734">
        <f t="shared" si="85"/>
        <v>0</v>
      </c>
      <c r="Q907" s="684"/>
    </row>
    <row r="908" spans="2:17">
      <c r="B908" s="337"/>
      <c r="C908" s="730">
        <f>IF(D879="","-",+C907+1)</f>
        <v>2041</v>
      </c>
      <c r="D908" s="683">
        <f t="shared" si="86"/>
        <v>364256.67361111118</v>
      </c>
      <c r="E908" s="737">
        <f t="shared" si="87"/>
        <v>12818.416666666666</v>
      </c>
      <c r="F908" s="737">
        <f t="shared" si="80"/>
        <v>351438.2569444445</v>
      </c>
      <c r="G908" s="683">
        <f t="shared" si="81"/>
        <v>357847.46527777787</v>
      </c>
      <c r="H908" s="731">
        <f>+J880*G908+E908</f>
        <v>50579.493421565792</v>
      </c>
      <c r="I908" s="738">
        <f>+J881*G908+E908</f>
        <v>50579.493421565792</v>
      </c>
      <c r="J908" s="734">
        <f t="shared" si="82"/>
        <v>0</v>
      </c>
      <c r="K908" s="734"/>
      <c r="L908" s="739"/>
      <c r="M908" s="734">
        <f t="shared" si="83"/>
        <v>0</v>
      </c>
      <c r="N908" s="739"/>
      <c r="O908" s="734">
        <f t="shared" si="84"/>
        <v>0</v>
      </c>
      <c r="P908" s="734">
        <f t="shared" si="85"/>
        <v>0</v>
      </c>
      <c r="Q908" s="684"/>
    </row>
    <row r="909" spans="2:17">
      <c r="B909" s="337"/>
      <c r="C909" s="730">
        <f>IF(D879="","-",+C908+1)</f>
        <v>2042</v>
      </c>
      <c r="D909" s="683">
        <f t="shared" si="86"/>
        <v>351438.2569444445</v>
      </c>
      <c r="E909" s="737">
        <f t="shared" si="87"/>
        <v>12818.416666666666</v>
      </c>
      <c r="F909" s="737">
        <f t="shared" si="80"/>
        <v>338619.84027777781</v>
      </c>
      <c r="G909" s="683">
        <f t="shared" si="81"/>
        <v>345029.04861111112</v>
      </c>
      <c r="H909" s="731">
        <f>+J880*G909+E909</f>
        <v>49226.85783631567</v>
      </c>
      <c r="I909" s="738">
        <f>+J881*G909+E909</f>
        <v>49226.85783631567</v>
      </c>
      <c r="J909" s="734">
        <f t="shared" si="82"/>
        <v>0</v>
      </c>
      <c r="K909" s="734"/>
      <c r="L909" s="739"/>
      <c r="M909" s="734">
        <f t="shared" si="83"/>
        <v>0</v>
      </c>
      <c r="N909" s="739"/>
      <c r="O909" s="734">
        <f t="shared" si="84"/>
        <v>0</v>
      </c>
      <c r="P909" s="734">
        <f t="shared" si="85"/>
        <v>0</v>
      </c>
      <c r="Q909" s="684"/>
    </row>
    <row r="910" spans="2:17">
      <c r="B910" s="337"/>
      <c r="C910" s="730">
        <f>IF(D879="","-",+C909+1)</f>
        <v>2043</v>
      </c>
      <c r="D910" s="683">
        <f t="shared" si="86"/>
        <v>338619.84027777781</v>
      </c>
      <c r="E910" s="737">
        <f t="shared" si="87"/>
        <v>12818.416666666666</v>
      </c>
      <c r="F910" s="737">
        <f t="shared" si="80"/>
        <v>325801.42361111112</v>
      </c>
      <c r="G910" s="683">
        <f t="shared" si="81"/>
        <v>332210.6319444445</v>
      </c>
      <c r="H910" s="731">
        <f>+J880*G910+E910</f>
        <v>47874.222251065556</v>
      </c>
      <c r="I910" s="738">
        <f>+J881*G910+E910</f>
        <v>47874.222251065556</v>
      </c>
      <c r="J910" s="734">
        <f t="shared" si="82"/>
        <v>0</v>
      </c>
      <c r="K910" s="734"/>
      <c r="L910" s="739"/>
      <c r="M910" s="734">
        <f t="shared" si="83"/>
        <v>0</v>
      </c>
      <c r="N910" s="739"/>
      <c r="O910" s="734">
        <f t="shared" si="84"/>
        <v>0</v>
      </c>
      <c r="P910" s="734">
        <f t="shared" si="85"/>
        <v>0</v>
      </c>
      <c r="Q910" s="684"/>
    </row>
    <row r="911" spans="2:17">
      <c r="B911" s="337"/>
      <c r="C911" s="730">
        <f>IF(D879="","-",+C910+1)</f>
        <v>2044</v>
      </c>
      <c r="D911" s="683">
        <f t="shared" si="86"/>
        <v>325801.42361111112</v>
      </c>
      <c r="E911" s="737">
        <f t="shared" si="87"/>
        <v>12818.416666666666</v>
      </c>
      <c r="F911" s="737">
        <f t="shared" si="80"/>
        <v>312983.00694444444</v>
      </c>
      <c r="G911" s="683">
        <f t="shared" si="81"/>
        <v>319392.21527777775</v>
      </c>
      <c r="H911" s="731">
        <f>+J880*G911+E911</f>
        <v>46521.586665815426</v>
      </c>
      <c r="I911" s="738">
        <f>+J881*G911+E911</f>
        <v>46521.586665815426</v>
      </c>
      <c r="J911" s="734">
        <f t="shared" si="82"/>
        <v>0</v>
      </c>
      <c r="K911" s="734"/>
      <c r="L911" s="739"/>
      <c r="M911" s="734">
        <f t="shared" si="83"/>
        <v>0</v>
      </c>
      <c r="N911" s="739"/>
      <c r="O911" s="734">
        <f t="shared" si="84"/>
        <v>0</v>
      </c>
      <c r="P911" s="734">
        <f t="shared" si="85"/>
        <v>0</v>
      </c>
      <c r="Q911" s="684"/>
    </row>
    <row r="912" spans="2:17">
      <c r="B912" s="337"/>
      <c r="C912" s="730">
        <f>IF(D879="","-",+C911+1)</f>
        <v>2045</v>
      </c>
      <c r="D912" s="683">
        <f t="shared" si="86"/>
        <v>312983.00694444444</v>
      </c>
      <c r="E912" s="737">
        <f t="shared" si="87"/>
        <v>12818.416666666666</v>
      </c>
      <c r="F912" s="737">
        <f t="shared" si="80"/>
        <v>300164.59027777775</v>
      </c>
      <c r="G912" s="683">
        <f t="shared" si="81"/>
        <v>306573.79861111112</v>
      </c>
      <c r="H912" s="731">
        <f>+J880*G912+E912</f>
        <v>45168.951080565319</v>
      </c>
      <c r="I912" s="738">
        <f>+J881*G912+E912</f>
        <v>45168.951080565319</v>
      </c>
      <c r="J912" s="734">
        <f t="shared" si="82"/>
        <v>0</v>
      </c>
      <c r="K912" s="734"/>
      <c r="L912" s="739"/>
      <c r="M912" s="734">
        <f t="shared" si="83"/>
        <v>0</v>
      </c>
      <c r="N912" s="739"/>
      <c r="O912" s="734">
        <f t="shared" si="84"/>
        <v>0</v>
      </c>
      <c r="P912" s="734">
        <f t="shared" si="85"/>
        <v>0</v>
      </c>
      <c r="Q912" s="684"/>
    </row>
    <row r="913" spans="2:17">
      <c r="B913" s="337"/>
      <c r="C913" s="730">
        <f>IF(D879="","-",+C912+1)</f>
        <v>2046</v>
      </c>
      <c r="D913" s="683">
        <f t="shared" si="86"/>
        <v>300164.59027777775</v>
      </c>
      <c r="E913" s="737">
        <f t="shared" si="87"/>
        <v>12818.416666666666</v>
      </c>
      <c r="F913" s="737">
        <f t="shared" si="80"/>
        <v>287346.17361111107</v>
      </c>
      <c r="G913" s="683">
        <f t="shared" si="81"/>
        <v>293755.38194444438</v>
      </c>
      <c r="H913" s="731">
        <f>+J880*G913+E913</f>
        <v>43816.31549531519</v>
      </c>
      <c r="I913" s="738">
        <f>+J881*G913+E913</f>
        <v>43816.31549531519</v>
      </c>
      <c r="J913" s="734">
        <f t="shared" si="82"/>
        <v>0</v>
      </c>
      <c r="K913" s="734"/>
      <c r="L913" s="739"/>
      <c r="M913" s="734">
        <f t="shared" si="83"/>
        <v>0</v>
      </c>
      <c r="N913" s="739"/>
      <c r="O913" s="734">
        <f t="shared" si="84"/>
        <v>0</v>
      </c>
      <c r="P913" s="734">
        <f t="shared" si="85"/>
        <v>0</v>
      </c>
      <c r="Q913" s="684"/>
    </row>
    <row r="914" spans="2:17">
      <c r="B914" s="337"/>
      <c r="C914" s="730">
        <f>IF(D879="","-",+C913+1)</f>
        <v>2047</v>
      </c>
      <c r="D914" s="683">
        <f t="shared" si="86"/>
        <v>287346.17361111107</v>
      </c>
      <c r="E914" s="737">
        <f t="shared" si="87"/>
        <v>12818.416666666666</v>
      </c>
      <c r="F914" s="737">
        <f t="shared" si="80"/>
        <v>274527.75694444438</v>
      </c>
      <c r="G914" s="683">
        <f t="shared" si="81"/>
        <v>280936.96527777775</v>
      </c>
      <c r="H914" s="731">
        <f>+J880*G914+E914</f>
        <v>42463.679910065075</v>
      </c>
      <c r="I914" s="738">
        <f>+J881*G914+E914</f>
        <v>42463.679910065075</v>
      </c>
      <c r="J914" s="734">
        <f t="shared" si="82"/>
        <v>0</v>
      </c>
      <c r="K914" s="734"/>
      <c r="L914" s="739"/>
      <c r="M914" s="734">
        <f t="shared" si="83"/>
        <v>0</v>
      </c>
      <c r="N914" s="739"/>
      <c r="O914" s="734">
        <f t="shared" si="84"/>
        <v>0</v>
      </c>
      <c r="P914" s="734">
        <f t="shared" si="85"/>
        <v>0</v>
      </c>
      <c r="Q914" s="684"/>
    </row>
    <row r="915" spans="2:17">
      <c r="B915" s="337"/>
      <c r="C915" s="730">
        <f>IF(D879="","-",+C914+1)</f>
        <v>2048</v>
      </c>
      <c r="D915" s="683">
        <f t="shared" si="86"/>
        <v>274527.75694444438</v>
      </c>
      <c r="E915" s="737">
        <f t="shared" si="87"/>
        <v>12818.416666666666</v>
      </c>
      <c r="F915" s="737">
        <f t="shared" si="80"/>
        <v>261709.34027777772</v>
      </c>
      <c r="G915" s="683">
        <f t="shared" si="81"/>
        <v>268118.54861111107</v>
      </c>
      <c r="H915" s="731">
        <f>+J880*G915+E915</f>
        <v>41111.04432481496</v>
      </c>
      <c r="I915" s="738">
        <f>+J881*G915+E915</f>
        <v>41111.04432481496</v>
      </c>
      <c r="J915" s="734">
        <f t="shared" si="82"/>
        <v>0</v>
      </c>
      <c r="K915" s="734"/>
      <c r="L915" s="739"/>
      <c r="M915" s="734">
        <f t="shared" si="83"/>
        <v>0</v>
      </c>
      <c r="N915" s="739"/>
      <c r="O915" s="734">
        <f t="shared" si="84"/>
        <v>0</v>
      </c>
      <c r="P915" s="734">
        <f t="shared" si="85"/>
        <v>0</v>
      </c>
      <c r="Q915" s="684"/>
    </row>
    <row r="916" spans="2:17">
      <c r="B916" s="337"/>
      <c r="C916" s="730">
        <f>IF(D879="","-",+C915+1)</f>
        <v>2049</v>
      </c>
      <c r="D916" s="683">
        <f t="shared" si="86"/>
        <v>261709.34027777772</v>
      </c>
      <c r="E916" s="737">
        <f t="shared" si="87"/>
        <v>12818.416666666666</v>
      </c>
      <c r="F916" s="737">
        <f t="shared" si="80"/>
        <v>248890.92361111107</v>
      </c>
      <c r="G916" s="683">
        <f t="shared" si="81"/>
        <v>255300.13194444438</v>
      </c>
      <c r="H916" s="731">
        <f>+J880*G916+E916</f>
        <v>39758.408739564838</v>
      </c>
      <c r="I916" s="738">
        <f>+J881*G916+E916</f>
        <v>39758.408739564838</v>
      </c>
      <c r="J916" s="734">
        <f t="shared" si="82"/>
        <v>0</v>
      </c>
      <c r="K916" s="734"/>
      <c r="L916" s="739"/>
      <c r="M916" s="734">
        <f t="shared" si="83"/>
        <v>0</v>
      </c>
      <c r="N916" s="739"/>
      <c r="O916" s="734">
        <f t="shared" si="84"/>
        <v>0</v>
      </c>
      <c r="P916" s="734">
        <f t="shared" si="85"/>
        <v>0</v>
      </c>
      <c r="Q916" s="684"/>
    </row>
    <row r="917" spans="2:17">
      <c r="B917" s="337"/>
      <c r="C917" s="730">
        <f>IF(D879="","-",+C916+1)</f>
        <v>2050</v>
      </c>
      <c r="D917" s="683">
        <f t="shared" si="86"/>
        <v>248890.92361111107</v>
      </c>
      <c r="E917" s="737">
        <f t="shared" si="87"/>
        <v>12818.416666666666</v>
      </c>
      <c r="F917" s="737">
        <f t="shared" si="80"/>
        <v>236072.50694444441</v>
      </c>
      <c r="G917" s="683">
        <f t="shared" si="81"/>
        <v>242481.71527777775</v>
      </c>
      <c r="H917" s="731">
        <f>+J880*G917+E917</f>
        <v>38405.773154314724</v>
      </c>
      <c r="I917" s="738">
        <f>+J881*G917+E917</f>
        <v>38405.773154314724</v>
      </c>
      <c r="J917" s="734">
        <f t="shared" si="82"/>
        <v>0</v>
      </c>
      <c r="K917" s="734"/>
      <c r="L917" s="739"/>
      <c r="M917" s="734">
        <f t="shared" si="83"/>
        <v>0</v>
      </c>
      <c r="N917" s="739"/>
      <c r="O917" s="734">
        <f t="shared" si="84"/>
        <v>0</v>
      </c>
      <c r="P917" s="734">
        <f t="shared" si="85"/>
        <v>0</v>
      </c>
      <c r="Q917" s="684"/>
    </row>
    <row r="918" spans="2:17">
      <c r="B918" s="337"/>
      <c r="C918" s="730">
        <f>IF(D879="","-",+C917+1)</f>
        <v>2051</v>
      </c>
      <c r="D918" s="683">
        <f t="shared" si="86"/>
        <v>236072.50694444441</v>
      </c>
      <c r="E918" s="737">
        <f t="shared" si="87"/>
        <v>12818.416666666666</v>
      </c>
      <c r="F918" s="737">
        <f t="shared" si="80"/>
        <v>223254.09027777775</v>
      </c>
      <c r="G918" s="683">
        <f t="shared" si="81"/>
        <v>229663.29861111107</v>
      </c>
      <c r="H918" s="731">
        <f>+J880*G918+E918</f>
        <v>37053.137569064602</v>
      </c>
      <c r="I918" s="738">
        <f>+J881*G918+E918</f>
        <v>37053.137569064602</v>
      </c>
      <c r="J918" s="734">
        <f t="shared" si="82"/>
        <v>0</v>
      </c>
      <c r="K918" s="734"/>
      <c r="L918" s="739"/>
      <c r="M918" s="734">
        <f t="shared" si="83"/>
        <v>0</v>
      </c>
      <c r="N918" s="739"/>
      <c r="O918" s="734">
        <f t="shared" si="84"/>
        <v>0</v>
      </c>
      <c r="P918" s="734">
        <f t="shared" si="85"/>
        <v>0</v>
      </c>
      <c r="Q918" s="684"/>
    </row>
    <row r="919" spans="2:17">
      <c r="B919" s="337"/>
      <c r="C919" s="730">
        <f>IF(D879="","-",+C918+1)</f>
        <v>2052</v>
      </c>
      <c r="D919" s="683">
        <f t="shared" si="86"/>
        <v>223254.09027777775</v>
      </c>
      <c r="E919" s="737">
        <f t="shared" si="87"/>
        <v>12818.416666666666</v>
      </c>
      <c r="F919" s="737">
        <f t="shared" si="80"/>
        <v>210435.67361111109</v>
      </c>
      <c r="G919" s="683">
        <f t="shared" si="81"/>
        <v>216844.88194444444</v>
      </c>
      <c r="H919" s="731">
        <f>+J880*G919+E919</f>
        <v>35700.501983814487</v>
      </c>
      <c r="I919" s="738">
        <f>+J881*G919+E919</f>
        <v>35700.501983814487</v>
      </c>
      <c r="J919" s="734">
        <f t="shared" si="82"/>
        <v>0</v>
      </c>
      <c r="K919" s="734"/>
      <c r="L919" s="739"/>
      <c r="M919" s="734">
        <f t="shared" si="83"/>
        <v>0</v>
      </c>
      <c r="N919" s="739"/>
      <c r="O919" s="734">
        <f t="shared" si="84"/>
        <v>0</v>
      </c>
      <c r="P919" s="734">
        <f t="shared" si="85"/>
        <v>0</v>
      </c>
      <c r="Q919" s="684"/>
    </row>
    <row r="920" spans="2:17">
      <c r="B920" s="337"/>
      <c r="C920" s="730">
        <f>IF(D879="","-",+C919+1)</f>
        <v>2053</v>
      </c>
      <c r="D920" s="683">
        <f t="shared" si="86"/>
        <v>210435.67361111109</v>
      </c>
      <c r="E920" s="737">
        <f t="shared" si="87"/>
        <v>12818.416666666666</v>
      </c>
      <c r="F920" s="737">
        <f t="shared" si="80"/>
        <v>197617.25694444444</v>
      </c>
      <c r="G920" s="683">
        <f t="shared" si="81"/>
        <v>204026.46527777775</v>
      </c>
      <c r="H920" s="731">
        <f>+J880*G920+E920</f>
        <v>34347.866398564373</v>
      </c>
      <c r="I920" s="738">
        <f>+J881*G920+E920</f>
        <v>34347.866398564373</v>
      </c>
      <c r="J920" s="734">
        <f t="shared" si="82"/>
        <v>0</v>
      </c>
      <c r="K920" s="734"/>
      <c r="L920" s="739"/>
      <c r="M920" s="734">
        <f t="shared" si="83"/>
        <v>0</v>
      </c>
      <c r="N920" s="739"/>
      <c r="O920" s="734">
        <f t="shared" si="84"/>
        <v>0</v>
      </c>
      <c r="P920" s="734">
        <f t="shared" si="85"/>
        <v>0</v>
      </c>
      <c r="Q920" s="684"/>
    </row>
    <row r="921" spans="2:17">
      <c r="B921" s="337"/>
      <c r="C921" s="730">
        <f>IF(D879="","-",+C920+1)</f>
        <v>2054</v>
      </c>
      <c r="D921" s="683">
        <f t="shared" si="86"/>
        <v>197617.25694444444</v>
      </c>
      <c r="E921" s="737">
        <f t="shared" si="87"/>
        <v>12818.416666666666</v>
      </c>
      <c r="F921" s="737">
        <f t="shared" si="80"/>
        <v>184798.84027777778</v>
      </c>
      <c r="G921" s="683">
        <f t="shared" si="81"/>
        <v>191208.04861111112</v>
      </c>
      <c r="H921" s="731">
        <f>+J880*G921+E921</f>
        <v>32995.230813314258</v>
      </c>
      <c r="I921" s="738">
        <f>+J881*G921+E921</f>
        <v>32995.230813314258</v>
      </c>
      <c r="J921" s="734">
        <f t="shared" si="82"/>
        <v>0</v>
      </c>
      <c r="K921" s="734"/>
      <c r="L921" s="739"/>
      <c r="M921" s="734">
        <f t="shared" si="83"/>
        <v>0</v>
      </c>
      <c r="N921" s="739"/>
      <c r="O921" s="734">
        <f t="shared" si="84"/>
        <v>0</v>
      </c>
      <c r="P921" s="734">
        <f t="shared" si="85"/>
        <v>0</v>
      </c>
      <c r="Q921" s="684"/>
    </row>
    <row r="922" spans="2:17">
      <c r="B922" s="337"/>
      <c r="C922" s="730">
        <f>IF(D879="","-",+C921+1)</f>
        <v>2055</v>
      </c>
      <c r="D922" s="683">
        <f t="shared" si="86"/>
        <v>184798.84027777778</v>
      </c>
      <c r="E922" s="737">
        <f t="shared" si="87"/>
        <v>12818.416666666666</v>
      </c>
      <c r="F922" s="737">
        <f t="shared" si="80"/>
        <v>171980.42361111112</v>
      </c>
      <c r="G922" s="683">
        <f t="shared" si="81"/>
        <v>178389.63194444444</v>
      </c>
      <c r="H922" s="731">
        <f>+J880*G922+E922</f>
        <v>31642.595228064136</v>
      </c>
      <c r="I922" s="738">
        <f>+J881*G922+E922</f>
        <v>31642.595228064136</v>
      </c>
      <c r="J922" s="734">
        <f t="shared" si="82"/>
        <v>0</v>
      </c>
      <c r="K922" s="734"/>
      <c r="L922" s="739"/>
      <c r="M922" s="734">
        <f t="shared" si="83"/>
        <v>0</v>
      </c>
      <c r="N922" s="739"/>
      <c r="O922" s="734">
        <f t="shared" si="84"/>
        <v>0</v>
      </c>
      <c r="P922" s="734">
        <f t="shared" si="85"/>
        <v>0</v>
      </c>
      <c r="Q922" s="684"/>
    </row>
    <row r="923" spans="2:17">
      <c r="B923" s="337"/>
      <c r="C923" s="730">
        <f>IF(D879="","-",+C922+1)</f>
        <v>2056</v>
      </c>
      <c r="D923" s="683">
        <f t="shared" si="86"/>
        <v>171980.42361111112</v>
      </c>
      <c r="E923" s="737">
        <f t="shared" si="87"/>
        <v>12818.416666666666</v>
      </c>
      <c r="F923" s="737">
        <f t="shared" si="80"/>
        <v>159162.00694444447</v>
      </c>
      <c r="G923" s="683">
        <f t="shared" si="81"/>
        <v>165571.21527777781</v>
      </c>
      <c r="H923" s="731">
        <f>+J880*G923+E923</f>
        <v>30289.959642814021</v>
      </c>
      <c r="I923" s="738">
        <f>+J881*G923+E923</f>
        <v>30289.959642814021</v>
      </c>
      <c r="J923" s="734">
        <f t="shared" si="82"/>
        <v>0</v>
      </c>
      <c r="K923" s="734"/>
      <c r="L923" s="739"/>
      <c r="M923" s="734">
        <f t="shared" si="83"/>
        <v>0</v>
      </c>
      <c r="N923" s="739"/>
      <c r="O923" s="734">
        <f t="shared" si="84"/>
        <v>0</v>
      </c>
      <c r="P923" s="734">
        <f t="shared" si="85"/>
        <v>0</v>
      </c>
      <c r="Q923" s="684"/>
    </row>
    <row r="924" spans="2:17">
      <c r="B924" s="337"/>
      <c r="C924" s="730">
        <f>IF(D879="","-",+C923+1)</f>
        <v>2057</v>
      </c>
      <c r="D924" s="683">
        <f t="shared" si="86"/>
        <v>159162.00694444447</v>
      </c>
      <c r="E924" s="737">
        <f t="shared" si="87"/>
        <v>12818.416666666666</v>
      </c>
      <c r="F924" s="737">
        <f t="shared" si="80"/>
        <v>146343.59027777781</v>
      </c>
      <c r="G924" s="683">
        <f t="shared" si="81"/>
        <v>152752.79861111112</v>
      </c>
      <c r="H924" s="731">
        <f>+J880*G924+E924</f>
        <v>28937.324057563907</v>
      </c>
      <c r="I924" s="738">
        <f>+J881*G924+E924</f>
        <v>28937.324057563907</v>
      </c>
      <c r="J924" s="734">
        <f t="shared" si="82"/>
        <v>0</v>
      </c>
      <c r="K924" s="734"/>
      <c r="L924" s="739"/>
      <c r="M924" s="734">
        <f t="shared" si="83"/>
        <v>0</v>
      </c>
      <c r="N924" s="739"/>
      <c r="O924" s="734">
        <f t="shared" si="84"/>
        <v>0</v>
      </c>
      <c r="P924" s="734">
        <f t="shared" si="85"/>
        <v>0</v>
      </c>
      <c r="Q924" s="684"/>
    </row>
    <row r="925" spans="2:17">
      <c r="B925" s="337"/>
      <c r="C925" s="730">
        <f>IF(D879="","-",+C924+1)</f>
        <v>2058</v>
      </c>
      <c r="D925" s="683">
        <f t="shared" si="86"/>
        <v>146343.59027777781</v>
      </c>
      <c r="E925" s="737">
        <f t="shared" si="87"/>
        <v>12818.416666666666</v>
      </c>
      <c r="F925" s="737">
        <f t="shared" si="80"/>
        <v>133525.17361111115</v>
      </c>
      <c r="G925" s="683">
        <f t="shared" si="81"/>
        <v>139934.3819444445</v>
      </c>
      <c r="H925" s="731">
        <f>+J880*G925+E925</f>
        <v>27584.688472313792</v>
      </c>
      <c r="I925" s="738">
        <f>+J881*G925+E925</f>
        <v>27584.688472313792</v>
      </c>
      <c r="J925" s="734">
        <f t="shared" si="82"/>
        <v>0</v>
      </c>
      <c r="K925" s="734"/>
      <c r="L925" s="739"/>
      <c r="M925" s="734">
        <f t="shared" si="83"/>
        <v>0</v>
      </c>
      <c r="N925" s="739"/>
      <c r="O925" s="734">
        <f t="shared" si="84"/>
        <v>0</v>
      </c>
      <c r="P925" s="734">
        <f t="shared" si="85"/>
        <v>0</v>
      </c>
      <c r="Q925" s="684"/>
    </row>
    <row r="926" spans="2:17">
      <c r="B926" s="337"/>
      <c r="C926" s="730">
        <f>IF(D879="","-",+C925+1)</f>
        <v>2059</v>
      </c>
      <c r="D926" s="683">
        <f t="shared" si="86"/>
        <v>133525.17361111115</v>
      </c>
      <c r="E926" s="737">
        <f t="shared" si="87"/>
        <v>12818.416666666666</v>
      </c>
      <c r="F926" s="737">
        <f t="shared" si="80"/>
        <v>120706.75694444448</v>
      </c>
      <c r="G926" s="683">
        <f t="shared" si="81"/>
        <v>127115.96527777781</v>
      </c>
      <c r="H926" s="731">
        <f>+J880*G926+E926</f>
        <v>26232.05288706367</v>
      </c>
      <c r="I926" s="738">
        <f>+J881*G926+E926</f>
        <v>26232.05288706367</v>
      </c>
      <c r="J926" s="734">
        <f t="shared" si="82"/>
        <v>0</v>
      </c>
      <c r="K926" s="734"/>
      <c r="L926" s="739"/>
      <c r="M926" s="734">
        <f t="shared" si="83"/>
        <v>0</v>
      </c>
      <c r="N926" s="739"/>
      <c r="O926" s="734">
        <f t="shared" si="84"/>
        <v>0</v>
      </c>
      <c r="P926" s="734">
        <f t="shared" si="85"/>
        <v>0</v>
      </c>
      <c r="Q926" s="684"/>
    </row>
    <row r="927" spans="2:17">
      <c r="B927" s="337"/>
      <c r="C927" s="730">
        <f>IF(D879="","-",+C926+1)</f>
        <v>2060</v>
      </c>
      <c r="D927" s="683">
        <f t="shared" si="86"/>
        <v>120706.75694444448</v>
      </c>
      <c r="E927" s="737">
        <f t="shared" si="87"/>
        <v>12818.416666666666</v>
      </c>
      <c r="F927" s="737">
        <f t="shared" si="80"/>
        <v>107888.34027777781</v>
      </c>
      <c r="G927" s="683">
        <f t="shared" si="81"/>
        <v>114297.54861111115</v>
      </c>
      <c r="H927" s="731">
        <f>+J880*G927+E927</f>
        <v>24879.417301813555</v>
      </c>
      <c r="I927" s="738">
        <f>+J881*G927+E927</f>
        <v>24879.417301813555</v>
      </c>
      <c r="J927" s="734">
        <f t="shared" si="82"/>
        <v>0</v>
      </c>
      <c r="K927" s="734"/>
      <c r="L927" s="739"/>
      <c r="M927" s="734">
        <f t="shared" si="83"/>
        <v>0</v>
      </c>
      <c r="N927" s="739"/>
      <c r="O927" s="734">
        <f t="shared" si="84"/>
        <v>0</v>
      </c>
      <c r="P927" s="734">
        <f t="shared" si="85"/>
        <v>0</v>
      </c>
      <c r="Q927" s="684"/>
    </row>
    <row r="928" spans="2:17">
      <c r="B928" s="337"/>
      <c r="C928" s="730">
        <f>IF(D879="","-",+C927+1)</f>
        <v>2061</v>
      </c>
      <c r="D928" s="683">
        <f t="shared" si="86"/>
        <v>107888.34027777781</v>
      </c>
      <c r="E928" s="737">
        <f t="shared" si="87"/>
        <v>12818.416666666666</v>
      </c>
      <c r="F928" s="737">
        <f t="shared" si="80"/>
        <v>95069.923611111139</v>
      </c>
      <c r="G928" s="683">
        <f t="shared" si="81"/>
        <v>101479.13194444447</v>
      </c>
      <c r="H928" s="731">
        <f>+J880*G928+E928</f>
        <v>23526.781716563433</v>
      </c>
      <c r="I928" s="738">
        <f>+J881*G928+E928</f>
        <v>23526.781716563433</v>
      </c>
      <c r="J928" s="734">
        <f t="shared" si="82"/>
        <v>0</v>
      </c>
      <c r="K928" s="734"/>
      <c r="L928" s="739"/>
      <c r="M928" s="734">
        <f t="shared" si="83"/>
        <v>0</v>
      </c>
      <c r="N928" s="739"/>
      <c r="O928" s="734">
        <f t="shared" si="84"/>
        <v>0</v>
      </c>
      <c r="P928" s="734">
        <f t="shared" si="85"/>
        <v>0</v>
      </c>
      <c r="Q928" s="684"/>
    </row>
    <row r="929" spans="2:17">
      <c r="B929" s="337"/>
      <c r="C929" s="730">
        <f>IF(D879="","-",+C928+1)</f>
        <v>2062</v>
      </c>
      <c r="D929" s="683">
        <f t="shared" si="86"/>
        <v>95069.923611111139</v>
      </c>
      <c r="E929" s="737">
        <f t="shared" si="87"/>
        <v>12818.416666666666</v>
      </c>
      <c r="F929" s="737">
        <f t="shared" si="80"/>
        <v>82251.506944444467</v>
      </c>
      <c r="G929" s="683">
        <f t="shared" si="81"/>
        <v>88660.71527777781</v>
      </c>
      <c r="H929" s="731">
        <f>+J880*G929+E929</f>
        <v>22174.146131313319</v>
      </c>
      <c r="I929" s="738">
        <f>+J881*G929+E929</f>
        <v>22174.146131313319</v>
      </c>
      <c r="J929" s="734">
        <f t="shared" si="82"/>
        <v>0</v>
      </c>
      <c r="K929" s="734"/>
      <c r="L929" s="739"/>
      <c r="M929" s="734">
        <f t="shared" si="83"/>
        <v>0</v>
      </c>
      <c r="N929" s="739"/>
      <c r="O929" s="734">
        <f t="shared" si="84"/>
        <v>0</v>
      </c>
      <c r="P929" s="734">
        <f t="shared" si="85"/>
        <v>0</v>
      </c>
      <c r="Q929" s="684"/>
    </row>
    <row r="930" spans="2:17">
      <c r="B930" s="337"/>
      <c r="C930" s="730">
        <f>IF(D879="","-",+C929+1)</f>
        <v>2063</v>
      </c>
      <c r="D930" s="683">
        <f t="shared" si="86"/>
        <v>82251.506944444467</v>
      </c>
      <c r="E930" s="737">
        <f t="shared" si="87"/>
        <v>12818.416666666666</v>
      </c>
      <c r="F930" s="737">
        <f t="shared" si="80"/>
        <v>69433.090277777796</v>
      </c>
      <c r="G930" s="683">
        <f t="shared" si="81"/>
        <v>75842.298611111124</v>
      </c>
      <c r="H930" s="731">
        <f>+J880*G930+E930</f>
        <v>20821.510546063197</v>
      </c>
      <c r="I930" s="738">
        <f>+J881*G930+E930</f>
        <v>20821.510546063197</v>
      </c>
      <c r="J930" s="734">
        <f t="shared" si="82"/>
        <v>0</v>
      </c>
      <c r="K930" s="734"/>
      <c r="L930" s="739"/>
      <c r="M930" s="734">
        <f t="shared" si="83"/>
        <v>0</v>
      </c>
      <c r="N930" s="739"/>
      <c r="O930" s="734">
        <f t="shared" si="84"/>
        <v>0</v>
      </c>
      <c r="P930" s="734">
        <f t="shared" si="85"/>
        <v>0</v>
      </c>
      <c r="Q930" s="684"/>
    </row>
    <row r="931" spans="2:17">
      <c r="B931" s="337"/>
      <c r="C931" s="730">
        <f>IF(D879="","-",+C930+1)</f>
        <v>2064</v>
      </c>
      <c r="D931" s="683">
        <f t="shared" si="86"/>
        <v>69433.090277777796</v>
      </c>
      <c r="E931" s="737">
        <f t="shared" si="87"/>
        <v>12818.416666666666</v>
      </c>
      <c r="F931" s="737">
        <f t="shared" si="80"/>
        <v>56614.673611111131</v>
      </c>
      <c r="G931" s="683">
        <f t="shared" si="81"/>
        <v>63023.881944444467</v>
      </c>
      <c r="H931" s="731">
        <f>+J880*G931+E931</f>
        <v>19468.874960813082</v>
      </c>
      <c r="I931" s="738">
        <f>+J881*G931+E931</f>
        <v>19468.874960813082</v>
      </c>
      <c r="J931" s="734">
        <f t="shared" si="82"/>
        <v>0</v>
      </c>
      <c r="K931" s="734"/>
      <c r="L931" s="739"/>
      <c r="M931" s="734">
        <f t="shared" si="83"/>
        <v>0</v>
      </c>
      <c r="N931" s="739"/>
      <c r="O931" s="734">
        <f t="shared" si="84"/>
        <v>0</v>
      </c>
      <c r="P931" s="734">
        <f t="shared" si="85"/>
        <v>0</v>
      </c>
      <c r="Q931" s="684"/>
    </row>
    <row r="932" spans="2:17">
      <c r="B932" s="337"/>
      <c r="C932" s="730">
        <f>IF(D879="","-",+C931+1)</f>
        <v>2065</v>
      </c>
      <c r="D932" s="683">
        <f t="shared" si="86"/>
        <v>56614.673611111131</v>
      </c>
      <c r="E932" s="737">
        <f t="shared" si="87"/>
        <v>12818.416666666666</v>
      </c>
      <c r="F932" s="737">
        <f t="shared" si="80"/>
        <v>43796.256944444467</v>
      </c>
      <c r="G932" s="683">
        <f t="shared" si="81"/>
        <v>50205.465277777796</v>
      </c>
      <c r="H932" s="731">
        <f>+J880*G932+E932</f>
        <v>18116.239375562964</v>
      </c>
      <c r="I932" s="738">
        <f>+J881*G932+E932</f>
        <v>18116.239375562964</v>
      </c>
      <c r="J932" s="734">
        <f t="shared" si="82"/>
        <v>0</v>
      </c>
      <c r="K932" s="734"/>
      <c r="L932" s="739"/>
      <c r="M932" s="734">
        <f t="shared" si="83"/>
        <v>0</v>
      </c>
      <c r="N932" s="739"/>
      <c r="O932" s="734">
        <f t="shared" si="84"/>
        <v>0</v>
      </c>
      <c r="P932" s="734">
        <f t="shared" si="85"/>
        <v>0</v>
      </c>
      <c r="Q932" s="684"/>
    </row>
    <row r="933" spans="2:17">
      <c r="B933" s="337"/>
      <c r="C933" s="730">
        <f>IF(D879="","-",+C932+1)</f>
        <v>2066</v>
      </c>
      <c r="D933" s="683">
        <f t="shared" si="86"/>
        <v>43796.256944444467</v>
      </c>
      <c r="E933" s="737">
        <f t="shared" si="87"/>
        <v>12818.416666666666</v>
      </c>
      <c r="F933" s="737">
        <f t="shared" si="80"/>
        <v>30977.840277777803</v>
      </c>
      <c r="G933" s="683">
        <f t="shared" si="81"/>
        <v>37387.048611111139</v>
      </c>
      <c r="H933" s="731">
        <f>+J880*G933+E933</f>
        <v>16763.603790312845</v>
      </c>
      <c r="I933" s="738">
        <f>+J881*G933+E933</f>
        <v>16763.603790312845</v>
      </c>
      <c r="J933" s="734">
        <f t="shared" si="82"/>
        <v>0</v>
      </c>
      <c r="K933" s="734"/>
      <c r="L933" s="739"/>
      <c r="M933" s="734">
        <f t="shared" si="83"/>
        <v>0</v>
      </c>
      <c r="N933" s="739"/>
      <c r="O933" s="734">
        <f t="shared" si="84"/>
        <v>0</v>
      </c>
      <c r="P933" s="734">
        <f t="shared" si="85"/>
        <v>0</v>
      </c>
      <c r="Q933" s="684"/>
    </row>
    <row r="934" spans="2:17">
      <c r="B934" s="337"/>
      <c r="C934" s="730">
        <f>IF(D879="","-",+C933+1)</f>
        <v>2067</v>
      </c>
      <c r="D934" s="683">
        <f t="shared" si="86"/>
        <v>30977.840277777803</v>
      </c>
      <c r="E934" s="737">
        <f t="shared" si="87"/>
        <v>12818.416666666666</v>
      </c>
      <c r="F934" s="737">
        <f t="shared" si="80"/>
        <v>18159.423611111139</v>
      </c>
      <c r="G934" s="683">
        <f t="shared" si="81"/>
        <v>24568.631944444471</v>
      </c>
      <c r="H934" s="731">
        <f>+J880*G934+E934</f>
        <v>15410.968205062727</v>
      </c>
      <c r="I934" s="738">
        <f>+J881*G934+E934</f>
        <v>15410.968205062727</v>
      </c>
      <c r="J934" s="734">
        <f t="shared" si="82"/>
        <v>0</v>
      </c>
      <c r="K934" s="734"/>
      <c r="L934" s="739"/>
      <c r="M934" s="734">
        <f t="shared" si="83"/>
        <v>0</v>
      </c>
      <c r="N934" s="739"/>
      <c r="O934" s="734">
        <f t="shared" si="84"/>
        <v>0</v>
      </c>
      <c r="P934" s="734">
        <f t="shared" si="85"/>
        <v>0</v>
      </c>
      <c r="Q934" s="684"/>
    </row>
    <row r="935" spans="2:17">
      <c r="B935" s="337"/>
      <c r="C935" s="730">
        <f>IF(D879="","-",+C934+1)</f>
        <v>2068</v>
      </c>
      <c r="D935" s="683">
        <f t="shared" si="86"/>
        <v>18159.423611111139</v>
      </c>
      <c r="E935" s="737">
        <f t="shared" si="87"/>
        <v>12818.416666666666</v>
      </c>
      <c r="F935" s="737">
        <f t="shared" si="80"/>
        <v>5341.0069444444725</v>
      </c>
      <c r="G935" s="683">
        <f t="shared" si="81"/>
        <v>11750.215277777806</v>
      </c>
      <c r="H935" s="731">
        <f>+J880*G935+E935</f>
        <v>14058.332619812611</v>
      </c>
      <c r="I935" s="738">
        <f>+J881*G935+E935</f>
        <v>14058.332619812611</v>
      </c>
      <c r="J935" s="734">
        <f t="shared" si="82"/>
        <v>0</v>
      </c>
      <c r="K935" s="734"/>
      <c r="L935" s="739"/>
      <c r="M935" s="734">
        <f t="shared" si="83"/>
        <v>0</v>
      </c>
      <c r="N935" s="739"/>
      <c r="O935" s="734">
        <f t="shared" si="84"/>
        <v>0</v>
      </c>
      <c r="P935" s="734">
        <f t="shared" si="85"/>
        <v>0</v>
      </c>
      <c r="Q935" s="684"/>
    </row>
    <row r="936" spans="2:17">
      <c r="B936" s="337"/>
      <c r="C936" s="730">
        <f>IF(D879="","-",+C935+1)</f>
        <v>2069</v>
      </c>
      <c r="D936" s="683">
        <f t="shared" si="86"/>
        <v>5341.0069444444725</v>
      </c>
      <c r="E936" s="737">
        <f t="shared" si="87"/>
        <v>5341.0069444444725</v>
      </c>
      <c r="F936" s="737">
        <f t="shared" si="80"/>
        <v>0</v>
      </c>
      <c r="G936" s="683">
        <f t="shared" si="81"/>
        <v>2670.5034722222363</v>
      </c>
      <c r="H936" s="731">
        <f>+J880*G936+E936</f>
        <v>5622.8060247049152</v>
      </c>
      <c r="I936" s="738">
        <f>+J881*G936+E936</f>
        <v>5622.8060247049152</v>
      </c>
      <c r="J936" s="734">
        <f t="shared" si="82"/>
        <v>0</v>
      </c>
      <c r="K936" s="734"/>
      <c r="L936" s="739"/>
      <c r="M936" s="734">
        <f t="shared" si="83"/>
        <v>0</v>
      </c>
      <c r="N936" s="739"/>
      <c r="O936" s="734">
        <f t="shared" si="84"/>
        <v>0</v>
      </c>
      <c r="P936" s="734">
        <f t="shared" si="85"/>
        <v>0</v>
      </c>
      <c r="Q936" s="684"/>
    </row>
    <row r="937" spans="2:17">
      <c r="B937" s="337"/>
      <c r="C937" s="730">
        <f>IF(D879="","-",+C936+1)</f>
        <v>2070</v>
      </c>
      <c r="D937" s="683">
        <f t="shared" si="86"/>
        <v>0</v>
      </c>
      <c r="E937" s="737">
        <f t="shared" si="87"/>
        <v>0</v>
      </c>
      <c r="F937" s="737">
        <f t="shared" si="80"/>
        <v>0</v>
      </c>
      <c r="G937" s="683">
        <f t="shared" si="81"/>
        <v>0</v>
      </c>
      <c r="H937" s="731">
        <f>+J880*G937+E937</f>
        <v>0</v>
      </c>
      <c r="I937" s="738">
        <f>+J881*G937+E937</f>
        <v>0</v>
      </c>
      <c r="J937" s="734">
        <f t="shared" si="82"/>
        <v>0</v>
      </c>
      <c r="K937" s="734"/>
      <c r="L937" s="739"/>
      <c r="M937" s="734">
        <f t="shared" si="83"/>
        <v>0</v>
      </c>
      <c r="N937" s="739"/>
      <c r="O937" s="734">
        <f t="shared" si="84"/>
        <v>0</v>
      </c>
      <c r="P937" s="734">
        <f t="shared" si="85"/>
        <v>0</v>
      </c>
      <c r="Q937" s="684"/>
    </row>
    <row r="938" spans="2:17">
      <c r="B938" s="337"/>
      <c r="C938" s="730">
        <f>IF(D879="","-",+C937+1)</f>
        <v>2071</v>
      </c>
      <c r="D938" s="683">
        <f t="shared" si="86"/>
        <v>0</v>
      </c>
      <c r="E938" s="737">
        <f t="shared" si="87"/>
        <v>0</v>
      </c>
      <c r="F938" s="737">
        <f t="shared" si="80"/>
        <v>0</v>
      </c>
      <c r="G938" s="683">
        <f t="shared" si="81"/>
        <v>0</v>
      </c>
      <c r="H938" s="731">
        <f>+J880*G938+E938</f>
        <v>0</v>
      </c>
      <c r="I938" s="738">
        <f>+J881*G938+E938</f>
        <v>0</v>
      </c>
      <c r="J938" s="734">
        <f t="shared" si="82"/>
        <v>0</v>
      </c>
      <c r="K938" s="734"/>
      <c r="L938" s="739"/>
      <c r="M938" s="734">
        <f t="shared" si="83"/>
        <v>0</v>
      </c>
      <c r="N938" s="739"/>
      <c r="O938" s="734">
        <f t="shared" si="84"/>
        <v>0</v>
      </c>
      <c r="P938" s="734">
        <f t="shared" si="85"/>
        <v>0</v>
      </c>
      <c r="Q938" s="684"/>
    </row>
    <row r="939" spans="2:17">
      <c r="B939" s="337"/>
      <c r="C939" s="730">
        <f>IF(D879="","-",+C938+1)</f>
        <v>2072</v>
      </c>
      <c r="D939" s="683">
        <f t="shared" si="86"/>
        <v>0</v>
      </c>
      <c r="E939" s="737">
        <f t="shared" si="87"/>
        <v>0</v>
      </c>
      <c r="F939" s="737">
        <f t="shared" si="80"/>
        <v>0</v>
      </c>
      <c r="G939" s="683">
        <f t="shared" si="81"/>
        <v>0</v>
      </c>
      <c r="H939" s="731">
        <f>+J880*G939+E939</f>
        <v>0</v>
      </c>
      <c r="I939" s="738">
        <f>+J881*G939+E939</f>
        <v>0</v>
      </c>
      <c r="J939" s="734">
        <f t="shared" si="82"/>
        <v>0</v>
      </c>
      <c r="K939" s="734"/>
      <c r="L939" s="739"/>
      <c r="M939" s="734">
        <f t="shared" si="83"/>
        <v>0</v>
      </c>
      <c r="N939" s="739"/>
      <c r="O939" s="734">
        <f t="shared" si="84"/>
        <v>0</v>
      </c>
      <c r="P939" s="734">
        <f t="shared" si="85"/>
        <v>0</v>
      </c>
      <c r="Q939" s="684"/>
    </row>
    <row r="940" spans="2:17">
      <c r="B940" s="337"/>
      <c r="C940" s="730">
        <f>IF(D879="","-",+C939+1)</f>
        <v>2073</v>
      </c>
      <c r="D940" s="683">
        <f t="shared" si="86"/>
        <v>0</v>
      </c>
      <c r="E940" s="737">
        <f t="shared" si="87"/>
        <v>0</v>
      </c>
      <c r="F940" s="737">
        <f t="shared" si="80"/>
        <v>0</v>
      </c>
      <c r="G940" s="683">
        <f t="shared" si="81"/>
        <v>0</v>
      </c>
      <c r="H940" s="731">
        <f>+J880*G940+E940</f>
        <v>0</v>
      </c>
      <c r="I940" s="738">
        <f>+J881*G940+E940</f>
        <v>0</v>
      </c>
      <c r="J940" s="734">
        <f t="shared" si="82"/>
        <v>0</v>
      </c>
      <c r="K940" s="734"/>
      <c r="L940" s="739"/>
      <c r="M940" s="734">
        <f t="shared" si="83"/>
        <v>0</v>
      </c>
      <c r="N940" s="739"/>
      <c r="O940" s="734">
        <f t="shared" si="84"/>
        <v>0</v>
      </c>
      <c r="P940" s="734">
        <f t="shared" si="85"/>
        <v>0</v>
      </c>
      <c r="Q940" s="684"/>
    </row>
    <row r="941" spans="2:17">
      <c r="B941" s="337"/>
      <c r="C941" s="730">
        <f>IF(D879="","-",+C940+1)</f>
        <v>2074</v>
      </c>
      <c r="D941" s="683">
        <f t="shared" si="86"/>
        <v>0</v>
      </c>
      <c r="E941" s="737">
        <f t="shared" si="87"/>
        <v>0</v>
      </c>
      <c r="F941" s="737">
        <f t="shared" si="80"/>
        <v>0</v>
      </c>
      <c r="G941" s="683">
        <f t="shared" si="81"/>
        <v>0</v>
      </c>
      <c r="H941" s="731">
        <f>+J880*G941+E941</f>
        <v>0</v>
      </c>
      <c r="I941" s="738">
        <f>+J881*G941+E941</f>
        <v>0</v>
      </c>
      <c r="J941" s="734">
        <f t="shared" si="82"/>
        <v>0</v>
      </c>
      <c r="K941" s="734"/>
      <c r="L941" s="739"/>
      <c r="M941" s="734">
        <f t="shared" si="83"/>
        <v>0</v>
      </c>
      <c r="N941" s="739"/>
      <c r="O941" s="734">
        <f t="shared" si="84"/>
        <v>0</v>
      </c>
      <c r="P941" s="734">
        <f t="shared" si="85"/>
        <v>0</v>
      </c>
      <c r="Q941" s="684"/>
    </row>
    <row r="942" spans="2:17">
      <c r="B942" s="337"/>
      <c r="C942" s="730">
        <f>IF(D879="","-",+C941+1)</f>
        <v>2075</v>
      </c>
      <c r="D942" s="683">
        <f t="shared" si="86"/>
        <v>0</v>
      </c>
      <c r="E942" s="737">
        <f t="shared" si="87"/>
        <v>0</v>
      </c>
      <c r="F942" s="737">
        <f t="shared" si="80"/>
        <v>0</v>
      </c>
      <c r="G942" s="683">
        <f t="shared" si="81"/>
        <v>0</v>
      </c>
      <c r="H942" s="731">
        <f>+J880*G942+E942</f>
        <v>0</v>
      </c>
      <c r="I942" s="738">
        <f>+J881*G942+E942</f>
        <v>0</v>
      </c>
      <c r="J942" s="734">
        <f t="shared" si="82"/>
        <v>0</v>
      </c>
      <c r="K942" s="734"/>
      <c r="L942" s="739"/>
      <c r="M942" s="734">
        <f t="shared" si="83"/>
        <v>0</v>
      </c>
      <c r="N942" s="739"/>
      <c r="O942" s="734">
        <f t="shared" si="84"/>
        <v>0</v>
      </c>
      <c r="P942" s="734">
        <f t="shared" si="85"/>
        <v>0</v>
      </c>
      <c r="Q942" s="684"/>
    </row>
    <row r="943" spans="2:17">
      <c r="B943" s="337"/>
      <c r="C943" s="730">
        <f>IF(D879="","-",+C942+1)</f>
        <v>2076</v>
      </c>
      <c r="D943" s="683">
        <f t="shared" si="86"/>
        <v>0</v>
      </c>
      <c r="E943" s="737">
        <f t="shared" si="87"/>
        <v>0</v>
      </c>
      <c r="F943" s="737">
        <f t="shared" si="80"/>
        <v>0</v>
      </c>
      <c r="G943" s="683">
        <f t="shared" si="81"/>
        <v>0</v>
      </c>
      <c r="H943" s="731">
        <f>+J880*G943+E943</f>
        <v>0</v>
      </c>
      <c r="I943" s="738">
        <f>+J881*G943+E943</f>
        <v>0</v>
      </c>
      <c r="J943" s="734">
        <f t="shared" si="82"/>
        <v>0</v>
      </c>
      <c r="K943" s="734"/>
      <c r="L943" s="739"/>
      <c r="M943" s="734">
        <f t="shared" si="83"/>
        <v>0</v>
      </c>
      <c r="N943" s="739"/>
      <c r="O943" s="734">
        <f t="shared" si="84"/>
        <v>0</v>
      </c>
      <c r="P943" s="734">
        <f t="shared" si="85"/>
        <v>0</v>
      </c>
      <c r="Q943" s="684"/>
    </row>
    <row r="944" spans="2:17" ht="13" thickBot="1">
      <c r="B944" s="337"/>
      <c r="C944" s="741">
        <f>IF(D879="","-",+C943+1)</f>
        <v>2077</v>
      </c>
      <c r="D944" s="742">
        <f t="shared" si="86"/>
        <v>0</v>
      </c>
      <c r="E944" s="1314">
        <f t="shared" si="87"/>
        <v>0</v>
      </c>
      <c r="F944" s="743">
        <f t="shared" si="80"/>
        <v>0</v>
      </c>
      <c r="G944" s="742">
        <f t="shared" si="81"/>
        <v>0</v>
      </c>
      <c r="H944" s="744">
        <f>+J880*G944+E944</f>
        <v>0</v>
      </c>
      <c r="I944" s="744">
        <f>+J881*G944+E944</f>
        <v>0</v>
      </c>
      <c r="J944" s="745">
        <f t="shared" si="82"/>
        <v>0</v>
      </c>
      <c r="K944" s="734"/>
      <c r="L944" s="746"/>
      <c r="M944" s="745">
        <f t="shared" si="83"/>
        <v>0</v>
      </c>
      <c r="N944" s="746"/>
      <c r="O944" s="745">
        <f t="shared" si="84"/>
        <v>0</v>
      </c>
      <c r="P944" s="745">
        <f t="shared" si="85"/>
        <v>0</v>
      </c>
      <c r="Q944" s="684"/>
    </row>
    <row r="945" spans="2:17">
      <c r="B945" s="337"/>
      <c r="C945" s="683" t="s">
        <v>289</v>
      </c>
      <c r="D945" s="679"/>
      <c r="E945" s="679">
        <f>SUM(E885:E944)</f>
        <v>653739.25</v>
      </c>
      <c r="F945" s="679"/>
      <c r="G945" s="679"/>
      <c r="H945" s="679">
        <f>SUM(H885:H944)</f>
        <v>2441585.3348043435</v>
      </c>
      <c r="I945" s="679">
        <f>SUM(I885:I944)</f>
        <v>2441585.3348043435</v>
      </c>
      <c r="J945" s="679">
        <f>SUM(J885:J944)</f>
        <v>0</v>
      </c>
      <c r="K945" s="679"/>
      <c r="L945" s="679"/>
      <c r="M945" s="679"/>
      <c r="N945" s="679"/>
      <c r="O945" s="679"/>
      <c r="Q945" s="679"/>
    </row>
    <row r="946" spans="2:17">
      <c r="B946" s="337"/>
      <c r="D946" s="573"/>
      <c r="E946" s="550"/>
      <c r="F946" s="550"/>
      <c r="G946" s="550"/>
      <c r="H946" s="550"/>
      <c r="I946" s="656"/>
      <c r="J946" s="656"/>
      <c r="K946" s="679"/>
      <c r="L946" s="656"/>
      <c r="M946" s="656"/>
      <c r="N946" s="656"/>
      <c r="O946" s="656"/>
      <c r="Q946" s="679"/>
    </row>
    <row r="947" spans="2:17">
      <c r="B947" s="337"/>
      <c r="C947" s="550" t="s">
        <v>597</v>
      </c>
      <c r="D947" s="573"/>
      <c r="E947" s="550"/>
      <c r="F947" s="550"/>
      <c r="G947" s="550"/>
      <c r="H947" s="550"/>
      <c r="I947" s="656"/>
      <c r="J947" s="656"/>
      <c r="K947" s="679"/>
      <c r="L947" s="656"/>
      <c r="M947" s="656"/>
      <c r="N947" s="656"/>
      <c r="O947" s="656"/>
      <c r="Q947" s="679"/>
    </row>
    <row r="948" spans="2:17">
      <c r="B948" s="337"/>
      <c r="D948" s="573"/>
      <c r="E948" s="550"/>
      <c r="F948" s="550"/>
      <c r="G948" s="550"/>
      <c r="H948" s="550"/>
      <c r="I948" s="656"/>
      <c r="J948" s="656"/>
      <c r="K948" s="679"/>
      <c r="L948" s="656"/>
      <c r="M948" s="656"/>
      <c r="N948" s="656"/>
      <c r="O948" s="656"/>
      <c r="Q948" s="679"/>
    </row>
    <row r="949" spans="2:17">
      <c r="B949" s="337"/>
      <c r="C949" s="586" t="s">
        <v>598</v>
      </c>
      <c r="D949" s="683"/>
      <c r="E949" s="683"/>
      <c r="F949" s="683"/>
      <c r="G949" s="683"/>
      <c r="H949" s="679"/>
      <c r="I949" s="679"/>
      <c r="J949" s="684"/>
      <c r="K949" s="684"/>
      <c r="L949" s="684"/>
      <c r="M949" s="684"/>
      <c r="N949" s="684"/>
      <c r="O949" s="684"/>
      <c r="Q949" s="684"/>
    </row>
    <row r="950" spans="2:17">
      <c r="B950" s="337"/>
      <c r="C950" s="586" t="s">
        <v>477</v>
      </c>
      <c r="D950" s="683"/>
      <c r="E950" s="683"/>
      <c r="F950" s="683"/>
      <c r="G950" s="683"/>
      <c r="H950" s="679"/>
      <c r="I950" s="679"/>
      <c r="J950" s="684"/>
      <c r="K950" s="684"/>
      <c r="L950" s="684"/>
      <c r="M950" s="684"/>
      <c r="N950" s="684"/>
      <c r="O950" s="684"/>
      <c r="Q950" s="684"/>
    </row>
    <row r="951" spans="2:17">
      <c r="B951" s="337"/>
      <c r="C951" s="586" t="s">
        <v>290</v>
      </c>
      <c r="D951" s="683"/>
      <c r="E951" s="683"/>
      <c r="F951" s="683"/>
      <c r="G951" s="683"/>
      <c r="H951" s="679"/>
      <c r="I951" s="679"/>
      <c r="J951" s="684"/>
      <c r="K951" s="684"/>
      <c r="L951" s="684"/>
      <c r="M951" s="684"/>
      <c r="N951" s="684"/>
      <c r="O951" s="684"/>
      <c r="Q951" s="684"/>
    </row>
  </sheetData>
  <mergeCells count="28">
    <mergeCell ref="C51:D52"/>
    <mergeCell ref="L704:O704"/>
    <mergeCell ref="D91:I92"/>
    <mergeCell ref="D178:I179"/>
    <mergeCell ref="D265:I266"/>
    <mergeCell ref="D352:I353"/>
    <mergeCell ref="D439:I440"/>
    <mergeCell ref="D526:I527"/>
    <mergeCell ref="D613:I614"/>
    <mergeCell ref="D700:I701"/>
    <mergeCell ref="L182:O182"/>
    <mergeCell ref="L269:O269"/>
    <mergeCell ref="L356:O356"/>
    <mergeCell ref="L443:O443"/>
    <mergeCell ref="L530:O530"/>
    <mergeCell ref="L617:O617"/>
    <mergeCell ref="A3:P3"/>
    <mergeCell ref="C11:I12"/>
    <mergeCell ref="A4:P4"/>
    <mergeCell ref="A5:P5"/>
    <mergeCell ref="A6:P6"/>
    <mergeCell ref="D787:I788"/>
    <mergeCell ref="L791:O791"/>
    <mergeCell ref="D874:I875"/>
    <mergeCell ref="L878:O878"/>
    <mergeCell ref="C60:D61"/>
    <mergeCell ref="C71:D72"/>
    <mergeCell ref="L95:O95"/>
  </mergeCells>
  <phoneticPr fontId="0" type="noConversion"/>
  <conditionalFormatting sqref="C102:C161">
    <cfRule type="cellIs" dxfId="29" priority="20" stopIfTrue="1" operator="equal">
      <formula>$J$92</formula>
    </cfRule>
  </conditionalFormatting>
  <conditionalFormatting sqref="C189:C248">
    <cfRule type="cellIs" dxfId="28" priority="9" stopIfTrue="1" operator="equal">
      <formula>$J$92</formula>
    </cfRule>
  </conditionalFormatting>
  <conditionalFormatting sqref="C276:C335">
    <cfRule type="cellIs" dxfId="27" priority="8" stopIfTrue="1" operator="equal">
      <formula>$J$92</formula>
    </cfRule>
  </conditionalFormatting>
  <conditionalFormatting sqref="C363:C422">
    <cfRule type="cellIs" dxfId="26" priority="7" stopIfTrue="1" operator="equal">
      <formula>$J$92</formula>
    </cfRule>
  </conditionalFormatting>
  <conditionalFormatting sqref="C450:C509">
    <cfRule type="cellIs" dxfId="25" priority="6" stopIfTrue="1" operator="equal">
      <formula>$J$92</formula>
    </cfRule>
  </conditionalFormatting>
  <conditionalFormatting sqref="C537:C596">
    <cfRule type="cellIs" dxfId="24" priority="5" stopIfTrue="1" operator="equal">
      <formula>$J$92</formula>
    </cfRule>
  </conditionalFormatting>
  <conditionalFormatting sqref="C624:C683">
    <cfRule type="cellIs" dxfId="23" priority="4" stopIfTrue="1" operator="equal">
      <formula>$J$92</formula>
    </cfRule>
  </conditionalFormatting>
  <conditionalFormatting sqref="C711:C770">
    <cfRule type="cellIs" dxfId="22" priority="3" stopIfTrue="1" operator="equal">
      <formula>$J$92</formula>
    </cfRule>
  </conditionalFormatting>
  <conditionalFormatting sqref="C798:C857">
    <cfRule type="cellIs" dxfId="21" priority="2" stopIfTrue="1" operator="equal">
      <formula>$J$92</formula>
    </cfRule>
  </conditionalFormatting>
  <conditionalFormatting sqref="C885:C944">
    <cfRule type="cellIs" dxfId="20" priority="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0" manualBreakCount="10">
    <brk id="81" min="1" max="16" man="1"/>
    <brk id="169" max="16383" man="1"/>
    <brk id="256" max="16383" man="1"/>
    <brk id="343" max="16383" man="1"/>
    <brk id="430" max="16383" man="1"/>
    <brk id="517" max="16383" man="1"/>
    <brk id="604" max="16383" man="1"/>
    <brk id="691" max="16383" man="1"/>
    <brk id="778" max="16383" man="1"/>
    <brk id="86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zoomScaleNormal="100" zoomScaleSheetLayoutView="100" workbookViewId="0">
      <selection activeCell="A3" sqref="A3"/>
    </sheetView>
  </sheetViews>
  <sheetFormatPr defaultColWidth="9.1796875" defaultRowHeight="13"/>
  <cols>
    <col min="1" max="1" width="9.1796875" style="32"/>
    <col min="2" max="2" width="37.54296875" style="186" customWidth="1"/>
    <col min="3" max="3" width="31.54296875" style="183" customWidth="1"/>
    <col min="4" max="4" width="14.81640625" style="183" customWidth="1"/>
    <col min="5" max="5" width="18" style="183" customWidth="1"/>
    <col min="6" max="7" width="11.1796875" style="183" bestFit="1" customWidth="1"/>
    <col min="8" max="8" width="11.1796875" style="253" bestFit="1" customWidth="1"/>
    <col min="9" max="16384" width="9.1796875" style="183"/>
  </cols>
  <sheetData>
    <row r="1" spans="1:30" ht="15.5">
      <c r="A1" s="911" t="s">
        <v>115</v>
      </c>
    </row>
    <row r="2" spans="1:30" ht="15.5">
      <c r="A2" s="911" t="s">
        <v>115</v>
      </c>
    </row>
    <row r="3" spans="1:30" ht="15.5">
      <c r="B3" s="1499" t="s">
        <v>388</v>
      </c>
      <c r="C3" s="1499"/>
      <c r="D3" s="1499"/>
      <c r="E3" s="1499"/>
      <c r="F3" s="1499"/>
      <c r="G3" s="40"/>
      <c r="H3" s="249"/>
      <c r="I3" s="40"/>
      <c r="J3" s="40"/>
      <c r="K3" s="40"/>
      <c r="L3" s="40"/>
      <c r="M3" s="40"/>
      <c r="N3" s="40"/>
      <c r="O3" s="40"/>
      <c r="P3" s="40"/>
    </row>
    <row r="4" spans="1:30" ht="15.5">
      <c r="B4" s="1500" t="str">
        <f>"Cost of Service Formula Rate Using "&amp;TCOS!L4&amp;" FF1 Balances"</f>
        <v>Cost of Service Formula Rate Using 2019 FF1 Balances</v>
      </c>
      <c r="C4" s="1500"/>
      <c r="D4" s="1500"/>
      <c r="E4" s="1500"/>
      <c r="F4" s="1500"/>
      <c r="G4" s="98"/>
      <c r="H4" s="250"/>
      <c r="I4" s="98"/>
      <c r="J4" s="98"/>
      <c r="K4" s="98"/>
      <c r="L4" s="98"/>
      <c r="M4" s="98"/>
      <c r="N4" s="98"/>
      <c r="O4" s="98"/>
      <c r="P4" s="98"/>
    </row>
    <row r="5" spans="1:30" ht="18">
      <c r="B5" s="1499" t="s">
        <v>549</v>
      </c>
      <c r="C5" s="1499"/>
      <c r="D5" s="1499"/>
      <c r="E5" s="1499"/>
      <c r="F5" s="1499"/>
      <c r="G5" s="155"/>
      <c r="H5" s="251"/>
      <c r="I5" s="155"/>
      <c r="J5" s="155"/>
      <c r="K5" s="155"/>
    </row>
    <row r="6" spans="1:30" ht="18">
      <c r="B6" s="1511" t="str">
        <f>+TCOS!F9</f>
        <v xml:space="preserve">Indiana Michigan Power Company </v>
      </c>
      <c r="C6" s="1499"/>
      <c r="D6" s="1499"/>
      <c r="E6" s="1499"/>
      <c r="F6" s="1499"/>
      <c r="G6" s="163"/>
      <c r="H6" s="252"/>
      <c r="I6" s="163"/>
      <c r="J6" s="163"/>
      <c r="K6" s="163"/>
    </row>
    <row r="8" spans="1:30" ht="18.75" customHeight="1">
      <c r="B8" s="19"/>
      <c r="C8" s="144"/>
      <c r="D8" s="185"/>
    </row>
    <row r="10" spans="1:30" ht="18">
      <c r="B10" s="8"/>
      <c r="C10" s="8"/>
      <c r="D10" s="8"/>
      <c r="E10" s="8"/>
      <c r="F10" s="8"/>
      <c r="R10" s="154"/>
      <c r="S10" s="154"/>
      <c r="T10" s="154"/>
      <c r="U10" s="154"/>
      <c r="V10" s="154"/>
      <c r="W10" s="154"/>
      <c r="X10" s="154"/>
      <c r="Y10" s="154"/>
      <c r="Z10" s="154"/>
      <c r="AA10" s="154"/>
      <c r="AB10" s="197"/>
      <c r="AC10" s="197"/>
      <c r="AD10" s="197"/>
    </row>
    <row r="11" spans="1:30">
      <c r="A11" s="889"/>
      <c r="B11" s="184"/>
      <c r="C11" s="185"/>
    </row>
    <row r="12" spans="1:30">
      <c r="A12" s="232"/>
      <c r="B12" s="12"/>
      <c r="C12" s="12"/>
      <c r="D12" s="12"/>
      <c r="E12" s="12"/>
      <c r="F12" s="12"/>
      <c r="G12" s="11"/>
    </row>
    <row r="13" spans="1:30">
      <c r="A13" s="234"/>
      <c r="B13" s="12"/>
      <c r="C13" s="12"/>
      <c r="D13" s="12"/>
      <c r="E13" s="12"/>
      <c r="F13" s="12"/>
      <c r="G13" s="11"/>
    </row>
    <row r="14" spans="1:30">
      <c r="A14" s="271"/>
      <c r="B14" s="12"/>
      <c r="C14" s="12"/>
      <c r="D14" s="12"/>
      <c r="E14" s="12"/>
      <c r="F14" s="12"/>
      <c r="H14" s="183"/>
    </row>
    <row r="15" spans="1:30">
      <c r="A15" s="271"/>
      <c r="B15" s="12"/>
      <c r="C15" s="12"/>
      <c r="D15" s="12"/>
      <c r="E15" s="12"/>
      <c r="F15" s="12"/>
      <c r="H15" s="183"/>
    </row>
    <row r="16" spans="1:30">
      <c r="A16" s="271"/>
      <c r="B16" s="12"/>
      <c r="C16" s="12"/>
      <c r="D16" s="12"/>
      <c r="E16" s="12"/>
      <c r="F16" s="12"/>
      <c r="H16" s="183"/>
    </row>
    <row r="17" spans="1:8" ht="12.75" customHeight="1">
      <c r="A17" s="271"/>
      <c r="B17" s="12"/>
      <c r="C17" s="12"/>
      <c r="D17" s="12"/>
      <c r="E17" s="12"/>
      <c r="F17" s="12"/>
      <c r="H17" s="183"/>
    </row>
    <row r="18" spans="1:8">
      <c r="A18" s="271"/>
      <c r="B18" s="12"/>
      <c r="C18" s="12"/>
      <c r="D18" s="12"/>
      <c r="E18" s="12"/>
      <c r="F18" s="12"/>
      <c r="H18" s="183"/>
    </row>
    <row r="19" spans="1:8">
      <c r="A19" s="271"/>
      <c r="B19" s="12"/>
      <c r="C19" s="12"/>
      <c r="D19" s="12"/>
      <c r="E19" s="12"/>
      <c r="F19" s="12"/>
      <c r="H19" s="183"/>
    </row>
    <row r="20" spans="1:8">
      <c r="A20" s="271"/>
      <c r="B20" s="12"/>
      <c r="C20" s="12"/>
      <c r="D20" s="12"/>
      <c r="E20" s="12"/>
      <c r="F20" s="12"/>
      <c r="H20" s="183"/>
    </row>
    <row r="21" spans="1:8">
      <c r="A21" s="271"/>
      <c r="B21" s="12"/>
      <c r="C21" s="12"/>
      <c r="D21" s="12"/>
      <c r="E21" s="12"/>
      <c r="F21" s="12"/>
      <c r="H21" s="183"/>
    </row>
    <row r="22" spans="1:8">
      <c r="A22" s="271"/>
      <c r="B22" s="12"/>
      <c r="C22" s="12"/>
      <c r="D22" s="12"/>
      <c r="E22" s="12"/>
      <c r="F22" s="12"/>
      <c r="H22" s="183"/>
    </row>
    <row r="23" spans="1:8" ht="12.75" customHeight="1">
      <c r="A23" s="271"/>
      <c r="B23" s="12"/>
      <c r="C23" s="12"/>
      <c r="D23" s="12"/>
      <c r="E23" s="12"/>
      <c r="F23" s="12"/>
      <c r="H23" s="183"/>
    </row>
    <row r="24" spans="1:8" ht="12.75" customHeight="1">
      <c r="A24" s="271"/>
      <c r="B24" s="12"/>
      <c r="C24" s="12"/>
      <c r="D24" s="12"/>
      <c r="E24" s="12"/>
      <c r="F24" s="12"/>
      <c r="H24" s="183"/>
    </row>
    <row r="25" spans="1:8" ht="12.75" customHeight="1">
      <c r="A25" s="271"/>
      <c r="B25" s="12"/>
      <c r="C25" s="12"/>
      <c r="D25" s="12"/>
      <c r="E25" s="12"/>
      <c r="F25" s="12"/>
      <c r="H25" s="183"/>
    </row>
    <row r="26" spans="1:8" ht="12.75" customHeight="1">
      <c r="A26" s="271"/>
      <c r="B26" s="12"/>
      <c r="C26" s="12"/>
      <c r="D26" s="12"/>
      <c r="E26" s="12"/>
      <c r="F26" s="12"/>
      <c r="H26" s="183"/>
    </row>
    <row r="27" spans="1:8" ht="12.75" customHeight="1">
      <c r="A27" s="271"/>
      <c r="B27" s="12"/>
      <c r="C27" s="12"/>
      <c r="D27" s="12"/>
      <c r="E27" s="12"/>
      <c r="F27" s="12"/>
      <c r="H27" s="183"/>
    </row>
    <row r="28" spans="1:8" ht="12.75" customHeight="1">
      <c r="A28" s="271"/>
      <c r="B28" s="12"/>
      <c r="C28" s="12"/>
      <c r="D28" s="12"/>
      <c r="E28" s="12"/>
      <c r="F28" s="12"/>
      <c r="H28" s="183"/>
    </row>
    <row r="29" spans="1:8" ht="12.75" customHeight="1">
      <c r="A29" s="271"/>
      <c r="B29" s="12"/>
      <c r="C29" s="12"/>
      <c r="D29" s="12"/>
      <c r="E29" s="12"/>
      <c r="F29" s="12"/>
      <c r="H29" s="183"/>
    </row>
    <row r="30" spans="1:8" ht="12.75" customHeight="1">
      <c r="A30" s="271"/>
      <c r="B30" s="12"/>
      <c r="C30" s="12"/>
      <c r="D30" s="12"/>
      <c r="E30" s="12"/>
      <c r="F30" s="12"/>
      <c r="H30" s="183"/>
    </row>
    <row r="31" spans="1:8" ht="12.75" customHeight="1">
      <c r="A31" s="271"/>
      <c r="B31" s="12"/>
      <c r="C31" s="12"/>
      <c r="D31" s="12"/>
      <c r="E31" s="12"/>
      <c r="F31" s="12"/>
      <c r="H31" s="183"/>
    </row>
    <row r="32" spans="1:8" ht="12.75" customHeight="1">
      <c r="A32" s="271"/>
      <c r="B32" s="12"/>
      <c r="C32" s="12"/>
      <c r="D32" s="12"/>
      <c r="E32" s="12"/>
      <c r="F32" s="12"/>
      <c r="H32" s="183"/>
    </row>
    <row r="33" spans="1:8" ht="12.75" customHeight="1">
      <c r="A33" s="271"/>
      <c r="B33" s="12"/>
      <c r="C33" s="12"/>
      <c r="D33" s="12"/>
      <c r="E33" s="12"/>
      <c r="F33" s="12"/>
      <c r="H33" s="183"/>
    </row>
    <row r="34" spans="1:8" ht="12.75" customHeight="1">
      <c r="A34" s="271"/>
      <c r="B34" s="12"/>
      <c r="C34" s="12"/>
      <c r="D34" s="12"/>
      <c r="E34" s="12"/>
      <c r="F34" s="12"/>
      <c r="H34" s="183"/>
    </row>
    <row r="35" spans="1:8" ht="12.75" customHeight="1">
      <c r="A35" s="271"/>
      <c r="B35" s="12"/>
      <c r="C35" s="12"/>
      <c r="D35" s="12"/>
      <c r="E35" s="12"/>
      <c r="F35" s="12"/>
      <c r="H35" s="183"/>
    </row>
    <row r="36" spans="1:8" ht="12.75" customHeight="1">
      <c r="A36" s="271"/>
      <c r="B36" s="12"/>
      <c r="C36" s="12"/>
      <c r="D36" s="12"/>
      <c r="E36" s="12"/>
      <c r="F36" s="12"/>
      <c r="H36" s="183"/>
    </row>
    <row r="37" spans="1:8" ht="12.75" customHeight="1">
      <c r="A37" s="271"/>
      <c r="B37" s="12"/>
      <c r="C37" s="12"/>
      <c r="D37" s="12"/>
      <c r="E37" s="12"/>
      <c r="F37" s="12"/>
      <c r="H37" s="183"/>
    </row>
    <row r="38" spans="1:8" ht="12.75" customHeight="1">
      <c r="A38" s="271"/>
      <c r="B38" s="12"/>
      <c r="C38" s="12"/>
      <c r="D38" s="12"/>
      <c r="E38" s="12"/>
      <c r="F38" s="12"/>
      <c r="H38" s="183"/>
    </row>
    <row r="39" spans="1:8" ht="12.75" customHeight="1">
      <c r="A39" s="271"/>
      <c r="B39" s="12"/>
      <c r="C39" s="12"/>
      <c r="D39" s="12"/>
      <c r="E39" s="12"/>
      <c r="F39" s="12"/>
      <c r="H39" s="183"/>
    </row>
    <row r="40" spans="1:8" ht="12.75" customHeight="1">
      <c r="A40" s="271"/>
      <c r="B40" s="12"/>
      <c r="C40" s="12"/>
      <c r="D40" s="12"/>
      <c r="E40" s="12"/>
      <c r="F40" s="12"/>
      <c r="H40" s="183"/>
    </row>
    <row r="41" spans="1:8" ht="12.75" customHeight="1">
      <c r="A41" s="271"/>
      <c r="B41" s="12"/>
      <c r="C41" s="12"/>
      <c r="D41" s="12"/>
      <c r="E41" s="12"/>
      <c r="F41" s="12"/>
      <c r="H41" s="183"/>
    </row>
    <row r="42" spans="1:8" ht="12.75" customHeight="1">
      <c r="A42" s="271"/>
      <c r="B42" s="12"/>
      <c r="C42" s="12"/>
      <c r="D42" s="12"/>
      <c r="E42" s="12"/>
      <c r="F42" s="12"/>
      <c r="H42" s="183"/>
    </row>
    <row r="43" spans="1:8" ht="12.65" customHeight="1">
      <c r="A43" s="271"/>
      <c r="B43" s="12"/>
      <c r="C43" s="12"/>
      <c r="D43" s="12"/>
      <c r="E43" s="12"/>
      <c r="F43" s="12"/>
      <c r="H43" s="183"/>
    </row>
    <row r="44" spans="1:8" ht="12.75" customHeight="1">
      <c r="A44" s="271"/>
      <c r="B44" s="12"/>
      <c r="C44" s="12"/>
      <c r="D44" s="12"/>
      <c r="E44" s="12"/>
      <c r="F44" s="12"/>
      <c r="H44" s="183"/>
    </row>
    <row r="45" spans="1:8">
      <c r="B45" s="12"/>
      <c r="C45" s="12"/>
      <c r="D45" s="12"/>
      <c r="E45" s="12"/>
      <c r="F45" s="12"/>
      <c r="H45" s="183"/>
    </row>
    <row r="46" spans="1:8">
      <c r="B46" s="12"/>
      <c r="C46" s="12"/>
      <c r="D46" s="12"/>
      <c r="E46" s="12"/>
      <c r="F46" s="12"/>
      <c r="H46" s="183"/>
    </row>
    <row r="47" spans="1:8">
      <c r="B47" s="12"/>
      <c r="C47" s="12"/>
      <c r="D47" s="12"/>
      <c r="E47" s="12"/>
      <c r="F47" s="12"/>
      <c r="H47" s="183"/>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Layout" topLeftCell="A46" zoomScale="85" zoomScaleNormal="90" zoomScaleSheetLayoutView="70" zoomScalePageLayoutView="85" workbookViewId="0">
      <selection activeCell="E76" sqref="E76"/>
    </sheetView>
  </sheetViews>
  <sheetFormatPr defaultColWidth="11.453125" defaultRowHeight="13"/>
  <cols>
    <col min="1" max="1" width="10.453125" style="1002" customWidth="1"/>
    <col min="2" max="2" width="52.453125" style="982" customWidth="1"/>
    <col min="3" max="7" width="20.453125" style="982" customWidth="1"/>
    <col min="8" max="8" width="23" style="982" customWidth="1"/>
    <col min="9" max="11" width="20.453125" style="982" customWidth="1"/>
    <col min="12" max="12" width="20" style="982" customWidth="1"/>
    <col min="13" max="14" width="15.1796875" style="982" customWidth="1"/>
    <col min="15" max="16384" width="11.453125" style="982"/>
  </cols>
  <sheetData>
    <row r="1" spans="1:12" ht="15.5">
      <c r="A1" s="1499" t="s">
        <v>388</v>
      </c>
      <c r="B1" s="1499"/>
      <c r="C1" s="1499"/>
      <c r="D1" s="1499"/>
      <c r="E1" s="1499"/>
      <c r="F1" s="1499"/>
      <c r="G1" s="1499"/>
      <c r="H1" s="919"/>
    </row>
    <row r="2" spans="1:12" ht="15.5">
      <c r="A2" s="1500" t="str">
        <f>"Cost of Service Formula Rate Using Actual/Projected FF1 Balances"</f>
        <v>Cost of Service Formula Rate Using Actual/Projected FF1 Balances</v>
      </c>
      <c r="B2" s="1500"/>
      <c r="C2" s="1500"/>
      <c r="D2" s="1500"/>
      <c r="E2" s="1500"/>
      <c r="F2" s="1500"/>
      <c r="G2" s="1500"/>
      <c r="H2" s="983"/>
      <c r="I2" s="983"/>
      <c r="J2" s="983"/>
      <c r="L2" s="984"/>
    </row>
    <row r="3" spans="1:12" ht="15.5">
      <c r="A3" s="1500" t="s">
        <v>680</v>
      </c>
      <c r="B3" s="1500"/>
      <c r="C3" s="1500"/>
      <c r="D3" s="1500"/>
      <c r="E3" s="1500"/>
      <c r="F3" s="1500"/>
      <c r="G3" s="1500"/>
      <c r="H3" s="983"/>
      <c r="I3" s="983"/>
      <c r="J3" s="983"/>
    </row>
    <row r="4" spans="1:12" ht="15.5">
      <c r="A4" s="1507" t="str">
        <f>TCOS!F9</f>
        <v xml:space="preserve">Indiana Michigan Power Company </v>
      </c>
      <c r="B4" s="1507"/>
      <c r="C4" s="1507"/>
      <c r="D4" s="1507"/>
      <c r="E4" s="1507"/>
      <c r="F4" s="1507"/>
      <c r="G4" s="1507"/>
      <c r="H4" s="983"/>
      <c r="I4" s="983"/>
      <c r="J4" s="983"/>
    </row>
    <row r="5" spans="1:12">
      <c r="A5" s="983"/>
      <c r="B5" s="985"/>
      <c r="C5" s="985"/>
      <c r="D5" s="985"/>
      <c r="E5" s="986"/>
      <c r="F5" s="987"/>
      <c r="H5"/>
      <c r="I5"/>
      <c r="J5"/>
      <c r="K5"/>
      <c r="L5"/>
    </row>
    <row r="6" spans="1:12" ht="12.75" customHeight="1">
      <c r="A6" s="919"/>
      <c r="B6" s="965"/>
      <c r="C6" s="1501" t="s">
        <v>6</v>
      </c>
      <c r="D6" s="1502"/>
      <c r="E6" s="1502"/>
      <c r="F6" s="1502"/>
      <c r="G6" s="1503"/>
      <c r="H6" s="6"/>
      <c r="I6"/>
      <c r="J6"/>
      <c r="K6"/>
      <c r="L6"/>
    </row>
    <row r="7" spans="1:12" s="989" customFormat="1" ht="39">
      <c r="A7" s="964" t="s">
        <v>654</v>
      </c>
      <c r="B7" s="963" t="s">
        <v>653</v>
      </c>
      <c r="C7" s="942" t="s">
        <v>681</v>
      </c>
      <c r="D7" s="941" t="s">
        <v>369</v>
      </c>
      <c r="E7" s="941" t="s">
        <v>682</v>
      </c>
      <c r="F7" s="941" t="s">
        <v>683</v>
      </c>
      <c r="G7" s="988" t="s">
        <v>6</v>
      </c>
      <c r="H7" s="6"/>
      <c r="I7"/>
      <c r="J7"/>
      <c r="K7"/>
      <c r="L7"/>
    </row>
    <row r="8" spans="1:12" s="991" customFormat="1">
      <c r="A8" s="930"/>
      <c r="B8" s="938" t="s">
        <v>648</v>
      </c>
      <c r="C8" s="939" t="s">
        <v>647</v>
      </c>
      <c r="D8" s="937" t="s">
        <v>646</v>
      </c>
      <c r="E8" s="937" t="s">
        <v>645</v>
      </c>
      <c r="F8" s="937" t="s">
        <v>644</v>
      </c>
      <c r="G8" s="990" t="s">
        <v>684</v>
      </c>
      <c r="H8" s="6"/>
      <c r="I8"/>
      <c r="J8"/>
      <c r="K8"/>
      <c r="L8"/>
    </row>
    <row r="9" spans="1:12" s="991" customFormat="1" ht="44.25" customHeight="1">
      <c r="A9" s="930"/>
      <c r="B9" s="938" t="s">
        <v>643</v>
      </c>
      <c r="C9" s="992" t="s">
        <v>685</v>
      </c>
      <c r="D9" s="960" t="s">
        <v>686</v>
      </c>
      <c r="E9" s="960" t="s">
        <v>687</v>
      </c>
      <c r="F9" s="960" t="s">
        <v>688</v>
      </c>
      <c r="G9" s="993"/>
      <c r="H9" s="6"/>
      <c r="I9"/>
      <c r="J9"/>
      <c r="K9"/>
      <c r="L9"/>
    </row>
    <row r="10" spans="1:12">
      <c r="A10" s="930">
        <v>1</v>
      </c>
      <c r="B10" s="957" t="s">
        <v>641</v>
      </c>
      <c r="C10" s="994">
        <v>2352848356.29</v>
      </c>
      <c r="D10" s="994">
        <v>0</v>
      </c>
      <c r="E10" s="994">
        <v>-6033663.7000000002</v>
      </c>
      <c r="F10" s="994">
        <v>-13760206.050000001</v>
      </c>
      <c r="G10" s="995">
        <f t="shared" ref="G10:G22" si="0">+C10-D10-E10-F10</f>
        <v>2372642226.04</v>
      </c>
      <c r="H10" s="6"/>
      <c r="I10"/>
      <c r="J10"/>
      <c r="K10"/>
      <c r="L10"/>
    </row>
    <row r="11" spans="1:12">
      <c r="A11" s="930">
        <f t="shared" ref="A11:A23" si="1">+A10+1</f>
        <v>2</v>
      </c>
      <c r="B11" s="957" t="s">
        <v>186</v>
      </c>
      <c r="C11" s="994">
        <v>2385108475.1140022</v>
      </c>
      <c r="D11" s="994">
        <v>0</v>
      </c>
      <c r="E11" s="994">
        <v>-5968838.4000000004</v>
      </c>
      <c r="F11" s="994">
        <v>-13626680.939999999</v>
      </c>
      <c r="G11" s="995">
        <f t="shared" si="0"/>
        <v>2404703994.4540024</v>
      </c>
      <c r="H11" s="6"/>
      <c r="I11"/>
      <c r="J11"/>
      <c r="K11"/>
      <c r="L11"/>
    </row>
    <row r="12" spans="1:12">
      <c r="A12" s="930">
        <f t="shared" si="1"/>
        <v>3</v>
      </c>
      <c r="B12" s="956" t="s">
        <v>561</v>
      </c>
      <c r="C12" s="994">
        <v>2387720844.1850004</v>
      </c>
      <c r="D12" s="994">
        <v>0</v>
      </c>
      <c r="E12" s="994">
        <v>-5940323.8500000006</v>
      </c>
      <c r="F12" s="994">
        <v>-13493155.810000001</v>
      </c>
      <c r="G12" s="995">
        <f t="shared" si="0"/>
        <v>2407154323.8450003</v>
      </c>
      <c r="H12" s="6"/>
      <c r="I12"/>
      <c r="J12"/>
      <c r="K12"/>
      <c r="L12"/>
    </row>
    <row r="13" spans="1:12">
      <c r="A13" s="930">
        <f t="shared" si="1"/>
        <v>4</v>
      </c>
      <c r="B13" s="956" t="s">
        <v>640</v>
      </c>
      <c r="C13" s="994">
        <v>2432140061.7950015</v>
      </c>
      <c r="D13" s="994">
        <v>0</v>
      </c>
      <c r="E13" s="994">
        <v>-5910124.5700000003</v>
      </c>
      <c r="F13" s="994">
        <v>-13402354.870000001</v>
      </c>
      <c r="G13" s="995">
        <f t="shared" si="0"/>
        <v>2451452541.2350016</v>
      </c>
      <c r="H13" s="6"/>
      <c r="I13"/>
      <c r="J13"/>
      <c r="K13"/>
      <c r="L13"/>
    </row>
    <row r="14" spans="1:12">
      <c r="A14" s="930">
        <f t="shared" si="1"/>
        <v>5</v>
      </c>
      <c r="B14" s="956" t="s">
        <v>188</v>
      </c>
      <c r="C14" s="994">
        <v>2438121863.8120027</v>
      </c>
      <c r="D14" s="994">
        <v>0</v>
      </c>
      <c r="E14" s="994">
        <v>-5874530.0200000005</v>
      </c>
      <c r="F14" s="994">
        <v>-13268829.740000002</v>
      </c>
      <c r="G14" s="995">
        <f t="shared" si="0"/>
        <v>2457265223.5720024</v>
      </c>
      <c r="H14" s="6"/>
      <c r="I14"/>
      <c r="J14"/>
      <c r="K14"/>
      <c r="L14"/>
    </row>
    <row r="15" spans="1:12">
      <c r="A15" s="930">
        <f t="shared" si="1"/>
        <v>6</v>
      </c>
      <c r="B15" s="956" t="s">
        <v>189</v>
      </c>
      <c r="C15" s="994">
        <v>2438349258.4520001</v>
      </c>
      <c r="D15" s="994">
        <v>0</v>
      </c>
      <c r="E15" s="994">
        <v>-5712082.54</v>
      </c>
      <c r="F15" s="994">
        <v>-13135304.609999999</v>
      </c>
      <c r="G15" s="995">
        <f t="shared" si="0"/>
        <v>2457196645.6020002</v>
      </c>
      <c r="H15" s="6"/>
      <c r="I15"/>
      <c r="J15"/>
      <c r="K15"/>
      <c r="L15"/>
    </row>
    <row r="16" spans="1:12">
      <c r="A16" s="930">
        <f t="shared" si="1"/>
        <v>7</v>
      </c>
      <c r="B16" s="956" t="s">
        <v>383</v>
      </c>
      <c r="C16" s="994">
        <v>2472751094.0449982</v>
      </c>
      <c r="D16" s="994">
        <v>0</v>
      </c>
      <c r="E16" s="994">
        <v>-5700947.0200000005</v>
      </c>
      <c r="F16" s="994">
        <v>-13044503.669999998</v>
      </c>
      <c r="G16" s="995">
        <f t="shared" si="0"/>
        <v>2491496544.7349982</v>
      </c>
      <c r="H16" s="6"/>
      <c r="I16"/>
      <c r="J16"/>
      <c r="K16"/>
      <c r="L16"/>
    </row>
    <row r="17" spans="1:12">
      <c r="A17" s="930">
        <f t="shared" si="1"/>
        <v>8</v>
      </c>
      <c r="B17" s="956" t="s">
        <v>190</v>
      </c>
      <c r="C17" s="994">
        <v>2510901308.3639994</v>
      </c>
      <c r="D17" s="994">
        <v>0</v>
      </c>
      <c r="E17" s="994">
        <v>-5670735.75</v>
      </c>
      <c r="F17" s="994">
        <v>-12910978.550000001</v>
      </c>
      <c r="G17" s="995">
        <f t="shared" si="0"/>
        <v>2529483022.6639996</v>
      </c>
      <c r="H17" s="6"/>
      <c r="I17"/>
      <c r="J17"/>
      <c r="K17"/>
      <c r="L17"/>
    </row>
    <row r="18" spans="1:12">
      <c r="A18" s="930">
        <f t="shared" si="1"/>
        <v>9</v>
      </c>
      <c r="B18" s="956" t="s">
        <v>639</v>
      </c>
      <c r="C18" s="994">
        <v>2533232589.0050015</v>
      </c>
      <c r="D18" s="994">
        <v>0</v>
      </c>
      <c r="E18" s="994">
        <v>-5645279.1200000001</v>
      </c>
      <c r="F18" s="994">
        <v>-12777453.43</v>
      </c>
      <c r="G18" s="995">
        <f t="shared" si="0"/>
        <v>2551655321.5550013</v>
      </c>
      <c r="H18" s="6"/>
      <c r="I18"/>
      <c r="J18"/>
      <c r="K18"/>
      <c r="L18"/>
    </row>
    <row r="19" spans="1:12">
      <c r="A19" s="930">
        <f t="shared" si="1"/>
        <v>10</v>
      </c>
      <c r="B19" s="956" t="s">
        <v>193</v>
      </c>
      <c r="C19" s="994">
        <v>2541940560.5100021</v>
      </c>
      <c r="D19" s="994">
        <v>0</v>
      </c>
      <c r="E19" s="994">
        <v>-5632537.8799999999</v>
      </c>
      <c r="F19" s="994">
        <v>-12686652.49</v>
      </c>
      <c r="G19" s="995">
        <f t="shared" si="0"/>
        <v>2560259750.880002</v>
      </c>
      <c r="H19" s="6"/>
      <c r="I19"/>
      <c r="J19"/>
      <c r="K19"/>
      <c r="L19"/>
    </row>
    <row r="20" spans="1:12">
      <c r="A20" s="930">
        <f t="shared" si="1"/>
        <v>11</v>
      </c>
      <c r="B20" s="956" t="s">
        <v>562</v>
      </c>
      <c r="C20" s="994">
        <v>2541763452.789999</v>
      </c>
      <c r="D20" s="994">
        <v>0</v>
      </c>
      <c r="E20" s="994">
        <v>-5692146.5099999998</v>
      </c>
      <c r="F20" s="994">
        <v>-12553126.9</v>
      </c>
      <c r="G20" s="995">
        <f t="shared" si="0"/>
        <v>2560008726.1999993</v>
      </c>
      <c r="H20" s="6"/>
      <c r="I20"/>
      <c r="J20"/>
      <c r="K20"/>
      <c r="L20"/>
    </row>
    <row r="21" spans="1:12">
      <c r="A21" s="930">
        <f t="shared" si="1"/>
        <v>12</v>
      </c>
      <c r="B21" s="956" t="s">
        <v>563</v>
      </c>
      <c r="C21" s="994">
        <v>2534249594.5670028</v>
      </c>
      <c r="D21" s="994">
        <v>0</v>
      </c>
      <c r="E21" s="994">
        <v>-5675352.5</v>
      </c>
      <c r="F21" s="994">
        <v>-12419601.77</v>
      </c>
      <c r="G21" s="995">
        <f t="shared" si="0"/>
        <v>2552344548.8370028</v>
      </c>
      <c r="H21" s="6"/>
      <c r="I21"/>
      <c r="J21"/>
      <c r="K21"/>
      <c r="L21"/>
    </row>
    <row r="22" spans="1:12">
      <c r="A22" s="928">
        <f t="shared" si="1"/>
        <v>13</v>
      </c>
      <c r="B22" s="955" t="s">
        <v>638</v>
      </c>
      <c r="C22" s="994">
        <v>2544375637.710001</v>
      </c>
      <c r="D22" s="994">
        <v>0</v>
      </c>
      <c r="E22" s="994">
        <v>-5658229.0700000003</v>
      </c>
      <c r="F22" s="994">
        <v>-11586899.970000001</v>
      </c>
      <c r="G22" s="995">
        <f t="shared" si="0"/>
        <v>2561620766.750001</v>
      </c>
      <c r="H22" s="6"/>
      <c r="I22"/>
      <c r="J22"/>
      <c r="K22"/>
      <c r="L22"/>
    </row>
    <row r="23" spans="1:12" ht="13.5" thickBot="1">
      <c r="A23" s="953">
        <f t="shared" si="1"/>
        <v>14</v>
      </c>
      <c r="B23" s="952" t="s">
        <v>873</v>
      </c>
      <c r="C23" s="922">
        <f>SUM(C10:C22)/13</f>
        <v>2470269468.9722314</v>
      </c>
      <c r="D23" s="921">
        <f>SUM(D10:D22)/13</f>
        <v>0</v>
      </c>
      <c r="E23" s="921">
        <f>SUM(E10:E22)/13</f>
        <v>-5778060.8407692313</v>
      </c>
      <c r="F23" s="921">
        <f>SUM(F10:F22)/13</f>
        <v>-12974288.369230768</v>
      </c>
      <c r="G23" s="996">
        <f>SUM(G10:G22)/13</f>
        <v>2489021818.1822314</v>
      </c>
      <c r="H23" s="6"/>
      <c r="I23"/>
      <c r="J23"/>
      <c r="K23"/>
      <c r="L23"/>
    </row>
    <row r="24" spans="1:12" ht="13.5" thickTop="1">
      <c r="A24" s="919"/>
      <c r="B24" s="918"/>
      <c r="C24" s="949"/>
      <c r="D24" s="916"/>
      <c r="E24" s="916"/>
      <c r="F24" s="916"/>
      <c r="G24" s="949"/>
      <c r="H24" s="949"/>
      <c r="I24"/>
      <c r="J24"/>
      <c r="K24"/>
      <c r="L24"/>
    </row>
    <row r="25" spans="1:12" ht="12.75" customHeight="1">
      <c r="A25" s="919"/>
      <c r="B25" s="965"/>
      <c r="C25" s="1568" t="s">
        <v>689</v>
      </c>
      <c r="D25" s="1569"/>
      <c r="E25" s="1569"/>
      <c r="F25" s="1569"/>
      <c r="G25" s="1569"/>
      <c r="H25" s="1570"/>
      <c r="I25"/>
      <c r="J25"/>
      <c r="K25"/>
      <c r="L25"/>
    </row>
    <row r="26" spans="1:12" s="989" customFormat="1" ht="39">
      <c r="A26" s="964" t="s">
        <v>654</v>
      </c>
      <c r="B26" s="963" t="s">
        <v>653</v>
      </c>
      <c r="C26" s="942" t="s">
        <v>701</v>
      </c>
      <c r="D26" s="941" t="s">
        <v>700</v>
      </c>
      <c r="E26" s="941" t="s">
        <v>699</v>
      </c>
      <c r="F26" s="941" t="s">
        <v>698</v>
      </c>
      <c r="G26" s="941" t="s">
        <v>690</v>
      </c>
      <c r="H26" s="988" t="s">
        <v>634</v>
      </c>
      <c r="I26"/>
      <c r="J26"/>
      <c r="K26"/>
      <c r="L26"/>
    </row>
    <row r="27" spans="1:12" s="991" customFormat="1">
      <c r="A27" s="930"/>
      <c r="B27" s="938" t="s">
        <v>648</v>
      </c>
      <c r="C27" s="939" t="s">
        <v>647</v>
      </c>
      <c r="D27" s="937" t="s">
        <v>646</v>
      </c>
      <c r="E27" s="937" t="s">
        <v>645</v>
      </c>
      <c r="F27" s="937" t="s">
        <v>644</v>
      </c>
      <c r="G27" s="937" t="s">
        <v>666</v>
      </c>
      <c r="H27" s="990" t="s">
        <v>691</v>
      </c>
      <c r="I27"/>
      <c r="J27"/>
      <c r="K27"/>
      <c r="L27"/>
    </row>
    <row r="28" spans="1:12" s="991" customFormat="1" ht="44.25" customHeight="1">
      <c r="A28" s="930"/>
      <c r="B28" s="938" t="s">
        <v>643</v>
      </c>
      <c r="C28" s="992" t="s">
        <v>692</v>
      </c>
      <c r="D28" s="960" t="s">
        <v>693</v>
      </c>
      <c r="E28" s="960" t="s">
        <v>694</v>
      </c>
      <c r="F28" s="960" t="s">
        <v>695</v>
      </c>
      <c r="G28" s="960" t="s">
        <v>696</v>
      </c>
      <c r="H28" s="997"/>
      <c r="I28"/>
      <c r="J28"/>
      <c r="K28"/>
      <c r="L28"/>
    </row>
    <row r="29" spans="1:12">
      <c r="A29" s="930">
        <f>+A23+1</f>
        <v>15</v>
      </c>
      <c r="B29" s="957" t="s">
        <v>641</v>
      </c>
      <c r="C29" s="994">
        <v>0</v>
      </c>
      <c r="D29" s="994">
        <v>0</v>
      </c>
      <c r="E29" s="994">
        <v>0</v>
      </c>
      <c r="F29" s="994">
        <v>2654833358</v>
      </c>
      <c r="G29" s="994">
        <v>0</v>
      </c>
      <c r="H29" s="995">
        <f t="shared" ref="H29:H41" si="2">+C29-D29+E29+F29-G29</f>
        <v>2654833358</v>
      </c>
      <c r="I29"/>
      <c r="J29"/>
      <c r="K29"/>
      <c r="L29"/>
    </row>
    <row r="30" spans="1:12">
      <c r="A30" s="930">
        <f t="shared" ref="A30:A42" si="3">+A29+1</f>
        <v>16</v>
      </c>
      <c r="B30" s="957" t="s">
        <v>186</v>
      </c>
      <c r="C30" s="1261"/>
      <c r="D30" s="1261"/>
      <c r="E30" s="890"/>
      <c r="F30" s="1261">
        <v>2654697525</v>
      </c>
      <c r="G30" s="1261"/>
      <c r="H30" s="995">
        <f t="shared" si="2"/>
        <v>2654697525</v>
      </c>
      <c r="I30"/>
      <c r="J30"/>
      <c r="K30"/>
      <c r="L30"/>
    </row>
    <row r="31" spans="1:12">
      <c r="A31" s="930">
        <f t="shared" si="3"/>
        <v>17</v>
      </c>
      <c r="B31" s="956" t="s">
        <v>561</v>
      </c>
      <c r="C31" s="1261"/>
      <c r="D31" s="1261"/>
      <c r="E31" s="890"/>
      <c r="F31" s="1261">
        <v>2654561013</v>
      </c>
      <c r="G31" s="1261"/>
      <c r="H31" s="995">
        <f t="shared" si="2"/>
        <v>2654561013</v>
      </c>
      <c r="I31"/>
      <c r="J31"/>
      <c r="K31"/>
      <c r="L31"/>
    </row>
    <row r="32" spans="1:12">
      <c r="A32" s="930">
        <f t="shared" si="3"/>
        <v>18</v>
      </c>
      <c r="B32" s="956" t="s">
        <v>640</v>
      </c>
      <c r="C32" s="1261"/>
      <c r="D32" s="1261"/>
      <c r="E32" s="890"/>
      <c r="F32" s="1261">
        <v>2654423818</v>
      </c>
      <c r="G32" s="1261"/>
      <c r="H32" s="995">
        <f t="shared" si="2"/>
        <v>2654423818</v>
      </c>
      <c r="I32"/>
      <c r="J32"/>
      <c r="K32"/>
      <c r="L32"/>
    </row>
    <row r="33" spans="1:12">
      <c r="A33" s="930">
        <f t="shared" si="3"/>
        <v>19</v>
      </c>
      <c r="B33" s="956" t="s">
        <v>188</v>
      </c>
      <c r="C33" s="1261"/>
      <c r="D33" s="1261"/>
      <c r="E33" s="890"/>
      <c r="F33" s="1261">
        <v>2654285937</v>
      </c>
      <c r="G33" s="1261"/>
      <c r="H33" s="995">
        <f t="shared" si="2"/>
        <v>2654285937</v>
      </c>
      <c r="I33"/>
      <c r="J33"/>
      <c r="K33"/>
      <c r="L33"/>
    </row>
    <row r="34" spans="1:12">
      <c r="A34" s="930">
        <f t="shared" si="3"/>
        <v>20</v>
      </c>
      <c r="B34" s="956" t="s">
        <v>189</v>
      </c>
      <c r="C34" s="1261"/>
      <c r="D34" s="1261"/>
      <c r="E34" s="890"/>
      <c r="F34" s="1261">
        <v>2654147367</v>
      </c>
      <c r="G34" s="1261"/>
      <c r="H34" s="995">
        <f t="shared" si="2"/>
        <v>2654147367</v>
      </c>
      <c r="I34"/>
      <c r="J34"/>
      <c r="K34"/>
      <c r="L34"/>
    </row>
    <row r="35" spans="1:12">
      <c r="A35" s="930">
        <f t="shared" si="3"/>
        <v>21</v>
      </c>
      <c r="B35" s="956" t="s">
        <v>383</v>
      </c>
      <c r="C35" s="1261"/>
      <c r="D35" s="1261"/>
      <c r="E35" s="890"/>
      <c r="F35" s="1261">
        <v>2654008104</v>
      </c>
      <c r="G35" s="1261"/>
      <c r="H35" s="995">
        <f t="shared" si="2"/>
        <v>2654008104</v>
      </c>
      <c r="I35"/>
      <c r="J35"/>
      <c r="K35"/>
      <c r="L35"/>
    </row>
    <row r="36" spans="1:12">
      <c r="A36" s="930">
        <f t="shared" si="3"/>
        <v>22</v>
      </c>
      <c r="B36" s="956" t="s">
        <v>190</v>
      </c>
      <c r="C36" s="1261"/>
      <c r="D36" s="1261"/>
      <c r="E36" s="890"/>
      <c r="F36" s="1261">
        <v>2653868144</v>
      </c>
      <c r="G36" s="1261"/>
      <c r="H36" s="995">
        <f t="shared" si="2"/>
        <v>2653868144</v>
      </c>
      <c r="I36"/>
      <c r="J36"/>
      <c r="K36"/>
      <c r="L36"/>
    </row>
    <row r="37" spans="1:12">
      <c r="A37" s="930">
        <f t="shared" si="3"/>
        <v>23</v>
      </c>
      <c r="B37" s="956" t="s">
        <v>639</v>
      </c>
      <c r="C37" s="1261"/>
      <c r="D37" s="1261"/>
      <c r="E37" s="890"/>
      <c r="F37" s="1261">
        <v>2653727485</v>
      </c>
      <c r="G37" s="1261"/>
      <c r="H37" s="995">
        <f t="shared" si="2"/>
        <v>2653727485</v>
      </c>
      <c r="I37"/>
      <c r="J37"/>
      <c r="K37"/>
      <c r="L37"/>
    </row>
    <row r="38" spans="1:12">
      <c r="A38" s="930">
        <f t="shared" si="3"/>
        <v>24</v>
      </c>
      <c r="B38" s="956" t="s">
        <v>193</v>
      </c>
      <c r="C38" s="1261"/>
      <c r="D38" s="1261"/>
      <c r="E38" s="890"/>
      <c r="F38" s="1261">
        <v>2653586122</v>
      </c>
      <c r="G38" s="1261"/>
      <c r="H38" s="995">
        <f t="shared" si="2"/>
        <v>2653586122</v>
      </c>
      <c r="I38"/>
      <c r="J38"/>
      <c r="K38" s="1326"/>
      <c r="L38"/>
    </row>
    <row r="39" spans="1:12">
      <c r="A39" s="930">
        <f t="shared" si="3"/>
        <v>25</v>
      </c>
      <c r="B39" s="956" t="s">
        <v>562</v>
      </c>
      <c r="C39" s="1261"/>
      <c r="D39" s="1261"/>
      <c r="E39" s="890"/>
      <c r="F39" s="1261">
        <v>2628444053</v>
      </c>
      <c r="G39" s="1261"/>
      <c r="H39" s="995">
        <f t="shared" si="2"/>
        <v>2628444053</v>
      </c>
      <c r="I39"/>
      <c r="J39"/>
      <c r="K39"/>
      <c r="L39"/>
    </row>
    <row r="40" spans="1:12">
      <c r="A40" s="930">
        <f t="shared" si="3"/>
        <v>26</v>
      </c>
      <c r="B40" s="956" t="s">
        <v>563</v>
      </c>
      <c r="C40" s="1261"/>
      <c r="D40" s="1261"/>
      <c r="E40" s="890"/>
      <c r="F40" s="1261">
        <v>2628301273</v>
      </c>
      <c r="G40" s="1261"/>
      <c r="H40" s="995">
        <f t="shared" si="2"/>
        <v>2628301273</v>
      </c>
      <c r="I40"/>
      <c r="J40"/>
      <c r="K40"/>
      <c r="L40"/>
    </row>
    <row r="41" spans="1:12">
      <c r="A41" s="928">
        <f t="shared" si="3"/>
        <v>27</v>
      </c>
      <c r="B41" s="955" t="s">
        <v>638</v>
      </c>
      <c r="C41" s="994"/>
      <c r="D41" s="994"/>
      <c r="E41" s="890"/>
      <c r="F41" s="994">
        <v>2628157779</v>
      </c>
      <c r="G41" s="994"/>
      <c r="H41" s="995">
        <f t="shared" si="2"/>
        <v>2628157779</v>
      </c>
      <c r="I41"/>
      <c r="J41"/>
      <c r="K41"/>
      <c r="L41"/>
    </row>
    <row r="42" spans="1:12" ht="13.5" thickBot="1">
      <c r="A42" s="953">
        <f t="shared" si="3"/>
        <v>28</v>
      </c>
      <c r="B42" s="952" t="s">
        <v>873</v>
      </c>
      <c r="C42" s="922">
        <f t="shared" ref="C42:H42" si="4">SUM(C29:C41)/13</f>
        <v>0</v>
      </c>
      <c r="D42" s="921">
        <f t="shared" si="4"/>
        <v>0</v>
      </c>
      <c r="E42" s="921">
        <f t="shared" si="4"/>
        <v>0</v>
      </c>
      <c r="F42" s="921">
        <f t="shared" si="4"/>
        <v>2648233998.3076925</v>
      </c>
      <c r="G42" s="921">
        <f t="shared" si="4"/>
        <v>0</v>
      </c>
      <c r="H42" s="996">
        <f t="shared" si="4"/>
        <v>2648233998.3076925</v>
      </c>
      <c r="I42"/>
      <c r="J42"/>
      <c r="K42"/>
      <c r="L42"/>
    </row>
    <row r="43" spans="1:12" ht="13.5" thickTop="1">
      <c r="A43" s="983"/>
      <c r="B43" s="998"/>
      <c r="C43" s="999"/>
      <c r="D43" s="1000"/>
      <c r="E43" s="1000"/>
      <c r="F43" s="1000"/>
      <c r="G43" s="999"/>
      <c r="H43" s="999"/>
      <c r="I43"/>
      <c r="J43"/>
      <c r="K43"/>
      <c r="L43"/>
    </row>
    <row r="44" spans="1:12" ht="12.75" customHeight="1">
      <c r="A44" s="1001" t="s">
        <v>697</v>
      </c>
      <c r="F44" s="593"/>
      <c r="G44" s="593"/>
      <c r="H44" s="593"/>
      <c r="I44"/>
      <c r="J44"/>
      <c r="K44"/>
    </row>
    <row r="45" spans="1:12">
      <c r="E45" s="593"/>
      <c r="F45" s="593"/>
      <c r="G45" s="593"/>
      <c r="H45" s="593"/>
      <c r="J45" s="998"/>
    </row>
    <row r="46" spans="1:12" ht="15.5">
      <c r="A46" s="1003" t="s">
        <v>7</v>
      </c>
      <c r="E46" s="593"/>
      <c r="F46" s="593"/>
      <c r="G46" s="593"/>
      <c r="H46" s="919"/>
    </row>
    <row r="47" spans="1:12" ht="15.5">
      <c r="A47" s="1003"/>
      <c r="B47" s="1004" t="s">
        <v>648</v>
      </c>
      <c r="C47" s="1004" t="s">
        <v>647</v>
      </c>
      <c r="D47" s="1005" t="s">
        <v>646</v>
      </c>
      <c r="E47" s="1004" t="s">
        <v>645</v>
      </c>
      <c r="F47" s="1005" t="s">
        <v>644</v>
      </c>
      <c r="G47" s="1004" t="s">
        <v>666</v>
      </c>
      <c r="H47" s="1004" t="s">
        <v>667</v>
      </c>
    </row>
    <row r="48" spans="1:12">
      <c r="A48" s="666">
        <f>+A42+1</f>
        <v>29</v>
      </c>
      <c r="B48" s="1006" t="str">
        <f>"Annual Interest Expense for "&amp;TCOS!L4</f>
        <v>Annual Interest Expense for 2019</v>
      </c>
      <c r="C48" s="1007"/>
      <c r="D48" s="1008"/>
      <c r="E48" s="1009"/>
      <c r="F48" s="1009"/>
      <c r="G48" s="1009"/>
      <c r="H48" s="1009"/>
      <c r="I48" s="1009"/>
      <c r="J48" s="1009"/>
      <c r="K48" s="1009"/>
      <c r="L48" s="1009"/>
    </row>
    <row r="49" spans="1:12">
      <c r="A49" s="666">
        <f t="shared" ref="A49:A56" si="5">+A48+1</f>
        <v>30</v>
      </c>
      <c r="B49" s="1158" t="s">
        <v>769</v>
      </c>
      <c r="C49" s="1007"/>
      <c r="D49" s="1008"/>
      <c r="E49" s="1011">
        <v>110571187</v>
      </c>
      <c r="F49" s="1009"/>
      <c r="G49" s="1009"/>
      <c r="H49" s="1009"/>
      <c r="I49" s="1009"/>
      <c r="J49" s="1009"/>
      <c r="K49" s="1009"/>
      <c r="L49" s="1009"/>
    </row>
    <row r="50" spans="1:12" ht="28.5" customHeight="1">
      <c r="A50" s="666">
        <f t="shared" si="5"/>
        <v>31</v>
      </c>
      <c r="B50" s="1562" t="str">
        <f>"Less: Total Hedge Gain/Expense Accumulated from p 256-257, col. (i) of FERC Form 1  included in Ln "&amp;A49&amp;" and shown in "&amp;A74&amp;" below."</f>
        <v>Less: Total Hedge Gain/Expense Accumulated from p 256-257, col. (i) of FERC Form 1  included in Ln 30 and shown in 50 below.</v>
      </c>
      <c r="C50" s="1563"/>
      <c r="D50" s="1008"/>
      <c r="E50" s="1007">
        <f>+C74</f>
        <v>2028230.5082644057</v>
      </c>
      <c r="F50" s="1009"/>
      <c r="G50" s="1009"/>
      <c r="H50" s="1009"/>
      <c r="I50" s="1009"/>
      <c r="J50" s="1009"/>
      <c r="K50" s="1009"/>
      <c r="L50" s="1009"/>
    </row>
    <row r="51" spans="1:12" ht="16.5" customHeight="1">
      <c r="A51" s="666">
        <f t="shared" si="5"/>
        <v>32</v>
      </c>
      <c r="B51" s="1012" t="str">
        <f>"Plus:  Allowed Hedge Recovery From Ln "&amp;A80&amp;"  below."</f>
        <v>Plus:  Allowed Hedge Recovery From Ln 55  below.</v>
      </c>
      <c r="C51" s="1159"/>
      <c r="D51" s="1008"/>
      <c r="E51" s="1013">
        <f>+E80</f>
        <v>2028230.5082644057</v>
      </c>
      <c r="F51" s="1009"/>
      <c r="G51" s="1009"/>
      <c r="H51" s="1009"/>
      <c r="I51" s="1009"/>
      <c r="J51" s="1009"/>
      <c r="K51" s="1009"/>
      <c r="L51" s="1009"/>
    </row>
    <row r="52" spans="1:12">
      <c r="A52" s="666">
        <f t="shared" si="5"/>
        <v>33</v>
      </c>
      <c r="B52" s="1158" t="s">
        <v>770</v>
      </c>
      <c r="C52" s="1160"/>
      <c r="D52" s="1014"/>
      <c r="E52" s="1011">
        <v>2146670</v>
      </c>
      <c r="F52" s="1009"/>
      <c r="G52" s="1009"/>
      <c r="H52" s="1009"/>
      <c r="I52" s="1009"/>
      <c r="J52" s="1009"/>
    </row>
    <row r="53" spans="1:12">
      <c r="A53" s="666">
        <f t="shared" si="5"/>
        <v>34</v>
      </c>
      <c r="B53" s="1158" t="s">
        <v>771</v>
      </c>
      <c r="C53" s="1015"/>
      <c r="D53" s="1008"/>
      <c r="E53" s="1011">
        <v>1581397</v>
      </c>
      <c r="F53" s="1009"/>
      <c r="G53" s="1009"/>
      <c r="H53" s="1009"/>
      <c r="I53" s="1009"/>
      <c r="J53" s="1009"/>
    </row>
    <row r="54" spans="1:12">
      <c r="A54" s="666">
        <f t="shared" si="5"/>
        <v>35</v>
      </c>
      <c r="B54" s="1158" t="s">
        <v>772</v>
      </c>
      <c r="C54" s="1015"/>
      <c r="D54" s="1008"/>
      <c r="E54" s="1011"/>
      <c r="F54" s="1009"/>
      <c r="G54" s="1009"/>
      <c r="H54" s="1009"/>
      <c r="I54" s="1009"/>
      <c r="J54" s="1009"/>
    </row>
    <row r="55" spans="1:12" ht="13.5" thickBot="1">
      <c r="A55" s="666">
        <f t="shared" si="5"/>
        <v>36</v>
      </c>
      <c r="B55" s="1158" t="s">
        <v>773</v>
      </c>
      <c r="C55" s="1015"/>
      <c r="D55" s="1008"/>
      <c r="E55" s="1016">
        <v>1712</v>
      </c>
      <c r="F55" s="1009"/>
      <c r="G55" s="1009"/>
      <c r="H55" s="1009"/>
      <c r="I55" s="1009"/>
      <c r="J55" s="1009"/>
    </row>
    <row r="56" spans="1:12">
      <c r="A56" s="666">
        <f t="shared" si="5"/>
        <v>37</v>
      </c>
      <c r="B56" s="1006" t="str">
        <f>"Total Interest Expense (Ln "&amp;A49&amp;" - "&amp;A50&amp;" + "&amp;A52&amp;" + "&amp;A53&amp;" - "&amp;A54&amp;" - "&amp;A55&amp;")"</f>
        <v>Total Interest Expense (Ln 30 - 31 + 33 + 34 - 35 - 36)</v>
      </c>
      <c r="C56" s="1017"/>
      <c r="D56" s="1018"/>
      <c r="E56" s="1019">
        <f>+E49-E50+E51+E52+E53-E54-E55</f>
        <v>114297542</v>
      </c>
      <c r="F56" s="1009"/>
      <c r="G56" s="1009"/>
      <c r="H56" s="1009"/>
      <c r="I56" s="1009"/>
      <c r="J56" s="1009"/>
    </row>
    <row r="57" spans="1:12" ht="13.5" thickBot="1">
      <c r="A57" s="666"/>
      <c r="B57" s="1010"/>
      <c r="C57" s="1015"/>
      <c r="D57" s="1008"/>
      <c r="E57" s="1019"/>
      <c r="F57" s="1009"/>
      <c r="G57" s="1009"/>
      <c r="H57" s="1009"/>
      <c r="I57" s="1009"/>
      <c r="J57" s="1009"/>
    </row>
    <row r="58" spans="1:12" ht="13.5" thickBot="1">
      <c r="A58" s="666">
        <f>+A56+1</f>
        <v>38</v>
      </c>
      <c r="B58" s="1006" t="str">
        <f>"Average Cost of Debt for "&amp;TCOS!L4&amp;" (Ln "&amp;A56&amp;"/ ln "&amp;A42&amp;" (g))"</f>
        <v>Average Cost of Debt for 2019 (Ln 37/ ln 28 (g))</v>
      </c>
      <c r="C58" s="1017"/>
      <c r="D58" s="1008"/>
      <c r="E58" s="1020">
        <f>+E56/H42</f>
        <v>4.3159910367829971E-2</v>
      </c>
      <c r="F58" s="1009"/>
      <c r="G58" s="1009"/>
      <c r="H58" s="1009"/>
      <c r="I58" s="1009"/>
      <c r="J58" s="1009"/>
    </row>
    <row r="59" spans="1:12">
      <c r="A59" s="1021"/>
      <c r="B59" s="1010"/>
      <c r="C59" s="1015"/>
      <c r="D59" s="1008"/>
      <c r="E59" s="1015"/>
      <c r="F59" s="1009"/>
      <c r="G59" s="1009"/>
      <c r="H59" s="1009"/>
      <c r="I59" s="1009"/>
      <c r="J59" s="1009"/>
    </row>
    <row r="60" spans="1:12" s="1023" customFormat="1" ht="28.5" customHeight="1">
      <c r="A60" s="778"/>
      <c r="B60" s="1564" t="s">
        <v>0</v>
      </c>
      <c r="C60" s="1564"/>
      <c r="D60" s="1564"/>
      <c r="E60" s="1564"/>
      <c r="F60" s="779"/>
      <c r="G60" s="1022"/>
    </row>
    <row r="61" spans="1:12" s="1023" customFormat="1" ht="107.25" customHeight="1">
      <c r="A61" s="780">
        <f>+A58+1</f>
        <v>39</v>
      </c>
      <c r="B61" s="1565" t="s">
        <v>313</v>
      </c>
      <c r="C61" s="1566"/>
      <c r="D61" s="1566"/>
      <c r="E61" s="1566"/>
      <c r="F61" s="593"/>
      <c r="G61" s="1022"/>
    </row>
    <row r="62" spans="1:12" s="1023" customFormat="1" ht="12" customHeight="1">
      <c r="A62" s="778"/>
      <c r="B62" s="781"/>
      <c r="C62" s="781"/>
      <c r="D62" s="781"/>
      <c r="E62" s="781"/>
      <c r="F62" s="1022"/>
      <c r="G62" s="1567" t="s">
        <v>233</v>
      </c>
      <c r="H62" s="1567"/>
    </row>
    <row r="63" spans="1:12" s="1023" customFormat="1" ht="52.5" customHeight="1">
      <c r="A63" s="607"/>
      <c r="B63" s="1025" t="s">
        <v>360</v>
      </c>
      <c r="C63" s="1024" t="str">
        <f>"Total Hedge (Gain)/Loss for "&amp;TCOS!L4</f>
        <v>Total Hedge (Gain)/Loss for 2019</v>
      </c>
      <c r="D63" s="1024" t="str">
        <f>"Less Excludable Amounts (See NOTE on Line "&amp;A61&amp;")"</f>
        <v>Less Excludable Amounts (See NOTE on Line 39)</v>
      </c>
      <c r="E63" s="1024" t="s">
        <v>1</v>
      </c>
      <c r="F63" s="1024" t="s">
        <v>232</v>
      </c>
      <c r="G63" s="1024" t="s">
        <v>284</v>
      </c>
      <c r="H63" s="1024" t="s">
        <v>286</v>
      </c>
    </row>
    <row r="64" spans="1:12" s="1023" customFormat="1" ht="12.75" customHeight="1">
      <c r="A64" s="607">
        <f>+A61+1</f>
        <v>40</v>
      </c>
      <c r="B64" s="1026" t="s">
        <v>1007</v>
      </c>
      <c r="C64" s="1331"/>
      <c r="D64" s="1026"/>
      <c r="E64" s="1027">
        <f t="shared" ref="E64:E72" si="6">+C64-D64</f>
        <v>0</v>
      </c>
      <c r="F64" s="1327">
        <v>0</v>
      </c>
      <c r="G64" s="1328" t="s">
        <v>1008</v>
      </c>
      <c r="H64" s="1328" t="s">
        <v>1009</v>
      </c>
      <c r="I64" s="337"/>
      <c r="J64" s="337"/>
    </row>
    <row r="65" spans="1:8" s="1023" customFormat="1" ht="12.75" customHeight="1">
      <c r="A65" s="607">
        <f t="shared" ref="A65:A74" si="7">+A64+1</f>
        <v>41</v>
      </c>
      <c r="B65" s="1026" t="s">
        <v>972</v>
      </c>
      <c r="C65" s="1331">
        <v>0</v>
      </c>
      <c r="D65" s="1026"/>
      <c r="E65" s="1027">
        <f t="shared" si="6"/>
        <v>0</v>
      </c>
      <c r="F65" s="1327">
        <v>0</v>
      </c>
      <c r="G65" s="1329">
        <v>38693</v>
      </c>
      <c r="H65" s="1329">
        <v>42338</v>
      </c>
    </row>
    <row r="66" spans="1:8" s="1023" customFormat="1" ht="12.75" customHeight="1">
      <c r="A66" s="607">
        <f t="shared" si="7"/>
        <v>42</v>
      </c>
      <c r="B66" s="1026" t="s">
        <v>973</v>
      </c>
      <c r="C66" s="1331">
        <v>421740.50826440565</v>
      </c>
      <c r="D66" s="1029"/>
      <c r="E66" s="1027">
        <f t="shared" si="6"/>
        <v>421740.50826440565</v>
      </c>
      <c r="F66" s="1327">
        <v>7222303</v>
      </c>
      <c r="G66" s="1329">
        <v>39035</v>
      </c>
      <c r="H66" s="1330">
        <v>50099</v>
      </c>
    </row>
    <row r="67" spans="1:8" s="1023" customFormat="1" ht="12.75" customHeight="1">
      <c r="A67" s="607">
        <f t="shared" si="7"/>
        <v>43</v>
      </c>
      <c r="B67" s="1026" t="s">
        <v>974</v>
      </c>
      <c r="C67" s="1331">
        <v>1606490</v>
      </c>
      <c r="D67" s="1029"/>
      <c r="E67" s="1027">
        <f t="shared" si="6"/>
        <v>1606490</v>
      </c>
      <c r="F67" s="1327">
        <v>5154153</v>
      </c>
      <c r="G67" s="1329">
        <v>41348</v>
      </c>
      <c r="H67" s="1330">
        <v>45000</v>
      </c>
    </row>
    <row r="68" spans="1:8" s="1023" customFormat="1" ht="12.75" customHeight="1">
      <c r="A68" s="607">
        <f t="shared" si="7"/>
        <v>44</v>
      </c>
      <c r="B68" s="1026"/>
      <c r="C68" s="890"/>
      <c r="D68" s="1026"/>
      <c r="E68" s="1027">
        <f t="shared" si="6"/>
        <v>0</v>
      </c>
      <c r="F68" s="890"/>
      <c r="G68" s="1028"/>
      <c r="H68" s="1028"/>
    </row>
    <row r="69" spans="1:8" s="1023" customFormat="1" ht="12.75" customHeight="1">
      <c r="A69" s="607">
        <f t="shared" si="7"/>
        <v>45</v>
      </c>
      <c r="B69" s="1026"/>
      <c r="C69" s="890"/>
      <c r="D69" s="1026"/>
      <c r="E69" s="1027">
        <f t="shared" si="6"/>
        <v>0</v>
      </c>
      <c r="F69" s="890"/>
      <c r="G69" s="1028"/>
      <c r="H69" s="1028"/>
    </row>
    <row r="70" spans="1:8" s="1023" customFormat="1" ht="12.75" customHeight="1">
      <c r="A70" s="607">
        <f t="shared" si="7"/>
        <v>46</v>
      </c>
      <c r="B70" s="1026"/>
      <c r="C70" s="890"/>
      <c r="D70" s="1026"/>
      <c r="E70" s="1027">
        <f t="shared" si="6"/>
        <v>0</v>
      </c>
      <c r="F70" s="890"/>
      <c r="G70" s="1028"/>
      <c r="H70" s="1028"/>
    </row>
    <row r="71" spans="1:8" s="1023" customFormat="1" ht="12.75" customHeight="1">
      <c r="A71" s="607">
        <f t="shared" si="7"/>
        <v>47</v>
      </c>
      <c r="B71" s="1026"/>
      <c r="C71" s="890"/>
      <c r="D71" s="1030"/>
      <c r="E71" s="1027">
        <f t="shared" si="6"/>
        <v>0</v>
      </c>
      <c r="F71" s="890"/>
      <c r="G71" s="1028"/>
      <c r="H71" s="1028"/>
    </row>
    <row r="72" spans="1:8" s="1023" customFormat="1" ht="12.75" customHeight="1">
      <c r="A72" s="607">
        <f t="shared" si="7"/>
        <v>48</v>
      </c>
      <c r="B72" s="1026"/>
      <c r="C72" s="890"/>
      <c r="D72" s="1011"/>
      <c r="E72" s="1027">
        <f t="shared" si="6"/>
        <v>0</v>
      </c>
      <c r="F72" s="1031"/>
      <c r="G72" s="1031"/>
      <c r="H72" s="1031"/>
    </row>
    <row r="73" spans="1:8" s="1023" customFormat="1" ht="12.75" customHeight="1">
      <c r="A73" s="607">
        <f t="shared" si="7"/>
        <v>49</v>
      </c>
      <c r="B73" s="550"/>
      <c r="C73" s="1032"/>
      <c r="D73" s="1032"/>
      <c r="E73" s="1033"/>
      <c r="F73" s="1027">
        <f>SUM(F64:F72)</f>
        <v>12376456</v>
      </c>
      <c r="G73" s="1022"/>
    </row>
    <row r="74" spans="1:8" s="1023" customFormat="1" ht="12.75" customHeight="1">
      <c r="A74" s="607">
        <f t="shared" si="7"/>
        <v>50</v>
      </c>
      <c r="B74" s="1010" t="s">
        <v>8</v>
      </c>
      <c r="C74" s="1019">
        <f>SUM(C64:C72)</f>
        <v>2028230.5082644057</v>
      </c>
      <c r="D74" s="1019">
        <f>SUM(D64:D72)</f>
        <v>0</v>
      </c>
      <c r="F74" s="1022"/>
      <c r="G74" s="1022"/>
    </row>
    <row r="75" spans="1:8" s="1023" customFormat="1" ht="21" customHeight="1">
      <c r="A75" s="607"/>
      <c r="B75" s="1010"/>
      <c r="C75" s="1019"/>
      <c r="D75" s="1019"/>
      <c r="E75" s="1019"/>
      <c r="F75" s="1022"/>
      <c r="G75" s="1022"/>
    </row>
    <row r="76" spans="1:8" s="1023" customFormat="1" ht="14.25" customHeight="1">
      <c r="A76" s="607">
        <f>+A74+1</f>
        <v>51</v>
      </c>
      <c r="B76" s="1010" t="str">
        <f>"Hedge Gain or Loss Prior to Application of Recovery Limit (Sum of Lines "&amp;A64&amp;" to "&amp;A72&amp;")"</f>
        <v>Hedge Gain or Loss Prior to Application of Recovery Limit (Sum of Lines 40 to 48)</v>
      </c>
      <c r="C76" s="1019"/>
      <c r="D76" s="1019"/>
      <c r="E76" s="1019">
        <f>SUM(E64:E72)</f>
        <v>2028230.5082644057</v>
      </c>
      <c r="F76" s="1022"/>
      <c r="G76" s="1022"/>
    </row>
    <row r="77" spans="1:8" s="1023" customFormat="1" ht="12.75" customHeight="1">
      <c r="A77" s="607">
        <f>+A76+1</f>
        <v>52</v>
      </c>
      <c r="B77" s="1034" t="str">
        <f>"Total Average Capital Structure Balance for "&amp;TCOS!L4&amp;" (TCOS, Ln "&amp;TCOS!B258&amp;")"</f>
        <v>Total Average Capital Structure Balance for 2019 (TCOS, Ln 157)</v>
      </c>
      <c r="C77" s="1015"/>
      <c r="D77" s="1008"/>
      <c r="E77" s="1035">
        <f>TCOS!G258</f>
        <v>5137255816.4899235</v>
      </c>
      <c r="F77" s="1022"/>
      <c r="G77" s="1022"/>
      <c r="H77" s="1036"/>
    </row>
    <row r="78" spans="1:8" s="1023" customFormat="1" ht="12.75" customHeight="1">
      <c r="A78" s="607">
        <f>+A77+1</f>
        <v>53</v>
      </c>
      <c r="B78" s="1010" t="s">
        <v>490</v>
      </c>
      <c r="C78" s="1015"/>
      <c r="D78" s="1008"/>
      <c r="E78" s="1037">
        <v>5.0000000000000001E-4</v>
      </c>
      <c r="F78" s="1022"/>
      <c r="G78" s="1038"/>
    </row>
    <row r="79" spans="1:8" s="1023" customFormat="1" ht="12.75" customHeight="1" thickBot="1">
      <c r="A79" s="607">
        <f>+A78+1</f>
        <v>54</v>
      </c>
      <c r="B79" s="1010" t="s">
        <v>491</v>
      </c>
      <c r="C79" s="1015"/>
      <c r="D79" s="1008"/>
      <c r="E79" s="1039">
        <f>+E77*E78</f>
        <v>2568627.9082449619</v>
      </c>
      <c r="F79" s="1022"/>
      <c r="G79" s="1022"/>
    </row>
    <row r="80" spans="1:8" s="1023" customFormat="1" ht="12.75" customHeight="1" thickBot="1">
      <c r="A80" s="607">
        <f>+A79+1</f>
        <v>55</v>
      </c>
      <c r="B80" s="1006" t="str">
        <f>"Recoverable Hedge Amortization (Lesser of Ln "&amp;A76&amp;" or Ln "&amp;A79&amp;")"</f>
        <v>Recoverable Hedge Amortization (Lesser of Ln 51 or Ln 54)</v>
      </c>
      <c r="C80" s="1015"/>
      <c r="D80" s="1008"/>
      <c r="E80" s="1040">
        <f>+IF(E79&lt;E76,E79,E76)</f>
        <v>2028230.5082644057</v>
      </c>
      <c r="F80" s="1022"/>
      <c r="G80" s="1022"/>
    </row>
    <row r="81" spans="1:7" s="1023" customFormat="1" ht="12.75" customHeight="1">
      <c r="A81" s="607"/>
      <c r="B81" s="1010"/>
      <c r="C81" s="1015"/>
      <c r="D81" s="1008"/>
      <c r="E81" s="1015"/>
      <c r="F81" s="1022"/>
      <c r="G81" s="1022"/>
    </row>
    <row r="82" spans="1:7" s="1023" customFormat="1" ht="12.75" customHeight="1">
      <c r="A82" s="1041" t="s">
        <v>9</v>
      </c>
      <c r="B82" s="1042"/>
      <c r="C82" s="1015"/>
      <c r="D82" s="1008"/>
      <c r="E82" s="1015"/>
      <c r="F82" s="1022"/>
      <c r="G82" s="1022"/>
    </row>
    <row r="83" spans="1:7" s="1023" customFormat="1" ht="12.75" customHeight="1">
      <c r="A83" s="607"/>
      <c r="B83" s="1010"/>
      <c r="C83" s="1015"/>
      <c r="D83" s="1008"/>
      <c r="E83" s="1015"/>
      <c r="F83" s="1022"/>
      <c r="G83" s="1022"/>
    </row>
    <row r="84" spans="1:7" s="1023" customFormat="1" ht="12.75" customHeight="1">
      <c r="A84" s="607"/>
      <c r="B84" s="1043" t="s">
        <v>259</v>
      </c>
      <c r="C84" s="1044"/>
      <c r="D84" s="1045"/>
      <c r="E84" s="1044" t="s">
        <v>507</v>
      </c>
      <c r="F84" s="1022"/>
      <c r="G84" s="1022"/>
    </row>
    <row r="85" spans="1:7" s="1023" customFormat="1" ht="12.75" customHeight="1">
      <c r="A85" s="607">
        <f>+A80+1</f>
        <v>56</v>
      </c>
      <c r="B85" s="1008" t="str">
        <f>""&amp;C$85*100&amp;"% Series - "&amp;C$86&amp;" - Dividend Rate (p. 250-251)"</f>
        <v>0% Series - 0 - Dividend Rate (p. 250-251)</v>
      </c>
      <c r="C85" s="1046">
        <v>0</v>
      </c>
      <c r="D85" s="1046">
        <v>0</v>
      </c>
      <c r="E85" s="1044"/>
      <c r="F85" s="1022"/>
      <c r="G85" s="1022"/>
    </row>
    <row r="86" spans="1:7" s="1023" customFormat="1" ht="12.75" customHeight="1">
      <c r="A86" s="607">
        <f>+A85+1</f>
        <v>57</v>
      </c>
      <c r="B86" s="1008" t="str">
        <f>""&amp;C$85*100&amp;"% Series - "&amp;C$86&amp;" - Par Value (p. 250-251)"</f>
        <v>0% Series - 0 - Par Value (p. 250-251)</v>
      </c>
      <c r="C86" s="1047">
        <v>0</v>
      </c>
      <c r="D86" s="1047">
        <v>0</v>
      </c>
      <c r="E86" s="1044"/>
      <c r="F86" s="1022"/>
      <c r="G86" s="1022"/>
    </row>
    <row r="87" spans="1:7" s="1023" customFormat="1" ht="12.75" customHeight="1">
      <c r="A87" s="607">
        <f>+A86+1</f>
        <v>58</v>
      </c>
      <c r="B87" s="1008" t="str">
        <f>""&amp;C$85*100&amp;"% Series - "&amp;C$86&amp;" - Shares O/S (p.250-251) "</f>
        <v xml:space="preserve">0% Series - 0 - Shares O/S (p.250-251) </v>
      </c>
      <c r="C87" s="1011">
        <v>0</v>
      </c>
      <c r="D87" s="1011">
        <v>0</v>
      </c>
      <c r="E87" s="1048"/>
      <c r="F87" s="1022"/>
      <c r="G87" s="1022"/>
    </row>
    <row r="88" spans="1:7" s="1023" customFormat="1" ht="12.75" customHeight="1">
      <c r="A88" s="607">
        <f>+A87+1</f>
        <v>59</v>
      </c>
      <c r="B88" s="1008" t="str">
        <f>""&amp;C$85*100&amp;"% Series - "&amp;C$86&amp;" - Monetary Value (Ln "&amp;A86&amp;" * Ln "&amp;A87&amp;")"</f>
        <v>0% Series - 0 - Monetary Value (Ln 57 * Ln 58)</v>
      </c>
      <c r="C88" s="1049">
        <f>+C87*C86</f>
        <v>0</v>
      </c>
      <c r="D88" s="1049">
        <f>+D87*D86</f>
        <v>0</v>
      </c>
      <c r="E88" s="1050">
        <f>IF(C88=D88=0,0,AVERAGE(C88:D88))</f>
        <v>0</v>
      </c>
      <c r="F88" s="1022"/>
      <c r="G88" s="1022"/>
    </row>
    <row r="89" spans="1:7" s="1023" customFormat="1" ht="12.75" customHeight="1">
      <c r="A89" s="607">
        <f>+A88+1</f>
        <v>60</v>
      </c>
      <c r="B89" s="1008" t="str">
        <f>""&amp;C$85*100&amp;"% Series - "&amp;C$86&amp;" -  Dividend Amount (Ln "&amp;A85&amp;" * Ln "&amp;A88&amp;")"</f>
        <v>0% Series - 0 -  Dividend Amount (Ln 56 * Ln 59)</v>
      </c>
      <c r="C89" s="1049">
        <f>+C88*C85</f>
        <v>0</v>
      </c>
      <c r="D89" s="1049">
        <f>+D88*D85</f>
        <v>0</v>
      </c>
      <c r="E89" s="1050">
        <f>IF(C89=D89=0,0,AVERAGE(C89:D89))</f>
        <v>0</v>
      </c>
      <c r="F89" s="1022"/>
      <c r="G89" s="1022"/>
    </row>
    <row r="90" spans="1:7" s="1023" customFormat="1" ht="12.75" customHeight="1">
      <c r="A90" s="607"/>
      <c r="B90" s="1008"/>
      <c r="C90" s="1049"/>
      <c r="D90" s="1038"/>
      <c r="E90" s="1051"/>
      <c r="F90" s="1022"/>
      <c r="G90" s="1022"/>
    </row>
    <row r="91" spans="1:7" s="1023" customFormat="1" ht="12.75" customHeight="1">
      <c r="A91" s="607">
        <f>+A89+1</f>
        <v>61</v>
      </c>
      <c r="B91" s="1008" t="str">
        <f>""&amp;C$91*100&amp;"% Series - "&amp;C$92&amp;" - Dividend Rate (p. 250-251)"</f>
        <v>0% Series - 0 - Dividend Rate (p. 250-251)</v>
      </c>
      <c r="C91" s="1046">
        <v>0</v>
      </c>
      <c r="D91" s="1046">
        <v>0</v>
      </c>
      <c r="E91" s="1051"/>
      <c r="F91" s="1022"/>
      <c r="G91" s="1022"/>
    </row>
    <row r="92" spans="1:7" s="1023" customFormat="1" ht="12.75" customHeight="1">
      <c r="A92" s="607">
        <f>+A91+1</f>
        <v>62</v>
      </c>
      <c r="B92" s="1008" t="str">
        <f>""&amp;C$91*100&amp;"% Series - "&amp;C$92&amp;" - Par Value (p. 250-251)"</f>
        <v>0% Series - 0 - Par Value (p. 250-251)</v>
      </c>
      <c r="C92" s="1047">
        <v>0</v>
      </c>
      <c r="D92" s="1047">
        <v>0</v>
      </c>
      <c r="E92" s="1051"/>
      <c r="F92" s="1022"/>
      <c r="G92" s="1022"/>
    </row>
    <row r="93" spans="1:7" s="1023" customFormat="1" ht="12.75" customHeight="1">
      <c r="A93" s="607">
        <f>+A92+1</f>
        <v>63</v>
      </c>
      <c r="B93" s="1008" t="str">
        <f>""&amp;C$91*100&amp;"% Series - "&amp;C$92&amp;" - Shares O/S (p.250-251) "</f>
        <v xml:space="preserve">0% Series - 0 - Shares O/S (p.250-251) </v>
      </c>
      <c r="C93" s="1011">
        <v>0</v>
      </c>
      <c r="D93" s="1011">
        <v>0</v>
      </c>
      <c r="E93" s="1051"/>
      <c r="F93" s="1022"/>
      <c r="G93" s="1022"/>
    </row>
    <row r="94" spans="1:7" s="1023" customFormat="1" ht="12.75" customHeight="1">
      <c r="A94" s="607">
        <f>+A93+1</f>
        <v>64</v>
      </c>
      <c r="B94" s="1008" t="str">
        <f>""&amp;C$91*100&amp;"% Series - "&amp;C$92&amp;" - Monetary Value (Ln "&amp;A92&amp;" * Ln "&amp;A93&amp;")"</f>
        <v>0% Series - 0 - Monetary Value (Ln 62 * Ln 63)</v>
      </c>
      <c r="C94" s="1007">
        <f>+C93*C92</f>
        <v>0</v>
      </c>
      <c r="D94" s="1007">
        <f>+D93*D92</f>
        <v>0</v>
      </c>
      <c r="E94" s="1050">
        <f>IF(C94=D94=0,0,AVERAGE(C94:D94))</f>
        <v>0</v>
      </c>
      <c r="F94" s="1022"/>
      <c r="G94" s="1022"/>
    </row>
    <row r="95" spans="1:7" s="1023" customFormat="1" ht="12.75" customHeight="1">
      <c r="A95" s="607">
        <f>+A94+1</f>
        <v>65</v>
      </c>
      <c r="B95" s="1008" t="str">
        <f>""&amp;C$91*100&amp;"% Series - "&amp;C$92&amp;" -  Dividend Amount (Ln "&amp;A91&amp;" * Ln "&amp;A94&amp;")"</f>
        <v>0% Series - 0 -  Dividend Amount (Ln 61 * Ln 64)</v>
      </c>
      <c r="C95" s="1007">
        <f>+C94*C91</f>
        <v>0</v>
      </c>
      <c r="D95" s="1007">
        <f>+D94*D91</f>
        <v>0</v>
      </c>
      <c r="E95" s="1050">
        <f>IF(C95=D95=0,0,AVERAGE(C95:D95))</f>
        <v>0</v>
      </c>
      <c r="F95" s="1022"/>
      <c r="G95" s="1022"/>
    </row>
    <row r="96" spans="1:7" s="1023" customFormat="1" ht="12.75" customHeight="1">
      <c r="A96" s="607"/>
      <c r="B96" s="1008"/>
      <c r="C96" s="1007"/>
      <c r="D96" s="1007"/>
      <c r="E96" s="1050"/>
      <c r="F96" s="1022"/>
      <c r="G96" s="1022"/>
    </row>
    <row r="97" spans="1:7" s="1023" customFormat="1" ht="12.75" customHeight="1">
      <c r="A97" s="607">
        <f>+A95+1</f>
        <v>66</v>
      </c>
      <c r="B97" s="1008" t="str">
        <f>""&amp;C$97*100&amp;"% Series - "&amp;C$98&amp;" - Dividend Rate (p. 250-251)"</f>
        <v>0% Series - 0 - Dividend Rate (p. 250-251)</v>
      </c>
      <c r="C97" s="1046">
        <v>0</v>
      </c>
      <c r="D97" s="1046">
        <v>0</v>
      </c>
      <c r="E97" s="1050"/>
      <c r="F97" s="1022"/>
      <c r="G97" s="1022"/>
    </row>
    <row r="98" spans="1:7" s="1023" customFormat="1" ht="12.75" customHeight="1">
      <c r="A98" s="607">
        <f>+A97+1</f>
        <v>67</v>
      </c>
      <c r="B98" s="1008" t="str">
        <f>""&amp;C$97*100&amp;"% Series - "&amp;C$98&amp;" - Par Value (p. 250-251)"</f>
        <v>0% Series - 0 - Par Value (p. 250-251)</v>
      </c>
      <c r="C98" s="1047">
        <v>0</v>
      </c>
      <c r="D98" s="1047">
        <v>0</v>
      </c>
      <c r="E98" s="1050"/>
      <c r="F98" s="1022"/>
      <c r="G98" s="1022"/>
    </row>
    <row r="99" spans="1:7" s="1023" customFormat="1" ht="12.75" customHeight="1">
      <c r="A99" s="607">
        <f>+A98+1</f>
        <v>68</v>
      </c>
      <c r="B99" s="1008" t="str">
        <f>""&amp;C$97*100&amp;"% Series - "&amp;C$98&amp;" - Shares O/S (p.250-251) "</f>
        <v xml:space="preserve">0% Series - 0 - Shares O/S (p.250-251) </v>
      </c>
      <c r="C99" s="1011">
        <v>0</v>
      </c>
      <c r="D99" s="1011">
        <v>0</v>
      </c>
      <c r="E99" s="1051"/>
      <c r="F99" s="1022"/>
      <c r="G99" s="1022"/>
    </row>
    <row r="100" spans="1:7" s="1023" customFormat="1" ht="12.75" customHeight="1">
      <c r="A100" s="607">
        <f>+A99+1</f>
        <v>69</v>
      </c>
      <c r="B100" s="1008" t="str">
        <f>""&amp;C$97*100&amp;"% Series - "&amp;C$98&amp;" - Monetary Value (Ln "&amp;A98&amp;" * Ln "&amp;A99&amp;")"</f>
        <v>0% Series - 0 - Monetary Value (Ln 67 * Ln 68)</v>
      </c>
      <c r="C100" s="1007">
        <f>+C99*C98</f>
        <v>0</v>
      </c>
      <c r="D100" s="1007">
        <f>+D99*D98</f>
        <v>0</v>
      </c>
      <c r="E100" s="1050">
        <f>IF(C100=D100=0,0,AVERAGE(C100:D100))</f>
        <v>0</v>
      </c>
      <c r="F100" s="1022"/>
      <c r="G100" s="1022"/>
    </row>
    <row r="101" spans="1:7" s="1023" customFormat="1" ht="12.75" customHeight="1">
      <c r="A101" s="607">
        <f>+A100+1</f>
        <v>70</v>
      </c>
      <c r="B101" s="1008" t="str">
        <f>""&amp;C$97*100&amp;"% Series - "&amp;C$98&amp;" -  Dividend Amount (Ln "&amp;A97&amp;" * Ln "&amp;A100&amp;")"</f>
        <v>0% Series - 0 -  Dividend Amount (Ln 66 * Ln 69)</v>
      </c>
      <c r="C101" s="1007">
        <f>+C100*C97</f>
        <v>0</v>
      </c>
      <c r="D101" s="1007">
        <f>+D100*D97</f>
        <v>0</v>
      </c>
      <c r="E101" s="1050">
        <f>IF(C101=D101=0,0,AVERAGE(C101:D101))</f>
        <v>0</v>
      </c>
      <c r="F101" s="1022"/>
      <c r="G101" s="1022"/>
    </row>
    <row r="102" spans="1:7" s="1023" customFormat="1" ht="12.75" customHeight="1">
      <c r="A102" s="607"/>
      <c r="B102" s="1008"/>
      <c r="C102" s="1007"/>
      <c r="D102" s="1007"/>
      <c r="E102" s="1022"/>
      <c r="F102" s="1022"/>
      <c r="G102" s="1022"/>
    </row>
    <row r="103" spans="1:7" s="1023" customFormat="1" ht="12.75" customHeight="1">
      <c r="A103" s="607">
        <f>+A101+1</f>
        <v>71</v>
      </c>
      <c r="B103" s="1018" t="str">
        <f>"Balance of Preferred Stock (Lns "&amp;A88&amp;", "&amp;A94&amp;", "&amp;A100&amp;")"</f>
        <v>Balance of Preferred Stock (Lns 59, 64, 69)</v>
      </c>
      <c r="C103" s="1007">
        <f>+C88+C94+C100</f>
        <v>0</v>
      </c>
      <c r="D103" s="1007">
        <f>+D88+D94+D100</f>
        <v>0</v>
      </c>
      <c r="E103" s="1052">
        <f>+E88+E94+E100</f>
        <v>0</v>
      </c>
      <c r="F103" s="1008" t="s">
        <v>314</v>
      </c>
      <c r="G103" s="1022"/>
    </row>
    <row r="104" spans="1:7" s="1023" customFormat="1" ht="12.75" customHeight="1" thickBot="1">
      <c r="A104" s="607">
        <f>+A103+1</f>
        <v>72</v>
      </c>
      <c r="B104" s="1018" t="str">
        <f>"Dividends on Preferred Stock (Lns "&amp;A89&amp;", "&amp;A95&amp;", "&amp;A101&amp;")"</f>
        <v>Dividends on Preferred Stock (Lns 60, 65, 70)</v>
      </c>
      <c r="C104" s="1053">
        <f>+C95+C89+C101</f>
        <v>0</v>
      </c>
      <c r="D104" s="1053">
        <f>+D95+D89+D101</f>
        <v>0</v>
      </c>
      <c r="E104" s="1054">
        <f>+E101+E95+E89</f>
        <v>0</v>
      </c>
      <c r="F104" s="1022"/>
      <c r="G104" s="1022"/>
    </row>
    <row r="105" spans="1:7" s="1023" customFormat="1" ht="12.75" customHeight="1" thickBot="1">
      <c r="A105" s="607">
        <f>+A104+1</f>
        <v>73</v>
      </c>
      <c r="B105" s="1055" t="str">
        <f>"Average Cost of Preferred Stock (Ln "&amp;A104&amp;"/"&amp;A103&amp;")"</f>
        <v>Average Cost of Preferred Stock (Ln 72/71)</v>
      </c>
      <c r="C105" s="1015">
        <f>IF(C103=0,0,C104/C103)</f>
        <v>0</v>
      </c>
      <c r="D105" s="1015">
        <f>IF(D103=0,0,D104/D103)</f>
        <v>0</v>
      </c>
      <c r="E105" s="1020">
        <f>IF(E103=0,0,+E104/E103)</f>
        <v>0</v>
      </c>
      <c r="F105" s="1022"/>
      <c r="G105" s="102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5"/>
  <cols>
    <col min="2" max="2" width="11.81640625" customWidth="1"/>
    <col min="3" max="3" width="1" customWidth="1"/>
    <col min="8" max="8" width="1.54296875" customWidth="1"/>
    <col min="9" max="9" width="9.81640625" customWidth="1"/>
    <col min="10" max="10" width="1.54296875" customWidth="1"/>
    <col min="11" max="11" width="12.54296875" customWidth="1"/>
    <col min="12" max="12" width="1.54296875" customWidth="1"/>
    <col min="13" max="13" width="13.54296875" customWidth="1"/>
    <col min="14" max="14" width="1.1796875" customWidth="1"/>
    <col min="15" max="15" width="14.81640625" customWidth="1"/>
    <col min="16" max="16" width="2.54296875" customWidth="1"/>
    <col min="17" max="17" width="12.54296875" customWidth="1"/>
    <col min="18" max="18" width="1.81640625" customWidth="1"/>
    <col min="19" max="19" width="17.54296875" customWidth="1"/>
    <col min="20" max="20" width="1.81640625" customWidth="1"/>
    <col min="21" max="21" width="10.453125" customWidth="1"/>
  </cols>
  <sheetData>
    <row r="1" spans="1:21" ht="15.5">
      <c r="A1" s="911" t="s">
        <v>115</v>
      </c>
    </row>
    <row r="2" spans="1:21" ht="15.5">
      <c r="A2" s="911" t="s">
        <v>115</v>
      </c>
    </row>
    <row r="3" spans="1:21" ht="18">
      <c r="A3" s="1545" t="s">
        <v>388</v>
      </c>
      <c r="B3" s="1545"/>
      <c r="C3" s="1545"/>
      <c r="D3" s="1545"/>
      <c r="E3" s="1545"/>
      <c r="F3" s="1545"/>
      <c r="G3" s="1545"/>
      <c r="H3" s="1545"/>
      <c r="I3" s="1545"/>
      <c r="J3" s="1545"/>
      <c r="K3" s="1545"/>
      <c r="L3" s="1545"/>
      <c r="M3" s="1545"/>
      <c r="N3" s="1545"/>
      <c r="O3" s="1545"/>
    </row>
    <row r="4" spans="1:21" ht="18">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1544"/>
      <c r="N4" s="1544"/>
      <c r="O4" s="1544"/>
    </row>
    <row r="5" spans="1:21" ht="18">
      <c r="A5" s="1544" t="s">
        <v>240</v>
      </c>
      <c r="B5" s="1544"/>
      <c r="C5" s="1544"/>
      <c r="D5" s="1544"/>
      <c r="E5" s="1544"/>
      <c r="F5" s="1544"/>
      <c r="G5" s="1544"/>
      <c r="H5" s="1544"/>
      <c r="I5" s="1544"/>
      <c r="J5" s="1544"/>
      <c r="K5" s="1544"/>
      <c r="L5" s="1544"/>
      <c r="M5" s="1544"/>
      <c r="N5" s="1544"/>
      <c r="O5" s="1544"/>
    </row>
    <row r="6" spans="1:21" ht="18">
      <c r="A6" s="1539" t="str">
        <f>+TCOS!F9</f>
        <v xml:space="preserve">Indiana Michigan Power Company </v>
      </c>
      <c r="B6" s="1539"/>
      <c r="C6" s="1539"/>
      <c r="D6" s="1539"/>
      <c r="E6" s="1539"/>
      <c r="F6" s="1539"/>
      <c r="G6" s="1539"/>
      <c r="H6" s="1539"/>
      <c r="I6" s="1539"/>
      <c r="J6" s="1539"/>
      <c r="K6" s="1539"/>
      <c r="L6" s="1539"/>
      <c r="M6" s="1539"/>
      <c r="N6" s="1539"/>
      <c r="O6" s="1539"/>
    </row>
    <row r="7" spans="1:21" ht="12.75" customHeight="1">
      <c r="A7" s="163"/>
      <c r="B7" s="163"/>
      <c r="C7" s="163"/>
      <c r="D7" s="163"/>
      <c r="E7" s="163"/>
      <c r="F7" s="163"/>
      <c r="G7" s="163"/>
      <c r="H7" s="163"/>
      <c r="I7" s="163"/>
      <c r="J7" s="163"/>
      <c r="K7" s="163"/>
      <c r="L7" s="163"/>
    </row>
    <row r="8" spans="1:21" ht="12.75" customHeight="1">
      <c r="A8" s="1574" t="s">
        <v>391</v>
      </c>
      <c r="B8" s="1574"/>
      <c r="C8" s="1574"/>
      <c r="D8" s="1574"/>
      <c r="E8" s="1574"/>
      <c r="F8" s="1574"/>
      <c r="G8" s="1574"/>
      <c r="H8" s="1574"/>
      <c r="I8" s="1574"/>
      <c r="J8" s="1574"/>
      <c r="K8" s="1574"/>
      <c r="L8" s="1574"/>
      <c r="M8" s="1574"/>
      <c r="N8" s="1574"/>
      <c r="O8" s="1574"/>
    </row>
    <row r="9" spans="1:21" ht="12.75" customHeight="1">
      <c r="A9" s="1574"/>
      <c r="B9" s="1574"/>
      <c r="C9" s="1574"/>
      <c r="D9" s="1574"/>
      <c r="E9" s="1574"/>
      <c r="F9" s="1574"/>
      <c r="G9" s="1574"/>
      <c r="H9" s="1574"/>
      <c r="I9" s="1574"/>
      <c r="J9" s="1574"/>
      <c r="K9" s="1574"/>
      <c r="L9" s="1574"/>
      <c r="M9" s="1574"/>
      <c r="N9" s="1574"/>
      <c r="O9" s="1574"/>
    </row>
    <row r="10" spans="1:21">
      <c r="A10" s="1574"/>
      <c r="B10" s="1574"/>
      <c r="C10" s="1574"/>
      <c r="D10" s="1574"/>
      <c r="E10" s="1574"/>
      <c r="F10" s="1574"/>
      <c r="G10" s="1574"/>
      <c r="H10" s="1574"/>
      <c r="I10" s="1574"/>
      <c r="J10" s="1574"/>
      <c r="K10" s="1574"/>
      <c r="L10" s="1574"/>
      <c r="M10" s="1574"/>
      <c r="N10" s="1574"/>
      <c r="O10" s="1574"/>
    </row>
    <row r="11" spans="1:21">
      <c r="A11" s="1574"/>
      <c r="B11" s="1574"/>
      <c r="C11" s="1574"/>
      <c r="D11" s="1574"/>
      <c r="E11" s="1574"/>
      <c r="F11" s="1574"/>
      <c r="G11" s="1574"/>
      <c r="H11" s="1574"/>
      <c r="I11" s="1574"/>
      <c r="J11" s="1574"/>
      <c r="K11" s="1574"/>
      <c r="L11" s="1574"/>
      <c r="M11" s="1574"/>
      <c r="N11" s="1574"/>
      <c r="O11" s="1574"/>
    </row>
    <row r="12" spans="1:21">
      <c r="B12" s="1" t="s">
        <v>163</v>
      </c>
      <c r="C12" s="1"/>
      <c r="D12" s="1573" t="s">
        <v>164</v>
      </c>
      <c r="E12" s="1573"/>
      <c r="F12" s="1573"/>
      <c r="G12" s="1573"/>
      <c r="H12" s="1"/>
      <c r="I12" s="1" t="s">
        <v>4</v>
      </c>
      <c r="J12" s="1"/>
      <c r="K12" s="1" t="s">
        <v>166</v>
      </c>
      <c r="L12" s="1"/>
      <c r="M12" s="1" t="s">
        <v>85</v>
      </c>
      <c r="N12" s="1"/>
      <c r="O12" s="1" t="s">
        <v>86</v>
      </c>
      <c r="P12" s="1"/>
      <c r="Q12" s="1" t="s">
        <v>20</v>
      </c>
      <c r="R12" s="1"/>
      <c r="S12" s="1" t="s">
        <v>92</v>
      </c>
      <c r="T12" s="1"/>
      <c r="U12" s="106" t="s">
        <v>501</v>
      </c>
    </row>
    <row r="13" spans="1:21" ht="13">
      <c r="I13" s="1571" t="s">
        <v>18</v>
      </c>
      <c r="Q13" s="1575" t="s">
        <v>19</v>
      </c>
      <c r="S13" s="1571" t="s">
        <v>21</v>
      </c>
      <c r="U13" s="297" t="s">
        <v>81</v>
      </c>
    </row>
    <row r="14" spans="1:21" ht="13">
      <c r="A14" s="172" t="s">
        <v>17</v>
      </c>
      <c r="B14" s="172" t="s">
        <v>13</v>
      </c>
      <c r="C14" s="172"/>
      <c r="D14" s="215" t="s">
        <v>14</v>
      </c>
      <c r="E14" s="172"/>
      <c r="F14" s="172"/>
      <c r="G14" s="172"/>
      <c r="H14" s="172"/>
      <c r="I14" s="1572"/>
      <c r="J14" s="172"/>
      <c r="K14" s="172" t="s">
        <v>15</v>
      </c>
      <c r="L14" s="172"/>
      <c r="M14" s="172" t="s">
        <v>16</v>
      </c>
      <c r="N14" s="172"/>
      <c r="O14" s="172" t="s">
        <v>494</v>
      </c>
      <c r="Q14" s="1575"/>
      <c r="S14" s="1571"/>
      <c r="U14" s="297" t="s">
        <v>307</v>
      </c>
    </row>
    <row r="15" spans="1:21" ht="13">
      <c r="A15" s="172"/>
      <c r="B15" s="172"/>
      <c r="C15" s="172"/>
      <c r="D15" s="215"/>
      <c r="E15" s="172"/>
      <c r="F15" s="172"/>
      <c r="G15" s="172"/>
      <c r="H15" s="172"/>
      <c r="I15" s="3" t="s">
        <v>492</v>
      </c>
      <c r="J15" s="172"/>
      <c r="K15" s="172"/>
      <c r="L15" s="172"/>
      <c r="M15" s="172"/>
      <c r="N15" s="172"/>
      <c r="O15" s="172"/>
      <c r="Q15" s="237"/>
      <c r="S15" s="172" t="s">
        <v>494</v>
      </c>
    </row>
    <row r="16" spans="1:21">
      <c r="I16" t="s">
        <v>493</v>
      </c>
    </row>
    <row r="17" spans="1:21">
      <c r="A17" s="1">
        <v>1</v>
      </c>
      <c r="B17" s="892"/>
      <c r="D17" s="1576"/>
      <c r="E17" s="1576"/>
      <c r="F17" s="1576"/>
      <c r="G17" s="1576"/>
      <c r="I17" s="893"/>
      <c r="K17" s="891"/>
      <c r="L17" s="138"/>
      <c r="M17" s="891"/>
      <c r="O17" s="181">
        <f>+K17-M17</f>
        <v>0</v>
      </c>
      <c r="Q17" s="223">
        <f>IF(I17="G",TCOS!L241,IF(I17="T",1,0))</f>
        <v>0</v>
      </c>
      <c r="S17" s="181">
        <f>ROUND(O17*Q17,0)</f>
        <v>0</v>
      </c>
      <c r="U17" s="894"/>
    </row>
    <row r="18" spans="1:21">
      <c r="A18" s="1"/>
      <c r="D18" s="1576"/>
      <c r="E18" s="1576"/>
      <c r="F18" s="1576"/>
      <c r="G18" s="1576"/>
      <c r="K18" s="138"/>
      <c r="L18" s="138"/>
      <c r="M18" s="138"/>
      <c r="O18" s="138"/>
      <c r="Q18" s="223"/>
      <c r="S18" s="138"/>
    </row>
    <row r="19" spans="1:21">
      <c r="A19" s="1"/>
      <c r="D19" s="1576"/>
      <c r="E19" s="1576"/>
      <c r="F19" s="1576"/>
      <c r="G19" s="1576"/>
      <c r="K19" s="138"/>
      <c r="L19" s="138"/>
      <c r="M19" s="138"/>
      <c r="O19" s="138"/>
      <c r="Q19" s="223"/>
      <c r="S19" s="138"/>
    </row>
    <row r="20" spans="1:21">
      <c r="A20" s="1"/>
      <c r="K20" s="138"/>
      <c r="L20" s="138"/>
      <c r="M20" s="138"/>
      <c r="O20" s="138"/>
      <c r="Q20" s="223"/>
      <c r="S20" s="138"/>
    </row>
    <row r="21" spans="1:21">
      <c r="A21" s="1"/>
      <c r="K21" s="138"/>
      <c r="L21" s="138"/>
      <c r="M21" s="138"/>
      <c r="O21" s="138"/>
      <c r="Q21" s="223"/>
      <c r="S21" s="138"/>
    </row>
    <row r="22" spans="1:21" ht="12" customHeight="1">
      <c r="A22" s="1">
        <f>+A17+1</f>
        <v>2</v>
      </c>
      <c r="B22" s="892"/>
      <c r="D22" s="1576"/>
      <c r="E22" s="1576"/>
      <c r="F22" s="1576"/>
      <c r="G22" s="1576"/>
      <c r="I22" s="893"/>
      <c r="K22" s="891"/>
      <c r="L22" s="138"/>
      <c r="M22" s="891"/>
      <c r="O22" s="181">
        <f>+K22-M22</f>
        <v>0</v>
      </c>
      <c r="Q22" s="223">
        <f>IF(I22="G",TCOS!L241,IF(I22="T",1,0))</f>
        <v>0</v>
      </c>
      <c r="S22" s="181">
        <f>ROUND(O22*Q22,0)</f>
        <v>0</v>
      </c>
      <c r="U22" s="894"/>
    </row>
    <row r="23" spans="1:21">
      <c r="A23" s="1"/>
      <c r="D23" s="1576"/>
      <c r="E23" s="1576"/>
      <c r="F23" s="1576"/>
      <c r="G23" s="1576"/>
      <c r="K23" s="138"/>
      <c r="L23" s="138"/>
      <c r="M23" s="138"/>
      <c r="O23" s="138"/>
      <c r="Q23" s="223"/>
      <c r="S23" s="138"/>
    </row>
    <row r="24" spans="1:21">
      <c r="A24" s="1"/>
      <c r="D24" s="1576"/>
      <c r="E24" s="1576"/>
      <c r="F24" s="1576"/>
      <c r="G24" s="1576"/>
      <c r="K24" s="138"/>
      <c r="L24" s="138"/>
      <c r="M24" s="138"/>
      <c r="O24" s="138"/>
      <c r="Q24" s="223"/>
      <c r="S24" s="138"/>
    </row>
    <row r="25" spans="1:21">
      <c r="A25" s="1"/>
      <c r="I25" s="1"/>
      <c r="K25" s="138"/>
      <c r="L25" s="138"/>
      <c r="M25" s="138"/>
      <c r="O25" s="138"/>
      <c r="Q25" s="223"/>
      <c r="S25" s="138"/>
    </row>
    <row r="26" spans="1:21">
      <c r="A26" s="1"/>
      <c r="I26" s="1"/>
      <c r="K26" s="138"/>
      <c r="L26" s="138"/>
      <c r="M26" s="138"/>
      <c r="O26" s="138"/>
      <c r="Q26" s="223"/>
      <c r="S26" s="138"/>
    </row>
    <row r="27" spans="1:21">
      <c r="A27" s="1">
        <f>+A22+1</f>
        <v>3</v>
      </c>
      <c r="B27" s="892"/>
      <c r="D27" s="1576"/>
      <c r="E27" s="1576"/>
      <c r="F27" s="1576"/>
      <c r="G27" s="1576"/>
      <c r="I27" s="893"/>
      <c r="K27" s="891"/>
      <c r="L27" s="138"/>
      <c r="M27" s="891"/>
      <c r="O27" s="181">
        <f>+K27-M27</f>
        <v>0</v>
      </c>
      <c r="Q27" s="223">
        <f>IF(I27="G",TCOS!L241,IF(I27="T",1,0))</f>
        <v>0</v>
      </c>
      <c r="S27" s="181">
        <f>ROUND(O27*Q27,0)</f>
        <v>0</v>
      </c>
      <c r="U27" s="894"/>
    </row>
    <row r="28" spans="1:21">
      <c r="A28" s="1"/>
      <c r="D28" s="1576"/>
      <c r="E28" s="1576"/>
      <c r="F28" s="1576"/>
      <c r="G28" s="1576"/>
      <c r="K28" s="138"/>
      <c r="L28" s="138"/>
      <c r="M28" s="138"/>
      <c r="O28" s="138"/>
      <c r="Q28" s="223"/>
      <c r="S28" s="138"/>
    </row>
    <row r="29" spans="1:21">
      <c r="A29" s="1"/>
      <c r="D29" s="1576"/>
      <c r="E29" s="1576"/>
      <c r="F29" s="1576"/>
      <c r="G29" s="1576"/>
      <c r="K29" s="138"/>
      <c r="L29" s="138"/>
      <c r="M29" s="138"/>
      <c r="O29" s="138"/>
      <c r="Q29" s="223"/>
    </row>
    <row r="30" spans="1:21">
      <c r="A30" s="1"/>
      <c r="O30" s="138"/>
      <c r="Q30" s="223"/>
    </row>
    <row r="31" spans="1:21">
      <c r="A31" s="1"/>
      <c r="O31" s="138"/>
      <c r="Q31" s="223"/>
    </row>
    <row r="32" spans="1:21">
      <c r="A32" s="1"/>
      <c r="O32" s="138"/>
      <c r="Q32" s="223"/>
    </row>
    <row r="33" spans="1:19" ht="13" thickBot="1">
      <c r="A33" s="1">
        <f>+A27+1</f>
        <v>4</v>
      </c>
      <c r="K33" t="str">
        <f>"Net (Gain) or Loss for "&amp;TCOS!L4&amp;""</f>
        <v>Net (Gain) or Loss for 2019</v>
      </c>
      <c r="O33" s="235">
        <f>SUM(O17:O27)</f>
        <v>0</v>
      </c>
      <c r="Q33" s="236"/>
      <c r="S33" s="235">
        <f>SUM(S17:S27)</f>
        <v>0</v>
      </c>
    </row>
    <row r="34" spans="1:19" ht="13" thickTop="1">
      <c r="A34" s="1"/>
      <c r="O34" s="138"/>
      <c r="Q34" s="236"/>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0" type="noConversion"/>
  <pageMargins left="0.75" right="0.75" top="1" bottom="1" header="0.75" footer="0.5"/>
  <pageSetup scale="77"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5"/>
  <sheetViews>
    <sheetView topLeftCell="A52" zoomScaleNormal="100" zoomScaleSheetLayoutView="70" zoomScalePageLayoutView="50" workbookViewId="0">
      <selection activeCell="D71" sqref="D71"/>
    </sheetView>
  </sheetViews>
  <sheetFormatPr defaultColWidth="11.453125" defaultRowHeight="12.5"/>
  <cols>
    <col min="1" max="1" width="10.453125" style="915" customWidth="1"/>
    <col min="2" max="2" width="64.54296875" style="230" customWidth="1"/>
    <col min="3" max="3" width="26.54296875" style="230" bestFit="1" customWidth="1"/>
    <col min="4" max="11" width="20.453125" style="230" customWidth="1"/>
    <col min="12" max="12" width="20" style="230" customWidth="1"/>
    <col min="13" max="14" width="15.1796875" style="230" customWidth="1"/>
    <col min="15" max="16384" width="11.453125" style="230"/>
  </cols>
  <sheetData>
    <row r="1" spans="1:12" ht="15.5">
      <c r="A1" s="1499" t="s">
        <v>388</v>
      </c>
      <c r="B1" s="1499"/>
      <c r="C1" s="1499"/>
      <c r="D1" s="1499"/>
      <c r="E1" s="1499"/>
      <c r="F1" s="1499"/>
      <c r="G1" s="1499"/>
      <c r="H1" s="919"/>
      <c r="I1" s="919"/>
    </row>
    <row r="2" spans="1:12" ht="15.5">
      <c r="A2" s="1500" t="str">
        <f>"Cost of Service Formula Rate Using Actual/Projected FF1 Balances"</f>
        <v>Cost of Service Formula Rate Using Actual/Projected FF1 Balances</v>
      </c>
      <c r="B2" s="1500"/>
      <c r="C2" s="1500"/>
      <c r="D2" s="1500"/>
      <c r="E2" s="1500"/>
      <c r="F2" s="1500"/>
      <c r="G2" s="1500"/>
      <c r="H2" s="919"/>
      <c r="I2" s="919"/>
      <c r="J2" s="919"/>
      <c r="L2" s="969"/>
    </row>
    <row r="3" spans="1:12" ht="15.5">
      <c r="A3" s="1500" t="s">
        <v>665</v>
      </c>
      <c r="B3" s="1500"/>
      <c r="C3" s="1500"/>
      <c r="D3" s="1500"/>
      <c r="E3" s="1500"/>
      <c r="F3" s="1500"/>
      <c r="G3" s="1500"/>
      <c r="H3" s="919"/>
      <c r="I3" s="919"/>
      <c r="J3" s="919"/>
    </row>
    <row r="4" spans="1:12" ht="15.5">
      <c r="A4" s="1507" t="str">
        <f>TCOS!F9</f>
        <v xml:space="preserve">Indiana Michigan Power Company </v>
      </c>
      <c r="B4" s="1507"/>
      <c r="C4" s="1507"/>
      <c r="D4" s="1507"/>
      <c r="E4" s="1507"/>
      <c r="F4" s="1507"/>
      <c r="G4" s="1507"/>
      <c r="H4" s="919"/>
      <c r="I4" s="919"/>
      <c r="J4" s="919"/>
    </row>
    <row r="5" spans="1:12" ht="13">
      <c r="A5" s="919"/>
      <c r="B5" s="965"/>
      <c r="C5" s="965"/>
      <c r="D5" s="965"/>
      <c r="E5" s="968"/>
      <c r="F5" s="967"/>
      <c r="H5" s="967"/>
      <c r="J5" s="967"/>
      <c r="L5" s="967"/>
    </row>
    <row r="6" spans="1:12" ht="12.75" customHeight="1">
      <c r="A6" s="919"/>
      <c r="B6" s="965"/>
      <c r="C6" s="1501" t="s">
        <v>664</v>
      </c>
      <c r="D6" s="1502"/>
      <c r="E6" s="1502"/>
      <c r="F6" s="1502"/>
      <c r="G6" s="1502"/>
      <c r="H6" s="1502"/>
      <c r="I6" s="1502"/>
      <c r="J6" s="1502"/>
      <c r="K6" s="1503"/>
      <c r="L6" s="6"/>
    </row>
    <row r="7" spans="1:12" s="962" customFormat="1" ht="25.5">
      <c r="A7" s="964" t="s">
        <v>654</v>
      </c>
      <c r="B7" s="963" t="s">
        <v>653</v>
      </c>
      <c r="C7" s="941" t="s">
        <v>230</v>
      </c>
      <c r="D7" s="941" t="s">
        <v>662</v>
      </c>
      <c r="E7" s="941" t="s">
        <v>116</v>
      </c>
      <c r="F7" s="941" t="s">
        <v>661</v>
      </c>
      <c r="G7" s="941" t="s">
        <v>439</v>
      </c>
      <c r="H7" s="941" t="s">
        <v>660</v>
      </c>
      <c r="I7" s="941" t="s">
        <v>335</v>
      </c>
      <c r="J7" s="941" t="s">
        <v>659</v>
      </c>
      <c r="K7" s="940" t="s">
        <v>658</v>
      </c>
      <c r="L7" s="6"/>
    </row>
    <row r="8" spans="1:12" s="933" customFormat="1" ht="13">
      <c r="A8" s="930"/>
      <c r="B8" s="938" t="s">
        <v>648</v>
      </c>
      <c r="C8" s="937" t="s">
        <v>647</v>
      </c>
      <c r="D8" s="937" t="s">
        <v>646</v>
      </c>
      <c r="E8" s="937" t="s">
        <v>645</v>
      </c>
      <c r="F8" s="937" t="s">
        <v>644</v>
      </c>
      <c r="G8" s="937" t="s">
        <v>666</v>
      </c>
      <c r="H8" s="937" t="s">
        <v>667</v>
      </c>
      <c r="I8" s="937" t="s">
        <v>657</v>
      </c>
      <c r="J8" s="937" t="s">
        <v>656</v>
      </c>
      <c r="K8" s="961" t="s">
        <v>655</v>
      </c>
      <c r="L8" s="6"/>
    </row>
    <row r="9" spans="1:12" s="933" customFormat="1" ht="44.25" customHeight="1">
      <c r="A9" s="930"/>
      <c r="B9" s="938" t="s">
        <v>643</v>
      </c>
      <c r="C9" s="960" t="s">
        <v>443</v>
      </c>
      <c r="D9" s="960" t="s">
        <v>448</v>
      </c>
      <c r="E9" s="960" t="s">
        <v>444</v>
      </c>
      <c r="F9" s="960" t="s">
        <v>668</v>
      </c>
      <c r="G9" s="960" t="s">
        <v>445</v>
      </c>
      <c r="H9" s="960" t="s">
        <v>446</v>
      </c>
      <c r="I9" s="960" t="s">
        <v>669</v>
      </c>
      <c r="J9" s="960" t="s">
        <v>670</v>
      </c>
      <c r="K9" s="959" t="s">
        <v>447</v>
      </c>
      <c r="L9" s="6"/>
    </row>
    <row r="10" spans="1:12">
      <c r="A10" s="930">
        <v>1</v>
      </c>
      <c r="B10" s="957" t="s">
        <v>641</v>
      </c>
      <c r="C10" s="925">
        <v>4859214364</v>
      </c>
      <c r="D10" s="925">
        <v>453990234</v>
      </c>
      <c r="E10" s="925">
        <v>1576569517</v>
      </c>
      <c r="F10" s="925">
        <v>0</v>
      </c>
      <c r="G10" s="925">
        <v>2249545706</v>
      </c>
      <c r="H10" s="925">
        <v>0</v>
      </c>
      <c r="I10" s="925">
        <v>155764032</v>
      </c>
      <c r="J10" s="925">
        <v>239127</v>
      </c>
      <c r="K10" s="958">
        <v>198115773</v>
      </c>
      <c r="L10" s="6"/>
    </row>
    <row r="11" spans="1:12">
      <c r="A11" s="930">
        <f>+A10+1</f>
        <v>2</v>
      </c>
      <c r="B11" s="957" t="s">
        <v>186</v>
      </c>
      <c r="C11" s="925">
        <v>4859799534.71</v>
      </c>
      <c r="D11" s="925">
        <v>453990234</v>
      </c>
      <c r="E11" s="925">
        <v>1578728640.3299999</v>
      </c>
      <c r="F11" s="925"/>
      <c r="G11" s="925">
        <v>2262710238.5300002</v>
      </c>
      <c r="H11" s="925"/>
      <c r="I11" s="925">
        <v>157032273.10000002</v>
      </c>
      <c r="J11" s="925">
        <v>239127</v>
      </c>
      <c r="K11" s="924">
        <v>197076966.53999999</v>
      </c>
      <c r="L11" s="6"/>
    </row>
    <row r="12" spans="1:12">
      <c r="A12" s="930">
        <f t="shared" ref="A12:A23" si="0">+A11+1</f>
        <v>3</v>
      </c>
      <c r="B12" s="956" t="s">
        <v>561</v>
      </c>
      <c r="C12" s="925">
        <v>4863040924.5699997</v>
      </c>
      <c r="D12" s="925">
        <v>453990234</v>
      </c>
      <c r="E12" s="925">
        <v>1580814058.23</v>
      </c>
      <c r="F12" s="925"/>
      <c r="G12" s="925">
        <v>2276533685.6799998</v>
      </c>
      <c r="H12" s="925"/>
      <c r="I12" s="925">
        <v>157790005.04000008</v>
      </c>
      <c r="J12" s="925">
        <v>239127</v>
      </c>
      <c r="K12" s="924">
        <v>196611536.61999997</v>
      </c>
      <c r="L12" s="6"/>
    </row>
    <row r="13" spans="1:12">
      <c r="A13" s="930">
        <f t="shared" si="0"/>
        <v>4</v>
      </c>
      <c r="B13" s="956" t="s">
        <v>640</v>
      </c>
      <c r="C13" s="925">
        <v>4867043085.71</v>
      </c>
      <c r="D13" s="925">
        <v>453990234</v>
      </c>
      <c r="E13" s="925">
        <v>1588537724.8900001</v>
      </c>
      <c r="F13" s="925"/>
      <c r="G13" s="925">
        <v>2291317141.5799999</v>
      </c>
      <c r="H13" s="925"/>
      <c r="I13" s="925">
        <v>158016141.52000004</v>
      </c>
      <c r="J13" s="925">
        <v>239127</v>
      </c>
      <c r="K13" s="924">
        <v>187341467.27000001</v>
      </c>
      <c r="L13" s="6"/>
    </row>
    <row r="14" spans="1:12">
      <c r="A14" s="930">
        <f t="shared" si="0"/>
        <v>5</v>
      </c>
      <c r="B14" s="956" t="s">
        <v>188</v>
      </c>
      <c r="C14" s="925">
        <v>4868316814.75</v>
      </c>
      <c r="D14" s="925">
        <v>454183592.98000002</v>
      </c>
      <c r="E14" s="925">
        <v>1591484354.4699998</v>
      </c>
      <c r="F14" s="925"/>
      <c r="G14" s="925">
        <v>2305802123.2099996</v>
      </c>
      <c r="H14" s="925"/>
      <c r="I14" s="925">
        <v>158531466.07000002</v>
      </c>
      <c r="J14" s="925">
        <v>239127</v>
      </c>
      <c r="K14" s="924">
        <v>189715570.36999997</v>
      </c>
      <c r="L14" s="6"/>
    </row>
    <row r="15" spans="1:12">
      <c r="A15" s="930">
        <f t="shared" si="0"/>
        <v>6</v>
      </c>
      <c r="B15" s="956" t="s">
        <v>189</v>
      </c>
      <c r="C15" s="925">
        <v>4936622190.21</v>
      </c>
      <c r="D15" s="925">
        <v>454183592.98000002</v>
      </c>
      <c r="E15" s="925">
        <v>1596694197.9799995</v>
      </c>
      <c r="F15" s="925"/>
      <c r="G15" s="925">
        <v>2320172042.5599995</v>
      </c>
      <c r="H15" s="925"/>
      <c r="I15" s="925">
        <v>158848510.78000003</v>
      </c>
      <c r="J15" s="925">
        <v>317163.28000000003</v>
      </c>
      <c r="K15" s="924">
        <v>191192371.53999999</v>
      </c>
      <c r="L15" s="6"/>
    </row>
    <row r="16" spans="1:12">
      <c r="A16" s="930">
        <f t="shared" si="0"/>
        <v>7</v>
      </c>
      <c r="B16" s="956" t="s">
        <v>383</v>
      </c>
      <c r="C16" s="925">
        <v>4959174555.4399996</v>
      </c>
      <c r="D16" s="925">
        <v>454183592.98000002</v>
      </c>
      <c r="E16" s="925">
        <v>1601835498.7799995</v>
      </c>
      <c r="F16" s="925"/>
      <c r="G16" s="925">
        <v>2331256766.4199991</v>
      </c>
      <c r="H16" s="925"/>
      <c r="I16" s="925">
        <v>159130151.59</v>
      </c>
      <c r="J16" s="925">
        <v>317163.28000000003</v>
      </c>
      <c r="K16" s="924">
        <v>190582237.81999999</v>
      </c>
      <c r="L16" s="6"/>
    </row>
    <row r="17" spans="1:12">
      <c r="A17" s="930">
        <f t="shared" si="0"/>
        <v>8</v>
      </c>
      <c r="B17" s="956" t="s">
        <v>190</v>
      </c>
      <c r="C17" s="925">
        <v>4963857925.8900003</v>
      </c>
      <c r="D17" s="925">
        <v>454183592.98000002</v>
      </c>
      <c r="E17" s="925">
        <v>1610227067.03</v>
      </c>
      <c r="F17" s="925"/>
      <c r="G17" s="925">
        <v>2356802081.5700002</v>
      </c>
      <c r="H17" s="925"/>
      <c r="I17" s="925">
        <v>159418536.16999996</v>
      </c>
      <c r="J17" s="925">
        <v>317163.28000000003</v>
      </c>
      <c r="K17" s="924">
        <v>193523792.34999999</v>
      </c>
      <c r="L17" s="6"/>
    </row>
    <row r="18" spans="1:12">
      <c r="A18" s="930">
        <f t="shared" si="0"/>
        <v>9</v>
      </c>
      <c r="B18" s="956" t="s">
        <v>639</v>
      </c>
      <c r="C18" s="925">
        <v>4968412054.8100004</v>
      </c>
      <c r="D18" s="925">
        <v>454183592.98000002</v>
      </c>
      <c r="E18" s="925">
        <v>1618864215.52</v>
      </c>
      <c r="F18" s="925"/>
      <c r="G18" s="925">
        <v>2366052224.5700006</v>
      </c>
      <c r="H18" s="925"/>
      <c r="I18" s="925">
        <v>160345204.18999997</v>
      </c>
      <c r="J18" s="925">
        <v>317163.28000000003</v>
      </c>
      <c r="K18" s="924">
        <v>196284085.80000001</v>
      </c>
      <c r="L18" s="6"/>
    </row>
    <row r="19" spans="1:12">
      <c r="A19" s="930">
        <f t="shared" si="0"/>
        <v>10</v>
      </c>
      <c r="B19" s="956" t="s">
        <v>193</v>
      </c>
      <c r="C19" s="925">
        <v>4972395010.0100002</v>
      </c>
      <c r="D19" s="925">
        <v>454183592.98000002</v>
      </c>
      <c r="E19" s="925">
        <v>1614395877.02</v>
      </c>
      <c r="F19" s="925"/>
      <c r="G19" s="925">
        <v>2373103733.8700004</v>
      </c>
      <c r="H19" s="925"/>
      <c r="I19" s="925">
        <v>160842193.07999992</v>
      </c>
      <c r="J19" s="925">
        <v>317163.28000000003</v>
      </c>
      <c r="K19" s="924">
        <v>194173925.38999999</v>
      </c>
      <c r="L19" s="6"/>
    </row>
    <row r="20" spans="1:12">
      <c r="A20" s="930">
        <f t="shared" si="0"/>
        <v>11</v>
      </c>
      <c r="B20" s="956" t="s">
        <v>562</v>
      </c>
      <c r="C20" s="925">
        <v>5023168796.5900002</v>
      </c>
      <c r="D20" s="925">
        <v>454183592.98000002</v>
      </c>
      <c r="E20" s="925">
        <v>1622004359.2499998</v>
      </c>
      <c r="F20" s="925"/>
      <c r="G20" s="925">
        <v>2385200833.6100001</v>
      </c>
      <c r="H20" s="925"/>
      <c r="I20" s="925">
        <v>156970250.47999999</v>
      </c>
      <c r="J20" s="925">
        <v>317163.28000000003</v>
      </c>
      <c r="K20" s="924">
        <v>197116947.30000001</v>
      </c>
      <c r="L20" s="6"/>
    </row>
    <row r="21" spans="1:12">
      <c r="A21" s="930">
        <f t="shared" si="0"/>
        <v>12</v>
      </c>
      <c r="B21" s="956" t="s">
        <v>563</v>
      </c>
      <c r="C21" s="925">
        <v>5047156090.0600004</v>
      </c>
      <c r="D21" s="925">
        <v>454183592.98000002</v>
      </c>
      <c r="E21" s="925">
        <v>1626038387.4299996</v>
      </c>
      <c r="F21" s="925"/>
      <c r="G21" s="925">
        <v>2396666931.1100001</v>
      </c>
      <c r="H21" s="925"/>
      <c r="I21" s="925">
        <v>157631477.03999999</v>
      </c>
      <c r="J21" s="925">
        <v>317163.28000000003</v>
      </c>
      <c r="K21" s="924">
        <v>199799378.44999999</v>
      </c>
      <c r="L21" s="6"/>
    </row>
    <row r="22" spans="1:12">
      <c r="A22" s="928">
        <f t="shared" si="0"/>
        <v>13</v>
      </c>
      <c r="B22" s="955" t="s">
        <v>638</v>
      </c>
      <c r="C22" s="925">
        <v>5069911041</v>
      </c>
      <c r="D22" s="925">
        <v>454183592.98000002</v>
      </c>
      <c r="E22" s="925">
        <v>1641557289.8399999</v>
      </c>
      <c r="F22" s="925"/>
      <c r="G22" s="925">
        <v>2437415019</v>
      </c>
      <c r="H22" s="925"/>
      <c r="I22" s="925">
        <v>159854810.82000002</v>
      </c>
      <c r="J22" s="925">
        <v>317162</v>
      </c>
      <c r="K22" s="954">
        <v>234433340.80000001</v>
      </c>
      <c r="L22" s="6"/>
    </row>
    <row r="23" spans="1:12" ht="13" thickBot="1">
      <c r="A23" s="1206">
        <f t="shared" si="0"/>
        <v>14</v>
      </c>
      <c r="B23" s="1207" t="s">
        <v>872</v>
      </c>
      <c r="C23" s="951">
        <f>SUM(C10:C22)/13</f>
        <v>4942931722.1346149</v>
      </c>
      <c r="D23" s="951">
        <f>SUM(D10:D22)/13</f>
        <v>454124097.90923077</v>
      </c>
      <c r="E23" s="951">
        <f t="shared" ref="E23:K23" si="1">SUM(E10:E22)/13</f>
        <v>1603673168.29</v>
      </c>
      <c r="F23" s="951">
        <f t="shared" si="1"/>
        <v>0</v>
      </c>
      <c r="G23" s="951">
        <f t="shared" si="1"/>
        <v>2334813732.9007692</v>
      </c>
      <c r="H23" s="951">
        <f t="shared" si="1"/>
        <v>0</v>
      </c>
      <c r="I23" s="951">
        <f t="shared" si="1"/>
        <v>158475003.99076921</v>
      </c>
      <c r="J23" s="951">
        <f t="shared" si="1"/>
        <v>287149.22769230779</v>
      </c>
      <c r="K23" s="950">
        <f t="shared" si="1"/>
        <v>197382107.17307693</v>
      </c>
      <c r="L23" s="6"/>
    </row>
    <row r="24" spans="1:12" ht="13" thickTop="1">
      <c r="A24" s="919"/>
      <c r="B24" s="918"/>
      <c r="C24" s="949"/>
      <c r="D24" s="916"/>
      <c r="E24" s="916"/>
      <c r="F24" s="916"/>
      <c r="G24" s="949"/>
      <c r="H24" s="949"/>
      <c r="I24" s="949"/>
      <c r="J24" s="966"/>
      <c r="K24" s="966"/>
      <c r="L24" s="6"/>
    </row>
    <row r="25" spans="1:12" ht="12.75" customHeight="1">
      <c r="A25" s="919"/>
      <c r="B25" s="965"/>
      <c r="C25" s="1504" t="s">
        <v>663</v>
      </c>
      <c r="D25" s="1505"/>
      <c r="E25" s="1505"/>
      <c r="F25" s="1505"/>
      <c r="G25" s="1505"/>
      <c r="H25" s="1505"/>
      <c r="I25" s="1505"/>
      <c r="J25" s="1505"/>
      <c r="K25" s="1506"/>
      <c r="L25" s="6"/>
    </row>
    <row r="26" spans="1:12" s="962" customFormat="1" ht="25.5">
      <c r="A26" s="964" t="s">
        <v>654</v>
      </c>
      <c r="B26" s="963" t="s">
        <v>653</v>
      </c>
      <c r="C26" s="941" t="s">
        <v>230</v>
      </c>
      <c r="D26" s="941" t="s">
        <v>662</v>
      </c>
      <c r="E26" s="941" t="s">
        <v>116</v>
      </c>
      <c r="F26" s="941" t="s">
        <v>661</v>
      </c>
      <c r="G26" s="941" t="s">
        <v>439</v>
      </c>
      <c r="H26" s="941" t="s">
        <v>660</v>
      </c>
      <c r="I26" s="941" t="s">
        <v>335</v>
      </c>
      <c r="J26" s="941" t="s">
        <v>659</v>
      </c>
      <c r="K26" s="940" t="s">
        <v>658</v>
      </c>
      <c r="L26" s="6"/>
    </row>
    <row r="27" spans="1:12" s="933" customFormat="1" ht="13">
      <c r="A27" s="930"/>
      <c r="B27" s="938" t="s">
        <v>648</v>
      </c>
      <c r="C27" s="937" t="s">
        <v>647</v>
      </c>
      <c r="D27" s="937" t="s">
        <v>646</v>
      </c>
      <c r="E27" s="937" t="s">
        <v>645</v>
      </c>
      <c r="F27" s="937" t="s">
        <v>644</v>
      </c>
      <c r="G27" s="937" t="s">
        <v>666</v>
      </c>
      <c r="H27" s="937" t="s">
        <v>667</v>
      </c>
      <c r="I27" s="937" t="s">
        <v>657</v>
      </c>
      <c r="J27" s="937" t="s">
        <v>656</v>
      </c>
      <c r="K27" s="961" t="s">
        <v>655</v>
      </c>
      <c r="L27" s="6"/>
    </row>
    <row r="28" spans="1:12" s="933" customFormat="1" ht="44.25" customHeight="1">
      <c r="A28" s="930"/>
      <c r="B28" s="938" t="s">
        <v>643</v>
      </c>
      <c r="C28" s="960" t="s">
        <v>380</v>
      </c>
      <c r="D28" s="960" t="s">
        <v>671</v>
      </c>
      <c r="E28" s="960" t="s">
        <v>381</v>
      </c>
      <c r="F28" s="960" t="s">
        <v>672</v>
      </c>
      <c r="G28" s="960" t="s">
        <v>508</v>
      </c>
      <c r="H28" s="960" t="s">
        <v>673</v>
      </c>
      <c r="I28" s="960" t="s">
        <v>482</v>
      </c>
      <c r="J28" s="960" t="s">
        <v>674</v>
      </c>
      <c r="K28" s="959" t="s">
        <v>509</v>
      </c>
      <c r="L28" s="6"/>
    </row>
    <row r="29" spans="1:12">
      <c r="A29" s="930">
        <f>+A23+1</f>
        <v>15</v>
      </c>
      <c r="B29" s="957" t="s">
        <v>641</v>
      </c>
      <c r="C29" s="925">
        <v>1755817408</v>
      </c>
      <c r="D29" s="925">
        <v>110498629</v>
      </c>
      <c r="E29" s="925">
        <v>498470086</v>
      </c>
      <c r="F29" s="925">
        <v>0</v>
      </c>
      <c r="G29" s="925">
        <v>634540221</v>
      </c>
      <c r="H29" s="925">
        <v>0</v>
      </c>
      <c r="I29" s="925">
        <v>32600155</v>
      </c>
      <c r="J29" s="925">
        <v>160658</v>
      </c>
      <c r="K29" s="958">
        <v>146748989</v>
      </c>
      <c r="L29" s="6"/>
    </row>
    <row r="30" spans="1:12">
      <c r="A30" s="930">
        <f>+A29+1</f>
        <v>16</v>
      </c>
      <c r="B30" s="957" t="s">
        <v>186</v>
      </c>
      <c r="C30" s="925">
        <v>1771413253.3000002</v>
      </c>
      <c r="D30" s="925">
        <v>112259482.34999999</v>
      </c>
      <c r="E30" s="925">
        <v>496648898.31999993</v>
      </c>
      <c r="F30" s="925"/>
      <c r="G30" s="925">
        <v>637049287.91999996</v>
      </c>
      <c r="H30" s="925"/>
      <c r="I30" s="925">
        <v>32650933.899999999</v>
      </c>
      <c r="J30" s="925">
        <v>161034.49</v>
      </c>
      <c r="K30" s="924">
        <v>149651907.55000001</v>
      </c>
      <c r="L30" s="6"/>
    </row>
    <row r="31" spans="1:12">
      <c r="A31" s="930">
        <f t="shared" ref="A31:A42" si="2">+A30+1</f>
        <v>17</v>
      </c>
      <c r="B31" s="956" t="s">
        <v>561</v>
      </c>
      <c r="C31" s="925">
        <v>1787639041.1500001</v>
      </c>
      <c r="D31" s="925">
        <v>114020337.88000001</v>
      </c>
      <c r="E31" s="925">
        <v>498525908.90000004</v>
      </c>
      <c r="F31" s="925"/>
      <c r="G31" s="925">
        <v>641138972.18999994</v>
      </c>
      <c r="H31" s="925"/>
      <c r="I31" s="925">
        <v>33030021.670000009</v>
      </c>
      <c r="J31" s="925">
        <v>161410.55000000002</v>
      </c>
      <c r="K31" s="924">
        <v>152853401.16999999</v>
      </c>
      <c r="L31" s="6"/>
    </row>
    <row r="32" spans="1:12">
      <c r="A32" s="930">
        <f t="shared" si="2"/>
        <v>18</v>
      </c>
      <c r="B32" s="956" t="s">
        <v>640</v>
      </c>
      <c r="C32" s="925">
        <v>1800582053.02</v>
      </c>
      <c r="D32" s="925">
        <v>115781191.05</v>
      </c>
      <c r="E32" s="925">
        <v>497299976.65999991</v>
      </c>
      <c r="F32" s="925"/>
      <c r="G32" s="925">
        <v>643659436.90999985</v>
      </c>
      <c r="H32" s="925"/>
      <c r="I32" s="925">
        <v>33396326.02</v>
      </c>
      <c r="J32" s="925">
        <v>161786.63</v>
      </c>
      <c r="K32" s="924">
        <v>151938967</v>
      </c>
      <c r="L32" s="6"/>
    </row>
    <row r="33" spans="1:12">
      <c r="A33" s="930">
        <f t="shared" si="2"/>
        <v>19</v>
      </c>
      <c r="B33" s="956" t="s">
        <v>188</v>
      </c>
      <c r="C33" s="925">
        <v>1814904565.1300001</v>
      </c>
      <c r="D33" s="925">
        <v>117744838.40000001</v>
      </c>
      <c r="E33" s="925">
        <v>497125087.04999995</v>
      </c>
      <c r="F33" s="925"/>
      <c r="G33" s="925">
        <v>647326865.33999979</v>
      </c>
      <c r="H33" s="925"/>
      <c r="I33" s="925">
        <v>32668143.839999996</v>
      </c>
      <c r="J33" s="925">
        <v>162162.68</v>
      </c>
      <c r="K33" s="924">
        <v>154877845.36000001</v>
      </c>
      <c r="L33" s="6"/>
    </row>
    <row r="34" spans="1:12">
      <c r="A34" s="930">
        <f t="shared" si="2"/>
        <v>20</v>
      </c>
      <c r="B34" s="956" t="s">
        <v>189</v>
      </c>
      <c r="C34" s="925">
        <v>1805639780.8099997</v>
      </c>
      <c r="D34" s="925">
        <v>119505403.57000001</v>
      </c>
      <c r="E34" s="925">
        <v>493795176.31</v>
      </c>
      <c r="F34" s="925"/>
      <c r="G34" s="925">
        <v>651461965.79999995</v>
      </c>
      <c r="H34" s="925"/>
      <c r="I34" s="925">
        <v>32775560.889999989</v>
      </c>
      <c r="J34" s="925">
        <v>162538.76999999999</v>
      </c>
      <c r="K34" s="924">
        <v>158014730.66</v>
      </c>
      <c r="L34" s="6"/>
    </row>
    <row r="35" spans="1:12">
      <c r="A35" s="930">
        <f t="shared" si="2"/>
        <v>21</v>
      </c>
      <c r="B35" s="956" t="s">
        <v>383</v>
      </c>
      <c r="C35" s="925">
        <v>1810008134.8</v>
      </c>
      <c r="D35" s="925">
        <v>121265966.26000002</v>
      </c>
      <c r="E35" s="925">
        <v>490493492.68000001</v>
      </c>
      <c r="F35" s="925"/>
      <c r="G35" s="925">
        <v>655117608.7099998</v>
      </c>
      <c r="H35" s="925"/>
      <c r="I35" s="925">
        <v>32589470.949999996</v>
      </c>
      <c r="J35" s="925">
        <v>163183.14000000001</v>
      </c>
      <c r="K35" s="924">
        <v>158076682.25999999</v>
      </c>
      <c r="L35" s="6"/>
    </row>
    <row r="36" spans="1:12">
      <c r="A36" s="930">
        <f t="shared" si="2"/>
        <v>22</v>
      </c>
      <c r="B36" s="956" t="s">
        <v>190</v>
      </c>
      <c r="C36" s="925">
        <v>1825262750.0799999</v>
      </c>
      <c r="D36" s="925">
        <v>123026530.87</v>
      </c>
      <c r="E36" s="925">
        <v>490037505.31</v>
      </c>
      <c r="F36" s="925"/>
      <c r="G36" s="925">
        <v>657886237.80000007</v>
      </c>
      <c r="H36" s="925"/>
      <c r="I36" s="925">
        <v>32642239.149999999</v>
      </c>
      <c r="J36" s="925">
        <v>163827.53</v>
      </c>
      <c r="K36" s="924">
        <v>160962900.65000001</v>
      </c>
      <c r="L36" s="6"/>
    </row>
    <row r="37" spans="1:12">
      <c r="A37" s="930">
        <f t="shared" si="2"/>
        <v>23</v>
      </c>
      <c r="B37" s="956" t="s">
        <v>639</v>
      </c>
      <c r="C37" s="925">
        <v>1841830329.9300001</v>
      </c>
      <c r="D37" s="925">
        <v>124787093.84999998</v>
      </c>
      <c r="E37" s="925">
        <v>489560251.59999985</v>
      </c>
      <c r="F37" s="925"/>
      <c r="G37" s="925">
        <v>662579808.03999996</v>
      </c>
      <c r="H37" s="925"/>
      <c r="I37" s="925">
        <v>33064470.419999998</v>
      </c>
      <c r="J37" s="925">
        <v>164471.92000000001</v>
      </c>
      <c r="K37" s="924">
        <v>164150300.81999999</v>
      </c>
      <c r="L37" s="6"/>
    </row>
    <row r="38" spans="1:12">
      <c r="A38" s="930">
        <f t="shared" si="2"/>
        <v>24</v>
      </c>
      <c r="B38" s="956" t="s">
        <v>193</v>
      </c>
      <c r="C38" s="925">
        <v>1858437872.3800001</v>
      </c>
      <c r="D38" s="925">
        <v>126547658.41999999</v>
      </c>
      <c r="E38" s="925">
        <v>480894610.51000005</v>
      </c>
      <c r="F38" s="925"/>
      <c r="G38" s="925">
        <v>663900067.99999988</v>
      </c>
      <c r="H38" s="925"/>
      <c r="I38" s="925">
        <v>35418974.279999994</v>
      </c>
      <c r="J38" s="925">
        <v>165116.29</v>
      </c>
      <c r="K38" s="924">
        <v>160010366.58000001</v>
      </c>
      <c r="L38" s="6"/>
    </row>
    <row r="39" spans="1:12">
      <c r="A39" s="930">
        <f t="shared" si="2"/>
        <v>25</v>
      </c>
      <c r="B39" s="956" t="s">
        <v>562</v>
      </c>
      <c r="C39" s="925">
        <v>1845262813.77</v>
      </c>
      <c r="D39" s="925">
        <v>128308223.20999999</v>
      </c>
      <c r="E39" s="925">
        <v>477054785.8900001</v>
      </c>
      <c r="F39" s="925"/>
      <c r="G39" s="925">
        <v>667014464.19999981</v>
      </c>
      <c r="H39" s="925"/>
      <c r="I39" s="925">
        <v>30771000.310000006</v>
      </c>
      <c r="J39" s="925">
        <v>165760.66</v>
      </c>
      <c r="K39" s="924">
        <v>163040618.72</v>
      </c>
      <c r="L39" s="6"/>
    </row>
    <row r="40" spans="1:12">
      <c r="A40" s="930">
        <f t="shared" si="2"/>
        <v>26</v>
      </c>
      <c r="B40" s="956" t="s">
        <v>563</v>
      </c>
      <c r="C40" s="925">
        <v>1855259669.0700002</v>
      </c>
      <c r="D40" s="925">
        <v>130068787.13000001</v>
      </c>
      <c r="E40" s="925">
        <v>476174298.5</v>
      </c>
      <c r="F40" s="925"/>
      <c r="G40" s="925">
        <v>671437450.66999996</v>
      </c>
      <c r="H40" s="925"/>
      <c r="I40" s="925">
        <v>30027302.539999999</v>
      </c>
      <c r="J40" s="925">
        <v>166405.05000000002</v>
      </c>
      <c r="K40" s="924">
        <v>166273851.49000001</v>
      </c>
      <c r="L40" s="6"/>
    </row>
    <row r="41" spans="1:12">
      <c r="A41" s="928">
        <f t="shared" si="2"/>
        <v>27</v>
      </c>
      <c r="B41" s="955" t="s">
        <v>638</v>
      </c>
      <c r="C41" s="925">
        <v>1860871820.74</v>
      </c>
      <c r="D41" s="925">
        <v>131829352.10000001</v>
      </c>
      <c r="E41" s="925">
        <v>479263345</v>
      </c>
      <c r="F41" s="925"/>
      <c r="G41" s="925">
        <v>675919859.17999983</v>
      </c>
      <c r="H41" s="925"/>
      <c r="I41" s="925">
        <v>29993637.530000001</v>
      </c>
      <c r="J41" s="925">
        <v>167049.42000000001</v>
      </c>
      <c r="K41" s="954">
        <v>164159421.94999999</v>
      </c>
      <c r="L41" s="6"/>
    </row>
    <row r="42" spans="1:12" ht="13" thickBot="1">
      <c r="A42" s="953">
        <f t="shared" si="2"/>
        <v>28</v>
      </c>
      <c r="B42" s="1207" t="s">
        <v>872</v>
      </c>
      <c r="C42" s="951">
        <f>SUM(C29:C41)/13</f>
        <v>1817917653.2446158</v>
      </c>
      <c r="D42" s="951">
        <f t="shared" ref="D42:K42" si="3">SUM(D29:D41)/13</f>
        <v>121203345.69923078</v>
      </c>
      <c r="E42" s="951">
        <f t="shared" si="3"/>
        <v>489641801.74846148</v>
      </c>
      <c r="F42" s="951">
        <f t="shared" si="3"/>
        <v>0</v>
      </c>
      <c r="G42" s="951">
        <f t="shared" si="3"/>
        <v>654540941.98153853</v>
      </c>
      <c r="H42" s="951">
        <f t="shared" si="3"/>
        <v>0</v>
      </c>
      <c r="I42" s="951">
        <f t="shared" si="3"/>
        <v>32432941.269230768</v>
      </c>
      <c r="J42" s="951">
        <f t="shared" si="3"/>
        <v>163492.70230769232</v>
      </c>
      <c r="K42" s="950">
        <f t="shared" si="3"/>
        <v>157750767.93923077</v>
      </c>
      <c r="L42" s="6"/>
    </row>
    <row r="43" spans="1:12" ht="13" thickTop="1">
      <c r="A43" s="919"/>
      <c r="B43" s="918"/>
      <c r="C43" s="949"/>
      <c r="D43" s="916"/>
      <c r="E43" s="916"/>
      <c r="F43" s="916"/>
      <c r="G43" s="949"/>
      <c r="H43"/>
      <c r="I43"/>
      <c r="J43"/>
      <c r="K43"/>
      <c r="L43" s="6"/>
    </row>
    <row r="44" spans="1:12">
      <c r="A44" s="919"/>
      <c r="B44" s="918"/>
      <c r="C44" s="949"/>
      <c r="D44" s="916"/>
      <c r="E44" s="916"/>
      <c r="F44" s="916"/>
      <c r="G44" s="949"/>
      <c r="H44" s="949"/>
      <c r="I44" s="949"/>
    </row>
    <row r="45" spans="1:12" ht="13">
      <c r="A45" s="948"/>
      <c r="B45" s="947"/>
      <c r="C45" s="946"/>
      <c r="D45" s="945"/>
      <c r="E45" s="945"/>
      <c r="F45" s="944"/>
      <c r="G45"/>
      <c r="H45"/>
      <c r="I45"/>
      <c r="J45"/>
      <c r="K45"/>
      <c r="L45" s="6"/>
    </row>
    <row r="46" spans="1:12" ht="72" customHeight="1">
      <c r="A46" s="943" t="s">
        <v>654</v>
      </c>
      <c r="B46" s="937" t="s">
        <v>653</v>
      </c>
      <c r="C46" s="942" t="s">
        <v>652</v>
      </c>
      <c r="D46" s="941" t="s">
        <v>651</v>
      </c>
      <c r="E46" s="941" t="s">
        <v>650</v>
      </c>
      <c r="F46" s="940" t="s">
        <v>649</v>
      </c>
      <c r="G46"/>
      <c r="H46"/>
      <c r="I46"/>
      <c r="J46"/>
      <c r="K46"/>
      <c r="L46" s="6"/>
    </row>
    <row r="47" spans="1:12" s="933" customFormat="1" ht="13">
      <c r="A47" s="930"/>
      <c r="B47" s="937" t="s">
        <v>648</v>
      </c>
      <c r="C47" s="939" t="s">
        <v>647</v>
      </c>
      <c r="D47" s="937" t="s">
        <v>646</v>
      </c>
      <c r="E47" s="937" t="s">
        <v>645</v>
      </c>
      <c r="F47" s="938" t="s">
        <v>644</v>
      </c>
      <c r="G47"/>
      <c r="H47"/>
      <c r="I47"/>
      <c r="J47"/>
      <c r="K47"/>
      <c r="L47" s="6"/>
    </row>
    <row r="48" spans="1:12" s="933" customFormat="1" ht="63">
      <c r="A48" s="930"/>
      <c r="B48" s="937" t="s">
        <v>643</v>
      </c>
      <c r="C48" s="936" t="s">
        <v>675</v>
      </c>
      <c r="D48" s="936" t="s">
        <v>676</v>
      </c>
      <c r="E48" s="935" t="s">
        <v>642</v>
      </c>
      <c r="F48" s="934" t="s">
        <v>642</v>
      </c>
      <c r="G48"/>
      <c r="H48"/>
      <c r="I48"/>
      <c r="J48"/>
      <c r="K48"/>
      <c r="L48" s="6"/>
    </row>
    <row r="49" spans="1:12">
      <c r="A49" s="930">
        <f>+A42+1</f>
        <v>29</v>
      </c>
      <c r="B49" s="931" t="s">
        <v>641</v>
      </c>
      <c r="C49" s="932">
        <v>58640701</v>
      </c>
      <c r="D49" s="925">
        <v>8743322</v>
      </c>
      <c r="E49" s="925">
        <v>0</v>
      </c>
      <c r="F49" s="924">
        <v>0</v>
      </c>
      <c r="G49"/>
      <c r="H49"/>
      <c r="I49"/>
      <c r="J49"/>
      <c r="K49"/>
      <c r="L49" s="6"/>
    </row>
    <row r="50" spans="1:12">
      <c r="A50" s="930">
        <f>+A49+1</f>
        <v>30</v>
      </c>
      <c r="B50" s="931" t="s">
        <v>186</v>
      </c>
      <c r="C50" s="926">
        <v>58640700.829999998</v>
      </c>
      <c r="D50" s="925">
        <v>8778102.6500000004</v>
      </c>
      <c r="E50" s="925">
        <v>0</v>
      </c>
      <c r="F50" s="924">
        <v>0</v>
      </c>
      <c r="G50"/>
      <c r="H50"/>
      <c r="I50"/>
      <c r="J50"/>
      <c r="K50"/>
      <c r="L50" s="6"/>
    </row>
    <row r="51" spans="1:12">
      <c r="A51" s="930">
        <f t="shared" ref="A51:A62" si="4">+A50+1</f>
        <v>31</v>
      </c>
      <c r="B51" s="929" t="s">
        <v>561</v>
      </c>
      <c r="C51" s="926">
        <v>58640700.829999998</v>
      </c>
      <c r="D51" s="925">
        <v>8868330.0899999999</v>
      </c>
      <c r="E51" s="925">
        <v>0</v>
      </c>
      <c r="F51" s="924">
        <v>0</v>
      </c>
      <c r="G51"/>
      <c r="H51"/>
      <c r="I51"/>
      <c r="J51"/>
      <c r="K51"/>
      <c r="L51" s="6"/>
    </row>
    <row r="52" spans="1:12">
      <c r="A52" s="930">
        <f t="shared" si="4"/>
        <v>32</v>
      </c>
      <c r="B52" s="929" t="s">
        <v>640</v>
      </c>
      <c r="C52" s="926">
        <v>58640700.829999998</v>
      </c>
      <c r="D52" s="925">
        <v>8958557.879999999</v>
      </c>
      <c r="E52" s="925">
        <v>0</v>
      </c>
      <c r="F52" s="924">
        <v>0</v>
      </c>
      <c r="G52"/>
      <c r="H52"/>
      <c r="I52"/>
      <c r="J52"/>
      <c r="K52"/>
      <c r="L52" s="6"/>
    </row>
    <row r="53" spans="1:12">
      <c r="A53" s="930">
        <f t="shared" si="4"/>
        <v>33</v>
      </c>
      <c r="B53" s="929" t="s">
        <v>188</v>
      </c>
      <c r="C53" s="926">
        <v>58640700.829999998</v>
      </c>
      <c r="D53" s="925">
        <v>9048785.4800000004</v>
      </c>
      <c r="E53" s="925">
        <v>0</v>
      </c>
      <c r="F53" s="924">
        <v>0</v>
      </c>
      <c r="G53"/>
      <c r="H53"/>
      <c r="I53"/>
      <c r="J53"/>
      <c r="K53"/>
      <c r="L53" s="6"/>
    </row>
    <row r="54" spans="1:12">
      <c r="A54" s="930">
        <f t="shared" si="4"/>
        <v>34</v>
      </c>
      <c r="B54" s="929" t="s">
        <v>189</v>
      </c>
      <c r="C54" s="926">
        <v>58640700.829999998</v>
      </c>
      <c r="D54" s="925">
        <v>9139012.9899999984</v>
      </c>
      <c r="E54" s="925">
        <v>0</v>
      </c>
      <c r="F54" s="924">
        <v>0</v>
      </c>
      <c r="G54"/>
      <c r="H54"/>
      <c r="I54"/>
      <c r="J54"/>
      <c r="K54"/>
      <c r="L54" s="6"/>
    </row>
    <row r="55" spans="1:12">
      <c r="A55" s="930">
        <f t="shared" si="4"/>
        <v>35</v>
      </c>
      <c r="B55" s="929" t="s">
        <v>383</v>
      </c>
      <c r="C55" s="926">
        <v>58640700.829999998</v>
      </c>
      <c r="D55" s="925">
        <v>9229240.540000001</v>
      </c>
      <c r="E55" s="925">
        <v>0</v>
      </c>
      <c r="F55" s="924">
        <v>0</v>
      </c>
      <c r="G55"/>
      <c r="H55"/>
      <c r="I55"/>
      <c r="J55"/>
      <c r="K55"/>
      <c r="L55" s="6"/>
    </row>
    <row r="56" spans="1:12">
      <c r="A56" s="930">
        <f t="shared" si="4"/>
        <v>36</v>
      </c>
      <c r="B56" s="929" t="s">
        <v>190</v>
      </c>
      <c r="C56" s="926">
        <v>58640700.830000006</v>
      </c>
      <c r="D56" s="925">
        <v>9319468.0800000001</v>
      </c>
      <c r="E56" s="925">
        <v>0</v>
      </c>
      <c r="F56" s="924">
        <v>0</v>
      </c>
      <c r="G56"/>
      <c r="H56"/>
      <c r="I56"/>
      <c r="J56"/>
      <c r="K56"/>
      <c r="L56" s="6"/>
    </row>
    <row r="57" spans="1:12">
      <c r="A57" s="930">
        <f t="shared" si="4"/>
        <v>37</v>
      </c>
      <c r="B57" s="929" t="s">
        <v>639</v>
      </c>
      <c r="C57" s="926">
        <v>58640700.829999998</v>
      </c>
      <c r="D57" s="925">
        <v>9409695.7000000011</v>
      </c>
      <c r="E57" s="925">
        <v>0</v>
      </c>
      <c r="F57" s="924">
        <v>0</v>
      </c>
      <c r="G57"/>
      <c r="H57"/>
      <c r="I57"/>
      <c r="J57"/>
      <c r="K57"/>
      <c r="L57" s="6"/>
    </row>
    <row r="58" spans="1:12">
      <c r="A58" s="930">
        <f t="shared" si="4"/>
        <v>38</v>
      </c>
      <c r="B58" s="929" t="s">
        <v>193</v>
      </c>
      <c r="C58" s="926">
        <v>58640700.830000006</v>
      </c>
      <c r="D58" s="925">
        <v>9499923.2200000007</v>
      </c>
      <c r="E58" s="925">
        <v>0</v>
      </c>
      <c r="F58" s="924">
        <v>0</v>
      </c>
      <c r="G58"/>
      <c r="H58"/>
      <c r="I58"/>
      <c r="J58"/>
      <c r="K58"/>
      <c r="L58" s="6"/>
    </row>
    <row r="59" spans="1:12">
      <c r="A59" s="930">
        <f t="shared" si="4"/>
        <v>39</v>
      </c>
      <c r="B59" s="929" t="s">
        <v>562</v>
      </c>
      <c r="C59" s="926">
        <v>58640700.830000006</v>
      </c>
      <c r="D59" s="925">
        <v>9590150.7800000012</v>
      </c>
      <c r="E59" s="925">
        <v>0</v>
      </c>
      <c r="F59" s="924">
        <v>0</v>
      </c>
      <c r="G59"/>
      <c r="H59"/>
      <c r="I59"/>
      <c r="J59"/>
      <c r="K59"/>
      <c r="L59" s="6"/>
    </row>
    <row r="60" spans="1:12">
      <c r="A60" s="930">
        <f t="shared" si="4"/>
        <v>40</v>
      </c>
      <c r="B60" s="929" t="s">
        <v>563</v>
      </c>
      <c r="C60" s="926">
        <v>58640700.830000006</v>
      </c>
      <c r="D60" s="925">
        <v>9680378.5399999991</v>
      </c>
      <c r="E60" s="925">
        <v>0</v>
      </c>
      <c r="F60" s="924">
        <v>0</v>
      </c>
      <c r="G60"/>
      <c r="H60"/>
      <c r="I60"/>
      <c r="J60"/>
      <c r="K60"/>
      <c r="L60" s="6"/>
    </row>
    <row r="61" spans="1:12">
      <c r="A61" s="928">
        <f t="shared" si="4"/>
        <v>41</v>
      </c>
      <c r="B61" s="927" t="s">
        <v>638</v>
      </c>
      <c r="C61" s="926">
        <v>58627793.610000007</v>
      </c>
      <c r="D61" s="925">
        <v>9719268.9399999995</v>
      </c>
      <c r="E61" s="925">
        <v>0</v>
      </c>
      <c r="F61" s="924">
        <v>0</v>
      </c>
      <c r="G61"/>
      <c r="H61"/>
      <c r="I61"/>
      <c r="J61"/>
      <c r="K61"/>
      <c r="L61" s="6"/>
    </row>
    <row r="62" spans="1:12" ht="13" thickBot="1">
      <c r="A62" s="923">
        <f t="shared" si="4"/>
        <v>42</v>
      </c>
      <c r="B62" s="1207" t="s">
        <v>872</v>
      </c>
      <c r="C62" s="951">
        <f>SUM(C49:C61)/13</f>
        <v>58639707.980000004</v>
      </c>
      <c r="D62" s="921">
        <f>SUM(D49:D61)/13</f>
        <v>9229556.6838461533</v>
      </c>
      <c r="E62" s="921">
        <f>SUM(E49:E61)/13</f>
        <v>0</v>
      </c>
      <c r="F62" s="920">
        <f>SUM(F49:F61)/13</f>
        <v>0</v>
      </c>
      <c r="G62"/>
      <c r="H62"/>
      <c r="I62"/>
      <c r="J62"/>
      <c r="K62"/>
      <c r="L62" s="6"/>
    </row>
    <row r="63" spans="1:12" ht="13" thickTop="1">
      <c r="A63" s="919"/>
      <c r="B63" s="918"/>
      <c r="G63"/>
      <c r="H63"/>
      <c r="I63"/>
      <c r="J63"/>
      <c r="K63"/>
    </row>
    <row r="64" spans="1:12">
      <c r="A64" s="919">
        <v>43</v>
      </c>
      <c r="B64" s="918" t="s">
        <v>637</v>
      </c>
      <c r="D64" s="917">
        <f>+E42-D62</f>
        <v>480412245.06461531</v>
      </c>
      <c r="I64" s="916"/>
      <c r="K64" s="6"/>
    </row>
    <row r="65" spans="1:7" customFormat="1"/>
    <row r="66" spans="1:7" customFormat="1">
      <c r="A66" s="915"/>
      <c r="B66" s="285"/>
      <c r="C66" s="286"/>
      <c r="D66" s="287"/>
      <c r="E66" s="73"/>
      <c r="F66" s="73"/>
      <c r="G66" s="87"/>
    </row>
    <row r="67" spans="1:7" customFormat="1" ht="26">
      <c r="A67" s="974" t="s">
        <v>3</v>
      </c>
      <c r="B67" s="285"/>
      <c r="C67" s="971" t="s">
        <v>2</v>
      </c>
      <c r="D67" s="972" t="str">
        <f>"Balance @ December 31, "&amp;TCOS!L4&amp;""</f>
        <v>Balance @ December 31, 2019</v>
      </c>
      <c r="E67" s="973" t="str">
        <f>"Balance @ December 31, "&amp;TCOS!L4-1&amp;""</f>
        <v>Balance @ December 31, 2018</v>
      </c>
      <c r="F67" s="973" t="str">
        <f>"Average Balance for "&amp;TCOS!L4&amp;""</f>
        <v>Average Balance for 2019</v>
      </c>
      <c r="G67" s="87"/>
    </row>
    <row r="68" spans="1:7" customFormat="1" ht="13">
      <c r="A68" s="92"/>
      <c r="B68" s="937" t="s">
        <v>648</v>
      </c>
      <c r="C68" s="937" t="s">
        <v>647</v>
      </c>
      <c r="D68" s="937" t="s">
        <v>646</v>
      </c>
      <c r="E68" s="937" t="s">
        <v>645</v>
      </c>
      <c r="F68" s="937" t="s">
        <v>644</v>
      </c>
      <c r="G68" s="87"/>
    </row>
    <row r="69" spans="1:7" customFormat="1" ht="13">
      <c r="A69" s="288">
        <f>+A64+1</f>
        <v>44</v>
      </c>
      <c r="B69" s="92" t="s">
        <v>3</v>
      </c>
      <c r="C69" s="291" t="s">
        <v>375</v>
      </c>
      <c r="D69" s="851">
        <v>1444928</v>
      </c>
      <c r="E69" s="851">
        <v>1444928.14</v>
      </c>
      <c r="F69" s="137">
        <f>IF(E69="",0,AVERAGE(D69:E69))</f>
        <v>1444928.0699999998</v>
      </c>
    </row>
    <row r="70" spans="1:7" customFormat="1" ht="13">
      <c r="A70" s="284"/>
      <c r="B70" s="292"/>
      <c r="C70" s="292"/>
      <c r="F70" s="87"/>
    </row>
    <row r="71" spans="1:7" customFormat="1" ht="13">
      <c r="A71" s="283">
        <f>+A69+1</f>
        <v>45</v>
      </c>
      <c r="B71" s="92" t="s">
        <v>835</v>
      </c>
      <c r="C71" s="309" t="s">
        <v>68</v>
      </c>
      <c r="D71" s="851">
        <v>208360</v>
      </c>
      <c r="E71" s="851">
        <v>208360</v>
      </c>
      <c r="F71" s="137">
        <f>IF(E71="",0,AVERAGE(D71:E71))</f>
        <v>208360</v>
      </c>
    </row>
    <row r="72" spans="1:7" customFormat="1">
      <c r="A72" s="233"/>
      <c r="B72" s="233"/>
      <c r="C72" s="233"/>
      <c r="D72" s="233"/>
    </row>
    <row r="73" spans="1:7" customFormat="1" ht="13">
      <c r="A73" s="92" t="s">
        <v>237</v>
      </c>
      <c r="B73" s="233"/>
      <c r="C73" s="233"/>
      <c r="D73" s="233"/>
    </row>
    <row r="74" spans="1:7" customFormat="1">
      <c r="A74" s="289"/>
      <c r="B74" s="290" t="s">
        <v>361</v>
      </c>
      <c r="C74" s="290"/>
      <c r="D74" s="81"/>
      <c r="E74" s="81"/>
      <c r="F74" s="81"/>
    </row>
    <row r="75" spans="1:7" customFormat="1">
      <c r="A75" s="288">
        <f>+A71+1</f>
        <v>46</v>
      </c>
      <c r="B75" s="1262" t="s">
        <v>115</v>
      </c>
      <c r="C75" s="1122"/>
      <c r="D75" s="851"/>
      <c r="E75" s="851"/>
      <c r="F75" s="137">
        <f>IF(E75="",0,AVERAGE(D75:E75))</f>
        <v>0</v>
      </c>
    </row>
    <row r="76" spans="1:7" customFormat="1">
      <c r="A76" s="288">
        <f>+A75+1</f>
        <v>47</v>
      </c>
      <c r="B76" s="852"/>
      <c r="C76" s="852"/>
      <c r="D76" s="851"/>
      <c r="E76" s="851"/>
      <c r="F76" s="137">
        <f>IF(E76="",0,AVERAGE(D76:E76))</f>
        <v>0</v>
      </c>
    </row>
    <row r="77" spans="1:7" customFormat="1">
      <c r="A77" s="288">
        <f>+A76+1</f>
        <v>48</v>
      </c>
      <c r="B77" s="852"/>
      <c r="C77" s="852"/>
      <c r="D77" s="851"/>
      <c r="E77" s="851"/>
      <c r="F77" s="137">
        <f>IF(E77="",0,AVERAGE(D77:E77))</f>
        <v>0</v>
      </c>
    </row>
    <row r="78" spans="1:7" customFormat="1">
      <c r="A78" s="288">
        <f>+A77+1</f>
        <v>49</v>
      </c>
      <c r="B78" s="852"/>
      <c r="C78" s="852"/>
      <c r="D78" s="851"/>
      <c r="E78" s="851"/>
      <c r="F78" s="137">
        <f>IF(E78="",0,AVERAGE(D78:E78))</f>
        <v>0</v>
      </c>
    </row>
    <row r="79" spans="1:7" customFormat="1">
      <c r="A79" s="288">
        <f>+A78+1</f>
        <v>50</v>
      </c>
      <c r="B79" s="852"/>
      <c r="C79" s="852"/>
      <c r="D79" s="853"/>
      <c r="E79" s="853"/>
      <c r="F79" s="979">
        <f>IF(E79="",0,AVERAGE(D79:E79))</f>
        <v>0</v>
      </c>
    </row>
    <row r="80" spans="1:7" customFormat="1">
      <c r="A80" s="288">
        <f>+A79+1</f>
        <v>51</v>
      </c>
      <c r="B80" s="290" t="s">
        <v>498</v>
      </c>
      <c r="C80" s="290"/>
      <c r="D80" s="187">
        <f>SUM(D75:D79)</f>
        <v>0</v>
      </c>
      <c r="E80" s="187">
        <f>SUM(E75:E79)</f>
        <v>0</v>
      </c>
      <c r="F80" s="187">
        <f>SUM(F75:F79)</f>
        <v>0</v>
      </c>
    </row>
    <row r="81" spans="1:7" customFormat="1">
      <c r="A81" s="288"/>
      <c r="B81" s="290"/>
      <c r="C81" s="290"/>
      <c r="D81" s="187"/>
      <c r="E81" s="187"/>
      <c r="F81" s="187"/>
    </row>
    <row r="82" spans="1:7" customFormat="1" ht="18">
      <c r="A82" s="92" t="s">
        <v>760</v>
      </c>
      <c r="B82" s="912"/>
      <c r="C82" s="912"/>
      <c r="D82" s="912"/>
      <c r="E82" s="81"/>
      <c r="F82" s="81"/>
      <c r="G82" s="81"/>
    </row>
    <row r="83" spans="1:7" customFormat="1" ht="13">
      <c r="A83" s="78"/>
      <c r="B83" s="239"/>
      <c r="C83" s="242"/>
      <c r="D83" s="8"/>
      <c r="E83" s="81"/>
      <c r="F83" s="81"/>
      <c r="G83" s="81"/>
    </row>
    <row r="84" spans="1:7" customFormat="1" ht="13">
      <c r="A84" s="78">
        <f>+A80+1</f>
        <v>52</v>
      </c>
      <c r="B84" s="13" t="s">
        <v>168</v>
      </c>
      <c r="C84" s="13" t="s">
        <v>307</v>
      </c>
      <c r="D84" s="975"/>
      <c r="E84" s="21"/>
      <c r="F84" s="13"/>
      <c r="G84" s="21"/>
    </row>
    <row r="85" spans="1:7" customFormat="1" ht="14">
      <c r="A85" s="976" t="s">
        <v>753</v>
      </c>
      <c r="B85" s="1262" t="s">
        <v>878</v>
      </c>
      <c r="C85" s="1122">
        <v>2282003</v>
      </c>
      <c r="D85" s="851">
        <v>156089.37</v>
      </c>
      <c r="E85" s="851">
        <v>127795</v>
      </c>
      <c r="F85" s="980">
        <f>IF(E85="",0,AVERAGE(D85:E85))</f>
        <v>141942.185</v>
      </c>
      <c r="G85" s="21"/>
    </row>
    <row r="86" spans="1:7" customFormat="1" ht="14">
      <c r="A86" s="977" t="s">
        <v>754</v>
      </c>
      <c r="B86" s="851"/>
      <c r="C86" s="1122"/>
      <c r="D86" s="851"/>
      <c r="E86" s="851"/>
      <c r="F86" s="981">
        <f>IF(E86="",0,AVERAGE(D86:E86))</f>
        <v>0</v>
      </c>
      <c r="G86" s="21"/>
    </row>
    <row r="87" spans="1:7" customFormat="1" ht="18" customHeight="1">
      <c r="A87" s="978">
        <v>54</v>
      </c>
      <c r="B87" s="21"/>
      <c r="C87" s="5" t="s">
        <v>119</v>
      </c>
      <c r="D87" s="917">
        <f>SUM(D85:D86)</f>
        <v>156089.37</v>
      </c>
      <c r="E87" s="917">
        <f>SUM(E85:E86)</f>
        <v>127795</v>
      </c>
      <c r="F87" s="917">
        <f>SUM(F85:F86)</f>
        <v>141942.185</v>
      </c>
      <c r="G87" s="21"/>
    </row>
    <row r="88" spans="1:7" customFormat="1">
      <c r="A88" s="288"/>
      <c r="B88" s="290"/>
      <c r="C88" s="290"/>
      <c r="D88" s="290"/>
      <c r="G88" s="21"/>
    </row>
    <row r="89" spans="1:7">
      <c r="A89" s="970" t="s">
        <v>679</v>
      </c>
      <c r="B89" s="290"/>
      <c r="C89" s="290"/>
      <c r="D89" s="290"/>
      <c r="G89" s="975"/>
    </row>
    <row r="90" spans="1:7">
      <c r="A90" s="970" t="s">
        <v>678</v>
      </c>
      <c r="B90" s="290"/>
      <c r="C90" s="290"/>
      <c r="D90" s="290"/>
    </row>
    <row r="91" spans="1:7">
      <c r="A91"/>
      <c r="B91"/>
      <c r="C91"/>
      <c r="D91"/>
    </row>
    <row r="92" spans="1:7">
      <c r="A92"/>
      <c r="B92"/>
      <c r="C92"/>
      <c r="D92"/>
    </row>
    <row r="93" spans="1:7">
      <c r="A93"/>
      <c r="B93"/>
      <c r="C93"/>
      <c r="D93"/>
    </row>
    <row r="94" spans="1:7">
      <c r="A94"/>
      <c r="B94"/>
      <c r="C94"/>
      <c r="D94"/>
    </row>
    <row r="95" spans="1:7">
      <c r="A95"/>
      <c r="B95"/>
      <c r="C95"/>
      <c r="D95"/>
    </row>
  </sheetData>
  <mergeCells count="6">
    <mergeCell ref="A1:G1"/>
    <mergeCell ref="A2:G2"/>
    <mergeCell ref="A3:G3"/>
    <mergeCell ref="C6:K6"/>
    <mergeCell ref="C25:K25"/>
    <mergeCell ref="A4:G4"/>
  </mergeCells>
  <pageMargins left="0.7" right="0.7" top="0.75" bottom="0.75" header="0.3" footer="0.3"/>
  <pageSetup scale="46"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7"/>
  <sheetViews>
    <sheetView view="pageBreakPreview" topLeftCell="C13" zoomScaleNormal="75" zoomScaleSheetLayoutView="100" workbookViewId="0">
      <selection activeCell="F23" sqref="F23"/>
    </sheetView>
  </sheetViews>
  <sheetFormatPr defaultColWidth="9.1796875" defaultRowHeight="12.5"/>
  <cols>
    <col min="1" max="1" width="8.1796875" style="1209" customWidth="1"/>
    <col min="2" max="2" width="28.81640625" style="1209" customWidth="1"/>
    <col min="3" max="3" width="17.81640625" style="1209" customWidth="1"/>
    <col min="4" max="4" width="19.453125" style="1209" customWidth="1"/>
    <col min="5" max="6" width="19.81640625" style="1209" customWidth="1"/>
    <col min="7" max="7" width="21.453125" style="1209" customWidth="1"/>
    <col min="8" max="9" width="19.81640625" style="1209" customWidth="1"/>
    <col min="10" max="10" width="21.453125" style="1209" customWidth="1"/>
    <col min="11" max="11" width="18.1796875" style="1209" customWidth="1"/>
    <col min="12" max="12" width="22.453125" style="1209" customWidth="1"/>
    <col min="13" max="13" width="22.1796875" style="1209" customWidth="1"/>
    <col min="14" max="14" width="11.1796875" style="1209" customWidth="1"/>
    <col min="15" max="15" width="11.453125" style="1209" bestFit="1" customWidth="1"/>
    <col min="16" max="16" width="12.453125" style="1209" customWidth="1"/>
    <col min="17" max="17" width="9.1796875" style="1209"/>
    <col min="18" max="18" width="10.453125" style="1209" bestFit="1" customWidth="1"/>
    <col min="19" max="19" width="9.1796875" style="1209"/>
    <col min="20" max="20" width="12.81640625" style="1209" customWidth="1"/>
    <col min="21" max="21" width="13.54296875" style="1209" customWidth="1"/>
    <col min="22" max="16384" width="9.1796875" style="1209"/>
  </cols>
  <sheetData>
    <row r="1" spans="1:17" ht="15">
      <c r="A1" s="1208" t="s">
        <v>115</v>
      </c>
    </row>
    <row r="2" spans="1:17" ht="15">
      <c r="A2" s="1208" t="s">
        <v>115</v>
      </c>
    </row>
    <row r="3" spans="1:17" ht="15">
      <c r="A3" s="1578" t="s">
        <v>388</v>
      </c>
      <c r="B3" s="1578"/>
      <c r="C3" s="1578"/>
      <c r="D3" s="1578"/>
      <c r="E3" s="1578"/>
      <c r="F3" s="1578"/>
      <c r="G3" s="1578"/>
      <c r="H3" s="1578"/>
      <c r="I3" s="1578"/>
      <c r="J3" s="1578"/>
      <c r="K3" s="1578"/>
      <c r="L3" s="1210"/>
      <c r="M3" s="1210"/>
      <c r="N3" s="1211"/>
      <c r="O3" s="1211"/>
      <c r="P3" s="1211"/>
      <c r="Q3" s="1211"/>
    </row>
    <row r="4" spans="1:17" ht="15">
      <c r="A4" s="1579" t="str">
        <f>"Cost of Service Formula Rate Using Actual/Projected FF1 Balances"</f>
        <v>Cost of Service Formula Rate Using Actual/Projected FF1 Balances</v>
      </c>
      <c r="B4" s="1580"/>
      <c r="C4" s="1580"/>
      <c r="D4" s="1580"/>
      <c r="E4" s="1580"/>
      <c r="F4" s="1580"/>
      <c r="G4" s="1580"/>
      <c r="H4" s="1580"/>
      <c r="I4" s="1580"/>
      <c r="J4" s="1580"/>
      <c r="K4" s="1580"/>
      <c r="L4" s="1212"/>
      <c r="M4" s="1214"/>
      <c r="N4" s="1215"/>
      <c r="O4" s="1215"/>
      <c r="P4" s="1215"/>
      <c r="Q4" s="1215"/>
    </row>
    <row r="5" spans="1:17" ht="15">
      <c r="A5" s="1581" t="s">
        <v>863</v>
      </c>
      <c r="B5" s="1581"/>
      <c r="C5" s="1581"/>
      <c r="D5" s="1581"/>
      <c r="E5" s="1581"/>
      <c r="F5" s="1581"/>
      <c r="G5" s="1581"/>
      <c r="H5" s="1581"/>
      <c r="I5" s="1581"/>
      <c r="J5" s="1581"/>
      <c r="K5" s="1581"/>
      <c r="L5" s="1212"/>
      <c r="M5" s="1216"/>
      <c r="N5" s="1216"/>
      <c r="O5" s="1216"/>
      <c r="P5" s="1216"/>
      <c r="Q5" s="1216"/>
    </row>
    <row r="6" spans="1:17" ht="15">
      <c r="A6" s="1582" t="str">
        <f>TCOS!F9</f>
        <v xml:space="preserve">Indiana Michigan Power Company </v>
      </c>
      <c r="B6" s="1582"/>
      <c r="C6" s="1582"/>
      <c r="D6" s="1582"/>
      <c r="E6" s="1582"/>
      <c r="F6" s="1582"/>
      <c r="G6" s="1582"/>
      <c r="H6" s="1582"/>
      <c r="I6" s="1582"/>
      <c r="J6" s="1582"/>
      <c r="K6" s="1582"/>
      <c r="L6" s="1217"/>
      <c r="M6" s="1217"/>
      <c r="N6" s="1218"/>
      <c r="O6" s="1218"/>
      <c r="P6" s="1218"/>
      <c r="Q6" s="1218"/>
    </row>
    <row r="9" spans="1:17">
      <c r="B9" s="1583"/>
      <c r="C9" s="1583"/>
      <c r="D9" s="1583"/>
      <c r="E9" s="1583"/>
      <c r="F9" s="1583"/>
      <c r="G9" s="1583"/>
      <c r="H9" s="1583"/>
      <c r="I9" s="1583"/>
      <c r="J9" s="1583"/>
      <c r="K9" s="1583"/>
      <c r="L9" s="1583"/>
      <c r="M9" s="1583"/>
      <c r="N9" s="1220"/>
      <c r="O9" s="1220"/>
      <c r="P9" s="1220"/>
      <c r="Q9" s="1220"/>
    </row>
    <row r="10" spans="1:17">
      <c r="I10" s="1220"/>
      <c r="J10" s="1220"/>
      <c r="K10" s="1220"/>
      <c r="L10" s="1220"/>
      <c r="M10" s="1220"/>
      <c r="N10" s="1220"/>
      <c r="O10" s="1220"/>
      <c r="P10" s="1220"/>
      <c r="Q10" s="1220"/>
    </row>
    <row r="11" spans="1:17">
      <c r="I11" s="1220"/>
      <c r="J11" s="1220"/>
      <c r="K11" s="1220"/>
      <c r="L11" s="1220"/>
      <c r="M11" s="1220"/>
      <c r="N11" s="1220"/>
      <c r="O11" s="1220"/>
      <c r="P11" s="1220"/>
      <c r="Q11" s="1220"/>
    </row>
    <row r="12" spans="1:17">
      <c r="A12" s="1213">
        <v>1</v>
      </c>
      <c r="B12" s="1209" t="s">
        <v>837</v>
      </c>
      <c r="E12" s="1252">
        <v>-127041505</v>
      </c>
      <c r="I12" s="1232"/>
      <c r="J12" s="1220"/>
      <c r="K12" s="1220"/>
      <c r="L12" s="1220"/>
      <c r="M12" s="1220"/>
      <c r="N12" s="1220"/>
      <c r="O12" s="1220"/>
      <c r="P12" s="1220"/>
      <c r="Q12" s="1220"/>
    </row>
    <row r="13" spans="1:17">
      <c r="I13" s="1232"/>
      <c r="J13" s="1220"/>
      <c r="K13" s="1220"/>
      <c r="L13" s="1220"/>
      <c r="M13" s="1220"/>
      <c r="N13" s="1220"/>
      <c r="O13" s="1220"/>
      <c r="P13" s="1220"/>
      <c r="Q13" s="1220"/>
    </row>
    <row r="14" spans="1:17">
      <c r="B14" s="1577" t="str">
        <f>"Allocation of PBOP Settlement Amount for "&amp;TCOS!L4&amp;""</f>
        <v>Allocation of PBOP Settlement Amount for 2019</v>
      </c>
      <c r="C14" s="1577"/>
      <c r="D14" s="1221"/>
      <c r="E14" s="1221"/>
      <c r="F14" s="1221"/>
      <c r="G14" s="1221"/>
      <c r="H14" s="1221"/>
      <c r="I14" s="1221"/>
      <c r="J14" s="1221"/>
      <c r="K14" s="1221"/>
      <c r="L14" s="1221"/>
      <c r="M14" s="1221"/>
      <c r="N14" s="1220"/>
      <c r="O14" s="1220"/>
      <c r="P14" s="1220"/>
      <c r="Q14" s="1220"/>
    </row>
    <row r="15" spans="1:17">
      <c r="C15" s="1583" t="s">
        <v>838</v>
      </c>
      <c r="D15" s="1583"/>
      <c r="E15" s="1583"/>
      <c r="F15" s="1219"/>
      <c r="N15" s="1220"/>
      <c r="O15" s="1220"/>
      <c r="P15" s="1220"/>
      <c r="Q15" s="1220"/>
    </row>
    <row r="16" spans="1:17">
      <c r="B16" s="1232"/>
      <c r="C16" s="1586" t="s">
        <v>839</v>
      </c>
      <c r="D16" s="1586" t="s">
        <v>840</v>
      </c>
      <c r="E16" s="1586" t="s">
        <v>841</v>
      </c>
      <c r="F16" s="1248"/>
      <c r="G16" s="1248"/>
      <c r="H16" s="1248"/>
      <c r="I16" s="1586" t="s">
        <v>842</v>
      </c>
      <c r="N16" s="1220"/>
      <c r="O16" s="1220"/>
      <c r="P16" s="1220"/>
      <c r="Q16" s="1220"/>
    </row>
    <row r="17" spans="1:17" ht="12.75" customHeight="1">
      <c r="C17" s="1584"/>
      <c r="D17" s="1584"/>
      <c r="E17" s="1584"/>
      <c r="F17" s="1586" t="str">
        <f>"Labor Allocator for "&amp;TCOS!L4&amp;""</f>
        <v>Labor Allocator for 2019</v>
      </c>
      <c r="G17" s="1251"/>
      <c r="H17" s="1587" t="s">
        <v>843</v>
      </c>
      <c r="I17" s="1586"/>
      <c r="N17" s="1220"/>
      <c r="O17" s="1220"/>
      <c r="P17" s="1220"/>
      <c r="Q17" s="1220"/>
    </row>
    <row r="18" spans="1:17">
      <c r="A18" s="1222" t="s">
        <v>844</v>
      </c>
      <c r="B18" s="1219" t="s">
        <v>184</v>
      </c>
      <c r="C18" s="1584"/>
      <c r="D18" s="1584"/>
      <c r="E18" s="1584"/>
      <c r="F18" s="1586"/>
      <c r="G18" s="1254" t="s">
        <v>845</v>
      </c>
      <c r="H18" s="1587"/>
      <c r="I18" s="1586"/>
      <c r="N18" s="1220"/>
      <c r="O18" s="1220"/>
      <c r="P18" s="1220"/>
      <c r="Q18" s="1220"/>
    </row>
    <row r="19" spans="1:17">
      <c r="B19" s="1219"/>
      <c r="C19" s="1231"/>
      <c r="D19" s="1231"/>
      <c r="E19" s="1231"/>
      <c r="F19" s="1248"/>
      <c r="G19" s="1251"/>
      <c r="H19" s="1251"/>
      <c r="I19" s="1231"/>
      <c r="N19" s="1220"/>
      <c r="O19" s="1220"/>
      <c r="P19" s="1220"/>
      <c r="Q19" s="1220"/>
    </row>
    <row r="20" spans="1:17" ht="25">
      <c r="B20" s="1219"/>
      <c r="C20" s="1248" t="s">
        <v>163</v>
      </c>
      <c r="D20" s="1248" t="s">
        <v>846</v>
      </c>
      <c r="E20" s="1249" t="str">
        <f>"(C )=(B) * "&amp;E12&amp;""</f>
        <v>(C )=(B) * -127041505</v>
      </c>
      <c r="F20" s="1248" t="s">
        <v>166</v>
      </c>
      <c r="G20" s="1255" t="s">
        <v>847</v>
      </c>
      <c r="H20" s="1255" t="s">
        <v>848</v>
      </c>
      <c r="I20" s="1249" t="s">
        <v>849</v>
      </c>
      <c r="N20" s="1220"/>
      <c r="O20" s="1220"/>
      <c r="P20" s="1220"/>
      <c r="Q20" s="1220"/>
    </row>
    <row r="21" spans="1:17">
      <c r="B21" s="1219"/>
      <c r="C21" s="1248" t="str">
        <f>"(Line "&amp;A47&amp;")"</f>
        <v>(Line 14)</v>
      </c>
      <c r="D21" s="1248"/>
      <c r="E21" s="1249"/>
      <c r="F21" s="1248"/>
      <c r="G21" s="1251"/>
      <c r="H21" s="1253"/>
      <c r="I21" s="1249"/>
      <c r="N21" s="1220"/>
      <c r="O21" s="1220"/>
      <c r="P21" s="1220"/>
      <c r="Q21" s="1220"/>
    </row>
    <row r="22" spans="1:17">
      <c r="A22" s="1209">
        <v>2</v>
      </c>
      <c r="B22" s="1209" t="s">
        <v>850</v>
      </c>
      <c r="C22" s="1308">
        <f>D47</f>
        <v>-16579431</v>
      </c>
      <c r="D22" s="1256">
        <f t="shared" ref="D22:D27" si="0">+C22/C$28</f>
        <v>0.3653721170561095</v>
      </c>
      <c r="E22" s="1230">
        <f t="shared" ref="E22:E27" si="1">ROUND(D22*E$28,0)</f>
        <v>-46417424</v>
      </c>
      <c r="F22" s="1316">
        <v>9.2070069597541285E-2</v>
      </c>
      <c r="G22" s="1251">
        <f t="shared" ref="G22:G27" si="2">+C22*F22</f>
        <v>-1526469.3660576334</v>
      </c>
      <c r="H22" s="1251">
        <f t="shared" ref="H22:H27" si="3">+F22*E22</f>
        <v>-4273655.4582185829</v>
      </c>
      <c r="I22" s="1230">
        <f t="shared" ref="I22:I27" si="4">+G22-H22</f>
        <v>2747186.0921609495</v>
      </c>
      <c r="N22" s="1220"/>
      <c r="O22" s="1220"/>
      <c r="P22" s="1220"/>
      <c r="Q22" s="1220"/>
    </row>
    <row r="23" spans="1:17">
      <c r="A23" s="1209">
        <f t="shared" ref="A23:A28" si="5">+A22+1</f>
        <v>3</v>
      </c>
      <c r="B23" s="1209" t="s">
        <v>851</v>
      </c>
      <c r="C23" s="1308">
        <f>F47</f>
        <v>-12008757</v>
      </c>
      <c r="D23" s="1256">
        <f t="shared" si="0"/>
        <v>0.26464508753662136</v>
      </c>
      <c r="E23" s="1230">
        <f t="shared" si="1"/>
        <v>-33620910</v>
      </c>
      <c r="F23" s="1316">
        <v>4.4746272618028077E-2</v>
      </c>
      <c r="G23" s="1251">
        <f t="shared" si="2"/>
        <v>-537347.11452565296</v>
      </c>
      <c r="H23" s="1251">
        <f t="shared" si="3"/>
        <v>-1504410.4045261864</v>
      </c>
      <c r="I23" s="1230">
        <f t="shared" si="4"/>
        <v>967063.29000053345</v>
      </c>
      <c r="N23" s="1220"/>
      <c r="O23" s="1220"/>
      <c r="P23" s="1220"/>
      <c r="Q23" s="1220"/>
    </row>
    <row r="24" spans="1:17">
      <c r="A24" s="1209">
        <f t="shared" si="5"/>
        <v>4</v>
      </c>
      <c r="B24" s="1209" t="s">
        <v>852</v>
      </c>
      <c r="C24" s="1308">
        <f>G47</f>
        <v>-3820808</v>
      </c>
      <c r="D24" s="1256">
        <f t="shared" si="0"/>
        <v>8.4201726092102899E-2</v>
      </c>
      <c r="E24" s="1230">
        <f t="shared" si="1"/>
        <v>-10697114</v>
      </c>
      <c r="F24" s="1316">
        <v>7.8239549007206574E-2</v>
      </c>
      <c r="G24" s="1251">
        <f t="shared" si="2"/>
        <v>-298938.29476312693</v>
      </c>
      <c r="H24" s="1251">
        <f t="shared" si="3"/>
        <v>-836937.3750386755</v>
      </c>
      <c r="I24" s="1230">
        <f t="shared" si="4"/>
        <v>537999.08027554862</v>
      </c>
      <c r="N24" s="1220"/>
      <c r="O24" s="1220"/>
      <c r="P24" s="1220"/>
      <c r="Q24" s="1220"/>
    </row>
    <row r="25" spans="1:17">
      <c r="A25" s="1209">
        <f t="shared" si="5"/>
        <v>5</v>
      </c>
      <c r="B25" s="1209" t="s">
        <v>853</v>
      </c>
      <c r="C25" s="1308">
        <f>H47</f>
        <v>-375907</v>
      </c>
      <c r="D25" s="1256">
        <f t="shared" si="0"/>
        <v>8.2841164094359411E-3</v>
      </c>
      <c r="E25" s="1230">
        <f t="shared" si="1"/>
        <v>-1052427</v>
      </c>
      <c r="F25" s="1316">
        <v>0.11211991774719388</v>
      </c>
      <c r="G25" s="1251">
        <f t="shared" si="2"/>
        <v>-42146.661920594408</v>
      </c>
      <c r="H25" s="1251">
        <f t="shared" si="3"/>
        <v>-117998.02867492601</v>
      </c>
      <c r="I25" s="1230">
        <f t="shared" si="4"/>
        <v>75851.366754331597</v>
      </c>
      <c r="N25" s="1220"/>
      <c r="O25" s="1220"/>
      <c r="P25" s="1220"/>
      <c r="Q25" s="1220"/>
    </row>
    <row r="26" spans="1:17">
      <c r="A26" s="1209">
        <f t="shared" si="5"/>
        <v>6</v>
      </c>
      <c r="B26" s="1209" t="s">
        <v>854</v>
      </c>
      <c r="C26" s="1308">
        <f>I47</f>
        <v>-11910183</v>
      </c>
      <c r="D26" s="1256">
        <f t="shared" si="0"/>
        <v>0.2624727457314841</v>
      </c>
      <c r="E26" s="1230">
        <f t="shared" si="1"/>
        <v>-33344933</v>
      </c>
      <c r="F26" s="1316">
        <v>0.11569743588399903</v>
      </c>
      <c r="G26" s="1251">
        <f t="shared" si="2"/>
        <v>-1377977.6340091953</v>
      </c>
      <c r="H26" s="1251">
        <f t="shared" si="3"/>
        <v>-3857923.2478237431</v>
      </c>
      <c r="I26" s="1230">
        <f t="shared" si="4"/>
        <v>2479945.6138145477</v>
      </c>
      <c r="N26" s="1220"/>
      <c r="O26" s="1220"/>
      <c r="P26" s="1220"/>
      <c r="Q26" s="1220"/>
    </row>
    <row r="27" spans="1:17">
      <c r="A27" s="1209">
        <f t="shared" si="5"/>
        <v>7</v>
      </c>
      <c r="B27" s="1209" t="s">
        <v>855</v>
      </c>
      <c r="C27" s="1308">
        <f>J47</f>
        <v>-681751</v>
      </c>
      <c r="D27" s="1256">
        <f t="shared" si="0"/>
        <v>1.5024207174246192E-2</v>
      </c>
      <c r="E27" s="1257">
        <f t="shared" si="1"/>
        <v>-1908698</v>
      </c>
      <c r="F27" s="1467">
        <v>3.184406770860998E-2</v>
      </c>
      <c r="G27" s="1258">
        <f t="shared" si="2"/>
        <v>-21709.725004412561</v>
      </c>
      <c r="H27" s="1258">
        <f t="shared" si="3"/>
        <v>-60780.708347288448</v>
      </c>
      <c r="I27" s="1257">
        <f t="shared" si="4"/>
        <v>39070.983342875887</v>
      </c>
      <c r="N27" s="1220"/>
      <c r="O27" s="1220"/>
      <c r="P27" s="1220"/>
      <c r="Q27" s="1220"/>
    </row>
    <row r="28" spans="1:17">
      <c r="A28" s="1209">
        <f t="shared" si="5"/>
        <v>8</v>
      </c>
      <c r="B28" s="1219" t="str">
        <f>"Sum of Lines "&amp;A22&amp;" to "&amp;A27&amp;""</f>
        <v>Sum of Lines 2 to 7</v>
      </c>
      <c r="C28" s="1230">
        <f>SUM(C22:C27)</f>
        <v>-45376837</v>
      </c>
      <c r="E28" s="1251">
        <f>+E12</f>
        <v>-127041505</v>
      </c>
      <c r="F28" s="1251"/>
      <c r="G28" s="1251">
        <f>SUM(G22:G27)</f>
        <v>-3804588.7962806155</v>
      </c>
      <c r="H28" s="1251">
        <f>SUM(H22:H27)</f>
        <v>-10651705.222629404</v>
      </c>
      <c r="I28" s="1251">
        <f>SUM(I22:I27)</f>
        <v>6847116.4263487868</v>
      </c>
      <c r="N28" s="1220"/>
      <c r="O28" s="1220"/>
      <c r="P28" s="1220"/>
      <c r="Q28" s="1220"/>
    </row>
    <row r="29" spans="1:17">
      <c r="C29" s="1230"/>
      <c r="N29" s="1220"/>
      <c r="O29" s="1220"/>
      <c r="P29" s="1220"/>
      <c r="Q29" s="1220"/>
    </row>
    <row r="30" spans="1:17">
      <c r="I30" s="1232"/>
      <c r="N30" s="1220"/>
      <c r="O30" s="1220"/>
      <c r="P30" s="1220"/>
      <c r="Q30" s="1220"/>
    </row>
    <row r="31" spans="1:17">
      <c r="I31" s="1232"/>
      <c r="J31" s="1220"/>
      <c r="K31" s="1220"/>
      <c r="L31" s="1220"/>
      <c r="M31" s="1220"/>
      <c r="N31" s="1220"/>
      <c r="O31" s="1220"/>
      <c r="P31" s="1220"/>
      <c r="Q31" s="1220"/>
    </row>
    <row r="32" spans="1:17">
      <c r="I32" s="1232"/>
      <c r="J32" s="1220"/>
      <c r="K32" s="1220"/>
      <c r="L32" s="1220"/>
      <c r="M32" s="1220"/>
      <c r="N32" s="1220"/>
      <c r="O32" s="1220"/>
      <c r="P32" s="1220"/>
      <c r="Q32" s="1220"/>
    </row>
    <row r="33" spans="1:17">
      <c r="B33" s="1222" t="s">
        <v>864</v>
      </c>
      <c r="F33" s="1223"/>
      <c r="I33" s="1232"/>
      <c r="J33" s="1220"/>
      <c r="K33" s="1220"/>
      <c r="L33" s="1220"/>
      <c r="M33" s="1220"/>
      <c r="N33" s="1220"/>
      <c r="O33" s="1220"/>
      <c r="P33" s="1220"/>
      <c r="Q33" s="1220"/>
    </row>
    <row r="34" spans="1:17">
      <c r="E34" s="1223"/>
      <c r="I34" s="1224"/>
      <c r="J34" s="1220"/>
      <c r="K34" s="1220"/>
      <c r="L34" s="1220"/>
      <c r="M34" s="1220"/>
      <c r="N34" s="1220"/>
      <c r="O34" s="1220"/>
      <c r="P34" s="1220"/>
      <c r="Q34" s="1220"/>
    </row>
    <row r="35" spans="1:17">
      <c r="D35" s="1225" t="s">
        <v>850</v>
      </c>
      <c r="E35" s="1226"/>
      <c r="F35" s="1225" t="s">
        <v>851</v>
      </c>
      <c r="G35" s="1225" t="s">
        <v>852</v>
      </c>
      <c r="H35" s="1225" t="s">
        <v>856</v>
      </c>
      <c r="I35" s="1227" t="s">
        <v>854</v>
      </c>
      <c r="J35" s="1227" t="s">
        <v>855</v>
      </c>
      <c r="K35" s="1227" t="s">
        <v>857</v>
      </c>
      <c r="L35" s="1220"/>
      <c r="M35" s="1220"/>
      <c r="N35" s="1220"/>
      <c r="O35" s="1220"/>
      <c r="P35" s="1220"/>
      <c r="Q35" s="1220"/>
    </row>
    <row r="36" spans="1:17">
      <c r="E36" s="1228"/>
      <c r="I36" s="1220"/>
      <c r="J36" s="1220"/>
      <c r="K36" s="1220"/>
      <c r="L36" s="1220"/>
      <c r="M36" s="1220"/>
      <c r="N36" s="1220"/>
      <c r="O36" s="1220"/>
      <c r="P36" s="1220"/>
      <c r="Q36" s="1220"/>
    </row>
    <row r="37" spans="1:17">
      <c r="A37" s="1209">
        <f>+A28+1</f>
        <v>9</v>
      </c>
      <c r="B37" s="1209" t="s">
        <v>858</v>
      </c>
      <c r="D37" s="1310">
        <v>-12806463</v>
      </c>
      <c r="E37" s="1309"/>
      <c r="F37" s="1310">
        <v>-10919675</v>
      </c>
      <c r="G37" s="1310">
        <v>-3093622</v>
      </c>
      <c r="H37" s="1310">
        <v>-261837</v>
      </c>
      <c r="I37" s="1310">
        <v>-8879280</v>
      </c>
      <c r="J37" s="1310">
        <v>-329102</v>
      </c>
      <c r="K37" s="1229">
        <f>SUM(D37:J37)</f>
        <v>-36289979</v>
      </c>
      <c r="L37" s="1220" t="s">
        <v>115</v>
      </c>
      <c r="M37" s="1220"/>
      <c r="N37" s="1220"/>
      <c r="O37" s="1220"/>
      <c r="P37" s="1220"/>
      <c r="Q37" s="1220"/>
    </row>
    <row r="38" spans="1:17">
      <c r="D38" s="1230"/>
      <c r="E38" s="1228"/>
      <c r="F38" s="1230"/>
      <c r="G38" s="1230"/>
      <c r="H38" s="1230"/>
      <c r="I38" s="1230"/>
      <c r="J38" s="1230"/>
    </row>
    <row r="39" spans="1:17">
      <c r="A39" s="1209">
        <f>+A37+1</f>
        <v>10</v>
      </c>
      <c r="B39" s="1584" t="s">
        <v>859</v>
      </c>
      <c r="C39" s="1584"/>
      <c r="D39" s="1468">
        <v>351068</v>
      </c>
      <c r="E39" s="1469"/>
      <c r="F39" s="1468">
        <v>1340266</v>
      </c>
      <c r="G39" s="1468">
        <v>305809</v>
      </c>
      <c r="H39" s="1468">
        <v>0</v>
      </c>
      <c r="I39" s="1468">
        <v>0</v>
      </c>
      <c r="J39" s="1468">
        <v>-263278</v>
      </c>
      <c r="K39" s="1229"/>
      <c r="L39" s="1220"/>
      <c r="M39" s="1220"/>
      <c r="N39" s="1220"/>
      <c r="O39" s="1220"/>
      <c r="P39" s="1220"/>
      <c r="Q39" s="1220"/>
    </row>
    <row r="40" spans="1:17">
      <c r="B40" s="1584"/>
      <c r="C40" s="1584"/>
      <c r="D40" s="1223"/>
      <c r="E40" s="1228"/>
      <c r="F40" s="1223"/>
      <c r="G40" s="1223"/>
      <c r="H40" s="1223"/>
      <c r="I40" s="1223"/>
      <c r="J40" s="1223"/>
      <c r="K40" s="1232"/>
      <c r="L40" s="1220"/>
      <c r="M40" s="1220"/>
      <c r="N40" s="1220"/>
      <c r="O40" s="1220"/>
      <c r="P40" s="1220"/>
      <c r="Q40" s="1220"/>
    </row>
    <row r="41" spans="1:17">
      <c r="A41" s="1209">
        <f>+A39+1</f>
        <v>11</v>
      </c>
      <c r="B41" s="1209" t="s">
        <v>860</v>
      </c>
      <c r="D41" s="1310"/>
      <c r="E41" s="1309"/>
      <c r="F41" s="1310"/>
      <c r="G41" s="1310"/>
      <c r="H41" s="1310"/>
      <c r="I41" s="1310"/>
      <c r="J41" s="1310"/>
      <c r="K41" s="1229">
        <f>SUM(D41:J41)</f>
        <v>0</v>
      </c>
      <c r="L41" s="1220"/>
      <c r="M41" s="1220"/>
      <c r="N41" s="1220"/>
      <c r="O41" s="1220"/>
      <c r="P41" s="1220"/>
      <c r="Q41" s="1220"/>
    </row>
    <row r="42" spans="1:17">
      <c r="D42" s="1233"/>
      <c r="E42" s="1234"/>
      <c r="F42" s="1233"/>
      <c r="G42" s="1233"/>
      <c r="H42" s="1233"/>
      <c r="I42" s="1235"/>
      <c r="J42" s="1235"/>
      <c r="K42" s="1236"/>
      <c r="L42" s="1220"/>
      <c r="M42" s="1220"/>
      <c r="N42" s="1220"/>
      <c r="O42" s="1220"/>
      <c r="P42" s="1220"/>
      <c r="Q42" s="1220"/>
    </row>
    <row r="43" spans="1:17">
      <c r="A43" s="1209">
        <f>+A41+1</f>
        <v>12</v>
      </c>
      <c r="B43" s="1209" t="str">
        <f>"Net Company Expense (Ln "&amp;A37&amp;" + Ln "&amp;A39&amp;" + Ln  "&amp;A41&amp;")"</f>
        <v>Net Company Expense (Ln 9 + Ln 10 + Ln  11)</v>
      </c>
      <c r="D43" s="1223">
        <f t="shared" ref="D43:J43" si="6">+D37+D41+D39</f>
        <v>-12455395</v>
      </c>
      <c r="E43" s="1237"/>
      <c r="F43" s="1223">
        <f t="shared" si="6"/>
        <v>-9579409</v>
      </c>
      <c r="G43" s="1223">
        <f t="shared" si="6"/>
        <v>-2787813</v>
      </c>
      <c r="H43" s="1223">
        <f t="shared" si="6"/>
        <v>-261837</v>
      </c>
      <c r="I43" s="1223">
        <f t="shared" si="6"/>
        <v>-8879280</v>
      </c>
      <c r="J43" s="1223">
        <f t="shared" si="6"/>
        <v>-592380</v>
      </c>
      <c r="K43" s="1229">
        <f>SUM(D43:J43)</f>
        <v>-34556114</v>
      </c>
      <c r="L43" s="1220"/>
      <c r="M43" s="1220"/>
      <c r="N43" s="1220"/>
      <c r="O43" s="1220"/>
      <c r="P43" s="1220"/>
      <c r="Q43" s="1220"/>
    </row>
    <row r="44" spans="1:17">
      <c r="E44" s="1228"/>
      <c r="G44" s="1223">
        <f>+G40+G42</f>
        <v>0</v>
      </c>
      <c r="I44" s="1220"/>
      <c r="J44" s="1220"/>
      <c r="K44" s="1232"/>
      <c r="L44" s="1238"/>
      <c r="M44" s="1220"/>
      <c r="N44" s="1220"/>
      <c r="O44" s="1220"/>
      <c r="P44" s="1220"/>
      <c r="Q44" s="1220"/>
    </row>
    <row r="45" spans="1:17">
      <c r="A45" s="1209">
        <f>+A43+1</f>
        <v>13</v>
      </c>
      <c r="B45" s="1584" t="s">
        <v>861</v>
      </c>
      <c r="C45" s="1584"/>
      <c r="D45" s="1468">
        <v>-4124036</v>
      </c>
      <c r="E45" s="1469"/>
      <c r="F45" s="1468">
        <v>-2429348</v>
      </c>
      <c r="G45" s="1468">
        <v>-1032995</v>
      </c>
      <c r="H45" s="1468">
        <v>-114070</v>
      </c>
      <c r="I45" s="1468">
        <v>-3030903</v>
      </c>
      <c r="J45" s="1468">
        <v>-89371</v>
      </c>
      <c r="K45" s="1229">
        <f>SUM(D45:J45)</f>
        <v>-10820723</v>
      </c>
      <c r="L45" s="1239" t="s">
        <v>115</v>
      </c>
      <c r="M45" s="1220"/>
      <c r="N45" s="1220"/>
      <c r="O45" s="1220"/>
      <c r="P45" s="1220"/>
      <c r="Q45" s="1220"/>
    </row>
    <row r="46" spans="1:17">
      <c r="B46" s="1584"/>
      <c r="C46" s="1584"/>
      <c r="D46" s="1240"/>
      <c r="E46" s="1228"/>
      <c r="I46" s="1220"/>
      <c r="J46" s="1220"/>
      <c r="K46" s="1232"/>
      <c r="L46" s="1220"/>
      <c r="M46" s="1220"/>
      <c r="N46" s="1220"/>
      <c r="O46" s="1220"/>
      <c r="P46" s="1220"/>
      <c r="Q46" s="1220"/>
    </row>
    <row r="47" spans="1:17" ht="13" thickBot="1">
      <c r="A47" s="1209">
        <f>+A45+1</f>
        <v>14</v>
      </c>
      <c r="B47" s="1209" t="str">
        <f>"Company PBOP Expense (Ln "&amp;A43&amp;" + Ln  "&amp;A45&amp;")"</f>
        <v>Company PBOP Expense (Ln 12 + Ln  13)</v>
      </c>
      <c r="D47" s="1241">
        <f>+D45+D41+D39+D37</f>
        <v>-16579431</v>
      </c>
      <c r="E47" s="1242"/>
      <c r="F47" s="1241">
        <f>+F45+F41+F39+F37</f>
        <v>-12008757</v>
      </c>
      <c r="G47" s="1241">
        <f>+G45+G41+G39+G37</f>
        <v>-3820808</v>
      </c>
      <c r="H47" s="1241">
        <f>+H45+H41+H39+H37</f>
        <v>-375907</v>
      </c>
      <c r="I47" s="1241">
        <f>+I45+I41+I39+I37</f>
        <v>-11910183</v>
      </c>
      <c r="J47" s="1241">
        <f>+J45+J41+J39+J37</f>
        <v>-681751</v>
      </c>
      <c r="K47" s="1243">
        <f>SUM(D47:J47)</f>
        <v>-45376837</v>
      </c>
      <c r="L47" s="1220"/>
      <c r="M47" s="1220"/>
      <c r="N47" s="1220"/>
      <c r="O47" s="1220"/>
      <c r="P47" s="1220"/>
      <c r="Q47" s="1220"/>
    </row>
    <row r="48" spans="1:17" ht="13" thickTop="1">
      <c r="I48" s="1220"/>
      <c r="J48" s="1220"/>
      <c r="K48" s="1220"/>
      <c r="L48" s="1220"/>
      <c r="M48" s="1220"/>
      <c r="N48" s="1220"/>
      <c r="O48" s="1220"/>
      <c r="P48" s="1220"/>
      <c r="Q48" s="1220"/>
    </row>
    <row r="49" spans="1:19">
      <c r="A49" s="1585" t="s">
        <v>862</v>
      </c>
      <c r="B49" s="1585"/>
      <c r="C49" s="1585"/>
      <c r="D49" s="1585"/>
      <c r="E49" s="1585"/>
      <c r="F49" s="1585"/>
      <c r="G49" s="1585"/>
      <c r="H49" s="1585"/>
      <c r="I49" s="1585"/>
      <c r="J49" s="1585"/>
      <c r="K49" s="1585"/>
      <c r="L49" s="1244"/>
      <c r="M49" s="1220"/>
      <c r="N49" s="1220"/>
      <c r="O49" s="1220"/>
      <c r="P49" s="1220"/>
      <c r="Q49" s="1220"/>
    </row>
    <row r="50" spans="1:19">
      <c r="A50" s="1585"/>
      <c r="B50" s="1585"/>
      <c r="C50" s="1585"/>
      <c r="D50" s="1585"/>
      <c r="E50" s="1585"/>
      <c r="F50" s="1585"/>
      <c r="G50" s="1585"/>
      <c r="H50" s="1585"/>
      <c r="I50" s="1585"/>
      <c r="J50" s="1585"/>
      <c r="K50" s="1585"/>
      <c r="L50" s="1220"/>
      <c r="M50" s="1220"/>
      <c r="N50" s="1220"/>
      <c r="O50" s="1220"/>
      <c r="P50" s="1220"/>
      <c r="Q50" s="1220"/>
    </row>
    <row r="51" spans="1:19">
      <c r="A51" s="1585"/>
      <c r="B51" s="1585"/>
      <c r="C51" s="1585"/>
      <c r="D51" s="1585"/>
      <c r="E51" s="1585"/>
      <c r="F51" s="1585"/>
      <c r="G51" s="1585"/>
      <c r="H51" s="1585"/>
      <c r="I51" s="1585"/>
      <c r="J51" s="1585"/>
      <c r="K51" s="1585"/>
      <c r="L51" s="1220"/>
      <c r="M51" s="1220"/>
      <c r="N51" s="1220"/>
      <c r="O51" s="1220"/>
      <c r="P51" s="1220"/>
      <c r="Q51" s="1220"/>
    </row>
    <row r="52" spans="1:19">
      <c r="A52" s="1585"/>
      <c r="B52" s="1585"/>
      <c r="C52" s="1585"/>
      <c r="D52" s="1585"/>
      <c r="E52" s="1585"/>
      <c r="F52" s="1585"/>
      <c r="G52" s="1585"/>
      <c r="H52" s="1585"/>
      <c r="I52" s="1585"/>
      <c r="J52" s="1585"/>
      <c r="K52" s="1585"/>
      <c r="Q52" s="1220"/>
    </row>
    <row r="53" spans="1:19">
      <c r="A53" s="1585"/>
      <c r="B53" s="1585"/>
      <c r="C53" s="1585"/>
      <c r="D53" s="1585"/>
      <c r="E53" s="1585"/>
      <c r="F53" s="1585"/>
      <c r="G53" s="1585"/>
      <c r="H53" s="1585"/>
      <c r="I53" s="1585"/>
      <c r="J53" s="1585"/>
      <c r="K53" s="1585"/>
      <c r="Q53" s="1220"/>
    </row>
    <row r="54" spans="1:19">
      <c r="A54" s="1585"/>
      <c r="B54" s="1585"/>
      <c r="C54" s="1585"/>
      <c r="D54" s="1585"/>
      <c r="E54" s="1585"/>
      <c r="F54" s="1585"/>
      <c r="G54" s="1585"/>
      <c r="H54" s="1585"/>
      <c r="I54" s="1585"/>
      <c r="J54" s="1585"/>
      <c r="K54" s="1585"/>
      <c r="Q54" s="1220"/>
    </row>
    <row r="55" spans="1:19">
      <c r="A55" s="1585"/>
      <c r="B55" s="1585"/>
      <c r="C55" s="1585"/>
      <c r="D55" s="1585"/>
      <c r="E55" s="1585"/>
      <c r="F55" s="1585"/>
      <c r="G55" s="1585"/>
      <c r="H55" s="1585"/>
      <c r="I55" s="1585"/>
      <c r="J55" s="1585"/>
      <c r="K55" s="1585"/>
      <c r="Q55" s="1220"/>
    </row>
    <row r="56" spans="1:19">
      <c r="A56" s="1585"/>
      <c r="B56" s="1585"/>
      <c r="C56" s="1585"/>
      <c r="D56" s="1585"/>
      <c r="E56" s="1585"/>
      <c r="F56" s="1585"/>
      <c r="G56" s="1585"/>
      <c r="H56" s="1585"/>
      <c r="I56" s="1585"/>
      <c r="J56" s="1585"/>
      <c r="K56" s="1585"/>
      <c r="Q56" s="1220"/>
    </row>
    <row r="57" spans="1:19">
      <c r="A57" s="1585"/>
      <c r="B57" s="1585"/>
      <c r="C57" s="1585"/>
      <c r="D57" s="1585"/>
      <c r="E57" s="1585"/>
      <c r="F57" s="1585"/>
      <c r="G57" s="1585"/>
      <c r="H57" s="1585"/>
      <c r="I57" s="1585"/>
      <c r="J57" s="1585"/>
      <c r="K57" s="1585"/>
      <c r="Q57" s="1220"/>
    </row>
    <row r="58" spans="1:19">
      <c r="Q58" s="1245"/>
    </row>
    <row r="59" spans="1:19" ht="18.75" customHeight="1"/>
    <row r="60" spans="1:19" ht="12.75" customHeight="1">
      <c r="Q60" s="1246"/>
      <c r="R60" s="1246"/>
      <c r="S60" s="1246"/>
    </row>
    <row r="61" spans="1:19" ht="68.25" customHeight="1"/>
    <row r="72" ht="39.75" customHeight="1"/>
    <row r="81" spans="17:22" ht="15.75" customHeight="1">
      <c r="Q81" s="1247"/>
      <c r="R81" s="1247"/>
      <c r="S81" s="1247"/>
      <c r="T81" s="1247"/>
      <c r="U81" s="1247"/>
      <c r="V81" s="1230"/>
    </row>
    <row r="82" spans="17:22" ht="6" customHeight="1">
      <c r="Q82" s="1247"/>
      <c r="R82" s="1247"/>
      <c r="S82" s="1247"/>
      <c r="T82" s="1247"/>
      <c r="U82" s="1247"/>
      <c r="V82" s="1230"/>
    </row>
    <row r="83" spans="17:22">
      <c r="Q83" s="1247"/>
      <c r="R83" s="1247"/>
      <c r="S83" s="1247"/>
      <c r="T83" s="1247"/>
      <c r="U83" s="1247"/>
      <c r="V83" s="1230"/>
    </row>
    <row r="84" spans="17:22" ht="6" customHeight="1">
      <c r="Q84" s="1247"/>
      <c r="R84" s="1247"/>
      <c r="S84" s="1247"/>
      <c r="T84" s="1247"/>
      <c r="U84" s="1247"/>
      <c r="V84" s="1230"/>
    </row>
    <row r="85" spans="17:22">
      <c r="Q85" s="1247"/>
      <c r="R85" s="1247"/>
      <c r="S85" s="1247"/>
      <c r="T85" s="1247"/>
      <c r="U85" s="1247"/>
      <c r="V85" s="1230"/>
    </row>
    <row r="86" spans="17:22" ht="12.75" customHeight="1">
      <c r="Q86" s="1247"/>
      <c r="R86" s="1247"/>
      <c r="S86" s="1247"/>
      <c r="T86" s="1247"/>
      <c r="U86" s="1247"/>
      <c r="V86" s="1230"/>
    </row>
    <row r="87" spans="17:22" ht="6.75" customHeight="1">
      <c r="Q87" s="1247"/>
      <c r="R87" s="1247"/>
      <c r="S87" s="1247"/>
      <c r="T87" s="1247"/>
      <c r="U87" s="1247"/>
      <c r="V87" s="1230"/>
    </row>
    <row r="88" spans="17:22">
      <c r="Q88" s="1247"/>
      <c r="R88" s="1247"/>
      <c r="S88" s="1247"/>
      <c r="T88" s="1247"/>
      <c r="U88" s="1247"/>
      <c r="V88" s="1230"/>
    </row>
    <row r="89" spans="17:22">
      <c r="Q89" s="1247"/>
      <c r="R89" s="1247"/>
      <c r="S89" s="1247"/>
      <c r="T89" s="1247"/>
      <c r="U89" s="1230"/>
    </row>
    <row r="90" spans="17:22">
      <c r="Q90" s="1247"/>
      <c r="R90" s="1247"/>
      <c r="S90" s="1247"/>
      <c r="T90" s="1247"/>
      <c r="U90" s="1230"/>
    </row>
    <row r="91" spans="17:22">
      <c r="Q91" s="1247"/>
      <c r="R91" s="1247"/>
      <c r="S91" s="1247"/>
      <c r="T91" s="1247"/>
      <c r="U91" s="1230"/>
    </row>
    <row r="92" spans="17:22">
      <c r="Q92" s="1245"/>
      <c r="R92" s="1245"/>
    </row>
    <row r="93" spans="17:22">
      <c r="Q93" s="1245"/>
    </row>
    <row r="95" spans="17:22" ht="12.75" customHeight="1"/>
    <row r="96" spans="17:22" ht="12.75" customHeight="1"/>
    <row r="97" ht="12.75" customHeight="1"/>
    <row r="98" ht="12.75" customHeight="1"/>
    <row r="104" ht="14.25" customHeight="1"/>
    <row r="105" ht="14.25" customHeight="1"/>
    <row r="112" ht="12.75" customHeight="1"/>
    <row r="113" ht="12.75" customHeight="1"/>
    <row r="114" ht="12.75" customHeight="1"/>
    <row r="115" ht="12.75" customHeight="1"/>
    <row r="116" ht="15.75" customHeight="1"/>
    <row r="129" ht="12.75" customHeight="1"/>
    <row r="130" ht="12.75" customHeight="1"/>
    <row r="132" ht="12.75" customHeight="1"/>
    <row r="146" ht="12.75" customHeight="1"/>
    <row r="147" ht="12.75" customHeight="1"/>
    <row r="149" ht="12.75" customHeight="1"/>
    <row r="164" ht="12.75" customHeight="1"/>
    <row r="165" ht="12.75" customHeight="1"/>
    <row r="166" ht="12.75" customHeight="1"/>
    <row r="182" spans="13:13">
      <c r="M182" s="1230"/>
    </row>
    <row r="183" spans="13:13">
      <c r="M183" s="1248"/>
    </row>
    <row r="184" spans="13:13">
      <c r="M184" s="1231"/>
    </row>
    <row r="185" spans="13:13" ht="12.75" customHeight="1">
      <c r="M185" s="1231"/>
    </row>
    <row r="186" spans="13:13">
      <c r="M186" s="1231"/>
    </row>
    <row r="187" spans="13:13">
      <c r="M187" s="1231"/>
    </row>
    <row r="188" spans="13:13">
      <c r="M188" s="1249"/>
    </row>
    <row r="189" spans="13:13">
      <c r="M189" s="1249"/>
    </row>
    <row r="190" spans="13:13">
      <c r="M190" s="1230"/>
    </row>
    <row r="191" spans="13:13">
      <c r="M191" s="1230"/>
    </row>
    <row r="192" spans="13:13">
      <c r="M192" s="1230"/>
    </row>
    <row r="193" spans="13:13">
      <c r="M193" s="1230"/>
    </row>
    <row r="194" spans="13:13">
      <c r="M194" s="1230"/>
    </row>
    <row r="195" spans="13:13">
      <c r="M195" s="1230"/>
    </row>
    <row r="196" spans="13:13">
      <c r="M196" s="1250"/>
    </row>
    <row r="197" spans="13:13">
      <c r="M197" s="1251"/>
    </row>
    <row r="199" spans="13:13">
      <c r="M199" s="1230"/>
    </row>
    <row r="204" spans="13:13">
      <c r="M204" s="1230"/>
    </row>
    <row r="205" spans="13:13">
      <c r="M205" s="1248"/>
    </row>
    <row r="206" spans="13:13">
      <c r="M206" s="1231"/>
    </row>
    <row r="207" spans="13:13" ht="12.75" customHeight="1">
      <c r="M207" s="1231"/>
    </row>
    <row r="208" spans="13:13">
      <c r="M208" s="1231"/>
    </row>
    <row r="209" spans="13:13">
      <c r="M209" s="1231"/>
    </row>
    <row r="210" spans="13:13">
      <c r="M210" s="1249"/>
    </row>
    <row r="211" spans="13:13">
      <c r="M211" s="1249"/>
    </row>
    <row r="212" spans="13:13">
      <c r="M212" s="1230"/>
    </row>
    <row r="213" spans="13:13">
      <c r="M213" s="1230"/>
    </row>
    <row r="214" spans="13:13">
      <c r="M214" s="1230"/>
    </row>
    <row r="215" spans="13:13">
      <c r="M215" s="1230"/>
    </row>
    <row r="216" spans="13:13">
      <c r="M216" s="1230"/>
    </row>
    <row r="217" spans="13:13">
      <c r="M217" s="1230"/>
    </row>
    <row r="218" spans="13:13">
      <c r="M218" s="1250"/>
    </row>
    <row r="219" spans="13:13">
      <c r="M219" s="1251"/>
    </row>
    <row r="221" spans="13:13">
      <c r="M221" s="1230"/>
    </row>
    <row r="226" spans="13:13">
      <c r="M226" s="1230"/>
    </row>
    <row r="227" spans="13:13">
      <c r="M227" s="1248"/>
    </row>
    <row r="228" spans="13:13">
      <c r="M228" s="1231"/>
    </row>
    <row r="229" spans="13:13" ht="12.75" customHeight="1">
      <c r="M229" s="1231"/>
    </row>
    <row r="230" spans="13:13">
      <c r="M230" s="1231"/>
    </row>
    <row r="231" spans="13:13">
      <c r="M231" s="1231"/>
    </row>
    <row r="232" spans="13:13">
      <c r="M232" s="1249"/>
    </row>
    <row r="233" spans="13:13">
      <c r="M233" s="1249"/>
    </row>
    <row r="234" spans="13:13">
      <c r="M234" s="1230"/>
    </row>
    <row r="235" spans="13:13">
      <c r="M235" s="1230"/>
    </row>
    <row r="236" spans="13:13">
      <c r="M236" s="1230"/>
    </row>
    <row r="237" spans="13:13">
      <c r="M237" s="1230"/>
    </row>
    <row r="238" spans="13:13">
      <c r="M238" s="1230"/>
    </row>
    <row r="239" spans="13:13">
      <c r="M239" s="1230"/>
    </row>
    <row r="240" spans="13:13">
      <c r="M240" s="1250"/>
    </row>
    <row r="241" spans="13:13">
      <c r="M241" s="1251"/>
    </row>
    <row r="243" spans="13:13">
      <c r="M243" s="1230"/>
    </row>
    <row r="248" spans="13:13">
      <c r="M248" s="1230"/>
    </row>
    <row r="249" spans="13:13">
      <c r="M249" s="1248"/>
    </row>
    <row r="250" spans="13:13">
      <c r="M250" s="1231"/>
    </row>
    <row r="251" spans="13:13" ht="12.75" customHeight="1">
      <c r="M251" s="1231"/>
    </row>
    <row r="252" spans="13:13">
      <c r="M252" s="1231"/>
    </row>
    <row r="253" spans="13:13">
      <c r="M253" s="1231"/>
    </row>
    <row r="254" spans="13:13">
      <c r="M254" s="1249"/>
    </row>
    <row r="255" spans="13:13">
      <c r="M255" s="1249"/>
    </row>
    <row r="256" spans="13:13">
      <c r="M256" s="1230"/>
    </row>
    <row r="257" spans="13:13">
      <c r="M257" s="1230"/>
    </row>
    <row r="258" spans="13:13">
      <c r="M258" s="1230"/>
    </row>
    <row r="259" spans="13:13">
      <c r="M259" s="1230"/>
    </row>
    <row r="260" spans="13:13">
      <c r="M260" s="1230"/>
    </row>
    <row r="261" spans="13:13">
      <c r="M261" s="1230"/>
    </row>
    <row r="262" spans="13:13">
      <c r="M262" s="1250"/>
    </row>
    <row r="263" spans="13:13">
      <c r="M263" s="1251"/>
    </row>
    <row r="265" spans="13:13">
      <c r="M265" s="1230"/>
    </row>
    <row r="270" spans="13:13">
      <c r="M270" s="1230"/>
    </row>
    <row r="271" spans="13:13">
      <c r="M271" s="1248"/>
    </row>
    <row r="272" spans="13:13" ht="12.75" customHeight="1">
      <c r="M272" s="1231"/>
    </row>
    <row r="273" spans="13:13" ht="12.75" customHeight="1">
      <c r="M273" s="1231"/>
    </row>
    <row r="274" spans="13:13">
      <c r="M274" s="1231"/>
    </row>
    <row r="275" spans="13:13" ht="12.75" customHeight="1">
      <c r="M275" s="1231"/>
    </row>
    <row r="276" spans="13:13">
      <c r="M276" s="1249"/>
    </row>
    <row r="277" spans="13:13">
      <c r="M277" s="1249"/>
    </row>
    <row r="278" spans="13:13">
      <c r="M278" s="1230"/>
    </row>
    <row r="279" spans="13:13">
      <c r="M279" s="1230"/>
    </row>
    <row r="280" spans="13:13">
      <c r="M280" s="1230"/>
    </row>
    <row r="281" spans="13:13">
      <c r="M281" s="1230"/>
    </row>
    <row r="282" spans="13:13">
      <c r="M282" s="1230"/>
    </row>
    <row r="283" spans="13:13">
      <c r="M283" s="1230"/>
    </row>
    <row r="284" spans="13:13">
      <c r="M284" s="1250"/>
    </row>
    <row r="285" spans="13:13">
      <c r="M285" s="1251"/>
    </row>
    <row r="287" spans="13:13">
      <c r="M287" s="1230"/>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4" manualBreakCount="4">
    <brk id="90" max="18" man="1"/>
    <brk id="126" max="18" man="1"/>
    <brk id="160" max="18" man="1"/>
    <brk id="242"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view="pageBreakPreview" colorId="22" zoomScale="60" zoomScaleNormal="70" workbookViewId="0">
      <selection sqref="A1:XFD1048576"/>
    </sheetView>
  </sheetViews>
  <sheetFormatPr defaultColWidth="14.7265625" defaultRowHeight="12.5"/>
  <cols>
    <col min="1" max="1" width="33.1796875" customWidth="1"/>
    <col min="2" max="2" width="11" customWidth="1"/>
    <col min="3" max="3" width="16.81640625" customWidth="1"/>
    <col min="4" max="4" width="16.7265625" customWidth="1"/>
    <col min="5" max="5" width="14.7265625" customWidth="1"/>
    <col min="6" max="6" width="4.81640625" customWidth="1"/>
    <col min="7" max="7" width="14.7265625" customWidth="1"/>
    <col min="8" max="8" width="18.26953125" customWidth="1"/>
    <col min="9" max="9" width="15.54296875" customWidth="1"/>
    <col min="10" max="10" width="6.1796875" customWidth="1"/>
    <col min="11" max="11" width="14.7265625" customWidth="1"/>
    <col min="12" max="12" width="16.1796875" customWidth="1"/>
    <col min="13" max="13" width="14.7265625" customWidth="1"/>
    <col min="14" max="14" width="4.81640625" customWidth="1"/>
    <col min="15" max="15" width="18.54296875" customWidth="1"/>
    <col min="257" max="257" width="33.1796875" customWidth="1"/>
    <col min="258" max="258" width="11" customWidth="1"/>
    <col min="259" max="259" width="16.81640625" customWidth="1"/>
    <col min="260" max="260" width="16.7265625" customWidth="1"/>
    <col min="261" max="261" width="14.7265625" customWidth="1"/>
    <col min="262" max="262" width="4.81640625" customWidth="1"/>
    <col min="263" max="263" width="14.7265625" customWidth="1"/>
    <col min="264" max="264" width="18.26953125" customWidth="1"/>
    <col min="265" max="265" width="15.54296875" customWidth="1"/>
    <col min="266" max="266" width="6.1796875" customWidth="1"/>
    <col min="267" max="267" width="14.7265625" customWidth="1"/>
    <col min="268" max="268" width="16.1796875" customWidth="1"/>
    <col min="269" max="269" width="14.7265625" customWidth="1"/>
    <col min="270" max="270" width="4.81640625" customWidth="1"/>
    <col min="271" max="271" width="18.54296875" customWidth="1"/>
    <col min="513" max="513" width="33.1796875" customWidth="1"/>
    <col min="514" max="514" width="11" customWidth="1"/>
    <col min="515" max="515" width="16.81640625" customWidth="1"/>
    <col min="516" max="516" width="16.7265625" customWidth="1"/>
    <col min="517" max="517" width="14.7265625" customWidth="1"/>
    <col min="518" max="518" width="4.81640625" customWidth="1"/>
    <col min="519" max="519" width="14.7265625" customWidth="1"/>
    <col min="520" max="520" width="18.26953125" customWidth="1"/>
    <col min="521" max="521" width="15.54296875" customWidth="1"/>
    <col min="522" max="522" width="6.1796875" customWidth="1"/>
    <col min="523" max="523" width="14.7265625" customWidth="1"/>
    <col min="524" max="524" width="16.1796875" customWidth="1"/>
    <col min="525" max="525" width="14.7265625" customWidth="1"/>
    <col min="526" max="526" width="4.81640625" customWidth="1"/>
    <col min="527" max="527" width="18.54296875" customWidth="1"/>
    <col min="769" max="769" width="33.1796875" customWidth="1"/>
    <col min="770" max="770" width="11" customWidth="1"/>
    <col min="771" max="771" width="16.81640625" customWidth="1"/>
    <col min="772" max="772" width="16.7265625" customWidth="1"/>
    <col min="773" max="773" width="14.7265625" customWidth="1"/>
    <col min="774" max="774" width="4.81640625" customWidth="1"/>
    <col min="775" max="775" width="14.7265625" customWidth="1"/>
    <col min="776" max="776" width="18.26953125" customWidth="1"/>
    <col min="777" max="777" width="15.54296875" customWidth="1"/>
    <col min="778" max="778" width="6.1796875" customWidth="1"/>
    <col min="779" max="779" width="14.7265625" customWidth="1"/>
    <col min="780" max="780" width="16.1796875" customWidth="1"/>
    <col min="781" max="781" width="14.7265625" customWidth="1"/>
    <col min="782" max="782" width="4.81640625" customWidth="1"/>
    <col min="783" max="783" width="18.54296875" customWidth="1"/>
    <col min="1025" max="1025" width="33.1796875" customWidth="1"/>
    <col min="1026" max="1026" width="11" customWidth="1"/>
    <col min="1027" max="1027" width="16.81640625" customWidth="1"/>
    <col min="1028" max="1028" width="16.7265625" customWidth="1"/>
    <col min="1029" max="1029" width="14.7265625" customWidth="1"/>
    <col min="1030" max="1030" width="4.81640625" customWidth="1"/>
    <col min="1031" max="1031" width="14.7265625" customWidth="1"/>
    <col min="1032" max="1032" width="18.26953125" customWidth="1"/>
    <col min="1033" max="1033" width="15.54296875" customWidth="1"/>
    <col min="1034" max="1034" width="6.1796875" customWidth="1"/>
    <col min="1035" max="1035" width="14.7265625" customWidth="1"/>
    <col min="1036" max="1036" width="16.1796875" customWidth="1"/>
    <col min="1037" max="1037" width="14.7265625" customWidth="1"/>
    <col min="1038" max="1038" width="4.81640625" customWidth="1"/>
    <col min="1039" max="1039" width="18.54296875" customWidth="1"/>
    <col min="1281" max="1281" width="33.1796875" customWidth="1"/>
    <col min="1282" max="1282" width="11" customWidth="1"/>
    <col min="1283" max="1283" width="16.81640625" customWidth="1"/>
    <col min="1284" max="1284" width="16.7265625" customWidth="1"/>
    <col min="1285" max="1285" width="14.7265625" customWidth="1"/>
    <col min="1286" max="1286" width="4.81640625" customWidth="1"/>
    <col min="1287" max="1287" width="14.7265625" customWidth="1"/>
    <col min="1288" max="1288" width="18.26953125" customWidth="1"/>
    <col min="1289" max="1289" width="15.54296875" customWidth="1"/>
    <col min="1290" max="1290" width="6.1796875" customWidth="1"/>
    <col min="1291" max="1291" width="14.7265625" customWidth="1"/>
    <col min="1292" max="1292" width="16.1796875" customWidth="1"/>
    <col min="1293" max="1293" width="14.7265625" customWidth="1"/>
    <col min="1294" max="1294" width="4.81640625" customWidth="1"/>
    <col min="1295" max="1295" width="18.54296875" customWidth="1"/>
    <col min="1537" max="1537" width="33.1796875" customWidth="1"/>
    <col min="1538" max="1538" width="11" customWidth="1"/>
    <col min="1539" max="1539" width="16.81640625" customWidth="1"/>
    <col min="1540" max="1540" width="16.7265625" customWidth="1"/>
    <col min="1541" max="1541" width="14.7265625" customWidth="1"/>
    <col min="1542" max="1542" width="4.81640625" customWidth="1"/>
    <col min="1543" max="1543" width="14.7265625" customWidth="1"/>
    <col min="1544" max="1544" width="18.26953125" customWidth="1"/>
    <col min="1545" max="1545" width="15.54296875" customWidth="1"/>
    <col min="1546" max="1546" width="6.1796875" customWidth="1"/>
    <col min="1547" max="1547" width="14.7265625" customWidth="1"/>
    <col min="1548" max="1548" width="16.1796875" customWidth="1"/>
    <col min="1549" max="1549" width="14.7265625" customWidth="1"/>
    <col min="1550" max="1550" width="4.81640625" customWidth="1"/>
    <col min="1551" max="1551" width="18.54296875" customWidth="1"/>
    <col min="1793" max="1793" width="33.1796875" customWidth="1"/>
    <col min="1794" max="1794" width="11" customWidth="1"/>
    <col min="1795" max="1795" width="16.81640625" customWidth="1"/>
    <col min="1796" max="1796" width="16.7265625" customWidth="1"/>
    <col min="1797" max="1797" width="14.7265625" customWidth="1"/>
    <col min="1798" max="1798" width="4.81640625" customWidth="1"/>
    <col min="1799" max="1799" width="14.7265625" customWidth="1"/>
    <col min="1800" max="1800" width="18.26953125" customWidth="1"/>
    <col min="1801" max="1801" width="15.54296875" customWidth="1"/>
    <col min="1802" max="1802" width="6.1796875" customWidth="1"/>
    <col min="1803" max="1803" width="14.7265625" customWidth="1"/>
    <col min="1804" max="1804" width="16.1796875" customWidth="1"/>
    <col min="1805" max="1805" width="14.7265625" customWidth="1"/>
    <col min="1806" max="1806" width="4.81640625" customWidth="1"/>
    <col min="1807" max="1807" width="18.54296875" customWidth="1"/>
    <col min="2049" max="2049" width="33.1796875" customWidth="1"/>
    <col min="2050" max="2050" width="11" customWidth="1"/>
    <col min="2051" max="2051" width="16.81640625" customWidth="1"/>
    <col min="2052" max="2052" width="16.7265625" customWidth="1"/>
    <col min="2053" max="2053" width="14.7265625" customWidth="1"/>
    <col min="2054" max="2054" width="4.81640625" customWidth="1"/>
    <col min="2055" max="2055" width="14.7265625" customWidth="1"/>
    <col min="2056" max="2056" width="18.26953125" customWidth="1"/>
    <col min="2057" max="2057" width="15.54296875" customWidth="1"/>
    <col min="2058" max="2058" width="6.1796875" customWidth="1"/>
    <col min="2059" max="2059" width="14.7265625" customWidth="1"/>
    <col min="2060" max="2060" width="16.1796875" customWidth="1"/>
    <col min="2061" max="2061" width="14.7265625" customWidth="1"/>
    <col min="2062" max="2062" width="4.81640625" customWidth="1"/>
    <col min="2063" max="2063" width="18.54296875" customWidth="1"/>
    <col min="2305" max="2305" width="33.1796875" customWidth="1"/>
    <col min="2306" max="2306" width="11" customWidth="1"/>
    <col min="2307" max="2307" width="16.81640625" customWidth="1"/>
    <col min="2308" max="2308" width="16.7265625" customWidth="1"/>
    <col min="2309" max="2309" width="14.7265625" customWidth="1"/>
    <col min="2310" max="2310" width="4.81640625" customWidth="1"/>
    <col min="2311" max="2311" width="14.7265625" customWidth="1"/>
    <col min="2312" max="2312" width="18.26953125" customWidth="1"/>
    <col min="2313" max="2313" width="15.54296875" customWidth="1"/>
    <col min="2314" max="2314" width="6.1796875" customWidth="1"/>
    <col min="2315" max="2315" width="14.7265625" customWidth="1"/>
    <col min="2316" max="2316" width="16.1796875" customWidth="1"/>
    <col min="2317" max="2317" width="14.7265625" customWidth="1"/>
    <col min="2318" max="2318" width="4.81640625" customWidth="1"/>
    <col min="2319" max="2319" width="18.54296875" customWidth="1"/>
    <col min="2561" max="2561" width="33.1796875" customWidth="1"/>
    <col min="2562" max="2562" width="11" customWidth="1"/>
    <col min="2563" max="2563" width="16.81640625" customWidth="1"/>
    <col min="2564" max="2564" width="16.7265625" customWidth="1"/>
    <col min="2565" max="2565" width="14.7265625" customWidth="1"/>
    <col min="2566" max="2566" width="4.81640625" customWidth="1"/>
    <col min="2567" max="2567" width="14.7265625" customWidth="1"/>
    <col min="2568" max="2568" width="18.26953125" customWidth="1"/>
    <col min="2569" max="2569" width="15.54296875" customWidth="1"/>
    <col min="2570" max="2570" width="6.1796875" customWidth="1"/>
    <col min="2571" max="2571" width="14.7265625" customWidth="1"/>
    <col min="2572" max="2572" width="16.1796875" customWidth="1"/>
    <col min="2573" max="2573" width="14.7265625" customWidth="1"/>
    <col min="2574" max="2574" width="4.81640625" customWidth="1"/>
    <col min="2575" max="2575" width="18.54296875" customWidth="1"/>
    <col min="2817" max="2817" width="33.1796875" customWidth="1"/>
    <col min="2818" max="2818" width="11" customWidth="1"/>
    <col min="2819" max="2819" width="16.81640625" customWidth="1"/>
    <col min="2820" max="2820" width="16.7265625" customWidth="1"/>
    <col min="2821" max="2821" width="14.7265625" customWidth="1"/>
    <col min="2822" max="2822" width="4.81640625" customWidth="1"/>
    <col min="2823" max="2823" width="14.7265625" customWidth="1"/>
    <col min="2824" max="2824" width="18.26953125" customWidth="1"/>
    <col min="2825" max="2825" width="15.54296875" customWidth="1"/>
    <col min="2826" max="2826" width="6.1796875" customWidth="1"/>
    <col min="2827" max="2827" width="14.7265625" customWidth="1"/>
    <col min="2828" max="2828" width="16.1796875" customWidth="1"/>
    <col min="2829" max="2829" width="14.7265625" customWidth="1"/>
    <col min="2830" max="2830" width="4.81640625" customWidth="1"/>
    <col min="2831" max="2831" width="18.54296875" customWidth="1"/>
    <col min="3073" max="3073" width="33.1796875" customWidth="1"/>
    <col min="3074" max="3074" width="11" customWidth="1"/>
    <col min="3075" max="3075" width="16.81640625" customWidth="1"/>
    <col min="3076" max="3076" width="16.7265625" customWidth="1"/>
    <col min="3077" max="3077" width="14.7265625" customWidth="1"/>
    <col min="3078" max="3078" width="4.81640625" customWidth="1"/>
    <col min="3079" max="3079" width="14.7265625" customWidth="1"/>
    <col min="3080" max="3080" width="18.26953125" customWidth="1"/>
    <col min="3081" max="3081" width="15.54296875" customWidth="1"/>
    <col min="3082" max="3082" width="6.1796875" customWidth="1"/>
    <col min="3083" max="3083" width="14.7265625" customWidth="1"/>
    <col min="3084" max="3084" width="16.1796875" customWidth="1"/>
    <col min="3085" max="3085" width="14.7265625" customWidth="1"/>
    <col min="3086" max="3086" width="4.81640625" customWidth="1"/>
    <col min="3087" max="3087" width="18.54296875" customWidth="1"/>
    <col min="3329" max="3329" width="33.1796875" customWidth="1"/>
    <col min="3330" max="3330" width="11" customWidth="1"/>
    <col min="3331" max="3331" width="16.81640625" customWidth="1"/>
    <col min="3332" max="3332" width="16.7265625" customWidth="1"/>
    <col min="3333" max="3333" width="14.7265625" customWidth="1"/>
    <col min="3334" max="3334" width="4.81640625" customWidth="1"/>
    <col min="3335" max="3335" width="14.7265625" customWidth="1"/>
    <col min="3336" max="3336" width="18.26953125" customWidth="1"/>
    <col min="3337" max="3337" width="15.54296875" customWidth="1"/>
    <col min="3338" max="3338" width="6.1796875" customWidth="1"/>
    <col min="3339" max="3339" width="14.7265625" customWidth="1"/>
    <col min="3340" max="3340" width="16.1796875" customWidth="1"/>
    <col min="3341" max="3341" width="14.7265625" customWidth="1"/>
    <col min="3342" max="3342" width="4.81640625" customWidth="1"/>
    <col min="3343" max="3343" width="18.54296875" customWidth="1"/>
    <col min="3585" max="3585" width="33.1796875" customWidth="1"/>
    <col min="3586" max="3586" width="11" customWidth="1"/>
    <col min="3587" max="3587" width="16.81640625" customWidth="1"/>
    <col min="3588" max="3588" width="16.7265625" customWidth="1"/>
    <col min="3589" max="3589" width="14.7265625" customWidth="1"/>
    <col min="3590" max="3590" width="4.81640625" customWidth="1"/>
    <col min="3591" max="3591" width="14.7265625" customWidth="1"/>
    <col min="3592" max="3592" width="18.26953125" customWidth="1"/>
    <col min="3593" max="3593" width="15.54296875" customWidth="1"/>
    <col min="3594" max="3594" width="6.1796875" customWidth="1"/>
    <col min="3595" max="3595" width="14.7265625" customWidth="1"/>
    <col min="3596" max="3596" width="16.1796875" customWidth="1"/>
    <col min="3597" max="3597" width="14.7265625" customWidth="1"/>
    <col min="3598" max="3598" width="4.81640625" customWidth="1"/>
    <col min="3599" max="3599" width="18.54296875" customWidth="1"/>
    <col min="3841" max="3841" width="33.1796875" customWidth="1"/>
    <col min="3842" max="3842" width="11" customWidth="1"/>
    <col min="3843" max="3843" width="16.81640625" customWidth="1"/>
    <col min="3844" max="3844" width="16.7265625" customWidth="1"/>
    <col min="3845" max="3845" width="14.7265625" customWidth="1"/>
    <col min="3846" max="3846" width="4.81640625" customWidth="1"/>
    <col min="3847" max="3847" width="14.7265625" customWidth="1"/>
    <col min="3848" max="3848" width="18.26953125" customWidth="1"/>
    <col min="3849" max="3849" width="15.54296875" customWidth="1"/>
    <col min="3850" max="3850" width="6.1796875" customWidth="1"/>
    <col min="3851" max="3851" width="14.7265625" customWidth="1"/>
    <col min="3852" max="3852" width="16.1796875" customWidth="1"/>
    <col min="3853" max="3853" width="14.7265625" customWidth="1"/>
    <col min="3854" max="3854" width="4.81640625" customWidth="1"/>
    <col min="3855" max="3855" width="18.54296875" customWidth="1"/>
    <col min="4097" max="4097" width="33.1796875" customWidth="1"/>
    <col min="4098" max="4098" width="11" customWidth="1"/>
    <col min="4099" max="4099" width="16.81640625" customWidth="1"/>
    <col min="4100" max="4100" width="16.7265625" customWidth="1"/>
    <col min="4101" max="4101" width="14.7265625" customWidth="1"/>
    <col min="4102" max="4102" width="4.81640625" customWidth="1"/>
    <col min="4103" max="4103" width="14.7265625" customWidth="1"/>
    <col min="4104" max="4104" width="18.26953125" customWidth="1"/>
    <col min="4105" max="4105" width="15.54296875" customWidth="1"/>
    <col min="4106" max="4106" width="6.1796875" customWidth="1"/>
    <col min="4107" max="4107" width="14.7265625" customWidth="1"/>
    <col min="4108" max="4108" width="16.1796875" customWidth="1"/>
    <col min="4109" max="4109" width="14.7265625" customWidth="1"/>
    <col min="4110" max="4110" width="4.81640625" customWidth="1"/>
    <col min="4111" max="4111" width="18.54296875" customWidth="1"/>
    <col min="4353" max="4353" width="33.1796875" customWidth="1"/>
    <col min="4354" max="4354" width="11" customWidth="1"/>
    <col min="4355" max="4355" width="16.81640625" customWidth="1"/>
    <col min="4356" max="4356" width="16.7265625" customWidth="1"/>
    <col min="4357" max="4357" width="14.7265625" customWidth="1"/>
    <col min="4358" max="4358" width="4.81640625" customWidth="1"/>
    <col min="4359" max="4359" width="14.7265625" customWidth="1"/>
    <col min="4360" max="4360" width="18.26953125" customWidth="1"/>
    <col min="4361" max="4361" width="15.54296875" customWidth="1"/>
    <col min="4362" max="4362" width="6.1796875" customWidth="1"/>
    <col min="4363" max="4363" width="14.7265625" customWidth="1"/>
    <col min="4364" max="4364" width="16.1796875" customWidth="1"/>
    <col min="4365" max="4365" width="14.7265625" customWidth="1"/>
    <col min="4366" max="4366" width="4.81640625" customWidth="1"/>
    <col min="4367" max="4367" width="18.54296875" customWidth="1"/>
    <col min="4609" max="4609" width="33.1796875" customWidth="1"/>
    <col min="4610" max="4610" width="11" customWidth="1"/>
    <col min="4611" max="4611" width="16.81640625" customWidth="1"/>
    <col min="4612" max="4612" width="16.7265625" customWidth="1"/>
    <col min="4613" max="4613" width="14.7265625" customWidth="1"/>
    <col min="4614" max="4614" width="4.81640625" customWidth="1"/>
    <col min="4615" max="4615" width="14.7265625" customWidth="1"/>
    <col min="4616" max="4616" width="18.26953125" customWidth="1"/>
    <col min="4617" max="4617" width="15.54296875" customWidth="1"/>
    <col min="4618" max="4618" width="6.1796875" customWidth="1"/>
    <col min="4619" max="4619" width="14.7265625" customWidth="1"/>
    <col min="4620" max="4620" width="16.1796875" customWidth="1"/>
    <col min="4621" max="4621" width="14.7265625" customWidth="1"/>
    <col min="4622" max="4622" width="4.81640625" customWidth="1"/>
    <col min="4623" max="4623" width="18.54296875" customWidth="1"/>
    <col min="4865" max="4865" width="33.1796875" customWidth="1"/>
    <col min="4866" max="4866" width="11" customWidth="1"/>
    <col min="4867" max="4867" width="16.81640625" customWidth="1"/>
    <col min="4868" max="4868" width="16.7265625" customWidth="1"/>
    <col min="4869" max="4869" width="14.7265625" customWidth="1"/>
    <col min="4870" max="4870" width="4.81640625" customWidth="1"/>
    <col min="4871" max="4871" width="14.7265625" customWidth="1"/>
    <col min="4872" max="4872" width="18.26953125" customWidth="1"/>
    <col min="4873" max="4873" width="15.54296875" customWidth="1"/>
    <col min="4874" max="4874" width="6.1796875" customWidth="1"/>
    <col min="4875" max="4875" width="14.7265625" customWidth="1"/>
    <col min="4876" max="4876" width="16.1796875" customWidth="1"/>
    <col min="4877" max="4877" width="14.7265625" customWidth="1"/>
    <col min="4878" max="4878" width="4.81640625" customWidth="1"/>
    <col min="4879" max="4879" width="18.54296875" customWidth="1"/>
    <col min="5121" max="5121" width="33.1796875" customWidth="1"/>
    <col min="5122" max="5122" width="11" customWidth="1"/>
    <col min="5123" max="5123" width="16.81640625" customWidth="1"/>
    <col min="5124" max="5124" width="16.7265625" customWidth="1"/>
    <col min="5125" max="5125" width="14.7265625" customWidth="1"/>
    <col min="5126" max="5126" width="4.81640625" customWidth="1"/>
    <col min="5127" max="5127" width="14.7265625" customWidth="1"/>
    <col min="5128" max="5128" width="18.26953125" customWidth="1"/>
    <col min="5129" max="5129" width="15.54296875" customWidth="1"/>
    <col min="5130" max="5130" width="6.1796875" customWidth="1"/>
    <col min="5131" max="5131" width="14.7265625" customWidth="1"/>
    <col min="5132" max="5132" width="16.1796875" customWidth="1"/>
    <col min="5133" max="5133" width="14.7265625" customWidth="1"/>
    <col min="5134" max="5134" width="4.81640625" customWidth="1"/>
    <col min="5135" max="5135" width="18.54296875" customWidth="1"/>
    <col min="5377" max="5377" width="33.1796875" customWidth="1"/>
    <col min="5378" max="5378" width="11" customWidth="1"/>
    <col min="5379" max="5379" width="16.81640625" customWidth="1"/>
    <col min="5380" max="5380" width="16.7265625" customWidth="1"/>
    <col min="5381" max="5381" width="14.7265625" customWidth="1"/>
    <col min="5382" max="5382" width="4.81640625" customWidth="1"/>
    <col min="5383" max="5383" width="14.7265625" customWidth="1"/>
    <col min="5384" max="5384" width="18.26953125" customWidth="1"/>
    <col min="5385" max="5385" width="15.54296875" customWidth="1"/>
    <col min="5386" max="5386" width="6.1796875" customWidth="1"/>
    <col min="5387" max="5387" width="14.7265625" customWidth="1"/>
    <col min="5388" max="5388" width="16.1796875" customWidth="1"/>
    <col min="5389" max="5389" width="14.7265625" customWidth="1"/>
    <col min="5390" max="5390" width="4.81640625" customWidth="1"/>
    <col min="5391" max="5391" width="18.54296875" customWidth="1"/>
    <col min="5633" max="5633" width="33.1796875" customWidth="1"/>
    <col min="5634" max="5634" width="11" customWidth="1"/>
    <col min="5635" max="5635" width="16.81640625" customWidth="1"/>
    <col min="5636" max="5636" width="16.7265625" customWidth="1"/>
    <col min="5637" max="5637" width="14.7265625" customWidth="1"/>
    <col min="5638" max="5638" width="4.81640625" customWidth="1"/>
    <col min="5639" max="5639" width="14.7265625" customWidth="1"/>
    <col min="5640" max="5640" width="18.26953125" customWidth="1"/>
    <col min="5641" max="5641" width="15.54296875" customWidth="1"/>
    <col min="5642" max="5642" width="6.1796875" customWidth="1"/>
    <col min="5643" max="5643" width="14.7265625" customWidth="1"/>
    <col min="5644" max="5644" width="16.1796875" customWidth="1"/>
    <col min="5645" max="5645" width="14.7265625" customWidth="1"/>
    <col min="5646" max="5646" width="4.81640625" customWidth="1"/>
    <col min="5647" max="5647" width="18.54296875" customWidth="1"/>
    <col min="5889" max="5889" width="33.1796875" customWidth="1"/>
    <col min="5890" max="5890" width="11" customWidth="1"/>
    <col min="5891" max="5891" width="16.81640625" customWidth="1"/>
    <col min="5892" max="5892" width="16.7265625" customWidth="1"/>
    <col min="5893" max="5893" width="14.7265625" customWidth="1"/>
    <col min="5894" max="5894" width="4.81640625" customWidth="1"/>
    <col min="5895" max="5895" width="14.7265625" customWidth="1"/>
    <col min="5896" max="5896" width="18.26953125" customWidth="1"/>
    <col min="5897" max="5897" width="15.54296875" customWidth="1"/>
    <col min="5898" max="5898" width="6.1796875" customWidth="1"/>
    <col min="5899" max="5899" width="14.7265625" customWidth="1"/>
    <col min="5900" max="5900" width="16.1796875" customWidth="1"/>
    <col min="5901" max="5901" width="14.7265625" customWidth="1"/>
    <col min="5902" max="5902" width="4.81640625" customWidth="1"/>
    <col min="5903" max="5903" width="18.54296875" customWidth="1"/>
    <col min="6145" max="6145" width="33.1796875" customWidth="1"/>
    <col min="6146" max="6146" width="11" customWidth="1"/>
    <col min="6147" max="6147" width="16.81640625" customWidth="1"/>
    <col min="6148" max="6148" width="16.7265625" customWidth="1"/>
    <col min="6149" max="6149" width="14.7265625" customWidth="1"/>
    <col min="6150" max="6150" width="4.81640625" customWidth="1"/>
    <col min="6151" max="6151" width="14.7265625" customWidth="1"/>
    <col min="6152" max="6152" width="18.26953125" customWidth="1"/>
    <col min="6153" max="6153" width="15.54296875" customWidth="1"/>
    <col min="6154" max="6154" width="6.1796875" customWidth="1"/>
    <col min="6155" max="6155" width="14.7265625" customWidth="1"/>
    <col min="6156" max="6156" width="16.1796875" customWidth="1"/>
    <col min="6157" max="6157" width="14.7265625" customWidth="1"/>
    <col min="6158" max="6158" width="4.81640625" customWidth="1"/>
    <col min="6159" max="6159" width="18.54296875" customWidth="1"/>
    <col min="6401" max="6401" width="33.1796875" customWidth="1"/>
    <col min="6402" max="6402" width="11" customWidth="1"/>
    <col min="6403" max="6403" width="16.81640625" customWidth="1"/>
    <col min="6404" max="6404" width="16.7265625" customWidth="1"/>
    <col min="6405" max="6405" width="14.7265625" customWidth="1"/>
    <col min="6406" max="6406" width="4.81640625" customWidth="1"/>
    <col min="6407" max="6407" width="14.7265625" customWidth="1"/>
    <col min="6408" max="6408" width="18.26953125" customWidth="1"/>
    <col min="6409" max="6409" width="15.54296875" customWidth="1"/>
    <col min="6410" max="6410" width="6.1796875" customWidth="1"/>
    <col min="6411" max="6411" width="14.7265625" customWidth="1"/>
    <col min="6412" max="6412" width="16.1796875" customWidth="1"/>
    <col min="6413" max="6413" width="14.7265625" customWidth="1"/>
    <col min="6414" max="6414" width="4.81640625" customWidth="1"/>
    <col min="6415" max="6415" width="18.54296875" customWidth="1"/>
    <col min="6657" max="6657" width="33.1796875" customWidth="1"/>
    <col min="6658" max="6658" width="11" customWidth="1"/>
    <col min="6659" max="6659" width="16.81640625" customWidth="1"/>
    <col min="6660" max="6660" width="16.7265625" customWidth="1"/>
    <col min="6661" max="6661" width="14.7265625" customWidth="1"/>
    <col min="6662" max="6662" width="4.81640625" customWidth="1"/>
    <col min="6663" max="6663" width="14.7265625" customWidth="1"/>
    <col min="6664" max="6664" width="18.26953125" customWidth="1"/>
    <col min="6665" max="6665" width="15.54296875" customWidth="1"/>
    <col min="6666" max="6666" width="6.1796875" customWidth="1"/>
    <col min="6667" max="6667" width="14.7265625" customWidth="1"/>
    <col min="6668" max="6668" width="16.1796875" customWidth="1"/>
    <col min="6669" max="6669" width="14.7265625" customWidth="1"/>
    <col min="6670" max="6670" width="4.81640625" customWidth="1"/>
    <col min="6671" max="6671" width="18.54296875" customWidth="1"/>
    <col min="6913" max="6913" width="33.1796875" customWidth="1"/>
    <col min="6914" max="6914" width="11" customWidth="1"/>
    <col min="6915" max="6915" width="16.81640625" customWidth="1"/>
    <col min="6916" max="6916" width="16.7265625" customWidth="1"/>
    <col min="6917" max="6917" width="14.7265625" customWidth="1"/>
    <col min="6918" max="6918" width="4.81640625" customWidth="1"/>
    <col min="6919" max="6919" width="14.7265625" customWidth="1"/>
    <col min="6920" max="6920" width="18.26953125" customWidth="1"/>
    <col min="6921" max="6921" width="15.54296875" customWidth="1"/>
    <col min="6922" max="6922" width="6.1796875" customWidth="1"/>
    <col min="6923" max="6923" width="14.7265625" customWidth="1"/>
    <col min="6924" max="6924" width="16.1796875" customWidth="1"/>
    <col min="6925" max="6925" width="14.7265625" customWidth="1"/>
    <col min="6926" max="6926" width="4.81640625" customWidth="1"/>
    <col min="6927" max="6927" width="18.54296875" customWidth="1"/>
    <col min="7169" max="7169" width="33.1796875" customWidth="1"/>
    <col min="7170" max="7170" width="11" customWidth="1"/>
    <col min="7171" max="7171" width="16.81640625" customWidth="1"/>
    <col min="7172" max="7172" width="16.7265625" customWidth="1"/>
    <col min="7173" max="7173" width="14.7265625" customWidth="1"/>
    <col min="7174" max="7174" width="4.81640625" customWidth="1"/>
    <col min="7175" max="7175" width="14.7265625" customWidth="1"/>
    <col min="7176" max="7176" width="18.26953125" customWidth="1"/>
    <col min="7177" max="7177" width="15.54296875" customWidth="1"/>
    <col min="7178" max="7178" width="6.1796875" customWidth="1"/>
    <col min="7179" max="7179" width="14.7265625" customWidth="1"/>
    <col min="7180" max="7180" width="16.1796875" customWidth="1"/>
    <col min="7181" max="7181" width="14.7265625" customWidth="1"/>
    <col min="7182" max="7182" width="4.81640625" customWidth="1"/>
    <col min="7183" max="7183" width="18.54296875" customWidth="1"/>
    <col min="7425" max="7425" width="33.1796875" customWidth="1"/>
    <col min="7426" max="7426" width="11" customWidth="1"/>
    <col min="7427" max="7427" width="16.81640625" customWidth="1"/>
    <col min="7428" max="7428" width="16.7265625" customWidth="1"/>
    <col min="7429" max="7429" width="14.7265625" customWidth="1"/>
    <col min="7430" max="7430" width="4.81640625" customWidth="1"/>
    <col min="7431" max="7431" width="14.7265625" customWidth="1"/>
    <col min="7432" max="7432" width="18.26953125" customWidth="1"/>
    <col min="7433" max="7433" width="15.54296875" customWidth="1"/>
    <col min="7434" max="7434" width="6.1796875" customWidth="1"/>
    <col min="7435" max="7435" width="14.7265625" customWidth="1"/>
    <col min="7436" max="7436" width="16.1796875" customWidth="1"/>
    <col min="7437" max="7437" width="14.7265625" customWidth="1"/>
    <col min="7438" max="7438" width="4.81640625" customWidth="1"/>
    <col min="7439" max="7439" width="18.54296875" customWidth="1"/>
    <col min="7681" max="7681" width="33.1796875" customWidth="1"/>
    <col min="7682" max="7682" width="11" customWidth="1"/>
    <col min="7683" max="7683" width="16.81640625" customWidth="1"/>
    <col min="7684" max="7684" width="16.7265625" customWidth="1"/>
    <col min="7685" max="7685" width="14.7265625" customWidth="1"/>
    <col min="7686" max="7686" width="4.81640625" customWidth="1"/>
    <col min="7687" max="7687" width="14.7265625" customWidth="1"/>
    <col min="7688" max="7688" width="18.26953125" customWidth="1"/>
    <col min="7689" max="7689" width="15.54296875" customWidth="1"/>
    <col min="7690" max="7690" width="6.1796875" customWidth="1"/>
    <col min="7691" max="7691" width="14.7265625" customWidth="1"/>
    <col min="7692" max="7692" width="16.1796875" customWidth="1"/>
    <col min="7693" max="7693" width="14.7265625" customWidth="1"/>
    <col min="7694" max="7694" width="4.81640625" customWidth="1"/>
    <col min="7695" max="7695" width="18.54296875" customWidth="1"/>
    <col min="7937" max="7937" width="33.1796875" customWidth="1"/>
    <col min="7938" max="7938" width="11" customWidth="1"/>
    <col min="7939" max="7939" width="16.81640625" customWidth="1"/>
    <col min="7940" max="7940" width="16.7265625" customWidth="1"/>
    <col min="7941" max="7941" width="14.7265625" customWidth="1"/>
    <col min="7942" max="7942" width="4.81640625" customWidth="1"/>
    <col min="7943" max="7943" width="14.7265625" customWidth="1"/>
    <col min="7944" max="7944" width="18.26953125" customWidth="1"/>
    <col min="7945" max="7945" width="15.54296875" customWidth="1"/>
    <col min="7946" max="7946" width="6.1796875" customWidth="1"/>
    <col min="7947" max="7947" width="14.7265625" customWidth="1"/>
    <col min="7948" max="7948" width="16.1796875" customWidth="1"/>
    <col min="7949" max="7949" width="14.7265625" customWidth="1"/>
    <col min="7950" max="7950" width="4.81640625" customWidth="1"/>
    <col min="7951" max="7951" width="18.54296875" customWidth="1"/>
    <col min="8193" max="8193" width="33.1796875" customWidth="1"/>
    <col min="8194" max="8194" width="11" customWidth="1"/>
    <col min="8195" max="8195" width="16.81640625" customWidth="1"/>
    <col min="8196" max="8196" width="16.7265625" customWidth="1"/>
    <col min="8197" max="8197" width="14.7265625" customWidth="1"/>
    <col min="8198" max="8198" width="4.81640625" customWidth="1"/>
    <col min="8199" max="8199" width="14.7265625" customWidth="1"/>
    <col min="8200" max="8200" width="18.26953125" customWidth="1"/>
    <col min="8201" max="8201" width="15.54296875" customWidth="1"/>
    <col min="8202" max="8202" width="6.1796875" customWidth="1"/>
    <col min="8203" max="8203" width="14.7265625" customWidth="1"/>
    <col min="8204" max="8204" width="16.1796875" customWidth="1"/>
    <col min="8205" max="8205" width="14.7265625" customWidth="1"/>
    <col min="8206" max="8206" width="4.81640625" customWidth="1"/>
    <col min="8207" max="8207" width="18.54296875" customWidth="1"/>
    <col min="8449" max="8449" width="33.1796875" customWidth="1"/>
    <col min="8450" max="8450" width="11" customWidth="1"/>
    <col min="8451" max="8451" width="16.81640625" customWidth="1"/>
    <col min="8452" max="8452" width="16.7265625" customWidth="1"/>
    <col min="8453" max="8453" width="14.7265625" customWidth="1"/>
    <col min="8454" max="8454" width="4.81640625" customWidth="1"/>
    <col min="8455" max="8455" width="14.7265625" customWidth="1"/>
    <col min="8456" max="8456" width="18.26953125" customWidth="1"/>
    <col min="8457" max="8457" width="15.54296875" customWidth="1"/>
    <col min="8458" max="8458" width="6.1796875" customWidth="1"/>
    <col min="8459" max="8459" width="14.7265625" customWidth="1"/>
    <col min="8460" max="8460" width="16.1796875" customWidth="1"/>
    <col min="8461" max="8461" width="14.7265625" customWidth="1"/>
    <col min="8462" max="8462" width="4.81640625" customWidth="1"/>
    <col min="8463" max="8463" width="18.54296875" customWidth="1"/>
    <col min="8705" max="8705" width="33.1796875" customWidth="1"/>
    <col min="8706" max="8706" width="11" customWidth="1"/>
    <col min="8707" max="8707" width="16.81640625" customWidth="1"/>
    <col min="8708" max="8708" width="16.7265625" customWidth="1"/>
    <col min="8709" max="8709" width="14.7265625" customWidth="1"/>
    <col min="8710" max="8710" width="4.81640625" customWidth="1"/>
    <col min="8711" max="8711" width="14.7265625" customWidth="1"/>
    <col min="8712" max="8712" width="18.26953125" customWidth="1"/>
    <col min="8713" max="8713" width="15.54296875" customWidth="1"/>
    <col min="8714" max="8714" width="6.1796875" customWidth="1"/>
    <col min="8715" max="8715" width="14.7265625" customWidth="1"/>
    <col min="8716" max="8716" width="16.1796875" customWidth="1"/>
    <col min="8717" max="8717" width="14.7265625" customWidth="1"/>
    <col min="8718" max="8718" width="4.81640625" customWidth="1"/>
    <col min="8719" max="8719" width="18.54296875" customWidth="1"/>
    <col min="8961" max="8961" width="33.1796875" customWidth="1"/>
    <col min="8962" max="8962" width="11" customWidth="1"/>
    <col min="8963" max="8963" width="16.81640625" customWidth="1"/>
    <col min="8964" max="8964" width="16.7265625" customWidth="1"/>
    <col min="8965" max="8965" width="14.7265625" customWidth="1"/>
    <col min="8966" max="8966" width="4.81640625" customWidth="1"/>
    <col min="8967" max="8967" width="14.7265625" customWidth="1"/>
    <col min="8968" max="8968" width="18.26953125" customWidth="1"/>
    <col min="8969" max="8969" width="15.54296875" customWidth="1"/>
    <col min="8970" max="8970" width="6.1796875" customWidth="1"/>
    <col min="8971" max="8971" width="14.7265625" customWidth="1"/>
    <col min="8972" max="8972" width="16.1796875" customWidth="1"/>
    <col min="8973" max="8973" width="14.7265625" customWidth="1"/>
    <col min="8974" max="8974" width="4.81640625" customWidth="1"/>
    <col min="8975" max="8975" width="18.54296875" customWidth="1"/>
    <col min="9217" max="9217" width="33.1796875" customWidth="1"/>
    <col min="9218" max="9218" width="11" customWidth="1"/>
    <col min="9219" max="9219" width="16.81640625" customWidth="1"/>
    <col min="9220" max="9220" width="16.7265625" customWidth="1"/>
    <col min="9221" max="9221" width="14.7265625" customWidth="1"/>
    <col min="9222" max="9222" width="4.81640625" customWidth="1"/>
    <col min="9223" max="9223" width="14.7265625" customWidth="1"/>
    <col min="9224" max="9224" width="18.26953125" customWidth="1"/>
    <col min="9225" max="9225" width="15.54296875" customWidth="1"/>
    <col min="9226" max="9226" width="6.1796875" customWidth="1"/>
    <col min="9227" max="9227" width="14.7265625" customWidth="1"/>
    <col min="9228" max="9228" width="16.1796875" customWidth="1"/>
    <col min="9229" max="9229" width="14.7265625" customWidth="1"/>
    <col min="9230" max="9230" width="4.81640625" customWidth="1"/>
    <col min="9231" max="9231" width="18.54296875" customWidth="1"/>
    <col min="9473" max="9473" width="33.1796875" customWidth="1"/>
    <col min="9474" max="9474" width="11" customWidth="1"/>
    <col min="9475" max="9475" width="16.81640625" customWidth="1"/>
    <col min="9476" max="9476" width="16.7265625" customWidth="1"/>
    <col min="9477" max="9477" width="14.7265625" customWidth="1"/>
    <col min="9478" max="9478" width="4.81640625" customWidth="1"/>
    <col min="9479" max="9479" width="14.7265625" customWidth="1"/>
    <col min="9480" max="9480" width="18.26953125" customWidth="1"/>
    <col min="9481" max="9481" width="15.54296875" customWidth="1"/>
    <col min="9482" max="9482" width="6.1796875" customWidth="1"/>
    <col min="9483" max="9483" width="14.7265625" customWidth="1"/>
    <col min="9484" max="9484" width="16.1796875" customWidth="1"/>
    <col min="9485" max="9485" width="14.7265625" customWidth="1"/>
    <col min="9486" max="9486" width="4.81640625" customWidth="1"/>
    <col min="9487" max="9487" width="18.54296875" customWidth="1"/>
    <col min="9729" max="9729" width="33.1796875" customWidth="1"/>
    <col min="9730" max="9730" width="11" customWidth="1"/>
    <col min="9731" max="9731" width="16.81640625" customWidth="1"/>
    <col min="9732" max="9732" width="16.7265625" customWidth="1"/>
    <col min="9733" max="9733" width="14.7265625" customWidth="1"/>
    <col min="9734" max="9734" width="4.81640625" customWidth="1"/>
    <col min="9735" max="9735" width="14.7265625" customWidth="1"/>
    <col min="9736" max="9736" width="18.26953125" customWidth="1"/>
    <col min="9737" max="9737" width="15.54296875" customWidth="1"/>
    <col min="9738" max="9738" width="6.1796875" customWidth="1"/>
    <col min="9739" max="9739" width="14.7265625" customWidth="1"/>
    <col min="9740" max="9740" width="16.1796875" customWidth="1"/>
    <col min="9741" max="9741" width="14.7265625" customWidth="1"/>
    <col min="9742" max="9742" width="4.81640625" customWidth="1"/>
    <col min="9743" max="9743" width="18.54296875" customWidth="1"/>
    <col min="9985" max="9985" width="33.1796875" customWidth="1"/>
    <col min="9986" max="9986" width="11" customWidth="1"/>
    <col min="9987" max="9987" width="16.81640625" customWidth="1"/>
    <col min="9988" max="9988" width="16.7265625" customWidth="1"/>
    <col min="9989" max="9989" width="14.7265625" customWidth="1"/>
    <col min="9990" max="9990" width="4.81640625" customWidth="1"/>
    <col min="9991" max="9991" width="14.7265625" customWidth="1"/>
    <col min="9992" max="9992" width="18.26953125" customWidth="1"/>
    <col min="9993" max="9993" width="15.54296875" customWidth="1"/>
    <col min="9994" max="9994" width="6.1796875" customWidth="1"/>
    <col min="9995" max="9995" width="14.7265625" customWidth="1"/>
    <col min="9996" max="9996" width="16.1796875" customWidth="1"/>
    <col min="9997" max="9997" width="14.7265625" customWidth="1"/>
    <col min="9998" max="9998" width="4.81640625" customWidth="1"/>
    <col min="9999" max="9999" width="18.54296875" customWidth="1"/>
    <col min="10241" max="10241" width="33.1796875" customWidth="1"/>
    <col min="10242" max="10242" width="11" customWidth="1"/>
    <col min="10243" max="10243" width="16.81640625" customWidth="1"/>
    <col min="10244" max="10244" width="16.7265625" customWidth="1"/>
    <col min="10245" max="10245" width="14.7265625" customWidth="1"/>
    <col min="10246" max="10246" width="4.81640625" customWidth="1"/>
    <col min="10247" max="10247" width="14.7265625" customWidth="1"/>
    <col min="10248" max="10248" width="18.26953125" customWidth="1"/>
    <col min="10249" max="10249" width="15.54296875" customWidth="1"/>
    <col min="10250" max="10250" width="6.1796875" customWidth="1"/>
    <col min="10251" max="10251" width="14.7265625" customWidth="1"/>
    <col min="10252" max="10252" width="16.1796875" customWidth="1"/>
    <col min="10253" max="10253" width="14.7265625" customWidth="1"/>
    <col min="10254" max="10254" width="4.81640625" customWidth="1"/>
    <col min="10255" max="10255" width="18.54296875" customWidth="1"/>
    <col min="10497" max="10497" width="33.1796875" customWidth="1"/>
    <col min="10498" max="10498" width="11" customWidth="1"/>
    <col min="10499" max="10499" width="16.81640625" customWidth="1"/>
    <col min="10500" max="10500" width="16.7265625" customWidth="1"/>
    <col min="10501" max="10501" width="14.7265625" customWidth="1"/>
    <col min="10502" max="10502" width="4.81640625" customWidth="1"/>
    <col min="10503" max="10503" width="14.7265625" customWidth="1"/>
    <col min="10504" max="10504" width="18.26953125" customWidth="1"/>
    <col min="10505" max="10505" width="15.54296875" customWidth="1"/>
    <col min="10506" max="10506" width="6.1796875" customWidth="1"/>
    <col min="10507" max="10507" width="14.7265625" customWidth="1"/>
    <col min="10508" max="10508" width="16.1796875" customWidth="1"/>
    <col min="10509" max="10509" width="14.7265625" customWidth="1"/>
    <col min="10510" max="10510" width="4.81640625" customWidth="1"/>
    <col min="10511" max="10511" width="18.54296875" customWidth="1"/>
    <col min="10753" max="10753" width="33.1796875" customWidth="1"/>
    <col min="10754" max="10754" width="11" customWidth="1"/>
    <col min="10755" max="10755" width="16.81640625" customWidth="1"/>
    <col min="10756" max="10756" width="16.7265625" customWidth="1"/>
    <col min="10757" max="10757" width="14.7265625" customWidth="1"/>
    <col min="10758" max="10758" width="4.81640625" customWidth="1"/>
    <col min="10759" max="10759" width="14.7265625" customWidth="1"/>
    <col min="10760" max="10760" width="18.26953125" customWidth="1"/>
    <col min="10761" max="10761" width="15.54296875" customWidth="1"/>
    <col min="10762" max="10762" width="6.1796875" customWidth="1"/>
    <col min="10763" max="10763" width="14.7265625" customWidth="1"/>
    <col min="10764" max="10764" width="16.1796875" customWidth="1"/>
    <col min="10765" max="10765" width="14.7265625" customWidth="1"/>
    <col min="10766" max="10766" width="4.81640625" customWidth="1"/>
    <col min="10767" max="10767" width="18.54296875" customWidth="1"/>
    <col min="11009" max="11009" width="33.1796875" customWidth="1"/>
    <col min="11010" max="11010" width="11" customWidth="1"/>
    <col min="11011" max="11011" width="16.81640625" customWidth="1"/>
    <col min="11012" max="11012" width="16.7265625" customWidth="1"/>
    <col min="11013" max="11013" width="14.7265625" customWidth="1"/>
    <col min="11014" max="11014" width="4.81640625" customWidth="1"/>
    <col min="11015" max="11015" width="14.7265625" customWidth="1"/>
    <col min="11016" max="11016" width="18.26953125" customWidth="1"/>
    <col min="11017" max="11017" width="15.54296875" customWidth="1"/>
    <col min="11018" max="11018" width="6.1796875" customWidth="1"/>
    <col min="11019" max="11019" width="14.7265625" customWidth="1"/>
    <col min="11020" max="11020" width="16.1796875" customWidth="1"/>
    <col min="11021" max="11021" width="14.7265625" customWidth="1"/>
    <col min="11022" max="11022" width="4.81640625" customWidth="1"/>
    <col min="11023" max="11023" width="18.54296875" customWidth="1"/>
    <col min="11265" max="11265" width="33.1796875" customWidth="1"/>
    <col min="11266" max="11266" width="11" customWidth="1"/>
    <col min="11267" max="11267" width="16.81640625" customWidth="1"/>
    <col min="11268" max="11268" width="16.7265625" customWidth="1"/>
    <col min="11269" max="11269" width="14.7265625" customWidth="1"/>
    <col min="11270" max="11270" width="4.81640625" customWidth="1"/>
    <col min="11271" max="11271" width="14.7265625" customWidth="1"/>
    <col min="11272" max="11272" width="18.26953125" customWidth="1"/>
    <col min="11273" max="11273" width="15.54296875" customWidth="1"/>
    <col min="11274" max="11274" width="6.1796875" customWidth="1"/>
    <col min="11275" max="11275" width="14.7265625" customWidth="1"/>
    <col min="11276" max="11276" width="16.1796875" customWidth="1"/>
    <col min="11277" max="11277" width="14.7265625" customWidth="1"/>
    <col min="11278" max="11278" width="4.81640625" customWidth="1"/>
    <col min="11279" max="11279" width="18.54296875" customWidth="1"/>
    <col min="11521" max="11521" width="33.1796875" customWidth="1"/>
    <col min="11522" max="11522" width="11" customWidth="1"/>
    <col min="11523" max="11523" width="16.81640625" customWidth="1"/>
    <col min="11524" max="11524" width="16.7265625" customWidth="1"/>
    <col min="11525" max="11525" width="14.7265625" customWidth="1"/>
    <col min="11526" max="11526" width="4.81640625" customWidth="1"/>
    <col min="11527" max="11527" width="14.7265625" customWidth="1"/>
    <col min="11528" max="11528" width="18.26953125" customWidth="1"/>
    <col min="11529" max="11529" width="15.54296875" customWidth="1"/>
    <col min="11530" max="11530" width="6.1796875" customWidth="1"/>
    <col min="11531" max="11531" width="14.7265625" customWidth="1"/>
    <col min="11532" max="11532" width="16.1796875" customWidth="1"/>
    <col min="11533" max="11533" width="14.7265625" customWidth="1"/>
    <col min="11534" max="11534" width="4.81640625" customWidth="1"/>
    <col min="11535" max="11535" width="18.54296875" customWidth="1"/>
    <col min="11777" max="11777" width="33.1796875" customWidth="1"/>
    <col min="11778" max="11778" width="11" customWidth="1"/>
    <col min="11779" max="11779" width="16.81640625" customWidth="1"/>
    <col min="11780" max="11780" width="16.7265625" customWidth="1"/>
    <col min="11781" max="11781" width="14.7265625" customWidth="1"/>
    <col min="11782" max="11782" width="4.81640625" customWidth="1"/>
    <col min="11783" max="11783" width="14.7265625" customWidth="1"/>
    <col min="11784" max="11784" width="18.26953125" customWidth="1"/>
    <col min="11785" max="11785" width="15.54296875" customWidth="1"/>
    <col min="11786" max="11786" width="6.1796875" customWidth="1"/>
    <col min="11787" max="11787" width="14.7265625" customWidth="1"/>
    <col min="11788" max="11788" width="16.1796875" customWidth="1"/>
    <col min="11789" max="11789" width="14.7265625" customWidth="1"/>
    <col min="11790" max="11790" width="4.81640625" customWidth="1"/>
    <col min="11791" max="11791" width="18.54296875" customWidth="1"/>
    <col min="12033" max="12033" width="33.1796875" customWidth="1"/>
    <col min="12034" max="12034" width="11" customWidth="1"/>
    <col min="12035" max="12035" width="16.81640625" customWidth="1"/>
    <col min="12036" max="12036" width="16.7265625" customWidth="1"/>
    <col min="12037" max="12037" width="14.7265625" customWidth="1"/>
    <col min="12038" max="12038" width="4.81640625" customWidth="1"/>
    <col min="12039" max="12039" width="14.7265625" customWidth="1"/>
    <col min="12040" max="12040" width="18.26953125" customWidth="1"/>
    <col min="12041" max="12041" width="15.54296875" customWidth="1"/>
    <col min="12042" max="12042" width="6.1796875" customWidth="1"/>
    <col min="12043" max="12043" width="14.7265625" customWidth="1"/>
    <col min="12044" max="12044" width="16.1796875" customWidth="1"/>
    <col min="12045" max="12045" width="14.7265625" customWidth="1"/>
    <col min="12046" max="12046" width="4.81640625" customWidth="1"/>
    <col min="12047" max="12047" width="18.54296875" customWidth="1"/>
    <col min="12289" max="12289" width="33.1796875" customWidth="1"/>
    <col min="12290" max="12290" width="11" customWidth="1"/>
    <col min="12291" max="12291" width="16.81640625" customWidth="1"/>
    <col min="12292" max="12292" width="16.7265625" customWidth="1"/>
    <col min="12293" max="12293" width="14.7265625" customWidth="1"/>
    <col min="12294" max="12294" width="4.81640625" customWidth="1"/>
    <col min="12295" max="12295" width="14.7265625" customWidth="1"/>
    <col min="12296" max="12296" width="18.26953125" customWidth="1"/>
    <col min="12297" max="12297" width="15.54296875" customWidth="1"/>
    <col min="12298" max="12298" width="6.1796875" customWidth="1"/>
    <col min="12299" max="12299" width="14.7265625" customWidth="1"/>
    <col min="12300" max="12300" width="16.1796875" customWidth="1"/>
    <col min="12301" max="12301" width="14.7265625" customWidth="1"/>
    <col min="12302" max="12302" width="4.81640625" customWidth="1"/>
    <col min="12303" max="12303" width="18.54296875" customWidth="1"/>
    <col min="12545" max="12545" width="33.1796875" customWidth="1"/>
    <col min="12546" max="12546" width="11" customWidth="1"/>
    <col min="12547" max="12547" width="16.81640625" customWidth="1"/>
    <col min="12548" max="12548" width="16.7265625" customWidth="1"/>
    <col min="12549" max="12549" width="14.7265625" customWidth="1"/>
    <col min="12550" max="12550" width="4.81640625" customWidth="1"/>
    <col min="12551" max="12551" width="14.7265625" customWidth="1"/>
    <col min="12552" max="12552" width="18.26953125" customWidth="1"/>
    <col min="12553" max="12553" width="15.54296875" customWidth="1"/>
    <col min="12554" max="12554" width="6.1796875" customWidth="1"/>
    <col min="12555" max="12555" width="14.7265625" customWidth="1"/>
    <col min="12556" max="12556" width="16.1796875" customWidth="1"/>
    <col min="12557" max="12557" width="14.7265625" customWidth="1"/>
    <col min="12558" max="12558" width="4.81640625" customWidth="1"/>
    <col min="12559" max="12559" width="18.54296875" customWidth="1"/>
    <col min="12801" max="12801" width="33.1796875" customWidth="1"/>
    <col min="12802" max="12802" width="11" customWidth="1"/>
    <col min="12803" max="12803" width="16.81640625" customWidth="1"/>
    <col min="12804" max="12804" width="16.7265625" customWidth="1"/>
    <col min="12805" max="12805" width="14.7265625" customWidth="1"/>
    <col min="12806" max="12806" width="4.81640625" customWidth="1"/>
    <col min="12807" max="12807" width="14.7265625" customWidth="1"/>
    <col min="12808" max="12808" width="18.26953125" customWidth="1"/>
    <col min="12809" max="12809" width="15.54296875" customWidth="1"/>
    <col min="12810" max="12810" width="6.1796875" customWidth="1"/>
    <col min="12811" max="12811" width="14.7265625" customWidth="1"/>
    <col min="12812" max="12812" width="16.1796875" customWidth="1"/>
    <col min="12813" max="12813" width="14.7265625" customWidth="1"/>
    <col min="12814" max="12814" width="4.81640625" customWidth="1"/>
    <col min="12815" max="12815" width="18.54296875" customWidth="1"/>
    <col min="13057" max="13057" width="33.1796875" customWidth="1"/>
    <col min="13058" max="13058" width="11" customWidth="1"/>
    <col min="13059" max="13059" width="16.81640625" customWidth="1"/>
    <col min="13060" max="13060" width="16.7265625" customWidth="1"/>
    <col min="13061" max="13061" width="14.7265625" customWidth="1"/>
    <col min="13062" max="13062" width="4.81640625" customWidth="1"/>
    <col min="13063" max="13063" width="14.7265625" customWidth="1"/>
    <col min="13064" max="13064" width="18.26953125" customWidth="1"/>
    <col min="13065" max="13065" width="15.54296875" customWidth="1"/>
    <col min="13066" max="13066" width="6.1796875" customWidth="1"/>
    <col min="13067" max="13067" width="14.7265625" customWidth="1"/>
    <col min="13068" max="13068" width="16.1796875" customWidth="1"/>
    <col min="13069" max="13069" width="14.7265625" customWidth="1"/>
    <col min="13070" max="13070" width="4.81640625" customWidth="1"/>
    <col min="13071" max="13071" width="18.54296875" customWidth="1"/>
    <col min="13313" max="13313" width="33.1796875" customWidth="1"/>
    <col min="13314" max="13314" width="11" customWidth="1"/>
    <col min="13315" max="13315" width="16.81640625" customWidth="1"/>
    <col min="13316" max="13316" width="16.7265625" customWidth="1"/>
    <col min="13317" max="13317" width="14.7265625" customWidth="1"/>
    <col min="13318" max="13318" width="4.81640625" customWidth="1"/>
    <col min="13319" max="13319" width="14.7265625" customWidth="1"/>
    <col min="13320" max="13320" width="18.26953125" customWidth="1"/>
    <col min="13321" max="13321" width="15.54296875" customWidth="1"/>
    <col min="13322" max="13322" width="6.1796875" customWidth="1"/>
    <col min="13323" max="13323" width="14.7265625" customWidth="1"/>
    <col min="13324" max="13324" width="16.1796875" customWidth="1"/>
    <col min="13325" max="13325" width="14.7265625" customWidth="1"/>
    <col min="13326" max="13326" width="4.81640625" customWidth="1"/>
    <col min="13327" max="13327" width="18.54296875" customWidth="1"/>
    <col min="13569" max="13569" width="33.1796875" customWidth="1"/>
    <col min="13570" max="13570" width="11" customWidth="1"/>
    <col min="13571" max="13571" width="16.81640625" customWidth="1"/>
    <col min="13572" max="13572" width="16.7265625" customWidth="1"/>
    <col min="13573" max="13573" width="14.7265625" customWidth="1"/>
    <col min="13574" max="13574" width="4.81640625" customWidth="1"/>
    <col min="13575" max="13575" width="14.7265625" customWidth="1"/>
    <col min="13576" max="13576" width="18.26953125" customWidth="1"/>
    <col min="13577" max="13577" width="15.54296875" customWidth="1"/>
    <col min="13578" max="13578" width="6.1796875" customWidth="1"/>
    <col min="13579" max="13579" width="14.7265625" customWidth="1"/>
    <col min="13580" max="13580" width="16.1796875" customWidth="1"/>
    <col min="13581" max="13581" width="14.7265625" customWidth="1"/>
    <col min="13582" max="13582" width="4.81640625" customWidth="1"/>
    <col min="13583" max="13583" width="18.54296875" customWidth="1"/>
    <col min="13825" max="13825" width="33.1796875" customWidth="1"/>
    <col min="13826" max="13826" width="11" customWidth="1"/>
    <col min="13827" max="13827" width="16.81640625" customWidth="1"/>
    <col min="13828" max="13828" width="16.7265625" customWidth="1"/>
    <col min="13829" max="13829" width="14.7265625" customWidth="1"/>
    <col min="13830" max="13830" width="4.81640625" customWidth="1"/>
    <col min="13831" max="13831" width="14.7265625" customWidth="1"/>
    <col min="13832" max="13832" width="18.26953125" customWidth="1"/>
    <col min="13833" max="13833" width="15.54296875" customWidth="1"/>
    <col min="13834" max="13834" width="6.1796875" customWidth="1"/>
    <col min="13835" max="13835" width="14.7265625" customWidth="1"/>
    <col min="13836" max="13836" width="16.1796875" customWidth="1"/>
    <col min="13837" max="13837" width="14.7265625" customWidth="1"/>
    <col min="13838" max="13838" width="4.81640625" customWidth="1"/>
    <col min="13839" max="13839" width="18.54296875" customWidth="1"/>
    <col min="14081" max="14081" width="33.1796875" customWidth="1"/>
    <col min="14082" max="14082" width="11" customWidth="1"/>
    <col min="14083" max="14083" width="16.81640625" customWidth="1"/>
    <col min="14084" max="14084" width="16.7265625" customWidth="1"/>
    <col min="14085" max="14085" width="14.7265625" customWidth="1"/>
    <col min="14086" max="14086" width="4.81640625" customWidth="1"/>
    <col min="14087" max="14087" width="14.7265625" customWidth="1"/>
    <col min="14088" max="14088" width="18.26953125" customWidth="1"/>
    <col min="14089" max="14089" width="15.54296875" customWidth="1"/>
    <col min="14090" max="14090" width="6.1796875" customWidth="1"/>
    <col min="14091" max="14091" width="14.7265625" customWidth="1"/>
    <col min="14092" max="14092" width="16.1796875" customWidth="1"/>
    <col min="14093" max="14093" width="14.7265625" customWidth="1"/>
    <col min="14094" max="14094" width="4.81640625" customWidth="1"/>
    <col min="14095" max="14095" width="18.54296875" customWidth="1"/>
    <col min="14337" max="14337" width="33.1796875" customWidth="1"/>
    <col min="14338" max="14338" width="11" customWidth="1"/>
    <col min="14339" max="14339" width="16.81640625" customWidth="1"/>
    <col min="14340" max="14340" width="16.7265625" customWidth="1"/>
    <col min="14341" max="14341" width="14.7265625" customWidth="1"/>
    <col min="14342" max="14342" width="4.81640625" customWidth="1"/>
    <col min="14343" max="14343" width="14.7265625" customWidth="1"/>
    <col min="14344" max="14344" width="18.26953125" customWidth="1"/>
    <col min="14345" max="14345" width="15.54296875" customWidth="1"/>
    <col min="14346" max="14346" width="6.1796875" customWidth="1"/>
    <col min="14347" max="14347" width="14.7265625" customWidth="1"/>
    <col min="14348" max="14348" width="16.1796875" customWidth="1"/>
    <col min="14349" max="14349" width="14.7265625" customWidth="1"/>
    <col min="14350" max="14350" width="4.81640625" customWidth="1"/>
    <col min="14351" max="14351" width="18.54296875" customWidth="1"/>
    <col min="14593" max="14593" width="33.1796875" customWidth="1"/>
    <col min="14594" max="14594" width="11" customWidth="1"/>
    <col min="14595" max="14595" width="16.81640625" customWidth="1"/>
    <col min="14596" max="14596" width="16.7265625" customWidth="1"/>
    <col min="14597" max="14597" width="14.7265625" customWidth="1"/>
    <col min="14598" max="14598" width="4.81640625" customWidth="1"/>
    <col min="14599" max="14599" width="14.7265625" customWidth="1"/>
    <col min="14600" max="14600" width="18.26953125" customWidth="1"/>
    <col min="14601" max="14601" width="15.54296875" customWidth="1"/>
    <col min="14602" max="14602" width="6.1796875" customWidth="1"/>
    <col min="14603" max="14603" width="14.7265625" customWidth="1"/>
    <col min="14604" max="14604" width="16.1796875" customWidth="1"/>
    <col min="14605" max="14605" width="14.7265625" customWidth="1"/>
    <col min="14606" max="14606" width="4.81640625" customWidth="1"/>
    <col min="14607" max="14607" width="18.54296875" customWidth="1"/>
    <col min="14849" max="14849" width="33.1796875" customWidth="1"/>
    <col min="14850" max="14850" width="11" customWidth="1"/>
    <col min="14851" max="14851" width="16.81640625" customWidth="1"/>
    <col min="14852" max="14852" width="16.7265625" customWidth="1"/>
    <col min="14853" max="14853" width="14.7265625" customWidth="1"/>
    <col min="14854" max="14854" width="4.81640625" customWidth="1"/>
    <col min="14855" max="14855" width="14.7265625" customWidth="1"/>
    <col min="14856" max="14856" width="18.26953125" customWidth="1"/>
    <col min="14857" max="14857" width="15.54296875" customWidth="1"/>
    <col min="14858" max="14858" width="6.1796875" customWidth="1"/>
    <col min="14859" max="14859" width="14.7265625" customWidth="1"/>
    <col min="14860" max="14860" width="16.1796875" customWidth="1"/>
    <col min="14861" max="14861" width="14.7265625" customWidth="1"/>
    <col min="14862" max="14862" width="4.81640625" customWidth="1"/>
    <col min="14863" max="14863" width="18.54296875" customWidth="1"/>
    <col min="15105" max="15105" width="33.1796875" customWidth="1"/>
    <col min="15106" max="15106" width="11" customWidth="1"/>
    <col min="15107" max="15107" width="16.81640625" customWidth="1"/>
    <col min="15108" max="15108" width="16.7265625" customWidth="1"/>
    <col min="15109" max="15109" width="14.7265625" customWidth="1"/>
    <col min="15110" max="15110" width="4.81640625" customWidth="1"/>
    <col min="15111" max="15111" width="14.7265625" customWidth="1"/>
    <col min="15112" max="15112" width="18.26953125" customWidth="1"/>
    <col min="15113" max="15113" width="15.54296875" customWidth="1"/>
    <col min="15114" max="15114" width="6.1796875" customWidth="1"/>
    <col min="15115" max="15115" width="14.7265625" customWidth="1"/>
    <col min="15116" max="15116" width="16.1796875" customWidth="1"/>
    <col min="15117" max="15117" width="14.7265625" customWidth="1"/>
    <col min="15118" max="15118" width="4.81640625" customWidth="1"/>
    <col min="15119" max="15119" width="18.54296875" customWidth="1"/>
    <col min="15361" max="15361" width="33.1796875" customWidth="1"/>
    <col min="15362" max="15362" width="11" customWidth="1"/>
    <col min="15363" max="15363" width="16.81640625" customWidth="1"/>
    <col min="15364" max="15364" width="16.7265625" customWidth="1"/>
    <col min="15365" max="15365" width="14.7265625" customWidth="1"/>
    <col min="15366" max="15366" width="4.81640625" customWidth="1"/>
    <col min="15367" max="15367" width="14.7265625" customWidth="1"/>
    <col min="15368" max="15368" width="18.26953125" customWidth="1"/>
    <col min="15369" max="15369" width="15.54296875" customWidth="1"/>
    <col min="15370" max="15370" width="6.1796875" customWidth="1"/>
    <col min="15371" max="15371" width="14.7265625" customWidth="1"/>
    <col min="15372" max="15372" width="16.1796875" customWidth="1"/>
    <col min="15373" max="15373" width="14.7265625" customWidth="1"/>
    <col min="15374" max="15374" width="4.81640625" customWidth="1"/>
    <col min="15375" max="15375" width="18.54296875" customWidth="1"/>
    <col min="15617" max="15617" width="33.1796875" customWidth="1"/>
    <col min="15618" max="15618" width="11" customWidth="1"/>
    <col min="15619" max="15619" width="16.81640625" customWidth="1"/>
    <col min="15620" max="15620" width="16.7265625" customWidth="1"/>
    <col min="15621" max="15621" width="14.7265625" customWidth="1"/>
    <col min="15622" max="15622" width="4.81640625" customWidth="1"/>
    <col min="15623" max="15623" width="14.7265625" customWidth="1"/>
    <col min="15624" max="15624" width="18.26953125" customWidth="1"/>
    <col min="15625" max="15625" width="15.54296875" customWidth="1"/>
    <col min="15626" max="15626" width="6.1796875" customWidth="1"/>
    <col min="15627" max="15627" width="14.7265625" customWidth="1"/>
    <col min="15628" max="15628" width="16.1796875" customWidth="1"/>
    <col min="15629" max="15629" width="14.7265625" customWidth="1"/>
    <col min="15630" max="15630" width="4.81640625" customWidth="1"/>
    <col min="15631" max="15631" width="18.54296875" customWidth="1"/>
    <col min="15873" max="15873" width="33.1796875" customWidth="1"/>
    <col min="15874" max="15874" width="11" customWidth="1"/>
    <col min="15875" max="15875" width="16.81640625" customWidth="1"/>
    <col min="15876" max="15876" width="16.7265625" customWidth="1"/>
    <col min="15877" max="15877" width="14.7265625" customWidth="1"/>
    <col min="15878" max="15878" width="4.81640625" customWidth="1"/>
    <col min="15879" max="15879" width="14.7265625" customWidth="1"/>
    <col min="15880" max="15880" width="18.26953125" customWidth="1"/>
    <col min="15881" max="15881" width="15.54296875" customWidth="1"/>
    <col min="15882" max="15882" width="6.1796875" customWidth="1"/>
    <col min="15883" max="15883" width="14.7265625" customWidth="1"/>
    <col min="15884" max="15884" width="16.1796875" customWidth="1"/>
    <col min="15885" max="15885" width="14.7265625" customWidth="1"/>
    <col min="15886" max="15886" width="4.81640625" customWidth="1"/>
    <col min="15887" max="15887" width="18.54296875" customWidth="1"/>
    <col min="16129" max="16129" width="33.1796875" customWidth="1"/>
    <col min="16130" max="16130" width="11" customWidth="1"/>
    <col min="16131" max="16131" width="16.81640625" customWidth="1"/>
    <col min="16132" max="16132" width="16.7265625" customWidth="1"/>
    <col min="16133" max="16133" width="14.7265625" customWidth="1"/>
    <col min="16134" max="16134" width="4.81640625" customWidth="1"/>
    <col min="16135" max="16135" width="14.7265625" customWidth="1"/>
    <col min="16136" max="16136" width="18.26953125" customWidth="1"/>
    <col min="16137" max="16137" width="15.54296875" customWidth="1"/>
    <col min="16138" max="16138" width="6.1796875" customWidth="1"/>
    <col min="16139" max="16139" width="14.7265625" customWidth="1"/>
    <col min="16140" max="16140" width="16.1796875" customWidth="1"/>
    <col min="16141" max="16141" width="14.7265625" customWidth="1"/>
    <col min="16142" max="16142" width="4.81640625" customWidth="1"/>
    <col min="16143" max="16143" width="18.54296875" customWidth="1"/>
  </cols>
  <sheetData>
    <row r="1" spans="1:19" ht="15.5">
      <c r="A1" s="911" t="s">
        <v>115</v>
      </c>
      <c r="B1" s="783"/>
      <c r="C1" s="783"/>
      <c r="D1" s="783"/>
      <c r="E1" s="783"/>
      <c r="F1" s="783"/>
      <c r="G1" s="279"/>
      <c r="H1" s="783"/>
      <c r="I1" s="783"/>
      <c r="J1" s="783"/>
      <c r="K1" s="783"/>
      <c r="L1" s="783"/>
      <c r="M1" s="783"/>
      <c r="N1" s="783"/>
      <c r="O1" s="783"/>
      <c r="P1" s="783"/>
      <c r="Q1" s="783"/>
      <c r="R1" s="783"/>
      <c r="S1" s="783"/>
    </row>
    <row r="2" spans="1:19" ht="15.5">
      <c r="A2" s="911" t="s">
        <v>115</v>
      </c>
      <c r="B2" s="783"/>
      <c r="C2" s="783"/>
      <c r="D2" s="783"/>
      <c r="E2" s="783"/>
      <c r="F2" s="783"/>
      <c r="G2" s="279"/>
      <c r="H2" s="783"/>
      <c r="I2" s="783"/>
      <c r="J2" s="783"/>
      <c r="K2" s="783"/>
      <c r="L2" s="783"/>
      <c r="M2" s="783"/>
      <c r="N2" s="783"/>
      <c r="O2" s="783"/>
      <c r="P2" s="783"/>
      <c r="Q2" s="783"/>
      <c r="R2" s="783"/>
      <c r="S2" s="783"/>
    </row>
    <row r="3" spans="1:19" ht="18">
      <c r="A3" s="1591" t="s">
        <v>392</v>
      </c>
      <c r="B3" s="1591"/>
      <c r="C3" s="1591"/>
      <c r="D3" s="1591"/>
      <c r="E3" s="1591"/>
      <c r="F3" s="1591"/>
      <c r="G3" s="1591"/>
      <c r="H3" s="1591"/>
      <c r="I3" s="1591"/>
      <c r="J3" s="1591"/>
      <c r="K3" s="1591"/>
      <c r="L3" s="1591"/>
      <c r="M3" s="1591"/>
      <c r="N3" s="1591"/>
      <c r="O3" s="1591"/>
      <c r="P3" s="782"/>
      <c r="Q3" s="782"/>
      <c r="R3" s="782"/>
      <c r="S3" s="782"/>
    </row>
    <row r="4" spans="1:19" ht="18">
      <c r="A4" s="1591" t="s">
        <v>393</v>
      </c>
      <c r="B4" s="1591"/>
      <c r="C4" s="1591"/>
      <c r="D4" s="1591"/>
      <c r="E4" s="1591"/>
      <c r="F4" s="1591"/>
      <c r="G4" s="1591"/>
      <c r="H4" s="1591"/>
      <c r="I4" s="1591"/>
      <c r="J4" s="1591"/>
      <c r="K4" s="1591"/>
      <c r="L4" s="1591"/>
      <c r="M4" s="1591"/>
      <c r="N4" s="1591"/>
      <c r="O4" s="1591"/>
      <c r="P4" s="782"/>
      <c r="Q4" s="782"/>
      <c r="R4" s="782"/>
      <c r="S4" s="782"/>
    </row>
    <row r="5" spans="1:19" ht="18">
      <c r="A5" s="1591" t="s">
        <v>394</v>
      </c>
      <c r="B5" s="1591"/>
      <c r="C5" s="1591"/>
      <c r="D5" s="1591"/>
      <c r="E5" s="1591"/>
      <c r="F5" s="1591"/>
      <c r="G5" s="1591"/>
      <c r="H5" s="1591"/>
      <c r="I5" s="1591"/>
      <c r="J5" s="1591"/>
      <c r="K5" s="1591"/>
      <c r="L5" s="1591"/>
      <c r="M5" s="1591"/>
      <c r="N5" s="1591"/>
      <c r="O5" s="1591"/>
      <c r="P5" s="782"/>
      <c r="Q5" s="782"/>
      <c r="R5" s="782"/>
      <c r="S5" s="782"/>
    </row>
    <row r="6" spans="1:19" ht="18">
      <c r="A6" s="1591" t="s">
        <v>395</v>
      </c>
      <c r="B6" s="1591"/>
      <c r="C6" s="1591"/>
      <c r="D6" s="1591"/>
      <c r="E6" s="1591"/>
      <c r="F6" s="1591"/>
      <c r="G6" s="1591"/>
      <c r="H6" s="1591"/>
      <c r="I6" s="1591"/>
      <c r="J6" s="1591"/>
      <c r="K6" s="1591"/>
      <c r="L6" s="1591"/>
      <c r="M6" s="1591"/>
      <c r="N6" s="1591"/>
      <c r="O6" s="1591"/>
      <c r="P6" s="782"/>
      <c r="Q6" s="782"/>
      <c r="R6" s="782"/>
      <c r="S6" s="782"/>
    </row>
    <row r="7" spans="1:19" ht="18">
      <c r="A7" s="1591" t="s">
        <v>1349</v>
      </c>
      <c r="B7" s="1591"/>
      <c r="C7" s="1591"/>
      <c r="D7" s="1591"/>
      <c r="E7" s="1591"/>
      <c r="F7" s="1591"/>
      <c r="G7" s="1591"/>
      <c r="H7" s="1591"/>
      <c r="I7" s="1591"/>
      <c r="J7" s="1591"/>
      <c r="K7" s="1591"/>
      <c r="L7" s="1591"/>
      <c r="M7" s="1591"/>
      <c r="N7" s="1591"/>
      <c r="O7" s="1591"/>
      <c r="P7" s="782"/>
      <c r="Q7" s="782"/>
      <c r="R7" s="782"/>
      <c r="S7" s="782"/>
    </row>
    <row r="8" spans="1:19" ht="18">
      <c r="A8" s="1591" t="s">
        <v>396</v>
      </c>
      <c r="B8" s="1591"/>
      <c r="C8" s="1591"/>
      <c r="D8" s="1591"/>
      <c r="E8" s="1591"/>
      <c r="F8" s="1591"/>
      <c r="G8" s="1591"/>
      <c r="H8" s="1591"/>
      <c r="I8" s="1591"/>
      <c r="J8" s="1591"/>
      <c r="K8" s="1591"/>
      <c r="L8" s="1591"/>
      <c r="M8" s="1591"/>
      <c r="N8" s="1591"/>
      <c r="O8" s="1591"/>
      <c r="P8" s="782"/>
      <c r="Q8" s="782"/>
      <c r="R8" s="782"/>
      <c r="S8" s="782"/>
    </row>
    <row r="9" spans="1:19" ht="18">
      <c r="A9" s="1592" t="str">
        <f>[3]TCOS!F9</f>
        <v>Appalachian Power Company</v>
      </c>
      <c r="B9" s="1591"/>
      <c r="C9" s="1591"/>
      <c r="D9" s="1591"/>
      <c r="E9" s="1591"/>
      <c r="F9" s="1591"/>
      <c r="G9" s="1591"/>
      <c r="H9" s="1591"/>
      <c r="I9" s="1591"/>
      <c r="J9" s="1591"/>
      <c r="K9" s="1591"/>
      <c r="L9" s="1591"/>
      <c r="M9" s="1591"/>
      <c r="N9" s="1591"/>
      <c r="O9" s="1591"/>
      <c r="P9" s="782"/>
      <c r="Q9" s="782"/>
      <c r="R9" s="782"/>
      <c r="S9" s="782"/>
    </row>
    <row r="10" spans="1:19" ht="18">
      <c r="A10" s="1593"/>
      <c r="B10" s="1593"/>
      <c r="C10" s="1593"/>
      <c r="D10" s="1593"/>
      <c r="E10" s="1593"/>
      <c r="F10" s="1593"/>
      <c r="G10" s="1593"/>
      <c r="H10" s="1593"/>
      <c r="I10" s="1593"/>
      <c r="J10" s="1593"/>
      <c r="K10" s="1593"/>
      <c r="L10" s="1593"/>
      <c r="M10" s="1593"/>
      <c r="N10" s="1593"/>
      <c r="O10" s="1593"/>
      <c r="P10" s="784"/>
      <c r="Q10" s="784"/>
      <c r="R10" s="784"/>
      <c r="S10" s="784"/>
    </row>
    <row r="11" spans="1:19" ht="15.5">
      <c r="A11" s="783"/>
      <c r="B11" s="783"/>
      <c r="C11" s="783"/>
      <c r="D11" s="783"/>
      <c r="E11" s="783"/>
      <c r="F11" s="783"/>
      <c r="G11" s="279"/>
      <c r="H11" s="783"/>
      <c r="I11" s="783"/>
      <c r="J11" s="783"/>
      <c r="K11" s="783"/>
      <c r="L11" s="783"/>
      <c r="M11" s="783"/>
      <c r="N11" s="783"/>
      <c r="O11" s="783"/>
      <c r="P11" s="783"/>
      <c r="Q11" s="783"/>
      <c r="R11" s="783"/>
      <c r="S11" s="783"/>
    </row>
    <row r="12" spans="1:19" ht="16" thickBot="1">
      <c r="A12" s="785"/>
      <c r="B12" s="785"/>
      <c r="C12" s="1594" t="s">
        <v>599</v>
      </c>
      <c r="D12" s="1594"/>
      <c r="E12" s="1594"/>
      <c r="F12" s="785"/>
      <c r="G12" s="1594" t="s">
        <v>600</v>
      </c>
      <c r="H12" s="1594"/>
      <c r="I12" s="1594"/>
      <c r="J12" s="785"/>
      <c r="K12" s="1594" t="s">
        <v>397</v>
      </c>
      <c r="L12" s="1594"/>
      <c r="M12" s="1594"/>
      <c r="N12" s="785"/>
      <c r="O12" s="1594" t="s">
        <v>601</v>
      </c>
      <c r="P12" s="1594"/>
      <c r="Q12" s="1594"/>
      <c r="R12" s="785"/>
      <c r="S12" s="1374" t="s">
        <v>398</v>
      </c>
    </row>
    <row r="13" spans="1:19" ht="15.5">
      <c r="A13" s="785"/>
      <c r="B13" s="785"/>
      <c r="C13" s="786" t="s">
        <v>122</v>
      </c>
      <c r="D13" s="787"/>
      <c r="E13" s="787"/>
      <c r="F13" s="787"/>
      <c r="G13" s="788" t="s">
        <v>123</v>
      </c>
      <c r="H13" s="789"/>
      <c r="I13" s="789"/>
      <c r="J13" s="789"/>
      <c r="K13" s="790" t="s">
        <v>124</v>
      </c>
      <c r="L13" s="789"/>
      <c r="M13" s="789"/>
      <c r="N13" s="789"/>
      <c r="O13" s="791" t="s">
        <v>125</v>
      </c>
      <c r="P13" s="789"/>
      <c r="Q13" s="789"/>
      <c r="R13" s="789"/>
      <c r="S13" s="789"/>
    </row>
    <row r="14" spans="1:19" ht="15.5">
      <c r="A14" s="785"/>
      <c r="B14" s="785"/>
      <c r="C14" s="786" t="s">
        <v>115</v>
      </c>
      <c r="D14" s="787"/>
      <c r="E14" s="786" t="s">
        <v>399</v>
      </c>
      <c r="F14" s="787"/>
      <c r="G14" s="788" t="s">
        <v>602</v>
      </c>
      <c r="H14" s="787"/>
      <c r="I14" s="786" t="s">
        <v>399</v>
      </c>
      <c r="J14" s="787"/>
      <c r="K14" s="783"/>
      <c r="L14" s="787"/>
      <c r="M14" s="786" t="s">
        <v>399</v>
      </c>
      <c r="N14" s="787"/>
      <c r="O14" s="783"/>
      <c r="P14" s="787"/>
      <c r="Q14" s="786" t="s">
        <v>399</v>
      </c>
      <c r="R14" s="787"/>
      <c r="S14" s="786" t="s">
        <v>399</v>
      </c>
    </row>
    <row r="15" spans="1:19" ht="15.5">
      <c r="A15" s="785"/>
      <c r="B15" s="786" t="s">
        <v>400</v>
      </c>
      <c r="C15" s="786" t="s">
        <v>603</v>
      </c>
      <c r="D15" s="786" t="s">
        <v>401</v>
      </c>
      <c r="E15" s="786" t="s">
        <v>402</v>
      </c>
      <c r="F15" s="787"/>
      <c r="G15" s="788" t="s">
        <v>403</v>
      </c>
      <c r="H15" s="786" t="s">
        <v>401</v>
      </c>
      <c r="I15" s="786" t="s">
        <v>402</v>
      </c>
      <c r="J15" s="787"/>
      <c r="K15" s="786" t="s">
        <v>81</v>
      </c>
      <c r="L15" s="786" t="s">
        <v>401</v>
      </c>
      <c r="M15" s="786" t="s">
        <v>402</v>
      </c>
      <c r="N15" s="787"/>
      <c r="O15" s="786" t="s">
        <v>81</v>
      </c>
      <c r="P15" s="786" t="s">
        <v>401</v>
      </c>
      <c r="Q15" s="786" t="s">
        <v>402</v>
      </c>
      <c r="R15" s="787"/>
      <c r="S15" s="786" t="s">
        <v>402</v>
      </c>
    </row>
    <row r="16" spans="1:19" ht="15.5">
      <c r="A16" s="786"/>
      <c r="B16" s="786" t="s">
        <v>404</v>
      </c>
      <c r="C16" s="786" t="s">
        <v>405</v>
      </c>
      <c r="D16" s="786" t="s">
        <v>604</v>
      </c>
      <c r="E16" s="786" t="s">
        <v>406</v>
      </c>
      <c r="F16" s="787"/>
      <c r="G16" s="788" t="s">
        <v>405</v>
      </c>
      <c r="H16" s="786" t="s">
        <v>604</v>
      </c>
      <c r="I16" s="786" t="s">
        <v>406</v>
      </c>
      <c r="J16" s="787"/>
      <c r="K16" s="786" t="s">
        <v>405</v>
      </c>
      <c r="L16" s="786" t="s">
        <v>604</v>
      </c>
      <c r="M16" s="786" t="s">
        <v>406</v>
      </c>
      <c r="N16" s="787"/>
      <c r="O16" s="786" t="s">
        <v>405</v>
      </c>
      <c r="P16" s="786" t="s">
        <v>604</v>
      </c>
      <c r="Q16" s="786" t="s">
        <v>406</v>
      </c>
      <c r="R16" s="787"/>
      <c r="S16" s="786" t="s">
        <v>406</v>
      </c>
    </row>
    <row r="17" spans="1:19" ht="15.5">
      <c r="A17" s="783"/>
      <c r="B17" s="783"/>
      <c r="C17" s="783"/>
      <c r="D17" s="783"/>
      <c r="E17" s="783"/>
      <c r="F17" s="783"/>
      <c r="G17" s="279"/>
      <c r="H17" s="783"/>
      <c r="I17" s="783"/>
      <c r="J17" s="783"/>
      <c r="K17" s="783"/>
      <c r="L17" s="783"/>
      <c r="M17" s="783"/>
      <c r="N17" s="783"/>
      <c r="O17" s="783"/>
      <c r="P17" s="783"/>
      <c r="Q17" s="783"/>
      <c r="R17" s="783"/>
      <c r="S17" s="783"/>
    </row>
    <row r="18" spans="1:19" ht="16" thickBot="1">
      <c r="A18" s="792"/>
      <c r="B18" s="785"/>
      <c r="C18" s="273"/>
      <c r="D18" s="785"/>
      <c r="E18" s="785"/>
      <c r="F18" s="785"/>
      <c r="G18" s="273"/>
      <c r="H18" s="785"/>
      <c r="I18" s="785"/>
      <c r="J18" s="785"/>
      <c r="K18" s="315"/>
      <c r="L18" s="785"/>
      <c r="M18" s="785"/>
      <c r="N18" s="785"/>
      <c r="O18" s="315"/>
      <c r="P18" s="785"/>
      <c r="Q18" s="785"/>
      <c r="R18" s="785"/>
      <c r="S18" s="785"/>
    </row>
    <row r="19" spans="1:19" ht="15.5">
      <c r="A19" s="793" t="s">
        <v>407</v>
      </c>
      <c r="B19" s="794"/>
      <c r="C19" s="274"/>
      <c r="D19" s="275"/>
      <c r="E19" s="276"/>
      <c r="F19" s="794"/>
      <c r="G19" s="274"/>
      <c r="H19" s="277"/>
      <c r="I19" s="276"/>
      <c r="J19" s="794"/>
      <c r="K19" s="794"/>
      <c r="L19" s="277"/>
      <c r="M19" s="276"/>
      <c r="N19" s="794"/>
      <c r="O19" s="794"/>
      <c r="P19" s="275"/>
      <c r="Q19" s="276"/>
      <c r="R19" s="794"/>
      <c r="S19" s="276"/>
    </row>
    <row r="20" spans="1:19" ht="15.5">
      <c r="A20" s="795" t="s">
        <v>605</v>
      </c>
      <c r="B20" s="278">
        <v>350.1</v>
      </c>
      <c r="C20" s="273">
        <v>6.5839999999999996E-3</v>
      </c>
      <c r="D20" s="316">
        <v>1</v>
      </c>
      <c r="E20" s="273">
        <f>ROUND((C20*D20),4)</f>
        <v>6.6E-3</v>
      </c>
      <c r="F20" s="796"/>
      <c r="G20" s="273"/>
      <c r="H20" s="317"/>
      <c r="I20" s="279"/>
      <c r="J20" s="796"/>
      <c r="K20" s="273"/>
      <c r="L20" s="317"/>
      <c r="M20" s="318"/>
      <c r="N20" s="796"/>
      <c r="O20" s="273"/>
      <c r="P20" s="316"/>
      <c r="Q20" s="318"/>
      <c r="R20" s="796"/>
      <c r="S20" s="273">
        <f>ROUND((((E20+I20)+M20)+Q20),4)</f>
        <v>6.6E-3</v>
      </c>
    </row>
    <row r="21" spans="1:19" ht="15.5">
      <c r="A21" s="795" t="s">
        <v>606</v>
      </c>
      <c r="B21" s="278">
        <v>351</v>
      </c>
      <c r="C21" s="273"/>
      <c r="D21" s="316"/>
      <c r="E21" s="273"/>
      <c r="F21" s="796"/>
      <c r="G21" s="273">
        <v>0.14219999999999999</v>
      </c>
      <c r="H21" s="317">
        <v>1</v>
      </c>
      <c r="I21" s="273">
        <f>ROUND((G21*H21),4)</f>
        <v>0.14219999999999999</v>
      </c>
      <c r="J21" s="796"/>
      <c r="K21" s="273"/>
      <c r="L21" s="317"/>
      <c r="M21" s="318"/>
      <c r="N21" s="796"/>
      <c r="O21" s="273"/>
      <c r="P21" s="316"/>
      <c r="Q21" s="318"/>
      <c r="R21" s="796"/>
      <c r="S21" s="273">
        <f>I21</f>
        <v>0.14219999999999999</v>
      </c>
    </row>
    <row r="22" spans="1:19" ht="15.5">
      <c r="A22" s="797" t="s">
        <v>408</v>
      </c>
      <c r="B22" s="278">
        <v>352</v>
      </c>
      <c r="C22" s="273">
        <v>1.55E-2</v>
      </c>
      <c r="D22" s="280">
        <v>0.4926481265323473</v>
      </c>
      <c r="E22" s="273">
        <f t="shared" ref="E22:E28" si="0">ROUND((C22*D22),4)</f>
        <v>7.6E-3</v>
      </c>
      <c r="F22" s="796"/>
      <c r="G22" s="273">
        <v>1.6199999999999999E-2</v>
      </c>
      <c r="H22" s="280">
        <v>0.41460345789111802</v>
      </c>
      <c r="I22" s="273">
        <f t="shared" ref="I22:I28" si="1">ROUND((G22*H22),4)</f>
        <v>6.7000000000000002E-3</v>
      </c>
      <c r="J22" s="796"/>
      <c r="K22" s="273">
        <v>2.1899999999999999E-2</v>
      </c>
      <c r="L22" s="280">
        <v>3.3874350437840824E-2</v>
      </c>
      <c r="M22" s="273">
        <f t="shared" ref="M22:M28" si="2">ROUND((K22*L22),4)</f>
        <v>6.9999999999999999E-4</v>
      </c>
      <c r="N22" s="796"/>
      <c r="O22" s="273">
        <v>2.1899999999999999E-2</v>
      </c>
      <c r="P22" s="280">
        <v>5.8874065138694032E-2</v>
      </c>
      <c r="Q22" s="273">
        <f t="shared" ref="Q22:Q28" si="3">ROUND((O22*P22),4)</f>
        <v>1.2999999999999999E-3</v>
      </c>
      <c r="R22" s="796"/>
      <c r="S22" s="273">
        <f t="shared" ref="S22:S28" si="4">ROUND((((E22+I22)+M22)+Q22),4)</f>
        <v>1.6299999999999999E-2</v>
      </c>
    </row>
    <row r="23" spans="1:19" ht="15.5">
      <c r="A23" s="797" t="s">
        <v>409</v>
      </c>
      <c r="B23" s="278">
        <v>353</v>
      </c>
      <c r="C23" s="273">
        <v>1.95E-2</v>
      </c>
      <c r="D23" s="280">
        <v>0.4926481265323473</v>
      </c>
      <c r="E23" s="273">
        <f t="shared" si="0"/>
        <v>9.5999999999999992E-3</v>
      </c>
      <c r="F23" s="796"/>
      <c r="G23" s="273">
        <v>2.3699999999999999E-2</v>
      </c>
      <c r="H23" s="280">
        <v>0.41460345789111802</v>
      </c>
      <c r="I23" s="273">
        <f t="shared" si="1"/>
        <v>9.7999999999999997E-3</v>
      </c>
      <c r="J23" s="796"/>
      <c r="K23" s="273">
        <v>2.1899999999999999E-2</v>
      </c>
      <c r="L23" s="280">
        <v>3.3874350437840824E-2</v>
      </c>
      <c r="M23" s="273">
        <f t="shared" si="2"/>
        <v>6.9999999999999999E-4</v>
      </c>
      <c r="N23" s="796"/>
      <c r="O23" s="273">
        <v>2.1899999999999999E-2</v>
      </c>
      <c r="P23" s="280">
        <v>5.8874065138694032E-2</v>
      </c>
      <c r="Q23" s="273">
        <f t="shared" si="3"/>
        <v>1.2999999999999999E-3</v>
      </c>
      <c r="R23" s="796"/>
      <c r="S23" s="273">
        <f t="shared" si="4"/>
        <v>2.1399999999999999E-2</v>
      </c>
    </row>
    <row r="24" spans="1:19" ht="15.5">
      <c r="A24" s="797" t="s">
        <v>410</v>
      </c>
      <c r="B24" s="278">
        <v>354</v>
      </c>
      <c r="C24" s="273">
        <v>1.14E-2</v>
      </c>
      <c r="D24" s="280">
        <v>0.4926481265323473</v>
      </c>
      <c r="E24" s="273">
        <f t="shared" si="0"/>
        <v>5.5999999999999999E-3</v>
      </c>
      <c r="F24" s="796"/>
      <c r="G24" s="273">
        <v>1.5900000000000001E-2</v>
      </c>
      <c r="H24" s="280">
        <v>0.41460345789111802</v>
      </c>
      <c r="I24" s="273">
        <f t="shared" si="1"/>
        <v>6.6E-3</v>
      </c>
      <c r="J24" s="796"/>
      <c r="K24" s="273">
        <v>2.1899999999999999E-2</v>
      </c>
      <c r="L24" s="280">
        <v>3.3874350437840824E-2</v>
      </c>
      <c r="M24" s="273">
        <f t="shared" si="2"/>
        <v>6.9999999999999999E-4</v>
      </c>
      <c r="N24" s="796"/>
      <c r="O24" s="273">
        <v>2.1899999999999999E-2</v>
      </c>
      <c r="P24" s="280">
        <v>5.8874065138694032E-2</v>
      </c>
      <c r="Q24" s="273">
        <f t="shared" si="3"/>
        <v>1.2999999999999999E-3</v>
      </c>
      <c r="R24" s="796"/>
      <c r="S24" s="273">
        <f t="shared" si="4"/>
        <v>1.4200000000000001E-2</v>
      </c>
    </row>
    <row r="25" spans="1:19" ht="15.5">
      <c r="A25" s="797" t="s">
        <v>411</v>
      </c>
      <c r="B25" s="278">
        <v>355</v>
      </c>
      <c r="C25" s="273">
        <v>2.7699999999999999E-2</v>
      </c>
      <c r="D25" s="280">
        <v>0.4926481265323473</v>
      </c>
      <c r="E25" s="273">
        <f t="shared" si="0"/>
        <v>1.3599999999999999E-2</v>
      </c>
      <c r="F25" s="796"/>
      <c r="G25" s="273">
        <v>2.7099999999999999E-2</v>
      </c>
      <c r="H25" s="280">
        <v>0.41460345789111802</v>
      </c>
      <c r="I25" s="273">
        <f t="shared" si="1"/>
        <v>1.12E-2</v>
      </c>
      <c r="J25" s="796"/>
      <c r="K25" s="273">
        <v>2.1899999999999999E-2</v>
      </c>
      <c r="L25" s="280">
        <v>3.3874350437840824E-2</v>
      </c>
      <c r="M25" s="273">
        <f t="shared" si="2"/>
        <v>6.9999999999999999E-4</v>
      </c>
      <c r="N25" s="796"/>
      <c r="O25" s="273">
        <v>2.1899999999999999E-2</v>
      </c>
      <c r="P25" s="280">
        <v>5.8874065138694032E-2</v>
      </c>
      <c r="Q25" s="273">
        <f t="shared" si="3"/>
        <v>1.2999999999999999E-3</v>
      </c>
      <c r="R25" s="796"/>
      <c r="S25" s="273">
        <f t="shared" si="4"/>
        <v>2.6800000000000001E-2</v>
      </c>
    </row>
    <row r="26" spans="1:19" ht="15.5">
      <c r="A26" s="797" t="s">
        <v>607</v>
      </c>
      <c r="B26" s="278">
        <v>356</v>
      </c>
      <c r="C26" s="273">
        <v>1.01E-2</v>
      </c>
      <c r="D26" s="280">
        <v>0.4926481265323473</v>
      </c>
      <c r="E26" s="273">
        <f t="shared" si="0"/>
        <v>5.0000000000000001E-3</v>
      </c>
      <c r="F26" s="796"/>
      <c r="G26" s="273">
        <v>1.5299999999999999E-2</v>
      </c>
      <c r="H26" s="280">
        <v>0.41460345789111802</v>
      </c>
      <c r="I26" s="273">
        <f t="shared" si="1"/>
        <v>6.3E-3</v>
      </c>
      <c r="J26" s="796"/>
      <c r="K26" s="273">
        <v>2.1899999999999999E-2</v>
      </c>
      <c r="L26" s="280">
        <v>3.3874350437840824E-2</v>
      </c>
      <c r="M26" s="273">
        <f t="shared" si="2"/>
        <v>6.9999999999999999E-4</v>
      </c>
      <c r="N26" s="796"/>
      <c r="O26" s="273">
        <v>2.1899999999999999E-2</v>
      </c>
      <c r="P26" s="280">
        <v>5.8874065138694032E-2</v>
      </c>
      <c r="Q26" s="273">
        <f t="shared" si="3"/>
        <v>1.2999999999999999E-3</v>
      </c>
      <c r="R26" s="796"/>
      <c r="S26" s="273">
        <f t="shared" si="4"/>
        <v>1.3299999999999999E-2</v>
      </c>
    </row>
    <row r="27" spans="1:19" ht="15.5">
      <c r="A27" s="797" t="s">
        <v>412</v>
      </c>
      <c r="B27" s="278">
        <v>351</v>
      </c>
      <c r="C27" s="273">
        <v>1.23E-2</v>
      </c>
      <c r="D27" s="280">
        <v>0.4926481265323473</v>
      </c>
      <c r="E27" s="273">
        <f t="shared" si="0"/>
        <v>6.1000000000000004E-3</v>
      </c>
      <c r="F27" s="796"/>
      <c r="G27" s="273">
        <v>3.7100000000000001E-2</v>
      </c>
      <c r="H27" s="280">
        <v>0.41460345789111802</v>
      </c>
      <c r="I27" s="273">
        <f t="shared" si="1"/>
        <v>1.54E-2</v>
      </c>
      <c r="J27" s="796"/>
      <c r="K27" s="273">
        <v>2.1899999999999999E-2</v>
      </c>
      <c r="L27" s="280">
        <v>3.3874350437840824E-2</v>
      </c>
      <c r="M27" s="273">
        <f t="shared" si="2"/>
        <v>6.9999999999999999E-4</v>
      </c>
      <c r="N27" s="796"/>
      <c r="O27" s="273">
        <v>2.1899999999999999E-2</v>
      </c>
      <c r="P27" s="280">
        <v>5.8874065138694032E-2</v>
      </c>
      <c r="Q27" s="273">
        <f t="shared" si="3"/>
        <v>1.2999999999999999E-3</v>
      </c>
      <c r="R27" s="796"/>
      <c r="S27" s="273">
        <f t="shared" si="4"/>
        <v>2.35E-2</v>
      </c>
    </row>
    <row r="28" spans="1:19" ht="15.5">
      <c r="A28" s="797" t="s">
        <v>413</v>
      </c>
      <c r="B28" s="278">
        <v>351</v>
      </c>
      <c r="C28" s="273">
        <v>3.1800000000000002E-2</v>
      </c>
      <c r="D28" s="280">
        <v>0.4926481265323473</v>
      </c>
      <c r="E28" s="273">
        <f t="shared" si="0"/>
        <v>1.5699999999999999E-2</v>
      </c>
      <c r="F28" s="796"/>
      <c r="G28" s="273">
        <v>5.2400000000000002E-2</v>
      </c>
      <c r="H28" s="280">
        <v>0.41460345789111802</v>
      </c>
      <c r="I28" s="273">
        <f t="shared" si="1"/>
        <v>2.1700000000000001E-2</v>
      </c>
      <c r="J28" s="796"/>
      <c r="K28" s="315">
        <v>2.1899999999999999E-2</v>
      </c>
      <c r="L28" s="280">
        <v>3.3874350437840824E-2</v>
      </c>
      <c r="M28" s="273">
        <f t="shared" si="2"/>
        <v>6.9999999999999999E-4</v>
      </c>
      <c r="N28" s="796"/>
      <c r="O28" s="315">
        <v>2.1899999999999999E-2</v>
      </c>
      <c r="P28" s="280">
        <v>5.8874065138694032E-2</v>
      </c>
      <c r="Q28" s="273">
        <f t="shared" si="3"/>
        <v>1.2999999999999999E-3</v>
      </c>
      <c r="R28" s="796"/>
      <c r="S28" s="273">
        <f t="shared" si="4"/>
        <v>3.9399999999999998E-2</v>
      </c>
    </row>
    <row r="29" spans="1:19" ht="16" thickBot="1">
      <c r="A29" s="797"/>
      <c r="B29" s="796"/>
      <c r="C29" s="315"/>
      <c r="D29" s="316"/>
      <c r="E29" s="318"/>
      <c r="F29" s="796"/>
      <c r="G29" s="315"/>
      <c r="H29" s="316"/>
      <c r="I29" s="318"/>
      <c r="J29" s="796"/>
      <c r="K29" s="315"/>
      <c r="L29" s="316"/>
      <c r="M29" s="318"/>
      <c r="N29" s="796"/>
      <c r="O29" s="315"/>
      <c r="P29" s="316"/>
      <c r="Q29" s="273"/>
      <c r="R29" s="796"/>
      <c r="S29" s="273"/>
    </row>
    <row r="30" spans="1:19" ht="15.5">
      <c r="A30" s="1376" t="s">
        <v>1350</v>
      </c>
      <c r="B30" s="1377"/>
      <c r="C30" s="1378"/>
      <c r="D30" s="1379"/>
      <c r="E30" s="1380"/>
      <c r="F30" s="1377"/>
      <c r="G30" s="1378"/>
      <c r="H30" s="1379"/>
      <c r="I30" s="1380"/>
      <c r="J30" s="1377"/>
      <c r="K30" s="1377"/>
      <c r="L30" s="1379"/>
      <c r="M30" s="1380"/>
      <c r="N30" s="1377"/>
      <c r="O30" s="1377"/>
      <c r="P30" s="1379"/>
      <c r="Q30" s="1380"/>
      <c r="R30" s="1377"/>
      <c r="S30" s="1381"/>
    </row>
    <row r="31" spans="1:19" ht="15.5">
      <c r="A31" s="795" t="s">
        <v>821</v>
      </c>
      <c r="B31" s="278">
        <v>390</v>
      </c>
      <c r="C31" s="273">
        <v>1.4999999999999999E-2</v>
      </c>
      <c r="D31" s="316">
        <v>0.51955682288281835</v>
      </c>
      <c r="E31" s="273">
        <f t="shared" ref="E31:E39" si="5">ROUND((C31*D31),4)</f>
        <v>7.7999999999999996E-3</v>
      </c>
      <c r="F31" s="796"/>
      <c r="G31" s="273">
        <v>1.9099999999999999E-2</v>
      </c>
      <c r="H31" s="317">
        <v>0.42593496676624976</v>
      </c>
      <c r="I31" s="273">
        <f t="shared" ref="I31:I39" si="6">ROUND((G31*H31),4)</f>
        <v>8.0999999999999996E-3</v>
      </c>
      <c r="J31" s="796"/>
      <c r="K31" s="273">
        <v>3.4300000000000004E-2</v>
      </c>
      <c r="L31" s="317">
        <v>1.9779842847932196E-2</v>
      </c>
      <c r="M31" s="273">
        <f t="shared" ref="M31:M39" si="7">ROUND((K31*L31),4)</f>
        <v>6.9999999999999999E-4</v>
      </c>
      <c r="N31" s="796"/>
      <c r="O31" s="273">
        <v>3.4300000000000004E-2</v>
      </c>
      <c r="P31" s="316">
        <v>3.4728367502999846E-2</v>
      </c>
      <c r="Q31" s="273">
        <f t="shared" ref="Q31:Q39" si="8">ROUND((O31*P31),4)</f>
        <v>1.1999999999999999E-3</v>
      </c>
      <c r="R31" s="796"/>
      <c r="S31" s="273">
        <f t="shared" ref="S31:S39" si="9">ROUND((((E31+I31)+M31)+Q31),4)</f>
        <v>1.78E-2</v>
      </c>
    </row>
    <row r="32" spans="1:19" ht="15.5">
      <c r="A32" s="795" t="s">
        <v>822</v>
      </c>
      <c r="B32" s="278">
        <v>391</v>
      </c>
      <c r="C32" s="273">
        <v>2.7799999999999998E-2</v>
      </c>
      <c r="D32" s="316">
        <v>0.51955682288281835</v>
      </c>
      <c r="E32" s="273">
        <f t="shared" si="5"/>
        <v>1.44E-2</v>
      </c>
      <c r="F32" s="796"/>
      <c r="G32" s="273">
        <v>3.1699999999999999E-2</v>
      </c>
      <c r="H32" s="317">
        <v>0.42593496676624976</v>
      </c>
      <c r="I32" s="273">
        <f t="shared" si="6"/>
        <v>1.35E-2</v>
      </c>
      <c r="J32" s="796"/>
      <c r="K32" s="273">
        <v>3.4300000000000004E-2</v>
      </c>
      <c r="L32" s="317">
        <v>1.9779842847932196E-2</v>
      </c>
      <c r="M32" s="273">
        <f t="shared" si="7"/>
        <v>6.9999999999999999E-4</v>
      </c>
      <c r="N32" s="796"/>
      <c r="O32" s="273">
        <v>3.4300000000000004E-2</v>
      </c>
      <c r="P32" s="316">
        <v>3.4728367502999846E-2</v>
      </c>
      <c r="Q32" s="273">
        <f t="shared" si="8"/>
        <v>1.1999999999999999E-3</v>
      </c>
      <c r="R32" s="796"/>
      <c r="S32" s="273">
        <f t="shared" si="9"/>
        <v>2.98E-2</v>
      </c>
    </row>
    <row r="33" spans="1:19" ht="15.5">
      <c r="A33" s="795" t="s">
        <v>1351</v>
      </c>
      <c r="B33" s="278">
        <v>392</v>
      </c>
      <c r="C33" s="273">
        <v>0</v>
      </c>
      <c r="D33" s="280">
        <v>0.51955682288281835</v>
      </c>
      <c r="E33" s="273">
        <f t="shared" si="5"/>
        <v>0</v>
      </c>
      <c r="F33" s="796"/>
      <c r="G33" s="273">
        <v>3.4000000000000002E-2</v>
      </c>
      <c r="H33" s="280">
        <v>0.42593496676624976</v>
      </c>
      <c r="I33" s="273">
        <f t="shared" si="6"/>
        <v>1.4500000000000001E-2</v>
      </c>
      <c r="J33" s="796"/>
      <c r="K33" s="273">
        <v>3.4300000000000004E-2</v>
      </c>
      <c r="L33" s="280">
        <v>1.9779842847932196E-2</v>
      </c>
      <c r="M33" s="273">
        <f t="shared" si="7"/>
        <v>6.9999999999999999E-4</v>
      </c>
      <c r="N33" s="796"/>
      <c r="O33" s="273">
        <v>3.4300000000000004E-2</v>
      </c>
      <c r="P33" s="280">
        <v>3.4728367502999846E-2</v>
      </c>
      <c r="Q33" s="273">
        <f t="shared" si="8"/>
        <v>1.1999999999999999E-3</v>
      </c>
      <c r="R33" s="796"/>
      <c r="S33" s="273">
        <f t="shared" si="9"/>
        <v>1.6400000000000001E-2</v>
      </c>
    </row>
    <row r="34" spans="1:19" ht="15.5">
      <c r="A34" s="795" t="s">
        <v>823</v>
      </c>
      <c r="B34" s="278">
        <v>393</v>
      </c>
      <c r="C34" s="273">
        <v>1.6E-2</v>
      </c>
      <c r="D34" s="280">
        <v>0.51955682288281835</v>
      </c>
      <c r="E34" s="273">
        <f t="shared" si="5"/>
        <v>8.3000000000000001E-3</v>
      </c>
      <c r="F34" s="796"/>
      <c r="G34" s="273">
        <v>1.7999999999999999E-2</v>
      </c>
      <c r="H34" s="280">
        <v>0.42593496676624976</v>
      </c>
      <c r="I34" s="273">
        <f t="shared" si="6"/>
        <v>7.7000000000000002E-3</v>
      </c>
      <c r="J34" s="796"/>
      <c r="K34" s="273">
        <v>3.4300000000000004E-2</v>
      </c>
      <c r="L34" s="280">
        <v>1.9779842847932196E-2</v>
      </c>
      <c r="M34" s="273">
        <f t="shared" si="7"/>
        <v>6.9999999999999999E-4</v>
      </c>
      <c r="N34" s="796"/>
      <c r="O34" s="273">
        <v>3.4300000000000004E-2</v>
      </c>
      <c r="P34" s="280">
        <v>3.4728367502999846E-2</v>
      </c>
      <c r="Q34" s="273">
        <f t="shared" si="8"/>
        <v>1.1999999999999999E-3</v>
      </c>
      <c r="R34" s="796"/>
      <c r="S34" s="273">
        <f t="shared" si="9"/>
        <v>1.7899999999999999E-2</v>
      </c>
    </row>
    <row r="35" spans="1:19" ht="15.75" customHeight="1">
      <c r="A35" s="795" t="s">
        <v>824</v>
      </c>
      <c r="B35" s="278">
        <v>394</v>
      </c>
      <c r="C35" s="273">
        <v>2.07E-2</v>
      </c>
      <c r="D35" s="280">
        <v>0.51955682288281835</v>
      </c>
      <c r="E35" s="273">
        <f t="shared" si="5"/>
        <v>1.0800000000000001E-2</v>
      </c>
      <c r="F35" s="796"/>
      <c r="G35" s="273">
        <v>2.5700000000000001E-2</v>
      </c>
      <c r="H35" s="280">
        <v>0.42593496676624976</v>
      </c>
      <c r="I35" s="273">
        <f t="shared" si="6"/>
        <v>1.09E-2</v>
      </c>
      <c r="J35" s="796"/>
      <c r="K35" s="273">
        <v>3.4300000000000004E-2</v>
      </c>
      <c r="L35" s="280">
        <v>1.9779842847932196E-2</v>
      </c>
      <c r="M35" s="273">
        <f t="shared" si="7"/>
        <v>6.9999999999999999E-4</v>
      </c>
      <c r="N35" s="796"/>
      <c r="O35" s="273">
        <v>3.4300000000000004E-2</v>
      </c>
      <c r="P35" s="280">
        <v>3.4728367502999846E-2</v>
      </c>
      <c r="Q35" s="273">
        <f t="shared" si="8"/>
        <v>1.1999999999999999E-3</v>
      </c>
      <c r="R35" s="796"/>
      <c r="S35" s="273">
        <f t="shared" si="9"/>
        <v>2.3599999999999999E-2</v>
      </c>
    </row>
    <row r="36" spans="1:19" ht="15.75" customHeight="1">
      <c r="A36" s="795" t="s">
        <v>825</v>
      </c>
      <c r="B36" s="278">
        <v>395</v>
      </c>
      <c r="C36" s="273">
        <v>1.5299999999999999E-2</v>
      </c>
      <c r="D36" s="280">
        <v>0.51955682288281835</v>
      </c>
      <c r="E36" s="273">
        <f t="shared" si="5"/>
        <v>7.9000000000000008E-3</v>
      </c>
      <c r="F36" s="796"/>
      <c r="G36" s="273">
        <v>4.0099999999999997E-2</v>
      </c>
      <c r="H36" s="280">
        <v>0.42593496676624976</v>
      </c>
      <c r="I36" s="273">
        <f t="shared" si="6"/>
        <v>1.7100000000000001E-2</v>
      </c>
      <c r="J36" s="796"/>
      <c r="K36" s="273">
        <v>3.4300000000000004E-2</v>
      </c>
      <c r="L36" s="280">
        <v>1.9779842847932196E-2</v>
      </c>
      <c r="M36" s="273">
        <f t="shared" si="7"/>
        <v>6.9999999999999999E-4</v>
      </c>
      <c r="N36" s="796"/>
      <c r="O36" s="273">
        <v>3.4300000000000004E-2</v>
      </c>
      <c r="P36" s="280">
        <v>3.4728367502999846E-2</v>
      </c>
      <c r="Q36" s="273">
        <f t="shared" si="8"/>
        <v>1.1999999999999999E-3</v>
      </c>
      <c r="R36" s="796"/>
      <c r="S36" s="273">
        <f t="shared" si="9"/>
        <v>2.69E-2</v>
      </c>
    </row>
    <row r="37" spans="1:19" ht="15.75" customHeight="1">
      <c r="A37" s="795" t="s">
        <v>1352</v>
      </c>
      <c r="B37" s="278">
        <v>396</v>
      </c>
      <c r="C37" s="273">
        <v>0</v>
      </c>
      <c r="D37" s="280">
        <v>0.51955682288281835</v>
      </c>
      <c r="E37" s="273">
        <f t="shared" si="5"/>
        <v>0</v>
      </c>
      <c r="F37" s="796"/>
      <c r="G37" s="273">
        <v>3.9E-2</v>
      </c>
      <c r="H37" s="280">
        <v>0.42593496676624976</v>
      </c>
      <c r="I37" s="273">
        <f t="shared" si="6"/>
        <v>1.66E-2</v>
      </c>
      <c r="J37" s="796"/>
      <c r="K37" s="273">
        <v>3.4300000000000004E-2</v>
      </c>
      <c r="L37" s="280">
        <v>1.9779842847932196E-2</v>
      </c>
      <c r="M37" s="273">
        <f t="shared" si="7"/>
        <v>6.9999999999999999E-4</v>
      </c>
      <c r="N37" s="796"/>
      <c r="O37" s="273">
        <v>3.4300000000000004E-2</v>
      </c>
      <c r="P37" s="280">
        <v>3.4728367502999846E-2</v>
      </c>
      <c r="Q37" s="273">
        <f t="shared" si="8"/>
        <v>1.1999999999999999E-3</v>
      </c>
      <c r="R37" s="796"/>
      <c r="S37" s="273">
        <f t="shared" si="9"/>
        <v>1.8499999999999999E-2</v>
      </c>
    </row>
    <row r="38" spans="1:19" ht="15.5">
      <c r="A38" s="795" t="s">
        <v>826</v>
      </c>
      <c r="B38" s="278">
        <v>397</v>
      </c>
      <c r="C38" s="273">
        <v>3.27E-2</v>
      </c>
      <c r="D38" s="280">
        <v>0.51955682288281835</v>
      </c>
      <c r="E38" s="273">
        <f t="shared" si="5"/>
        <v>1.7000000000000001E-2</v>
      </c>
      <c r="F38" s="796"/>
      <c r="G38" s="273">
        <v>4.9799999999999997E-2</v>
      </c>
      <c r="H38" s="280">
        <v>0.42593496676624976</v>
      </c>
      <c r="I38" s="273">
        <f t="shared" si="6"/>
        <v>2.12E-2</v>
      </c>
      <c r="J38" s="796"/>
      <c r="K38" s="273">
        <v>3.4300000000000004E-2</v>
      </c>
      <c r="L38" s="280">
        <v>1.9779842847932196E-2</v>
      </c>
      <c r="M38" s="273">
        <f t="shared" si="7"/>
        <v>6.9999999999999999E-4</v>
      </c>
      <c r="N38" s="796"/>
      <c r="O38" s="273">
        <v>3.4300000000000004E-2</v>
      </c>
      <c r="P38" s="280">
        <v>3.4728367502999846E-2</v>
      </c>
      <c r="Q38" s="273">
        <f t="shared" si="8"/>
        <v>1.1999999999999999E-3</v>
      </c>
      <c r="R38" s="796"/>
      <c r="S38" s="273">
        <f t="shared" si="9"/>
        <v>4.0099999999999997E-2</v>
      </c>
    </row>
    <row r="39" spans="1:19" ht="15.5">
      <c r="A39" s="795" t="s">
        <v>827</v>
      </c>
      <c r="B39" s="278">
        <v>398</v>
      </c>
      <c r="C39" s="273">
        <v>2.5100000000000001E-2</v>
      </c>
      <c r="D39" s="280">
        <v>0.51955682288281835</v>
      </c>
      <c r="E39" s="273">
        <f t="shared" si="5"/>
        <v>1.2999999999999999E-2</v>
      </c>
      <c r="F39" s="796"/>
      <c r="G39" s="273">
        <v>2.7E-2</v>
      </c>
      <c r="H39" s="280">
        <v>0.42593496676624976</v>
      </c>
      <c r="I39" s="273">
        <f t="shared" si="6"/>
        <v>1.15E-2</v>
      </c>
      <c r="J39" s="796"/>
      <c r="K39" s="315">
        <v>3.4300000000000004E-2</v>
      </c>
      <c r="L39" s="280">
        <v>1.9779842847932196E-2</v>
      </c>
      <c r="M39" s="273">
        <f t="shared" si="7"/>
        <v>6.9999999999999999E-4</v>
      </c>
      <c r="N39" s="796"/>
      <c r="O39" s="315">
        <v>3.4300000000000004E-2</v>
      </c>
      <c r="P39" s="280">
        <v>3.4728367502999846E-2</v>
      </c>
      <c r="Q39" s="273">
        <f t="shared" si="8"/>
        <v>1.1999999999999999E-3</v>
      </c>
      <c r="R39" s="796"/>
      <c r="S39" s="273">
        <f t="shared" si="9"/>
        <v>2.64E-2</v>
      </c>
    </row>
    <row r="40" spans="1:19" ht="16" thickBot="1">
      <c r="A40" s="1382"/>
      <c r="B40" s="1383"/>
      <c r="C40" s="1384"/>
      <c r="D40" s="1385"/>
      <c r="E40" s="1386"/>
      <c r="F40" s="1383"/>
      <c r="G40" s="1386"/>
      <c r="H40" s="1385"/>
      <c r="I40" s="1386"/>
      <c r="J40" s="1383"/>
      <c r="K40" s="1384"/>
      <c r="L40" s="1385"/>
      <c r="M40" s="1386"/>
      <c r="N40" s="1383"/>
      <c r="O40" s="1384"/>
      <c r="P40" s="1385"/>
      <c r="Q40" s="1386"/>
      <c r="R40" s="1383"/>
      <c r="S40" s="1386"/>
    </row>
    <row r="41" spans="1:19" ht="15.5">
      <c r="A41" s="783"/>
      <c r="B41" s="785"/>
      <c r="C41" s="273"/>
      <c r="D41" s="783"/>
      <c r="E41" s="783"/>
      <c r="F41" s="783"/>
      <c r="G41" s="279"/>
      <c r="H41" s="783"/>
      <c r="I41" s="783"/>
      <c r="J41" s="783"/>
      <c r="K41" s="783"/>
      <c r="L41" s="783"/>
      <c r="M41" s="783"/>
      <c r="N41" s="783"/>
      <c r="O41" s="783"/>
      <c r="P41" s="783"/>
      <c r="Q41" s="783"/>
      <c r="R41" s="783"/>
      <c r="S41" s="783"/>
    </row>
    <row r="42" spans="1:19" ht="15" customHeight="1">
      <c r="A42" s="783" t="s">
        <v>608</v>
      </c>
      <c r="B42" s="798"/>
      <c r="C42" s="281"/>
      <c r="D42" s="798"/>
      <c r="E42" s="783"/>
      <c r="F42" s="799" t="s">
        <v>609</v>
      </c>
      <c r="G42" s="279" t="s">
        <v>610</v>
      </c>
      <c r="H42" s="785"/>
      <c r="I42" s="783"/>
      <c r="J42" s="783"/>
      <c r="K42" s="783"/>
      <c r="L42" s="799"/>
      <c r="M42" s="783"/>
      <c r="N42" s="783"/>
      <c r="O42" s="783"/>
      <c r="P42" s="783"/>
      <c r="Q42" s="783"/>
      <c r="R42" s="783"/>
      <c r="S42" s="783"/>
    </row>
    <row r="43" spans="1:19" ht="15.5">
      <c r="A43" s="783" t="s">
        <v>611</v>
      </c>
      <c r="B43" s="798"/>
      <c r="C43" s="281"/>
      <c r="D43" s="798"/>
      <c r="E43" s="798"/>
      <c r="F43" s="800"/>
      <c r="G43" s="279"/>
      <c r="H43" s="785"/>
      <c r="I43" s="783"/>
      <c r="J43" s="783"/>
      <c r="K43" s="783"/>
      <c r="L43" s="783"/>
      <c r="M43" s="783"/>
      <c r="N43" s="783"/>
      <c r="O43" s="783"/>
      <c r="P43" s="783"/>
      <c r="Q43" s="783"/>
      <c r="R43" s="783"/>
      <c r="S43" s="783"/>
    </row>
    <row r="44" spans="1:19" ht="15" customHeight="1">
      <c r="A44" s="783"/>
      <c r="B44" s="798"/>
      <c r="C44" s="281"/>
      <c r="D44" s="801"/>
      <c r="E44" s="801"/>
      <c r="F44" s="799" t="s">
        <v>612</v>
      </c>
      <c r="G44" s="279" t="s">
        <v>613</v>
      </c>
      <c r="H44" s="783"/>
      <c r="I44" s="783"/>
      <c r="J44" s="783"/>
      <c r="K44" s="783"/>
      <c r="L44" s="783"/>
      <c r="M44" s="783"/>
      <c r="N44" s="783"/>
      <c r="O44" s="783"/>
      <c r="P44" s="783"/>
      <c r="Q44" s="783"/>
      <c r="R44" s="783"/>
      <c r="S44" s="783"/>
    </row>
    <row r="45" spans="1:19" ht="15.5">
      <c r="A45" s="783" t="s">
        <v>614</v>
      </c>
      <c r="B45" s="798"/>
      <c r="C45" s="281"/>
      <c r="D45" s="798"/>
      <c r="E45" s="798"/>
      <c r="F45" s="800"/>
      <c r="G45" s="279"/>
      <c r="H45" s="785"/>
      <c r="I45" s="783"/>
      <c r="J45" s="783"/>
      <c r="K45" s="783"/>
      <c r="L45" s="783"/>
      <c r="M45" s="783"/>
      <c r="N45" s="783"/>
      <c r="O45" s="783"/>
      <c r="P45" s="783"/>
      <c r="Q45" s="783"/>
      <c r="R45" s="783"/>
      <c r="S45" s="783"/>
    </row>
    <row r="46" spans="1:19" ht="15.5">
      <c r="A46" s="783" t="s">
        <v>615</v>
      </c>
      <c r="B46" s="798"/>
      <c r="C46" s="281"/>
      <c r="D46" s="798"/>
      <c r="E46" s="798"/>
      <c r="F46" s="799" t="s">
        <v>616</v>
      </c>
      <c r="G46" s="1588" t="s">
        <v>617</v>
      </c>
      <c r="H46" s="1588"/>
      <c r="I46" s="1588"/>
      <c r="J46" s="1588"/>
      <c r="K46" s="1588"/>
      <c r="L46" s="1588"/>
      <c r="M46" s="783"/>
      <c r="N46" s="783"/>
      <c r="O46" s="783"/>
      <c r="P46" s="783"/>
      <c r="Q46" s="783"/>
      <c r="R46" s="783"/>
      <c r="S46" s="783"/>
    </row>
    <row r="47" spans="1:19" ht="15.5">
      <c r="A47" s="783"/>
      <c r="B47" s="798"/>
      <c r="C47" s="281"/>
      <c r="D47" s="798"/>
      <c r="E47" s="798"/>
      <c r="F47" s="799"/>
      <c r="G47" s="1588" t="s">
        <v>618</v>
      </c>
      <c r="H47" s="1588"/>
      <c r="I47" s="1588"/>
      <c r="J47" s="1588"/>
      <c r="K47" s="1588"/>
      <c r="L47" s="1588"/>
      <c r="M47" s="783"/>
      <c r="N47" s="783"/>
      <c r="O47" s="783"/>
      <c r="P47" s="783"/>
      <c r="Q47" s="783"/>
      <c r="R47" s="783"/>
      <c r="S47" s="783"/>
    </row>
    <row r="48" spans="1:19" ht="15.5">
      <c r="A48" s="783"/>
      <c r="B48" s="798"/>
      <c r="C48" s="281"/>
      <c r="D48" s="798"/>
      <c r="E48" s="798"/>
      <c r="F48" s="799"/>
      <c r="G48" s="1588" t="s">
        <v>619</v>
      </c>
      <c r="H48" s="1588"/>
      <c r="I48" s="1588"/>
      <c r="J48" s="1588"/>
      <c r="K48" s="1588"/>
      <c r="L48" s="1588"/>
      <c r="M48" s="783"/>
      <c r="N48" s="783"/>
      <c r="O48" s="783"/>
      <c r="P48" s="783"/>
      <c r="Q48" s="783"/>
      <c r="R48" s="783"/>
      <c r="S48" s="783"/>
    </row>
    <row r="49" spans="1:19" ht="15.5">
      <c r="A49" s="802"/>
      <c r="B49" s="785"/>
      <c r="C49" s="273"/>
      <c r="D49" s="783"/>
      <c r="E49" s="783"/>
      <c r="F49" s="783"/>
      <c r="G49" s="1588" t="s">
        <v>115</v>
      </c>
      <c r="H49" s="1588"/>
      <c r="I49" s="1588"/>
      <c r="J49" s="1588"/>
      <c r="K49" s="1588"/>
      <c r="L49" s="1588"/>
      <c r="M49" s="783"/>
      <c r="N49" s="783"/>
      <c r="O49" s="783"/>
      <c r="P49" s="783"/>
      <c r="Q49" s="783"/>
      <c r="R49" s="783"/>
      <c r="S49" s="783"/>
    </row>
    <row r="50" spans="1:19" ht="15.5">
      <c r="A50" s="802"/>
      <c r="B50" s="785"/>
      <c r="C50" s="273"/>
      <c r="D50" s="783"/>
      <c r="E50" s="783"/>
      <c r="F50" s="799" t="s">
        <v>620</v>
      </c>
      <c r="G50" s="279" t="s">
        <v>621</v>
      </c>
      <c r="H50" s="783"/>
      <c r="I50" s="783"/>
      <c r="J50" s="783"/>
      <c r="K50" s="783"/>
      <c r="L50" s="1375"/>
      <c r="M50" s="783"/>
      <c r="N50" s="783"/>
      <c r="O50" s="783"/>
      <c r="P50" s="783"/>
      <c r="Q50" s="783"/>
      <c r="R50" s="783"/>
      <c r="S50" s="783"/>
    </row>
    <row r="51" spans="1:19" ht="15.5">
      <c r="A51" s="802" t="s">
        <v>414</v>
      </c>
      <c r="B51" s="785"/>
      <c r="C51" s="273"/>
      <c r="D51" s="783"/>
      <c r="E51" s="783"/>
      <c r="F51" s="783"/>
      <c r="G51" s="783"/>
      <c r="H51" s="783"/>
      <c r="I51" s="783"/>
      <c r="J51" s="783"/>
      <c r="K51" s="783"/>
      <c r="L51" s="783"/>
      <c r="M51" s="783"/>
      <c r="N51" s="783"/>
      <c r="O51" s="803"/>
      <c r="P51" s="783"/>
      <c r="Q51" s="783"/>
      <c r="R51" s="783"/>
      <c r="S51" s="783"/>
    </row>
    <row r="52" spans="1:19" ht="15.5">
      <c r="A52" s="804" t="s">
        <v>29</v>
      </c>
      <c r="B52" s="805"/>
      <c r="C52" s="805"/>
      <c r="D52" s="806"/>
      <c r="E52" s="783"/>
      <c r="F52" s="783"/>
      <c r="G52" s="279"/>
      <c r="H52" s="783"/>
      <c r="I52" s="783"/>
      <c r="J52" s="783"/>
      <c r="K52" s="783"/>
      <c r="L52" s="783"/>
      <c r="M52" s="783"/>
      <c r="N52" s="783"/>
      <c r="O52" s="803"/>
      <c r="P52" s="783"/>
      <c r="Q52" s="783"/>
      <c r="R52" s="783"/>
      <c r="S52" s="783"/>
    </row>
    <row r="53" spans="1:19" ht="15.5">
      <c r="A53" s="1589" t="s">
        <v>622</v>
      </c>
      <c r="B53" s="1590"/>
      <c r="C53" s="1590"/>
      <c r="D53" s="1590"/>
      <c r="E53" s="1590"/>
      <c r="F53" s="1590"/>
      <c r="G53" s="1590"/>
      <c r="H53" s="1590"/>
      <c r="I53" s="1590"/>
      <c r="J53" s="1590"/>
      <c r="K53" s="1590"/>
      <c r="L53" s="1590"/>
      <c r="M53" s="1590"/>
      <c r="N53" s="1590"/>
      <c r="O53" s="783"/>
      <c r="P53" s="783"/>
      <c r="Q53" s="783"/>
      <c r="R53" s="783"/>
      <c r="S53" s="783"/>
    </row>
    <row r="54" spans="1:19" ht="15.5">
      <c r="A54" s="1590"/>
      <c r="B54" s="1590"/>
      <c r="C54" s="1590"/>
      <c r="D54" s="1590"/>
      <c r="E54" s="1590"/>
      <c r="F54" s="1590"/>
      <c r="G54" s="1590"/>
      <c r="H54" s="1590"/>
      <c r="I54" s="1590"/>
      <c r="J54" s="1590"/>
      <c r="K54" s="1590"/>
      <c r="L54" s="1590"/>
      <c r="M54" s="1590"/>
      <c r="N54" s="1590"/>
      <c r="O54" s="783"/>
      <c r="P54" s="783"/>
      <c r="Q54" s="783"/>
      <c r="R54" s="783"/>
      <c r="S54" s="783"/>
    </row>
    <row r="55" spans="1:19" ht="15.5">
      <c r="A55" s="1479" t="s">
        <v>836</v>
      </c>
      <c r="B55" s="1479"/>
      <c r="C55" s="1479"/>
      <c r="D55" s="1479"/>
      <c r="E55" s="1479"/>
      <c r="F55" s="1479"/>
      <c r="G55" s="1479"/>
      <c r="H55" s="1479"/>
      <c r="I55" s="1479"/>
      <c r="J55" s="1479"/>
      <c r="K55" s="1479"/>
      <c r="L55" s="1479"/>
      <c r="M55" s="1479"/>
      <c r="N55" s="1479"/>
      <c r="O55" s="783"/>
      <c r="P55" s="783"/>
      <c r="Q55" s="783"/>
      <c r="R55" s="783"/>
      <c r="S55" s="783"/>
    </row>
    <row r="56" spans="1:19" ht="15.5">
      <c r="A56" s="1479"/>
      <c r="B56" s="1479"/>
      <c r="C56" s="1479"/>
      <c r="D56" s="1479"/>
      <c r="E56" s="1479"/>
      <c r="F56" s="1479"/>
      <c r="G56" s="1479"/>
      <c r="H56" s="1479"/>
      <c r="I56" s="1479"/>
      <c r="J56" s="1479"/>
      <c r="K56" s="1479"/>
      <c r="L56" s="1479"/>
      <c r="M56" s="1479"/>
      <c r="N56" s="1479"/>
      <c r="O56" s="783"/>
      <c r="P56" s="783"/>
      <c r="Q56" s="783"/>
      <c r="R56" s="783"/>
      <c r="S56" s="783"/>
    </row>
  </sheetData>
  <mergeCells count="18">
    <mergeCell ref="A9:O9"/>
    <mergeCell ref="A10:O10"/>
    <mergeCell ref="C12:E12"/>
    <mergeCell ref="G12:I12"/>
    <mergeCell ref="K12:M12"/>
    <mergeCell ref="O12:Q12"/>
    <mergeCell ref="A8:O8"/>
    <mergeCell ref="A3:O3"/>
    <mergeCell ref="A6:O6"/>
    <mergeCell ref="A7:O7"/>
    <mergeCell ref="A4:O4"/>
    <mergeCell ref="A5:O5"/>
    <mergeCell ref="A55:N56"/>
    <mergeCell ref="G46:L46"/>
    <mergeCell ref="G47:L47"/>
    <mergeCell ref="G48:L48"/>
    <mergeCell ref="G49:L49"/>
    <mergeCell ref="A53:N54"/>
  </mergeCells>
  <phoneticPr fontId="5" type="noConversion"/>
  <conditionalFormatting sqref="P10:S10 A3 A4:S9 A10 O40:S56 A40:N45 A31:B39 A12:S20 A29:S30 A21:R28">
    <cfRule type="cellIs" dxfId="19" priority="18" stopIfTrue="1" operator="lessThan">
      <formula>0</formula>
    </cfRule>
  </conditionalFormatting>
  <conditionalFormatting sqref="A52:N52 A51:E51 L51:N51 F50:K50">
    <cfRule type="cellIs" dxfId="18" priority="17" stopIfTrue="1" operator="lessThan">
      <formula>0</formula>
    </cfRule>
  </conditionalFormatting>
  <conditionalFormatting sqref="A53 A46:G46 A47:F49 M46:N50 A50:E50">
    <cfRule type="cellIs" dxfId="17" priority="16" stopIfTrue="1" operator="lessThan">
      <formula>0</formula>
    </cfRule>
  </conditionalFormatting>
  <conditionalFormatting sqref="G46">
    <cfRule type="colorScale" priority="15">
      <colorScale>
        <cfvo type="min"/>
        <cfvo type="percentile" val="50"/>
        <cfvo type="max"/>
        <color rgb="FF5A8AC6"/>
        <color rgb="FFFCFCFF"/>
        <color rgb="FFF8696B"/>
      </colorScale>
    </cfRule>
  </conditionalFormatting>
  <conditionalFormatting sqref="G47">
    <cfRule type="cellIs" dxfId="16" priority="14" stopIfTrue="1" operator="lessThan">
      <formula>0</formula>
    </cfRule>
  </conditionalFormatting>
  <conditionalFormatting sqref="G47">
    <cfRule type="colorScale" priority="13">
      <colorScale>
        <cfvo type="min"/>
        <cfvo type="percentile" val="50"/>
        <cfvo type="max"/>
        <color rgb="FF5A8AC6"/>
        <color rgb="FFFCFCFF"/>
        <color rgb="FFF8696B"/>
      </colorScale>
    </cfRule>
  </conditionalFormatting>
  <conditionalFormatting sqref="G48">
    <cfRule type="cellIs" dxfId="15" priority="12" stopIfTrue="1" operator="lessThan">
      <formula>0</formula>
    </cfRule>
  </conditionalFormatting>
  <conditionalFormatting sqref="G48">
    <cfRule type="colorScale" priority="11">
      <colorScale>
        <cfvo type="min"/>
        <cfvo type="percentile" val="50"/>
        <cfvo type="max"/>
        <color rgb="FF5A8AC6"/>
        <color rgb="FFFCFCFF"/>
        <color rgb="FFF8696B"/>
      </colorScale>
    </cfRule>
  </conditionalFormatting>
  <conditionalFormatting sqref="G49">
    <cfRule type="cellIs" dxfId="14" priority="10" stopIfTrue="1" operator="lessThan">
      <formula>0</formula>
    </cfRule>
  </conditionalFormatting>
  <conditionalFormatting sqref="G49">
    <cfRule type="colorScale" priority="9">
      <colorScale>
        <cfvo type="min"/>
        <cfvo type="percentile" val="50"/>
        <cfvo type="max"/>
        <color rgb="FF5A8AC6"/>
        <color rgb="FFFCFCFF"/>
        <color rgb="FFF8696B"/>
      </colorScale>
    </cfRule>
  </conditionalFormatting>
  <conditionalFormatting sqref="C31:D39 F31:H39 J31:L39 N31:P39 R31:R39">
    <cfRule type="cellIs" dxfId="13" priority="8" stopIfTrue="1" operator="lessThan">
      <formula>0</formula>
    </cfRule>
  </conditionalFormatting>
  <conditionalFormatting sqref="E31:E39">
    <cfRule type="cellIs" dxfId="12" priority="7" stopIfTrue="1" operator="lessThan">
      <formula>0</formula>
    </cfRule>
  </conditionalFormatting>
  <conditionalFormatting sqref="I31:I39">
    <cfRule type="cellIs" dxfId="11" priority="6" stopIfTrue="1" operator="lessThan">
      <formula>0</formula>
    </cfRule>
  </conditionalFormatting>
  <conditionalFormatting sqref="M31:M39">
    <cfRule type="cellIs" dxfId="10" priority="5" stopIfTrue="1" operator="lessThan">
      <formula>0</formula>
    </cfRule>
  </conditionalFormatting>
  <conditionalFormatting sqref="Q31:Q39">
    <cfRule type="cellIs" dxfId="9" priority="4" stopIfTrue="1" operator="lessThan">
      <formula>0</formula>
    </cfRule>
  </conditionalFormatting>
  <conditionalFormatting sqref="S21">
    <cfRule type="cellIs" dxfId="8" priority="3" stopIfTrue="1" operator="lessThan">
      <formula>0</formula>
    </cfRule>
  </conditionalFormatting>
  <conditionalFormatting sqref="S22:S28">
    <cfRule type="cellIs" dxfId="7" priority="2" stopIfTrue="1" operator="lessThan">
      <formula>0</formula>
    </cfRule>
  </conditionalFormatting>
  <conditionalFormatting sqref="S31:S39">
    <cfRule type="cellIs" dxfId="6" priority="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60" zoomScaleNormal="70" workbookViewId="0">
      <selection activeCell="A10" sqref="A10:IV43"/>
    </sheetView>
  </sheetViews>
  <sheetFormatPr defaultColWidth="9.1796875" defaultRowHeight="12.5"/>
  <cols>
    <col min="1" max="1" width="31" style="1163" customWidth="1"/>
    <col min="2" max="2" width="9.1796875" style="1163"/>
    <col min="3" max="3" width="11.81640625" style="1163" customWidth="1"/>
    <col min="4" max="4" width="13" style="1163" customWidth="1"/>
    <col min="5" max="5" width="12.54296875" style="1163" customWidth="1"/>
    <col min="6" max="6" width="9.1796875" style="1163"/>
    <col min="7" max="7" width="12.1796875" style="1163" customWidth="1"/>
    <col min="8" max="8" width="14.81640625" style="1163" customWidth="1"/>
    <col min="9" max="9" width="11" style="1163" customWidth="1"/>
    <col min="10" max="10" width="9.1796875" style="1163"/>
    <col min="11" max="11" width="10.54296875" style="1163" customWidth="1"/>
    <col min="12" max="12" width="16" style="1163" customWidth="1"/>
    <col min="13" max="13" width="12.81640625" style="1163" customWidth="1"/>
    <col min="14" max="16384" width="9.1796875" style="1163"/>
  </cols>
  <sheetData>
    <row r="1" spans="1:15" s="783" customFormat="1" ht="15.5">
      <c r="A1" s="911" t="s">
        <v>115</v>
      </c>
      <c r="G1" s="279"/>
    </row>
    <row r="2" spans="1:15" s="783" customFormat="1" ht="15.5">
      <c r="A2" s="911" t="s">
        <v>115</v>
      </c>
      <c r="G2" s="279"/>
    </row>
    <row r="3" spans="1:15" ht="18">
      <c r="A3" s="1595" t="s">
        <v>392</v>
      </c>
      <c r="B3" s="1595"/>
      <c r="C3" s="1595"/>
      <c r="D3" s="1595"/>
      <c r="E3" s="1595"/>
      <c r="F3" s="1595"/>
      <c r="G3" s="1595"/>
      <c r="H3" s="1595"/>
      <c r="I3" s="1595"/>
      <c r="J3" s="1595"/>
      <c r="K3" s="1595"/>
      <c r="L3" s="1595"/>
      <c r="M3" s="1595"/>
      <c r="N3" s="1595"/>
      <c r="O3" s="1595"/>
    </row>
    <row r="4" spans="1:15" ht="18">
      <c r="A4" s="1595" t="s">
        <v>393</v>
      </c>
      <c r="B4" s="1595"/>
      <c r="C4" s="1595"/>
      <c r="D4" s="1595"/>
      <c r="E4" s="1595"/>
      <c r="F4" s="1595"/>
      <c r="G4" s="1595"/>
      <c r="H4" s="1595"/>
      <c r="I4" s="1595"/>
      <c r="J4" s="1595"/>
      <c r="K4" s="1595"/>
      <c r="L4" s="1595"/>
      <c r="M4" s="1595"/>
      <c r="N4" s="1595"/>
      <c r="O4" s="1595"/>
    </row>
    <row r="5" spans="1:15" ht="18">
      <c r="A5" s="1595" t="s">
        <v>394</v>
      </c>
      <c r="B5" s="1595"/>
      <c r="C5" s="1595"/>
      <c r="D5" s="1595"/>
      <c r="E5" s="1595"/>
      <c r="F5" s="1595"/>
      <c r="G5" s="1595"/>
      <c r="H5" s="1595"/>
      <c r="I5" s="1595"/>
      <c r="J5" s="1595"/>
      <c r="K5" s="1595"/>
      <c r="L5" s="1595"/>
      <c r="M5" s="1595"/>
      <c r="N5" s="1595"/>
      <c r="O5" s="1595"/>
    </row>
    <row r="6" spans="1:15" ht="18">
      <c r="A6" s="1595" t="s">
        <v>395</v>
      </c>
      <c r="B6" s="1595"/>
      <c r="C6" s="1595"/>
      <c r="D6" s="1595"/>
      <c r="E6" s="1595"/>
      <c r="F6" s="1595"/>
      <c r="G6" s="1595"/>
      <c r="H6" s="1595"/>
      <c r="I6" s="1595"/>
      <c r="J6" s="1595"/>
      <c r="K6" s="1595"/>
      <c r="L6" s="1595"/>
      <c r="M6" s="1595"/>
      <c r="N6" s="1595"/>
      <c r="O6" s="1595"/>
    </row>
    <row r="7" spans="1:15" ht="18">
      <c r="A7" s="1595" t="s">
        <v>995</v>
      </c>
      <c r="B7" s="1595"/>
      <c r="C7" s="1595"/>
      <c r="D7" s="1595"/>
      <c r="E7" s="1595"/>
      <c r="F7" s="1595"/>
      <c r="G7" s="1595"/>
      <c r="H7" s="1595"/>
      <c r="I7" s="1595"/>
      <c r="J7" s="1595"/>
      <c r="K7" s="1595"/>
      <c r="L7" s="1595"/>
      <c r="M7" s="1595"/>
      <c r="N7" s="1595"/>
      <c r="O7" s="1595"/>
    </row>
    <row r="8" spans="1:15" ht="18">
      <c r="A8" s="1595" t="s">
        <v>396</v>
      </c>
      <c r="B8" s="1595"/>
      <c r="C8" s="1595"/>
      <c r="D8" s="1595"/>
      <c r="E8" s="1595"/>
      <c r="F8" s="1595"/>
      <c r="G8" s="1595"/>
      <c r="H8" s="1595"/>
      <c r="I8" s="1595"/>
      <c r="J8" s="1595"/>
      <c r="K8" s="1595"/>
      <c r="L8" s="1595"/>
      <c r="M8" s="1595"/>
      <c r="N8" s="1595"/>
      <c r="O8" s="1595"/>
    </row>
    <row r="9" spans="1:15" ht="18">
      <c r="A9" s="1595" t="s">
        <v>775</v>
      </c>
      <c r="B9" s="1595"/>
      <c r="C9" s="1595"/>
      <c r="D9" s="1595"/>
      <c r="E9" s="1595"/>
      <c r="F9" s="1595"/>
      <c r="G9" s="1595"/>
      <c r="H9" s="1595"/>
      <c r="I9" s="1595"/>
      <c r="J9" s="1595"/>
      <c r="K9" s="1595"/>
      <c r="L9" s="1595"/>
      <c r="M9" s="1595"/>
      <c r="N9" s="1595"/>
      <c r="O9" s="1595"/>
    </row>
    <row r="10" spans="1:15" ht="18">
      <c r="A10" s="1598"/>
      <c r="B10" s="1598"/>
      <c r="C10" s="1598"/>
      <c r="D10" s="1598"/>
      <c r="E10" s="1598"/>
      <c r="F10" s="1598"/>
      <c r="G10" s="1598"/>
      <c r="H10" s="1598"/>
      <c r="I10" s="1598"/>
      <c r="J10" s="1598"/>
      <c r="K10" s="1598"/>
      <c r="L10" s="1598"/>
      <c r="M10" s="1598"/>
      <c r="N10" s="1598"/>
      <c r="O10" s="1598"/>
    </row>
    <row r="11" spans="1:15" ht="16" thickBot="1">
      <c r="A11" s="1164"/>
      <c r="B11" s="1164"/>
      <c r="C11" s="1599" t="s">
        <v>776</v>
      </c>
      <c r="D11" s="1599"/>
      <c r="E11" s="1599"/>
      <c r="F11" s="1164"/>
      <c r="G11" s="1599" t="s">
        <v>777</v>
      </c>
      <c r="H11" s="1599"/>
      <c r="I11" s="1599"/>
      <c r="J11" s="1164"/>
      <c r="K11" s="1599" t="s">
        <v>397</v>
      </c>
      <c r="L11" s="1599"/>
      <c r="M11" s="1599"/>
      <c r="N11" s="1164"/>
      <c r="O11" s="1165" t="s">
        <v>398</v>
      </c>
    </row>
    <row r="12" spans="1:15" ht="15.5">
      <c r="A12" s="1166"/>
      <c r="B12" s="1164"/>
      <c r="C12" s="1167" t="s">
        <v>122</v>
      </c>
      <c r="D12" s="1168"/>
      <c r="E12" s="1168"/>
      <c r="F12" s="1168"/>
      <c r="G12" s="1169" t="s">
        <v>123</v>
      </c>
      <c r="H12" s="1170"/>
      <c r="I12" s="1170"/>
      <c r="J12" s="1170"/>
      <c r="K12" s="1171">
        <v>-3</v>
      </c>
      <c r="L12" s="1170"/>
      <c r="M12" s="1170"/>
      <c r="N12" s="1170"/>
      <c r="O12" s="1170"/>
    </row>
    <row r="13" spans="1:15" ht="15.5">
      <c r="A13" s="1164"/>
      <c r="B13" s="1164"/>
      <c r="C13" s="1167" t="s">
        <v>115</v>
      </c>
      <c r="D13" s="1168"/>
      <c r="E13" s="1167" t="s">
        <v>399</v>
      </c>
      <c r="F13" s="1168"/>
      <c r="G13" s="1169" t="s">
        <v>778</v>
      </c>
      <c r="H13" s="1168"/>
      <c r="I13" s="1167" t="s">
        <v>399</v>
      </c>
      <c r="J13" s="1168"/>
      <c r="K13" s="1172"/>
      <c r="L13" s="1168"/>
      <c r="M13" s="1167" t="s">
        <v>399</v>
      </c>
      <c r="N13" s="1168"/>
      <c r="O13" s="1167" t="s">
        <v>399</v>
      </c>
    </row>
    <row r="14" spans="1:15" ht="15.5">
      <c r="A14" s="1164"/>
      <c r="B14" s="1167" t="s">
        <v>400</v>
      </c>
      <c r="C14" s="1167" t="s">
        <v>779</v>
      </c>
      <c r="D14" s="1167" t="s">
        <v>401</v>
      </c>
      <c r="E14" s="1167" t="s">
        <v>402</v>
      </c>
      <c r="F14" s="1168"/>
      <c r="G14" s="1169" t="s">
        <v>403</v>
      </c>
      <c r="H14" s="1167" t="s">
        <v>401</v>
      </c>
      <c r="I14" s="1167" t="s">
        <v>402</v>
      </c>
      <c r="J14" s="1168"/>
      <c r="K14" s="1167" t="s">
        <v>81</v>
      </c>
      <c r="L14" s="1167" t="s">
        <v>401</v>
      </c>
      <c r="M14" s="1167" t="s">
        <v>402</v>
      </c>
      <c r="N14" s="1168"/>
      <c r="O14" s="1167" t="s">
        <v>402</v>
      </c>
    </row>
    <row r="15" spans="1:15" ht="15.5">
      <c r="A15" s="1167"/>
      <c r="B15" s="1167" t="s">
        <v>404</v>
      </c>
      <c r="C15" s="1167" t="s">
        <v>405</v>
      </c>
      <c r="D15" s="1167" t="s">
        <v>780</v>
      </c>
      <c r="E15" s="1167" t="s">
        <v>406</v>
      </c>
      <c r="F15" s="1168"/>
      <c r="G15" s="1169" t="s">
        <v>405</v>
      </c>
      <c r="H15" s="1167" t="s">
        <v>780</v>
      </c>
      <c r="I15" s="1167" t="s">
        <v>406</v>
      </c>
      <c r="J15" s="1168"/>
      <c r="K15" s="1167" t="s">
        <v>405</v>
      </c>
      <c r="L15" s="1167" t="s">
        <v>780</v>
      </c>
      <c r="M15" s="1167" t="s">
        <v>406</v>
      </c>
      <c r="N15" s="1168"/>
      <c r="O15" s="1167" t="s">
        <v>406</v>
      </c>
    </row>
    <row r="16" spans="1:15" ht="15.5">
      <c r="A16" s="1172"/>
      <c r="B16" s="1172"/>
      <c r="C16" s="1172"/>
      <c r="D16" s="1172"/>
      <c r="E16" s="1172"/>
      <c r="F16" s="1172"/>
      <c r="G16" s="1173"/>
      <c r="H16" s="1172"/>
      <c r="I16" s="1172"/>
      <c r="J16" s="1172"/>
      <c r="K16" s="1172"/>
      <c r="L16" s="1172"/>
      <c r="M16" s="1172"/>
      <c r="N16" s="1172"/>
      <c r="O16" s="1172"/>
    </row>
    <row r="17" spans="1:15" ht="16" thickBot="1">
      <c r="A17" s="1174"/>
      <c r="B17" s="1164"/>
      <c r="C17" s="273"/>
      <c r="D17" s="1164"/>
      <c r="E17" s="1164"/>
      <c r="F17" s="1164"/>
      <c r="G17" s="1175"/>
      <c r="H17" s="1164"/>
      <c r="I17" s="1164"/>
      <c r="J17" s="1164"/>
      <c r="K17" s="1175"/>
      <c r="L17" s="1164"/>
      <c r="M17" s="1164"/>
      <c r="N17" s="1164"/>
      <c r="O17" s="1164"/>
    </row>
    <row r="18" spans="1:15" ht="15.5">
      <c r="A18" s="1176" t="s">
        <v>407</v>
      </c>
      <c r="B18" s="1177"/>
      <c r="C18" s="274"/>
      <c r="D18" s="275"/>
      <c r="E18" s="276"/>
      <c r="F18" s="1177"/>
      <c r="G18" s="276"/>
      <c r="H18" s="277"/>
      <c r="I18" s="276"/>
      <c r="J18" s="1177"/>
      <c r="K18" s="276"/>
      <c r="L18" s="277"/>
      <c r="M18" s="276"/>
      <c r="N18" s="1177"/>
      <c r="O18" s="276"/>
    </row>
    <row r="19" spans="1:15" ht="15.5">
      <c r="A19" s="1172" t="s">
        <v>781</v>
      </c>
      <c r="B19" s="278">
        <v>350.1</v>
      </c>
      <c r="C19" s="279">
        <v>1.4800000000000001E-2</v>
      </c>
      <c r="D19" s="280">
        <v>0.65210299999999999</v>
      </c>
      <c r="E19" s="279">
        <f t="shared" ref="E19:E27" si="0">ROUND((C19*D19),6)</f>
        <v>9.6509999999999999E-3</v>
      </c>
      <c r="F19" s="1178"/>
      <c r="G19" s="279">
        <v>1.44E-2</v>
      </c>
      <c r="H19" s="280">
        <v>0.144206</v>
      </c>
      <c r="I19" s="279">
        <f t="shared" ref="I19:I27" si="1">ROUND((G19*H19),6)</f>
        <v>2.0769999999999999E-3</v>
      </c>
      <c r="J19" s="1178"/>
      <c r="K19" s="279">
        <v>1.44E-2</v>
      </c>
      <c r="L19" s="280">
        <v>0.20369100000000001</v>
      </c>
      <c r="M19" s="279">
        <f>ROUND((K19*L19),6)</f>
        <v>2.9329999999999998E-3</v>
      </c>
      <c r="N19" s="1178"/>
      <c r="O19" s="273">
        <f t="shared" ref="O19:O27" si="2">ROUND(E19+I19+M19,4)</f>
        <v>1.47E-2</v>
      </c>
    </row>
    <row r="20" spans="1:15" ht="15.5">
      <c r="A20" s="1179" t="s">
        <v>408</v>
      </c>
      <c r="B20" s="278">
        <v>352</v>
      </c>
      <c r="C20" s="279">
        <v>1.55E-2</v>
      </c>
      <c r="D20" s="280">
        <v>0.65210299999999999</v>
      </c>
      <c r="E20" s="279">
        <f t="shared" si="0"/>
        <v>1.0108000000000001E-2</v>
      </c>
      <c r="F20" s="1178"/>
      <c r="G20" s="279">
        <v>1.4999999999999999E-2</v>
      </c>
      <c r="H20" s="280">
        <v>0.144206</v>
      </c>
      <c r="I20" s="279">
        <f t="shared" si="1"/>
        <v>2.163E-3</v>
      </c>
      <c r="J20" s="1178"/>
      <c r="K20" s="279">
        <v>1.4999999999999999E-2</v>
      </c>
      <c r="L20" s="280">
        <v>0.20369100000000001</v>
      </c>
      <c r="M20" s="279">
        <f t="shared" ref="M20:M27" si="3">ROUND((K20*L20),6)</f>
        <v>3.055E-3</v>
      </c>
      <c r="N20" s="1178"/>
      <c r="O20" s="273">
        <f t="shared" si="2"/>
        <v>1.5299999999999999E-2</v>
      </c>
    </row>
    <row r="21" spans="1:15" ht="15.5">
      <c r="A21" s="1179" t="s">
        <v>409</v>
      </c>
      <c r="B21" s="278">
        <v>353</v>
      </c>
      <c r="C21" s="279">
        <v>1.8599999999999998E-2</v>
      </c>
      <c r="D21" s="280">
        <v>0.65210299999999999</v>
      </c>
      <c r="E21" s="279">
        <f t="shared" si="0"/>
        <v>1.2128999999999999E-2</v>
      </c>
      <c r="F21" s="1178"/>
      <c r="G21" s="279">
        <v>1.84E-2</v>
      </c>
      <c r="H21" s="280">
        <v>0.144206</v>
      </c>
      <c r="I21" s="279">
        <f t="shared" si="1"/>
        <v>2.653E-3</v>
      </c>
      <c r="J21" s="1178"/>
      <c r="K21" s="279">
        <v>1.84E-2</v>
      </c>
      <c r="L21" s="280">
        <v>0.20369100000000001</v>
      </c>
      <c r="M21" s="279">
        <f t="shared" si="3"/>
        <v>3.748E-3</v>
      </c>
      <c r="N21" s="1178"/>
      <c r="O21" s="273">
        <f t="shared" si="2"/>
        <v>1.8499999999999999E-2</v>
      </c>
    </row>
    <row r="22" spans="1:15" ht="15.5">
      <c r="A22" s="1179" t="s">
        <v>410</v>
      </c>
      <c r="B22" s="278">
        <v>354</v>
      </c>
      <c r="C22" s="279">
        <v>1.6899999999999998E-2</v>
      </c>
      <c r="D22" s="280">
        <v>0.65210299999999999</v>
      </c>
      <c r="E22" s="279">
        <f t="shared" si="0"/>
        <v>1.1021E-2</v>
      </c>
      <c r="F22" s="1178"/>
      <c r="G22" s="279">
        <v>1.5699999999999999E-2</v>
      </c>
      <c r="H22" s="280">
        <v>0.144206</v>
      </c>
      <c r="I22" s="279">
        <f t="shared" si="1"/>
        <v>2.264E-3</v>
      </c>
      <c r="J22" s="1178"/>
      <c r="K22" s="279">
        <v>1.5699999999999999E-2</v>
      </c>
      <c r="L22" s="280">
        <v>0.20369100000000001</v>
      </c>
      <c r="M22" s="279">
        <f t="shared" si="3"/>
        <v>3.1979999999999999E-3</v>
      </c>
      <c r="N22" s="1178"/>
      <c r="O22" s="273">
        <f t="shared" si="2"/>
        <v>1.6500000000000001E-2</v>
      </c>
    </row>
    <row r="23" spans="1:15" ht="15.5">
      <c r="A23" s="1179" t="s">
        <v>411</v>
      </c>
      <c r="B23" s="278">
        <v>355</v>
      </c>
      <c r="C23" s="279">
        <v>2.8500000000000001E-2</v>
      </c>
      <c r="D23" s="280">
        <v>0.65210299999999999</v>
      </c>
      <c r="E23" s="279">
        <f t="shared" si="0"/>
        <v>1.8585000000000001E-2</v>
      </c>
      <c r="F23" s="1178"/>
      <c r="G23" s="279">
        <v>2.8299999999999999E-2</v>
      </c>
      <c r="H23" s="280">
        <v>0.144206</v>
      </c>
      <c r="I23" s="279">
        <f t="shared" si="1"/>
        <v>4.0810000000000004E-3</v>
      </c>
      <c r="J23" s="1178"/>
      <c r="K23" s="279">
        <v>2.8299999999999999E-2</v>
      </c>
      <c r="L23" s="280">
        <v>0.20369100000000001</v>
      </c>
      <c r="M23" s="279">
        <f t="shared" si="3"/>
        <v>5.764E-3</v>
      </c>
      <c r="N23" s="1178"/>
      <c r="O23" s="273">
        <f t="shared" si="2"/>
        <v>2.8400000000000002E-2</v>
      </c>
    </row>
    <row r="24" spans="1:15" ht="15.5">
      <c r="A24" s="1179" t="s">
        <v>782</v>
      </c>
      <c r="B24" s="278">
        <v>356</v>
      </c>
      <c r="C24" s="279">
        <v>1.9699999999999999E-2</v>
      </c>
      <c r="D24" s="280">
        <v>0.65210299999999999</v>
      </c>
      <c r="E24" s="279">
        <f t="shared" si="0"/>
        <v>1.2846E-2</v>
      </c>
      <c r="F24" s="1178"/>
      <c r="G24" s="279">
        <v>1.89E-2</v>
      </c>
      <c r="H24" s="280">
        <v>0.144206</v>
      </c>
      <c r="I24" s="279">
        <f t="shared" si="1"/>
        <v>2.725E-3</v>
      </c>
      <c r="J24" s="1178"/>
      <c r="K24" s="279">
        <v>1.89E-2</v>
      </c>
      <c r="L24" s="280">
        <v>0.20369100000000001</v>
      </c>
      <c r="M24" s="279">
        <f t="shared" si="3"/>
        <v>3.8500000000000001E-3</v>
      </c>
      <c r="N24" s="1178"/>
      <c r="O24" s="273">
        <f t="shared" si="2"/>
        <v>1.9400000000000001E-2</v>
      </c>
    </row>
    <row r="25" spans="1:15" ht="15.5">
      <c r="A25" s="1179" t="s">
        <v>412</v>
      </c>
      <c r="B25" s="278">
        <v>357</v>
      </c>
      <c r="C25" s="279">
        <v>1.8599999999999998E-2</v>
      </c>
      <c r="D25" s="280">
        <v>0.65210299999999999</v>
      </c>
      <c r="E25" s="279">
        <f t="shared" si="0"/>
        <v>1.2128999999999999E-2</v>
      </c>
      <c r="F25" s="1178"/>
      <c r="G25" s="279">
        <v>1.77E-2</v>
      </c>
      <c r="H25" s="280">
        <v>0.144206</v>
      </c>
      <c r="I25" s="279">
        <f t="shared" si="1"/>
        <v>2.552E-3</v>
      </c>
      <c r="J25" s="1178"/>
      <c r="K25" s="279">
        <v>1.77E-2</v>
      </c>
      <c r="L25" s="280">
        <v>0.20369100000000001</v>
      </c>
      <c r="M25" s="279">
        <f t="shared" si="3"/>
        <v>3.6050000000000001E-3</v>
      </c>
      <c r="N25" s="1178"/>
      <c r="O25" s="273">
        <f t="shared" si="2"/>
        <v>1.83E-2</v>
      </c>
    </row>
    <row r="26" spans="1:15" ht="15.5">
      <c r="A26" s="1179" t="s">
        <v>413</v>
      </c>
      <c r="B26" s="278">
        <v>358</v>
      </c>
      <c r="C26" s="279">
        <v>1.7000000000000001E-2</v>
      </c>
      <c r="D26" s="280">
        <v>0.65210299999999999</v>
      </c>
      <c r="E26" s="279">
        <f t="shared" si="0"/>
        <v>1.1086E-2</v>
      </c>
      <c r="F26" s="1178"/>
      <c r="G26" s="279">
        <v>1.66E-2</v>
      </c>
      <c r="H26" s="280">
        <v>0.144206</v>
      </c>
      <c r="I26" s="279">
        <f t="shared" si="1"/>
        <v>2.3939999999999999E-3</v>
      </c>
      <c r="J26" s="1178"/>
      <c r="K26" s="279">
        <v>1.66E-2</v>
      </c>
      <c r="L26" s="280">
        <v>0.20369100000000001</v>
      </c>
      <c r="M26" s="279">
        <f t="shared" si="3"/>
        <v>3.3809999999999999E-3</v>
      </c>
      <c r="N26" s="1178"/>
      <c r="O26" s="273">
        <f t="shared" si="2"/>
        <v>1.6899999999999998E-2</v>
      </c>
    </row>
    <row r="27" spans="1:15" ht="15.5">
      <c r="A27" s="1179" t="s">
        <v>783</v>
      </c>
      <c r="B27" s="278">
        <v>359</v>
      </c>
      <c r="C27" s="279">
        <v>1.4999999999999999E-2</v>
      </c>
      <c r="D27" s="280">
        <v>0.65210299999999999</v>
      </c>
      <c r="E27" s="279">
        <f t="shared" si="0"/>
        <v>9.7820000000000008E-3</v>
      </c>
      <c r="F27" s="1178"/>
      <c r="G27" s="279">
        <v>1.4800000000000001E-2</v>
      </c>
      <c r="H27" s="280">
        <v>0.144206</v>
      </c>
      <c r="I27" s="279">
        <f t="shared" si="1"/>
        <v>2.134E-3</v>
      </c>
      <c r="J27" s="1178"/>
      <c r="K27" s="279">
        <v>1.4800000000000001E-2</v>
      </c>
      <c r="L27" s="280">
        <v>0.20369100000000001</v>
      </c>
      <c r="M27" s="279">
        <f t="shared" si="3"/>
        <v>3.0149999999999999E-3</v>
      </c>
      <c r="N27" s="1178"/>
      <c r="O27" s="273">
        <f t="shared" si="2"/>
        <v>1.49E-2</v>
      </c>
    </row>
    <row r="28" spans="1:15" ht="15.5">
      <c r="A28" s="1172"/>
      <c r="B28" s="1172"/>
      <c r="C28" s="1172"/>
      <c r="D28" s="1172"/>
      <c r="E28" s="1172"/>
      <c r="F28" s="1172"/>
      <c r="G28" s="1172"/>
      <c r="H28" s="1172"/>
      <c r="I28" s="1172"/>
      <c r="J28" s="1172"/>
      <c r="K28" s="1172"/>
      <c r="L28" s="1172"/>
      <c r="M28" s="1172"/>
      <c r="N28" s="1172"/>
      <c r="O28" s="1172"/>
    </row>
    <row r="29" spans="1:15" ht="15.5">
      <c r="A29" s="1172"/>
      <c r="B29" s="1172"/>
      <c r="C29" s="1172"/>
      <c r="D29" s="1172"/>
      <c r="E29" s="1172"/>
      <c r="F29" s="1172"/>
      <c r="G29" s="1172"/>
      <c r="H29" s="1172"/>
      <c r="I29" s="1172"/>
      <c r="J29" s="1172"/>
      <c r="K29" s="1172"/>
      <c r="L29" s="1172"/>
      <c r="M29" s="1172"/>
      <c r="N29" s="1172"/>
      <c r="O29" s="1172"/>
    </row>
    <row r="30" spans="1:15" ht="15.5">
      <c r="A30" s="1172"/>
      <c r="B30" s="1164"/>
      <c r="C30" s="273"/>
      <c r="D30" s="1172"/>
      <c r="E30" s="1172"/>
      <c r="F30" s="1172"/>
      <c r="G30" s="1173"/>
      <c r="H30" s="1172"/>
      <c r="I30" s="1172"/>
      <c r="J30" s="1172"/>
      <c r="K30" s="1172"/>
      <c r="L30" s="1172"/>
      <c r="M30" s="1172"/>
      <c r="N30" s="1172"/>
      <c r="O30" s="1172"/>
    </row>
    <row r="31" spans="1:15" ht="15.5">
      <c r="A31" s="1166" t="s">
        <v>784</v>
      </c>
      <c r="B31" s="1180"/>
      <c r="C31" s="281"/>
      <c r="D31" s="1180"/>
      <c r="E31" s="1172"/>
      <c r="F31" s="1180"/>
      <c r="G31" s="1172"/>
      <c r="H31" s="1164"/>
      <c r="I31" s="1172"/>
      <c r="J31" s="1172"/>
      <c r="K31" s="1172"/>
      <c r="L31" s="1172"/>
      <c r="M31" s="1172"/>
      <c r="N31" s="1172"/>
      <c r="O31" s="1172"/>
    </row>
    <row r="32" spans="1:15" ht="15.5">
      <c r="A32" s="1166" t="s">
        <v>785</v>
      </c>
      <c r="B32" s="1180"/>
      <c r="C32" s="281"/>
      <c r="D32" s="1180"/>
      <c r="E32" s="1180"/>
      <c r="F32" s="1180"/>
      <c r="G32" s="1172"/>
      <c r="H32" s="1164"/>
      <c r="I32" s="1172"/>
      <c r="J32" s="1172"/>
      <c r="K32" s="1172"/>
      <c r="L32" s="1172"/>
      <c r="M32" s="1172"/>
      <c r="N32" s="1172"/>
      <c r="O32" s="1172"/>
    </row>
    <row r="33" spans="1:15" ht="15.5">
      <c r="A33" s="1166" t="s">
        <v>786</v>
      </c>
      <c r="B33" s="1180"/>
      <c r="C33" s="281"/>
      <c r="D33" s="1181"/>
      <c r="E33" s="1181"/>
      <c r="F33" s="1181"/>
      <c r="G33" s="1172"/>
      <c r="H33" s="1172"/>
      <c r="I33" s="1172"/>
      <c r="J33" s="1172"/>
      <c r="K33" s="1172"/>
      <c r="L33" s="1172"/>
      <c r="M33" s="1172"/>
      <c r="N33" s="1172"/>
      <c r="O33" s="1172"/>
    </row>
    <row r="34" spans="1:15" ht="15.5">
      <c r="A34" s="1600" t="s">
        <v>787</v>
      </c>
      <c r="B34" s="1601"/>
      <c r="C34" s="1601"/>
      <c r="D34" s="1601"/>
      <c r="E34" s="1601"/>
      <c r="F34" s="1601"/>
      <c r="G34" s="1601"/>
      <c r="H34" s="1601"/>
      <c r="I34" s="1601"/>
      <c r="J34" s="1601"/>
      <c r="K34" s="1601"/>
      <c r="L34" s="1601"/>
      <c r="M34" s="1172"/>
      <c r="N34" s="1172"/>
      <c r="O34" s="1172"/>
    </row>
    <row r="35" spans="1:15" ht="15.5">
      <c r="A35" s="1601"/>
      <c r="B35" s="1601"/>
      <c r="C35" s="1601"/>
      <c r="D35" s="1601"/>
      <c r="E35" s="1601"/>
      <c r="F35" s="1601"/>
      <c r="G35" s="1601"/>
      <c r="H35" s="1601"/>
      <c r="I35" s="1601"/>
      <c r="J35" s="1601"/>
      <c r="K35" s="1601"/>
      <c r="L35" s="1601"/>
      <c r="M35" s="1172"/>
      <c r="N35" s="1172"/>
      <c r="O35" s="1172"/>
    </row>
    <row r="36" spans="1:15" ht="15.5">
      <c r="A36" s="1601"/>
      <c r="B36" s="1601"/>
      <c r="C36" s="1601"/>
      <c r="D36" s="1601"/>
      <c r="E36" s="1601"/>
      <c r="F36" s="1601"/>
      <c r="G36" s="1601"/>
      <c r="H36" s="1601"/>
      <c r="I36" s="1601"/>
      <c r="J36" s="1601"/>
      <c r="K36" s="1601"/>
      <c r="L36" s="1601"/>
      <c r="M36" s="1172"/>
      <c r="N36" s="1172"/>
      <c r="O36" s="1172"/>
    </row>
    <row r="37" spans="1:15" ht="15.5">
      <c r="A37" s="1172"/>
      <c r="B37" s="1180"/>
      <c r="C37" s="281"/>
      <c r="D37" s="1181"/>
      <c r="E37" s="1181"/>
      <c r="F37" s="1181"/>
      <c r="G37" s="1173"/>
      <c r="H37" s="1172"/>
      <c r="I37" s="1172"/>
      <c r="J37" s="1172"/>
      <c r="K37" s="1172"/>
      <c r="L37" s="1172"/>
      <c r="M37" s="1172"/>
      <c r="N37" s="1172"/>
      <c r="O37" s="1172"/>
    </row>
    <row r="38" spans="1:15" ht="15.5">
      <c r="A38" s="1182" t="s">
        <v>414</v>
      </c>
      <c r="B38" s="1164"/>
      <c r="C38" s="273"/>
      <c r="D38" s="1172"/>
      <c r="E38" s="1172"/>
      <c r="F38" s="1172"/>
      <c r="G38" s="1173"/>
      <c r="H38" s="1172"/>
      <c r="I38" s="1172"/>
      <c r="J38" s="1172"/>
      <c r="K38" s="1172"/>
      <c r="L38" s="1172"/>
      <c r="M38" s="1172"/>
      <c r="N38" s="1172"/>
      <c r="O38" s="1172"/>
    </row>
    <row r="39" spans="1:15" ht="15.5">
      <c r="A39" s="1183" t="s">
        <v>29</v>
      </c>
      <c r="B39" s="1184"/>
      <c r="C39" s="1184"/>
      <c r="D39" s="1185"/>
      <c r="E39" s="1172"/>
      <c r="F39" s="1172"/>
      <c r="G39" s="1173"/>
      <c r="H39" s="1172"/>
      <c r="I39" s="1172"/>
      <c r="J39" s="1172"/>
      <c r="K39" s="1172"/>
      <c r="L39" s="1172"/>
      <c r="M39" s="1172"/>
      <c r="N39" s="1172"/>
      <c r="O39" s="1172"/>
    </row>
    <row r="40" spans="1:15" ht="15.5">
      <c r="A40" s="1596" t="s">
        <v>788</v>
      </c>
      <c r="B40" s="1596"/>
      <c r="C40" s="1596"/>
      <c r="D40" s="1596"/>
      <c r="E40" s="1596"/>
      <c r="F40" s="1596"/>
      <c r="G40" s="1596"/>
      <c r="H40" s="1596"/>
      <c r="I40" s="1596"/>
      <c r="J40" s="1596"/>
      <c r="K40" s="1596"/>
      <c r="L40" s="1596"/>
      <c r="M40" s="1596"/>
      <c r="N40" s="1596"/>
      <c r="O40" s="1172"/>
    </row>
    <row r="41" spans="1:15" ht="15.5">
      <c r="A41" s="1596"/>
      <c r="B41" s="1596"/>
      <c r="C41" s="1596"/>
      <c r="D41" s="1596"/>
      <c r="E41" s="1596"/>
      <c r="F41" s="1596"/>
      <c r="G41" s="1596"/>
      <c r="H41" s="1596"/>
      <c r="I41" s="1596"/>
      <c r="J41" s="1596"/>
      <c r="K41" s="1596"/>
      <c r="L41" s="1596"/>
      <c r="M41" s="1596"/>
      <c r="N41" s="1596"/>
      <c r="O41" s="1172"/>
    </row>
    <row r="42" spans="1:15" ht="15.5">
      <c r="A42" s="1597" t="s">
        <v>836</v>
      </c>
      <c r="B42" s="1597"/>
      <c r="C42" s="1597"/>
      <c r="D42" s="1597"/>
      <c r="E42" s="1597"/>
      <c r="F42" s="1597"/>
      <c r="G42" s="1597"/>
      <c r="H42" s="1597"/>
      <c r="I42" s="1597"/>
      <c r="J42" s="1597"/>
      <c r="K42" s="1597"/>
      <c r="L42" s="1597"/>
      <c r="M42" s="1597"/>
      <c r="N42" s="1597"/>
      <c r="O42" s="1172"/>
    </row>
    <row r="43" spans="1:15" ht="15.5">
      <c r="A43" s="1597"/>
      <c r="B43" s="1597"/>
      <c r="C43" s="1597"/>
      <c r="D43" s="1597"/>
      <c r="E43" s="1597"/>
      <c r="F43" s="1597"/>
      <c r="G43" s="1597"/>
      <c r="H43" s="1597"/>
      <c r="I43" s="1597"/>
      <c r="J43" s="1597"/>
      <c r="K43" s="1597"/>
      <c r="L43" s="1597"/>
      <c r="M43" s="1597"/>
      <c r="N43" s="1597"/>
      <c r="O43" s="1172"/>
    </row>
    <row r="44" spans="1:15" ht="15.5">
      <c r="A44" s="1172"/>
      <c r="B44" s="1172"/>
      <c r="C44" s="1172"/>
      <c r="D44" s="1172"/>
      <c r="E44" s="1172"/>
      <c r="F44" s="1172"/>
      <c r="G44" s="1173"/>
      <c r="H44" s="1172"/>
      <c r="I44" s="1172"/>
      <c r="J44" s="1172"/>
      <c r="K44" s="1172"/>
      <c r="L44" s="1172"/>
      <c r="M44" s="1172"/>
      <c r="N44" s="1172"/>
      <c r="O44" s="1172"/>
    </row>
    <row r="45" spans="1:15" ht="15.5">
      <c r="A45" s="1172"/>
      <c r="B45" s="1172"/>
      <c r="C45" s="1172"/>
      <c r="D45" s="1172"/>
      <c r="E45" s="1172"/>
      <c r="F45" s="1172"/>
      <c r="G45" s="1173"/>
      <c r="H45" s="1172"/>
      <c r="I45" s="1172"/>
      <c r="J45" s="1172"/>
      <c r="K45" s="1172"/>
      <c r="L45" s="1172"/>
      <c r="M45" s="1172"/>
      <c r="N45" s="1172"/>
      <c r="O45" s="1172"/>
    </row>
    <row r="46" spans="1:15" ht="15.5">
      <c r="A46" s="1172"/>
      <c r="B46" s="1172"/>
      <c r="C46" s="1172"/>
      <c r="D46" s="1172"/>
      <c r="E46" s="1172"/>
      <c r="F46" s="1172"/>
      <c r="G46" s="1173"/>
      <c r="H46" s="1172"/>
      <c r="I46" s="1172"/>
      <c r="J46" s="1172"/>
      <c r="K46" s="1172"/>
      <c r="L46" s="1172"/>
      <c r="M46" s="1172"/>
      <c r="N46" s="1172"/>
      <c r="O46" s="1172"/>
    </row>
  </sheetData>
  <mergeCells count="14">
    <mergeCell ref="A3:O3"/>
    <mergeCell ref="A4:O4"/>
    <mergeCell ref="A5:O5"/>
    <mergeCell ref="A6:O6"/>
    <mergeCell ref="A7:O7"/>
    <mergeCell ref="A8:O8"/>
    <mergeCell ref="A40:N41"/>
    <mergeCell ref="A42:N43"/>
    <mergeCell ref="A9:O9"/>
    <mergeCell ref="A10:O10"/>
    <mergeCell ref="C11:E11"/>
    <mergeCell ref="G11:I11"/>
    <mergeCell ref="K11:M11"/>
    <mergeCell ref="A34:L36"/>
  </mergeCells>
  <conditionalFormatting sqref="A3 A4:O9 A10 A38:N39 A40">
    <cfRule type="cellIs" dxfId="5" priority="1" stopIfTrue="1" operator="lessThan">
      <formula>0</formula>
    </cfRule>
  </conditionalFormatting>
  <pageMargins left="0.7" right="0.7" top="0.75" bottom="0.75" header="0.3" footer="0.3"/>
  <pageSetup scale="4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34" zoomScale="60" zoomScaleNormal="70" workbookViewId="0">
      <selection activeCell="A3" sqref="A3"/>
    </sheetView>
  </sheetViews>
  <sheetFormatPr defaultColWidth="9.1796875" defaultRowHeight="12.5"/>
  <cols>
    <col min="1" max="1" width="33.54296875" style="1163" customWidth="1"/>
    <col min="2" max="2" width="17.1796875" style="1163" customWidth="1"/>
    <col min="3" max="3" width="23.453125" style="1163" customWidth="1"/>
    <col min="4" max="4" width="9.1796875" style="1163"/>
    <col min="5" max="5" width="21.81640625" style="1163" customWidth="1"/>
    <col min="6" max="16384" width="9.1796875" style="1163"/>
  </cols>
  <sheetData>
    <row r="1" spans="1:7" s="783" customFormat="1" ht="15.5">
      <c r="A1" s="911" t="s">
        <v>115</v>
      </c>
      <c r="G1" s="279"/>
    </row>
    <row r="2" spans="1:7" s="783" customFormat="1" ht="15.5">
      <c r="A2" s="911" t="s">
        <v>115</v>
      </c>
      <c r="G2" s="279"/>
    </row>
    <row r="3" spans="1:7" ht="18">
      <c r="A3" s="1172"/>
      <c r="B3" s="1603" t="s">
        <v>392</v>
      </c>
      <c r="C3" s="1603"/>
      <c r="D3" s="1603"/>
      <c r="E3" s="1603"/>
    </row>
    <row r="4" spans="1:7" ht="18">
      <c r="A4" s="1172"/>
      <c r="B4" s="1603" t="s">
        <v>789</v>
      </c>
      <c r="C4" s="1603"/>
      <c r="D4" s="1603"/>
      <c r="E4" s="1603"/>
    </row>
    <row r="5" spans="1:7" ht="18">
      <c r="A5" s="1172"/>
      <c r="B5" s="1603" t="s">
        <v>790</v>
      </c>
      <c r="C5" s="1603"/>
      <c r="D5" s="1603"/>
      <c r="E5" s="1603"/>
    </row>
    <row r="6" spans="1:7" ht="18">
      <c r="A6" s="1172"/>
      <c r="B6" s="1603" t="s">
        <v>791</v>
      </c>
      <c r="C6" s="1603"/>
      <c r="D6" s="1603"/>
      <c r="E6" s="1603"/>
    </row>
    <row r="7" spans="1:7" ht="18">
      <c r="A7" s="1172"/>
      <c r="B7" s="1603" t="s">
        <v>792</v>
      </c>
      <c r="C7" s="1603"/>
      <c r="D7" s="1603"/>
      <c r="E7" s="1603"/>
    </row>
    <row r="8" spans="1:7" ht="18">
      <c r="A8" s="1172"/>
      <c r="B8" s="1603" t="s">
        <v>793</v>
      </c>
      <c r="C8" s="1603"/>
      <c r="D8" s="1603"/>
      <c r="E8" s="1603"/>
    </row>
    <row r="9" spans="1:7" ht="15.5">
      <c r="A9" s="1172"/>
      <c r="B9" s="1164"/>
      <c r="C9" s="1164"/>
      <c r="D9" s="1167" t="s">
        <v>115</v>
      </c>
      <c r="E9" s="1172"/>
    </row>
    <row r="10" spans="1:7" ht="15.5">
      <c r="A10" s="1164"/>
      <c r="B10" s="1186" t="s">
        <v>400</v>
      </c>
      <c r="C10" s="1172"/>
      <c r="D10" s="1172"/>
      <c r="E10" s="1187"/>
    </row>
    <row r="11" spans="1:7" ht="15.5">
      <c r="A11" s="1167"/>
      <c r="B11" s="1186" t="s">
        <v>404</v>
      </c>
      <c r="C11" s="1186" t="s">
        <v>405</v>
      </c>
      <c r="D11" s="1186"/>
      <c r="E11" s="1172"/>
    </row>
    <row r="12" spans="1:7" ht="16" thickBot="1">
      <c r="A12" s="1174"/>
      <c r="B12" s="1164"/>
      <c r="C12" s="1188" t="s">
        <v>500</v>
      </c>
      <c r="D12" s="1172"/>
      <c r="E12" s="1172"/>
    </row>
    <row r="13" spans="1:7" ht="15.5">
      <c r="A13" s="1176" t="s">
        <v>407</v>
      </c>
      <c r="B13" s="1177"/>
      <c r="C13" s="274"/>
      <c r="D13" s="1172"/>
      <c r="E13" s="1172"/>
    </row>
    <row r="14" spans="1:7" ht="15.5">
      <c r="A14" s="1172"/>
      <c r="B14" s="1189"/>
      <c r="C14" s="273"/>
      <c r="D14" s="1190"/>
      <c r="E14" s="1172"/>
    </row>
    <row r="15" spans="1:7" ht="15.5">
      <c r="A15" s="1172" t="s">
        <v>408</v>
      </c>
      <c r="B15" s="278">
        <v>352</v>
      </c>
      <c r="C15" s="273">
        <v>1.04E-2</v>
      </c>
      <c r="D15" s="1190"/>
      <c r="E15" s="1172"/>
    </row>
    <row r="16" spans="1:7" ht="15.5">
      <c r="A16" s="1172" t="s">
        <v>409</v>
      </c>
      <c r="B16" s="278">
        <v>353</v>
      </c>
      <c r="C16" s="273">
        <v>1.49E-2</v>
      </c>
      <c r="D16" s="1190"/>
      <c r="E16" s="1172"/>
    </row>
    <row r="17" spans="1:5" ht="15.5">
      <c r="A17" s="1172" t="s">
        <v>410</v>
      </c>
      <c r="B17" s="278">
        <v>354</v>
      </c>
      <c r="C17" s="273">
        <v>1.1999999999999999E-3</v>
      </c>
      <c r="D17" s="1190"/>
      <c r="E17" s="1172"/>
    </row>
    <row r="18" spans="1:5" ht="15.5">
      <c r="A18" s="1172" t="s">
        <v>411</v>
      </c>
      <c r="B18" s="278">
        <v>355</v>
      </c>
      <c r="C18" s="273">
        <v>2.1399999999999999E-2</v>
      </c>
      <c r="D18" s="1190"/>
      <c r="E18" s="1172"/>
    </row>
    <row r="19" spans="1:5" ht="15.5">
      <c r="A19" s="1172" t="s">
        <v>782</v>
      </c>
      <c r="B19" s="278">
        <v>356</v>
      </c>
      <c r="C19" s="273">
        <v>7.7000000000000002E-3</v>
      </c>
      <c r="D19" s="1190"/>
      <c r="E19" s="1172"/>
    </row>
    <row r="20" spans="1:5" ht="15.5">
      <c r="A20" s="1179" t="s">
        <v>412</v>
      </c>
      <c r="B20" s="278">
        <v>357</v>
      </c>
      <c r="C20" s="1191" t="s">
        <v>625</v>
      </c>
      <c r="D20" s="1172"/>
      <c r="E20" s="1172"/>
    </row>
    <row r="21" spans="1:5" ht="15.5">
      <c r="A21" s="1179" t="s">
        <v>413</v>
      </c>
      <c r="B21" s="278">
        <v>358</v>
      </c>
      <c r="C21" s="1191" t="s">
        <v>625</v>
      </c>
      <c r="D21" s="1190"/>
      <c r="E21" s="1172"/>
    </row>
    <row r="22" spans="1:5" ht="15.5">
      <c r="A22" s="1166" t="s">
        <v>794</v>
      </c>
      <c r="B22" s="1192"/>
      <c r="C22" s="1193">
        <v>1.46E-2</v>
      </c>
      <c r="D22" s="1190"/>
      <c r="E22" s="1172"/>
    </row>
    <row r="23" spans="1:5" ht="15.5">
      <c r="A23" s="1166"/>
      <c r="B23" s="1192"/>
      <c r="C23" s="1193"/>
      <c r="D23" s="1190"/>
      <c r="E23" s="1172"/>
    </row>
    <row r="24" spans="1:5" s="3" customFormat="1" ht="15.5">
      <c r="A24" s="1200" t="s">
        <v>820</v>
      </c>
      <c r="C24" s="1"/>
    </row>
    <row r="25" spans="1:5" s="3" customFormat="1">
      <c r="C25" s="1"/>
    </row>
    <row r="26" spans="1:5" s="3" customFormat="1" ht="15.5">
      <c r="A26" s="1201" t="s">
        <v>821</v>
      </c>
      <c r="B26" s="1205">
        <v>390</v>
      </c>
      <c r="C26" s="1204">
        <v>1.7100000000000001E-2</v>
      </c>
    </row>
    <row r="27" spans="1:5" s="3" customFormat="1" ht="15.5">
      <c r="A27" s="1201" t="s">
        <v>822</v>
      </c>
      <c r="B27" s="1205">
        <v>391</v>
      </c>
      <c r="C27" s="1204">
        <v>2.8199999999999999E-2</v>
      </c>
    </row>
    <row r="28" spans="1:5" s="3" customFormat="1" ht="15.5">
      <c r="A28" s="1201" t="s">
        <v>823</v>
      </c>
      <c r="B28" s="1205">
        <v>393</v>
      </c>
      <c r="C28" s="1204">
        <v>2.2200000000000001E-2</v>
      </c>
    </row>
    <row r="29" spans="1:5" s="3" customFormat="1" ht="15.5">
      <c r="A29" s="1201" t="s">
        <v>824</v>
      </c>
      <c r="B29" s="1205">
        <v>394</v>
      </c>
      <c r="C29" s="1204">
        <v>3.1199999999999999E-2</v>
      </c>
    </row>
    <row r="30" spans="1:5" s="3" customFormat="1" ht="15.5">
      <c r="A30" s="1201" t="s">
        <v>825</v>
      </c>
      <c r="B30" s="1205">
        <v>395</v>
      </c>
      <c r="C30" s="1204">
        <v>3.1699999999999999E-2</v>
      </c>
    </row>
    <row r="31" spans="1:5" s="3" customFormat="1" ht="15.5">
      <c r="A31" s="1201" t="s">
        <v>826</v>
      </c>
      <c r="B31" s="1205">
        <v>397</v>
      </c>
      <c r="C31" s="1204">
        <v>3.32E-2</v>
      </c>
    </row>
    <row r="32" spans="1:5" s="3" customFormat="1" ht="15.5">
      <c r="A32" s="1201" t="s">
        <v>827</v>
      </c>
      <c r="B32" s="1205">
        <v>398</v>
      </c>
      <c r="C32" s="1204">
        <v>4.9200000000000001E-2</v>
      </c>
    </row>
    <row r="33" spans="1:5" s="3" customFormat="1" ht="15.5">
      <c r="A33" s="40"/>
      <c r="B33" s="1201"/>
      <c r="C33" s="1204"/>
    </row>
    <row r="34" spans="1:5" s="3" customFormat="1" ht="15.5">
      <c r="A34" s="40"/>
      <c r="B34" s="1203" t="s">
        <v>828</v>
      </c>
      <c r="C34" s="1204">
        <v>3.2500000000000001E-2</v>
      </c>
    </row>
    <row r="35" spans="1:5" s="3" customFormat="1" ht="15.5">
      <c r="A35" s="40"/>
      <c r="B35" s="1203"/>
      <c r="C35" s="1202"/>
    </row>
    <row r="36" spans="1:5" ht="15.5">
      <c r="A36" s="1172" t="s">
        <v>795</v>
      </c>
      <c r="B36" s="1180"/>
      <c r="C36" s="281"/>
      <c r="D36" s="1172"/>
      <c r="E36" s="1172"/>
    </row>
    <row r="37" spans="1:5" ht="15.5">
      <c r="A37" s="1604"/>
      <c r="B37" s="1604"/>
      <c r="C37" s="1604"/>
      <c r="D37" s="1604"/>
      <c r="E37" s="1172"/>
    </row>
    <row r="38" spans="1:5" ht="15.5">
      <c r="A38" s="1604" t="s">
        <v>796</v>
      </c>
      <c r="B38" s="1604"/>
      <c r="C38" s="1604"/>
      <c r="D38" s="1604"/>
      <c r="E38" s="1172"/>
    </row>
    <row r="39" spans="1:5" ht="15.5">
      <c r="A39" s="1194" t="s">
        <v>159</v>
      </c>
      <c r="B39" s="1194"/>
      <c r="C39" s="1194"/>
      <c r="D39" s="1194"/>
      <c r="E39" s="1172"/>
    </row>
    <row r="40" spans="1:5" ht="15.5">
      <c r="A40" s="1604" t="s">
        <v>797</v>
      </c>
      <c r="B40" s="1604"/>
      <c r="C40" s="1604"/>
      <c r="D40" s="1172"/>
      <c r="E40" s="1172"/>
    </row>
    <row r="41" spans="1:5" ht="15.5">
      <c r="A41" s="1604"/>
      <c r="B41" s="1604"/>
      <c r="C41" s="1604"/>
      <c r="D41" s="1172"/>
      <c r="E41" s="1172"/>
    </row>
    <row r="42" spans="1:5" ht="15.5">
      <c r="A42" s="1172"/>
      <c r="B42" s="1164"/>
      <c r="C42" s="273"/>
      <c r="D42" s="1172"/>
      <c r="E42" s="1172"/>
    </row>
    <row r="43" spans="1:5" ht="15.5">
      <c r="A43" s="1604"/>
      <c r="B43" s="1604"/>
      <c r="C43" s="1604"/>
      <c r="D43" s="1604"/>
      <c r="E43" s="1172"/>
    </row>
    <row r="44" spans="1:5" ht="15.5">
      <c r="A44" s="1182" t="s">
        <v>798</v>
      </c>
      <c r="B44" s="1164"/>
      <c r="C44" s="273"/>
      <c r="D44" s="1172"/>
      <c r="E44" s="1172"/>
    </row>
    <row r="45" spans="1:5" ht="15.5">
      <c r="A45" s="1602" t="s">
        <v>836</v>
      </c>
      <c r="B45" s="1602"/>
      <c r="C45" s="1602"/>
      <c r="D45" s="1187"/>
      <c r="E45" s="1172"/>
    </row>
    <row r="46" spans="1:5" ht="15.5">
      <c r="A46" s="1602"/>
      <c r="B46" s="1602"/>
      <c r="C46" s="1602"/>
      <c r="D46" s="1187"/>
      <c r="E46" s="1172"/>
    </row>
    <row r="47" spans="1:5" ht="15.5">
      <c r="A47" s="1602"/>
      <c r="B47" s="1602"/>
      <c r="C47" s="1602"/>
      <c r="D47" s="1187"/>
      <c r="E47" s="1172"/>
    </row>
    <row r="48" spans="1:5" ht="15.5">
      <c r="A48" s="1602"/>
      <c r="B48" s="1602"/>
      <c r="C48" s="1602"/>
      <c r="D48" s="1187"/>
      <c r="E48" s="1172"/>
    </row>
    <row r="49" spans="1:5" ht="15.5">
      <c r="A49" s="1602"/>
      <c r="B49" s="1602"/>
      <c r="C49" s="1602"/>
      <c r="D49" s="1187"/>
      <c r="E49" s="1172"/>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4" priority="1" stopIfTrue="1" operator="lessThan">
      <formula>0</formula>
    </cfRule>
  </conditionalFormatting>
  <pageMargins left="0.7" right="0.7" top="0.75" bottom="0.75" header="0.3" footer="0.3"/>
  <pageSetup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ColWidth="9.1796875" defaultRowHeight="12.5"/>
  <cols>
    <col min="1" max="1" width="9.1796875" style="1163"/>
    <col min="2" max="2" width="38.54296875" style="1163" customWidth="1"/>
    <col min="3" max="3" width="21.81640625" style="1163" customWidth="1"/>
    <col min="4" max="4" width="25.81640625" style="1163" customWidth="1"/>
    <col min="5" max="16384" width="9.1796875" style="1163"/>
  </cols>
  <sheetData>
    <row r="1" spans="1:7" s="783" customFormat="1" ht="15.5">
      <c r="A1" s="911" t="s">
        <v>115</v>
      </c>
      <c r="G1" s="279"/>
    </row>
    <row r="2" spans="1:7" s="783" customFormat="1" ht="15.5">
      <c r="A2" s="911" t="s">
        <v>115</v>
      </c>
      <c r="G2" s="279"/>
    </row>
    <row r="3" spans="1:7" ht="18">
      <c r="A3" s="1172"/>
      <c r="B3" s="1603" t="s">
        <v>392</v>
      </c>
      <c r="C3" s="1603"/>
      <c r="D3" s="1603"/>
      <c r="E3" s="1603"/>
    </row>
    <row r="4" spans="1:7" ht="18">
      <c r="A4" s="1172"/>
      <c r="B4" s="1603" t="s">
        <v>789</v>
      </c>
      <c r="C4" s="1603"/>
      <c r="D4" s="1603"/>
      <c r="E4" s="1603"/>
    </row>
    <row r="5" spans="1:7" ht="18">
      <c r="A5" s="1172"/>
      <c r="B5" s="1603" t="s">
        <v>790</v>
      </c>
      <c r="C5" s="1603"/>
      <c r="D5" s="1603"/>
      <c r="E5" s="1603"/>
    </row>
    <row r="6" spans="1:7" ht="18">
      <c r="A6" s="1172"/>
      <c r="B6" s="1603" t="s">
        <v>799</v>
      </c>
      <c r="C6" s="1603"/>
      <c r="D6" s="1603"/>
      <c r="E6" s="1603"/>
    </row>
    <row r="7" spans="1:7" ht="18">
      <c r="A7" s="1172"/>
      <c r="B7" s="1603" t="s">
        <v>792</v>
      </c>
      <c r="C7" s="1603"/>
      <c r="D7" s="1603"/>
      <c r="E7" s="1603"/>
    </row>
    <row r="8" spans="1:7" ht="18">
      <c r="A8" s="1172"/>
      <c r="B8" s="1603" t="s">
        <v>800</v>
      </c>
      <c r="C8" s="1603"/>
      <c r="D8" s="1603"/>
      <c r="E8" s="1603"/>
    </row>
    <row r="9" spans="1:7" ht="15.5">
      <c r="A9" s="1172"/>
      <c r="B9" s="1164"/>
      <c r="C9" s="1164"/>
      <c r="D9" s="1167" t="s">
        <v>115</v>
      </c>
      <c r="E9" s="1172"/>
    </row>
    <row r="10" spans="1:7" ht="15.5">
      <c r="A10" s="1172"/>
      <c r="B10" s="1164"/>
      <c r="C10" s="1186" t="s">
        <v>400</v>
      </c>
      <c r="D10" s="1172"/>
      <c r="E10" s="1172"/>
    </row>
    <row r="11" spans="1:7" ht="15.5">
      <c r="A11" s="1172"/>
      <c r="B11" s="1167"/>
      <c r="C11" s="1186" t="s">
        <v>404</v>
      </c>
      <c r="D11" s="1186" t="s">
        <v>405</v>
      </c>
      <c r="E11" s="1186"/>
    </row>
    <row r="12" spans="1:7" ht="16" thickBot="1">
      <c r="A12" s="1172"/>
      <c r="B12" s="1174"/>
      <c r="C12" s="1164"/>
      <c r="D12" s="1188" t="s">
        <v>500</v>
      </c>
      <c r="E12" s="1172"/>
    </row>
    <row r="13" spans="1:7" ht="15.5">
      <c r="A13" s="1172"/>
      <c r="B13" s="1176" t="s">
        <v>407</v>
      </c>
      <c r="C13" s="1177"/>
      <c r="D13" s="274"/>
      <c r="E13" s="1172"/>
    </row>
    <row r="14" spans="1:7" ht="15.5">
      <c r="A14" s="1172"/>
      <c r="B14" s="1172"/>
      <c r="C14" s="1189"/>
      <c r="D14" s="273"/>
      <c r="E14" s="1190"/>
    </row>
    <row r="15" spans="1:7" ht="15.5">
      <c r="A15" s="1172"/>
      <c r="B15" s="1172" t="s">
        <v>801</v>
      </c>
      <c r="C15" s="1179">
        <v>350.1</v>
      </c>
      <c r="D15" s="273">
        <v>1.44E-2</v>
      </c>
      <c r="E15" s="1190"/>
    </row>
    <row r="16" spans="1:7" ht="15.5">
      <c r="A16" s="1172"/>
      <c r="B16" s="1172" t="s">
        <v>408</v>
      </c>
      <c r="C16" s="278">
        <v>352</v>
      </c>
      <c r="D16" s="273">
        <v>2.0799999999999999E-2</v>
      </c>
      <c r="E16" s="1190"/>
    </row>
    <row r="17" spans="1:5" ht="15.5">
      <c r="A17" s="1172"/>
      <c r="B17" s="1172" t="s">
        <v>409</v>
      </c>
      <c r="C17" s="278">
        <v>353</v>
      </c>
      <c r="D17" s="273">
        <v>2.1499999999999998E-2</v>
      </c>
      <c r="E17" s="1190"/>
    </row>
    <row r="18" spans="1:5" ht="15.5">
      <c r="A18" s="1172"/>
      <c r="B18" s="1172" t="s">
        <v>410</v>
      </c>
      <c r="C18" s="278">
        <v>354</v>
      </c>
      <c r="D18" s="273">
        <v>2.6100000000000002E-2</v>
      </c>
      <c r="E18" s="1190"/>
    </row>
    <row r="19" spans="1:5" ht="15.5">
      <c r="A19" s="1172"/>
      <c r="B19" s="1172" t="s">
        <v>411</v>
      </c>
      <c r="C19" s="278">
        <v>355</v>
      </c>
      <c r="D19" s="273">
        <v>3.95E-2</v>
      </c>
      <c r="E19" s="1190"/>
    </row>
    <row r="20" spans="1:5" ht="15.5">
      <c r="A20" s="1172"/>
      <c r="B20" s="1172" t="s">
        <v>782</v>
      </c>
      <c r="C20" s="278">
        <v>356</v>
      </c>
      <c r="D20" s="273">
        <v>2.9100000000000001E-2</v>
      </c>
      <c r="E20" s="1190"/>
    </row>
    <row r="21" spans="1:5" ht="15.5">
      <c r="A21" s="1172"/>
      <c r="B21" s="1172" t="s">
        <v>412</v>
      </c>
      <c r="C21" s="278">
        <v>357</v>
      </c>
      <c r="D21" s="273">
        <v>2.9899999999999999E-2</v>
      </c>
      <c r="E21" s="1190"/>
    </row>
    <row r="22" spans="1:5" ht="15.5">
      <c r="A22" s="1172"/>
      <c r="B22" s="1172" t="s">
        <v>413</v>
      </c>
      <c r="C22" s="278">
        <v>358</v>
      </c>
      <c r="D22" s="273">
        <v>2.6200000000000001E-2</v>
      </c>
      <c r="E22" s="1190"/>
    </row>
    <row r="23" spans="1:5" ht="15.5">
      <c r="A23" s="1172"/>
      <c r="B23" s="1172"/>
      <c r="C23" s="1164"/>
      <c r="D23" s="273"/>
      <c r="E23" s="1172"/>
    </row>
    <row r="24" spans="1:5" ht="15.5">
      <c r="A24" s="1172"/>
      <c r="B24" s="1172" t="s">
        <v>795</v>
      </c>
      <c r="C24" s="1180"/>
      <c r="D24" s="281"/>
      <c r="E24" s="1172"/>
    </row>
    <row r="25" spans="1:5" ht="15.5">
      <c r="A25" s="1172"/>
      <c r="B25" s="1604"/>
      <c r="C25" s="1604"/>
      <c r="D25" s="1604"/>
      <c r="E25" s="1604"/>
    </row>
    <row r="26" spans="1:5" ht="15.5">
      <c r="A26" s="1172"/>
      <c r="B26" s="1604" t="s">
        <v>802</v>
      </c>
      <c r="C26" s="1604"/>
      <c r="D26" s="1604"/>
      <c r="E26" s="1604"/>
    </row>
    <row r="27" spans="1:5" ht="15.5">
      <c r="A27" s="1172"/>
      <c r="B27" s="1604"/>
      <c r="C27" s="1604"/>
      <c r="D27" s="1604"/>
      <c r="E27" s="1604"/>
    </row>
    <row r="28" spans="1:5" ht="15.5">
      <c r="A28" s="1172"/>
      <c r="B28" s="1182" t="s">
        <v>798</v>
      </c>
      <c r="C28" s="1164"/>
      <c r="D28" s="273"/>
      <c r="E28" s="1172"/>
    </row>
    <row r="29" spans="1:5" ht="15.5">
      <c r="A29" s="1172"/>
      <c r="B29" s="1602" t="s">
        <v>836</v>
      </c>
      <c r="C29" s="1602"/>
      <c r="D29" s="1602"/>
      <c r="E29" s="1187"/>
    </row>
    <row r="30" spans="1:5" ht="15.5">
      <c r="A30" s="1172"/>
      <c r="B30" s="1602"/>
      <c r="C30" s="1602"/>
      <c r="D30" s="1602"/>
      <c r="E30" s="1187"/>
    </row>
    <row r="31" spans="1:5" ht="15.5">
      <c r="A31" s="1172"/>
      <c r="B31" s="1602"/>
      <c r="C31" s="1602"/>
      <c r="D31" s="1602"/>
      <c r="E31" s="1187"/>
    </row>
    <row r="32" spans="1:5" ht="15.5">
      <c r="A32" s="1172"/>
      <c r="B32" s="1602"/>
      <c r="C32" s="1602"/>
      <c r="D32" s="1602"/>
      <c r="E32" s="1187"/>
    </row>
    <row r="33" spans="1:5" ht="15.5">
      <c r="A33" s="1172"/>
      <c r="B33" s="1602"/>
      <c r="C33" s="1602"/>
      <c r="D33" s="1602"/>
      <c r="E33" s="1187"/>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A7" sqref="A7:D7"/>
    </sheetView>
  </sheetViews>
  <sheetFormatPr defaultColWidth="9.1796875" defaultRowHeight="12.5"/>
  <cols>
    <col min="1" max="1" width="38.81640625" style="1163" customWidth="1"/>
    <col min="2" max="2" width="28.453125" style="1163" customWidth="1"/>
    <col min="3" max="3" width="23.1796875" style="1163" customWidth="1"/>
    <col min="4" max="16384" width="9.1796875" style="1163"/>
  </cols>
  <sheetData>
    <row r="1" spans="1:7" s="783" customFormat="1" ht="15.5">
      <c r="A1" s="911" t="s">
        <v>115</v>
      </c>
      <c r="G1" s="279"/>
    </row>
    <row r="2" spans="1:7" s="783" customFormat="1" ht="15.5">
      <c r="A2" s="911" t="s">
        <v>115</v>
      </c>
      <c r="G2" s="279"/>
    </row>
    <row r="3" spans="1:7" ht="18">
      <c r="A3" s="1603" t="s">
        <v>392</v>
      </c>
      <c r="B3" s="1603"/>
      <c r="C3" s="1603"/>
      <c r="D3" s="1603"/>
    </row>
    <row r="4" spans="1:7" ht="18">
      <c r="A4" s="1603" t="s">
        <v>789</v>
      </c>
      <c r="B4" s="1603"/>
      <c r="C4" s="1603"/>
      <c r="D4" s="1603"/>
    </row>
    <row r="5" spans="1:7" ht="18">
      <c r="A5" s="1603" t="s">
        <v>790</v>
      </c>
      <c r="B5" s="1603"/>
      <c r="C5" s="1603"/>
      <c r="D5" s="1603"/>
    </row>
    <row r="6" spans="1:7" ht="18">
      <c r="A6" s="1603" t="s">
        <v>1473</v>
      </c>
      <c r="B6" s="1603"/>
      <c r="C6" s="1603"/>
      <c r="D6" s="1603"/>
    </row>
    <row r="7" spans="1:7" ht="18">
      <c r="A7" s="1603" t="s">
        <v>792</v>
      </c>
      <c r="B7" s="1603"/>
      <c r="C7" s="1603"/>
      <c r="D7" s="1603"/>
    </row>
    <row r="8" spans="1:7" ht="18">
      <c r="A8" s="1603" t="s">
        <v>803</v>
      </c>
      <c r="B8" s="1603"/>
      <c r="C8" s="1603"/>
      <c r="D8" s="1603"/>
    </row>
    <row r="9" spans="1:7" ht="15.5">
      <c r="A9" s="1164"/>
      <c r="B9" s="1164"/>
      <c r="C9" s="1167" t="s">
        <v>115</v>
      </c>
      <c r="D9" s="1172"/>
    </row>
    <row r="10" spans="1:7" ht="15.5">
      <c r="A10" s="1164"/>
      <c r="B10" s="1186" t="s">
        <v>400</v>
      </c>
      <c r="C10" s="1172"/>
      <c r="D10" s="1172"/>
    </row>
    <row r="11" spans="1:7" ht="15.5">
      <c r="A11" s="1167"/>
      <c r="B11" s="1186" t="s">
        <v>404</v>
      </c>
      <c r="C11" s="1186" t="s">
        <v>405</v>
      </c>
      <c r="D11" s="1186"/>
    </row>
    <row r="12" spans="1:7" ht="16" thickBot="1">
      <c r="A12" s="1174"/>
      <c r="B12" s="1164"/>
      <c r="C12" s="1188" t="s">
        <v>500</v>
      </c>
      <c r="D12" s="1172"/>
    </row>
    <row r="13" spans="1:7" ht="15.5">
      <c r="A13" s="1176" t="s">
        <v>407</v>
      </c>
      <c r="B13" s="1177"/>
      <c r="C13" s="274"/>
      <c r="D13" s="1172"/>
    </row>
    <row r="14" spans="1:7" ht="15.5">
      <c r="A14" s="1179" t="s">
        <v>408</v>
      </c>
      <c r="B14" s="278">
        <v>352</v>
      </c>
      <c r="C14" s="273">
        <v>2.0199999999999999E-2</v>
      </c>
      <c r="D14" s="1190"/>
    </row>
    <row r="15" spans="1:7" ht="15.5">
      <c r="A15" s="1179" t="s">
        <v>409</v>
      </c>
      <c r="B15" s="278">
        <v>353</v>
      </c>
      <c r="C15" s="273">
        <v>2.29E-2</v>
      </c>
      <c r="D15" s="1190"/>
    </row>
    <row r="16" spans="1:7" ht="15.5">
      <c r="A16" s="1189"/>
      <c r="B16" s="278"/>
      <c r="C16" s="273"/>
      <c r="D16" s="1190"/>
    </row>
    <row r="17" spans="1:4" ht="15.5">
      <c r="A17" s="1179" t="s">
        <v>804</v>
      </c>
      <c r="B17" s="278">
        <v>354</v>
      </c>
      <c r="C17" s="273">
        <v>1.8800000000000001E-2</v>
      </c>
      <c r="D17" s="1190"/>
    </row>
    <row r="18" spans="1:4" ht="15.5">
      <c r="A18" s="1179" t="s">
        <v>805</v>
      </c>
      <c r="B18" s="278">
        <v>354</v>
      </c>
      <c r="C18" s="273">
        <v>1.8800000000000001E-2</v>
      </c>
      <c r="D18" s="1190"/>
    </row>
    <row r="19" spans="1:4" ht="15.5">
      <c r="A19" s="1195"/>
      <c r="B19" s="1196"/>
      <c r="C19" s="315"/>
      <c r="D19" s="1190"/>
    </row>
    <row r="20" spans="1:4" ht="15.5">
      <c r="A20" s="1179" t="s">
        <v>806</v>
      </c>
      <c r="B20" s="278">
        <v>355</v>
      </c>
      <c r="C20" s="273">
        <v>3.5200000000000002E-2</v>
      </c>
      <c r="D20" s="1190"/>
    </row>
    <row r="21" spans="1:4" ht="15.5">
      <c r="A21" s="1179" t="s">
        <v>807</v>
      </c>
      <c r="B21" s="278">
        <v>355</v>
      </c>
      <c r="C21" s="273">
        <v>3.5200000000000002E-2</v>
      </c>
      <c r="D21" s="1190"/>
    </row>
    <row r="22" spans="1:4" ht="15.5">
      <c r="A22" s="1195"/>
      <c r="B22" s="278"/>
      <c r="C22" s="273"/>
      <c r="D22" s="1190"/>
    </row>
    <row r="23" spans="1:4" ht="15.5">
      <c r="A23" s="1179" t="s">
        <v>808</v>
      </c>
      <c r="B23" s="278">
        <v>356</v>
      </c>
      <c r="C23" s="273">
        <v>1.9099999999999999E-2</v>
      </c>
      <c r="D23" s="1190"/>
    </row>
    <row r="24" spans="1:4" ht="15.5">
      <c r="A24" s="1179" t="s">
        <v>809</v>
      </c>
      <c r="B24" s="278">
        <v>356</v>
      </c>
      <c r="C24" s="273">
        <v>1.9099999999999999E-2</v>
      </c>
      <c r="D24" s="1190"/>
    </row>
    <row r="25" spans="1:4" ht="15.5">
      <c r="A25" s="1179" t="s">
        <v>810</v>
      </c>
      <c r="B25" s="278">
        <v>356</v>
      </c>
      <c r="C25" s="273">
        <v>1.9099999999999999E-2</v>
      </c>
      <c r="D25" s="1190"/>
    </row>
    <row r="26" spans="1:4" ht="15.5">
      <c r="A26" s="1179" t="s">
        <v>811</v>
      </c>
      <c r="B26" s="278">
        <v>356</v>
      </c>
      <c r="C26" s="273">
        <v>1.9099999999999999E-2</v>
      </c>
      <c r="D26" s="1190"/>
    </row>
    <row r="27" spans="1:4" ht="15.5">
      <c r="A27" s="1179" t="s">
        <v>812</v>
      </c>
      <c r="B27" s="278">
        <v>356</v>
      </c>
      <c r="C27" s="273">
        <v>1.9099999999999999E-2</v>
      </c>
      <c r="D27" s="1190"/>
    </row>
    <row r="28" spans="1:4" ht="15.5">
      <c r="A28" s="1179"/>
      <c r="B28" s="278"/>
      <c r="C28" s="273"/>
      <c r="D28" s="1190"/>
    </row>
    <row r="29" spans="1:4" ht="15.5">
      <c r="A29" s="1179" t="s">
        <v>412</v>
      </c>
      <c r="B29" s="278">
        <v>357</v>
      </c>
      <c r="C29" s="273">
        <v>2.2599999999999999E-2</v>
      </c>
      <c r="D29" s="1190"/>
    </row>
    <row r="30" spans="1:4" ht="15.5">
      <c r="A30" s="1179" t="s">
        <v>413</v>
      </c>
      <c r="B30" s="278">
        <v>358</v>
      </c>
      <c r="C30" s="273">
        <v>3.27E-2</v>
      </c>
      <c r="D30" s="1190"/>
    </row>
    <row r="31" spans="1:4" ht="15.5">
      <c r="A31" s="1189"/>
      <c r="B31" s="1178"/>
      <c r="C31" s="315"/>
      <c r="D31" s="1172"/>
    </row>
    <row r="32" spans="1:4" ht="16" thickBot="1">
      <c r="A32" s="1197"/>
      <c r="B32" s="1198"/>
      <c r="C32" s="1199"/>
      <c r="D32" s="1172"/>
    </row>
    <row r="33" spans="1:4" ht="15.5">
      <c r="A33" s="1174"/>
      <c r="B33" s="1164"/>
      <c r="C33" s="273"/>
      <c r="D33" s="1172"/>
    </row>
    <row r="34" spans="1:4" ht="15.5">
      <c r="A34" s="1172"/>
      <c r="B34" s="1164"/>
      <c r="C34" s="273"/>
      <c r="D34" s="1172"/>
    </row>
    <row r="35" spans="1:4" ht="15.5">
      <c r="A35" s="1172" t="s">
        <v>795</v>
      </c>
      <c r="B35" s="1180"/>
      <c r="C35" s="281"/>
      <c r="D35" s="1172"/>
    </row>
    <row r="36" spans="1:4" ht="15.5">
      <c r="A36" s="1172"/>
      <c r="B36" s="1172"/>
      <c r="C36" s="1172"/>
      <c r="D36" s="1172"/>
    </row>
    <row r="37" spans="1:4" ht="15.5">
      <c r="A37" s="1604" t="s">
        <v>813</v>
      </c>
      <c r="B37" s="1604"/>
      <c r="C37" s="1604"/>
      <c r="D37" s="1604"/>
    </row>
    <row r="38" spans="1:4" ht="15.5">
      <c r="A38" s="1172" t="s">
        <v>814</v>
      </c>
      <c r="B38" s="1172"/>
      <c r="C38" s="1172"/>
      <c r="D38" s="1172"/>
    </row>
    <row r="39" spans="1:4" ht="15.5">
      <c r="A39" s="1172" t="s">
        <v>815</v>
      </c>
      <c r="B39" s="1172"/>
      <c r="C39" s="1172"/>
      <c r="D39" s="1172"/>
    </row>
    <row r="40" spans="1:4" ht="15.5">
      <c r="A40" s="1172"/>
      <c r="B40" s="1172"/>
      <c r="C40" s="1172"/>
      <c r="D40" s="1172"/>
    </row>
    <row r="41" spans="1:4" ht="15.5">
      <c r="A41" s="1182" t="s">
        <v>816</v>
      </c>
      <c r="B41" s="1164"/>
      <c r="C41" s="273"/>
      <c r="D41" s="1172"/>
    </row>
    <row r="42" spans="1:4">
      <c r="A42" s="1602" t="s">
        <v>836</v>
      </c>
      <c r="B42" s="1602"/>
      <c r="C42" s="1602"/>
      <c r="D42" s="1187"/>
    </row>
    <row r="43" spans="1:4">
      <c r="A43" s="1602"/>
      <c r="B43" s="1602"/>
      <c r="C43" s="1602"/>
      <c r="D43" s="1187"/>
    </row>
    <row r="44" spans="1:4">
      <c r="A44" s="1602"/>
      <c r="B44" s="1602"/>
      <c r="C44" s="1602"/>
      <c r="D44" s="1187"/>
    </row>
    <row r="45" spans="1:4">
      <c r="A45" s="1602"/>
      <c r="B45" s="1602"/>
      <c r="C45" s="1602"/>
      <c r="D45" s="1187"/>
    </row>
    <row r="46" spans="1:4">
      <c r="A46" s="1602"/>
      <c r="B46" s="1602"/>
      <c r="C46" s="1602"/>
      <c r="D46" s="1187"/>
    </row>
    <row r="47" spans="1:4" ht="15.5">
      <c r="A47" s="1172"/>
      <c r="B47" s="1172"/>
      <c r="C47" s="1172"/>
      <c r="D47" s="1172"/>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topLeftCell="A4" colorId="22" zoomScale="75" workbookViewId="0">
      <selection activeCell="B7" sqref="B7:E7"/>
    </sheetView>
  </sheetViews>
  <sheetFormatPr defaultColWidth="14.54296875" defaultRowHeight="15.5"/>
  <cols>
    <col min="1" max="1" width="41.54296875" style="1172" customWidth="1"/>
    <col min="2" max="2" width="33.1796875" style="1172" customWidth="1"/>
    <col min="3" max="4" width="31.81640625" style="1172" customWidth="1"/>
    <col min="5" max="5" width="16.54296875" style="1172" customWidth="1"/>
    <col min="6" max="6" width="14.54296875" style="1172" customWidth="1"/>
    <col min="7" max="7" width="4.81640625" style="1172" customWidth="1"/>
    <col min="8" max="8" width="14.54296875" style="1173" customWidth="1"/>
    <col min="9" max="9" width="18.453125" style="1172" customWidth="1"/>
    <col min="10" max="10" width="15.54296875" style="1172" customWidth="1"/>
    <col min="11" max="11" width="6.1796875" style="1172" customWidth="1"/>
    <col min="12" max="12" width="14.54296875" style="1172" customWidth="1"/>
    <col min="13" max="13" width="16.1796875" style="1172" customWidth="1"/>
    <col min="14" max="14" width="14.54296875" style="1172" customWidth="1"/>
    <col min="15" max="15" width="4.81640625" style="1172" customWidth="1"/>
    <col min="16" max="16" width="18.54296875" style="1172" customWidth="1"/>
    <col min="17" max="16384" width="14.54296875" style="1172"/>
  </cols>
  <sheetData>
    <row r="1" spans="1:7" s="783" customFormat="1">
      <c r="A1" s="911" t="s">
        <v>115</v>
      </c>
      <c r="G1" s="279"/>
    </row>
    <row r="2" spans="1:7" s="783" customFormat="1">
      <c r="A2" s="911" t="s">
        <v>115</v>
      </c>
      <c r="G2" s="279"/>
    </row>
    <row r="3" spans="1:7" ht="18">
      <c r="B3" s="1603" t="s">
        <v>392</v>
      </c>
      <c r="C3" s="1603"/>
      <c r="D3" s="1603"/>
      <c r="E3" s="1603"/>
    </row>
    <row r="4" spans="1:7" ht="18">
      <c r="B4" s="1603" t="s">
        <v>789</v>
      </c>
      <c r="C4" s="1603"/>
      <c r="D4" s="1603"/>
      <c r="E4" s="1603"/>
    </row>
    <row r="5" spans="1:7" ht="18">
      <c r="B5" s="1603" t="s">
        <v>790</v>
      </c>
      <c r="C5" s="1603"/>
      <c r="D5" s="1603"/>
      <c r="E5" s="1603"/>
    </row>
    <row r="6" spans="1:7" ht="18">
      <c r="B6" s="1603" t="s">
        <v>1472</v>
      </c>
      <c r="C6" s="1603"/>
      <c r="D6" s="1603"/>
      <c r="E6" s="1603"/>
    </row>
    <row r="7" spans="1:7" ht="18">
      <c r="B7" s="1603" t="s">
        <v>792</v>
      </c>
      <c r="C7" s="1603"/>
      <c r="D7" s="1603"/>
      <c r="E7" s="1603"/>
    </row>
    <row r="8" spans="1:7" ht="18">
      <c r="B8" s="1603" t="s">
        <v>817</v>
      </c>
      <c r="C8" s="1603"/>
      <c r="D8" s="1603"/>
      <c r="E8" s="1603"/>
    </row>
    <row r="9" spans="1:7">
      <c r="B9" s="1164"/>
      <c r="C9" s="1164"/>
      <c r="D9" s="1167" t="s">
        <v>115</v>
      </c>
    </row>
    <row r="10" spans="1:7">
      <c r="A10" s="1602"/>
      <c r="B10" s="1602"/>
      <c r="C10" s="1602"/>
      <c r="D10" s="1187"/>
    </row>
    <row r="11" spans="1:7">
      <c r="A11" s="1164"/>
      <c r="B11" s="1186" t="s">
        <v>400</v>
      </c>
    </row>
    <row r="12" spans="1:7">
      <c r="A12" s="1167"/>
      <c r="B12" s="1186" t="s">
        <v>404</v>
      </c>
      <c r="C12" s="1186" t="s">
        <v>405</v>
      </c>
      <c r="D12" s="1186"/>
    </row>
    <row r="13" spans="1:7" ht="16" thickBot="1">
      <c r="C13" s="1190" t="s">
        <v>500</v>
      </c>
    </row>
    <row r="14" spans="1:7">
      <c r="A14" s="1176" t="s">
        <v>407</v>
      </c>
      <c r="B14" s="1177"/>
      <c r="C14" s="274"/>
    </row>
    <row r="15" spans="1:7">
      <c r="A15" s="1189"/>
      <c r="D15" s="1190"/>
    </row>
    <row r="16" spans="1:7">
      <c r="A16" s="1179" t="s">
        <v>408</v>
      </c>
      <c r="B16" s="278">
        <v>352</v>
      </c>
      <c r="C16" s="273">
        <v>1.15E-2</v>
      </c>
      <c r="D16" s="1190"/>
    </row>
    <row r="17" spans="1:4">
      <c r="A17" s="1195" t="s">
        <v>409</v>
      </c>
      <c r="B17" s="278">
        <v>353</v>
      </c>
      <c r="C17" s="273">
        <v>2.2200000000000001E-2</v>
      </c>
      <c r="D17" s="1190"/>
    </row>
    <row r="18" spans="1:4">
      <c r="A18" s="1195" t="s">
        <v>410</v>
      </c>
      <c r="B18" s="278">
        <v>354</v>
      </c>
      <c r="C18" s="273">
        <v>2.6499999999999999E-2</v>
      </c>
      <c r="D18" s="1190"/>
    </row>
    <row r="19" spans="1:4">
      <c r="A19" s="1195" t="s">
        <v>411</v>
      </c>
      <c r="B19" s="278">
        <v>355</v>
      </c>
      <c r="C19" s="273">
        <v>2.41E-2</v>
      </c>
      <c r="D19" s="1190"/>
    </row>
    <row r="20" spans="1:4">
      <c r="A20" s="1195" t="s">
        <v>782</v>
      </c>
      <c r="B20" s="278">
        <v>356</v>
      </c>
      <c r="C20" s="273">
        <v>1.32E-2</v>
      </c>
      <c r="D20" s="1190"/>
    </row>
    <row r="21" spans="1:4">
      <c r="A21" s="1195" t="s">
        <v>412</v>
      </c>
      <c r="B21" s="278">
        <v>351</v>
      </c>
      <c r="C21" s="273">
        <v>9.9400000000000002E-2</v>
      </c>
      <c r="D21" s="1190"/>
    </row>
    <row r="22" spans="1:4">
      <c r="A22" s="1195" t="s">
        <v>413</v>
      </c>
      <c r="B22" s="278">
        <v>351</v>
      </c>
      <c r="C22" s="273">
        <v>0.13980000000000001</v>
      </c>
      <c r="D22" s="1190"/>
    </row>
    <row r="23" spans="1:4">
      <c r="A23" s="1195" t="s">
        <v>783</v>
      </c>
      <c r="B23" s="278">
        <v>359</v>
      </c>
      <c r="C23" s="1188" t="s">
        <v>818</v>
      </c>
      <c r="D23" s="1190"/>
    </row>
    <row r="24" spans="1:4" ht="16" thickBot="1">
      <c r="A24" s="1195"/>
      <c r="B24" s="278"/>
      <c r="C24" s="273"/>
      <c r="D24" s="1190"/>
    </row>
    <row r="25" spans="1:4">
      <c r="A25" s="1176" t="s">
        <v>820</v>
      </c>
      <c r="B25" s="1177"/>
      <c r="C25" s="274"/>
      <c r="D25" s="1190"/>
    </row>
    <row r="26" spans="1:4" ht="15" customHeight="1">
      <c r="A26" s="1195"/>
      <c r="B26" s="278"/>
      <c r="C26" s="273"/>
      <c r="D26" s="1190"/>
    </row>
    <row r="27" spans="1:4">
      <c r="A27" s="1195" t="s">
        <v>821</v>
      </c>
      <c r="B27" s="278">
        <v>390</v>
      </c>
      <c r="C27" s="273">
        <v>1.0800000000000001E-2</v>
      </c>
      <c r="D27" s="1190"/>
    </row>
    <row r="28" spans="1:4">
      <c r="A28" s="1195" t="s">
        <v>822</v>
      </c>
      <c r="B28" s="278">
        <v>391</v>
      </c>
      <c r="C28" s="273">
        <v>2.1299999999999999E-2</v>
      </c>
      <c r="D28" s="1190"/>
    </row>
    <row r="29" spans="1:4">
      <c r="A29" s="1195" t="s">
        <v>823</v>
      </c>
      <c r="B29" s="278">
        <v>393</v>
      </c>
      <c r="C29" s="273">
        <v>1.78E-2</v>
      </c>
      <c r="D29" s="1190"/>
    </row>
    <row r="30" spans="1:4" ht="15" customHeight="1">
      <c r="A30" s="1195" t="s">
        <v>824</v>
      </c>
      <c r="B30" s="278">
        <v>394</v>
      </c>
      <c r="C30" s="273">
        <v>1.6500000000000001E-2</v>
      </c>
      <c r="D30" s="1190"/>
    </row>
    <row r="31" spans="1:4">
      <c r="A31" s="1195" t="s">
        <v>826</v>
      </c>
      <c r="B31" s="278">
        <v>397</v>
      </c>
      <c r="C31" s="273">
        <v>5.0900000000000001E-2</v>
      </c>
      <c r="D31" s="1190"/>
    </row>
    <row r="32" spans="1:4">
      <c r="A32" s="1195" t="s">
        <v>827</v>
      </c>
      <c r="B32" s="278">
        <v>398</v>
      </c>
      <c r="C32" s="273">
        <v>2.76E-2</v>
      </c>
      <c r="D32" s="1190"/>
    </row>
    <row r="33" spans="1:4">
      <c r="A33" s="1195"/>
      <c r="B33" s="278"/>
      <c r="C33" s="273"/>
      <c r="D33" s="1190"/>
    </row>
    <row r="34" spans="1:4">
      <c r="A34" s="1195"/>
      <c r="B34" s="278"/>
      <c r="C34" s="273"/>
      <c r="D34" s="1190"/>
    </row>
    <row r="35" spans="1:4">
      <c r="A35" s="1195"/>
      <c r="B35" s="278"/>
      <c r="C35" s="273"/>
      <c r="D35" s="1190"/>
    </row>
    <row r="36" spans="1:4">
      <c r="A36" s="1189"/>
      <c r="B36" s="1178"/>
      <c r="C36" s="315"/>
    </row>
    <row r="37" spans="1:4">
      <c r="A37" s="1604" t="s">
        <v>819</v>
      </c>
      <c r="B37" s="1604"/>
      <c r="C37" s="1604"/>
      <c r="D37" s="1604"/>
    </row>
    <row r="38" spans="1:4">
      <c r="B38" s="1180"/>
      <c r="C38" s="281"/>
    </row>
    <row r="39" spans="1:4">
      <c r="A39" s="1604"/>
      <c r="B39" s="1604"/>
      <c r="C39" s="1604"/>
      <c r="D39" s="1604"/>
    </row>
    <row r="40" spans="1:4">
      <c r="A40" s="1182" t="s">
        <v>816</v>
      </c>
      <c r="B40" s="1164"/>
      <c r="C40" s="273"/>
    </row>
    <row r="41" spans="1:4">
      <c r="A41" s="1602" t="s">
        <v>836</v>
      </c>
      <c r="B41" s="1602"/>
      <c r="C41" s="1602"/>
      <c r="D41" s="1187"/>
    </row>
    <row r="42" spans="1:4">
      <c r="A42" s="1602"/>
      <c r="B42" s="1602"/>
      <c r="C42" s="1602"/>
      <c r="D42" s="1187"/>
    </row>
    <row r="43" spans="1:4">
      <c r="A43" s="1602"/>
      <c r="B43" s="1602"/>
      <c r="C43" s="1602"/>
      <c r="D43" s="1187"/>
    </row>
    <row r="44" spans="1:4">
      <c r="A44" s="1602"/>
      <c r="B44" s="1602"/>
      <c r="C44" s="1602"/>
      <c r="D44" s="1187"/>
    </row>
    <row r="45" spans="1:4">
      <c r="A45" s="1602"/>
      <c r="B45" s="1602"/>
      <c r="C45" s="1602"/>
      <c r="D45" s="1187"/>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83"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0" zoomScale="60" zoomScaleNormal="100" workbookViewId="0">
      <selection activeCell="D11" sqref="D11"/>
    </sheetView>
  </sheetViews>
  <sheetFormatPr defaultRowHeight="12.5"/>
  <cols>
    <col min="1" max="1" width="29" customWidth="1"/>
    <col min="4" max="4" width="21.54296875" customWidth="1"/>
    <col min="6" max="6" width="14.453125" customWidth="1"/>
    <col min="8" max="8" width="20.1796875" customWidth="1"/>
    <col min="9" max="9" width="22.453125" customWidth="1"/>
    <col min="11" max="11" width="22.54296875" customWidth="1"/>
  </cols>
  <sheetData>
    <row r="1" spans="1:11" ht="15.5">
      <c r="A1" s="1605" t="s">
        <v>388</v>
      </c>
      <c r="B1" s="1605"/>
      <c r="C1" s="1605"/>
      <c r="D1" s="1605"/>
      <c r="E1" s="1605"/>
      <c r="F1" s="1605"/>
      <c r="G1" s="1605"/>
      <c r="H1" s="1605"/>
      <c r="I1" s="1605"/>
      <c r="J1" s="1605"/>
      <c r="K1" s="1605"/>
    </row>
    <row r="2" spans="1:11" ht="15.5">
      <c r="A2" s="1606" t="s">
        <v>569</v>
      </c>
      <c r="B2" s="1606"/>
      <c r="C2" s="1606"/>
      <c r="D2" s="1606"/>
      <c r="E2" s="1606"/>
      <c r="F2" s="1606"/>
      <c r="G2" s="1606"/>
      <c r="H2" s="1606"/>
      <c r="I2" s="1606"/>
      <c r="J2" s="1606"/>
      <c r="K2" s="1606"/>
    </row>
    <row r="3" spans="1:11" ht="15.5">
      <c r="A3" s="1606" t="s">
        <v>570</v>
      </c>
      <c r="B3" s="1606"/>
      <c r="C3" s="1606"/>
      <c r="D3" s="1606"/>
      <c r="E3" s="1606"/>
      <c r="F3" s="1606"/>
      <c r="G3" s="1606"/>
      <c r="H3" s="1606"/>
      <c r="I3" s="1606"/>
      <c r="J3" s="1606"/>
      <c r="K3" s="1606"/>
    </row>
    <row r="4" spans="1:11" ht="15.5">
      <c r="A4" s="525"/>
      <c r="B4" s="525"/>
      <c r="C4" s="525"/>
      <c r="D4" s="1606"/>
      <c r="E4" s="1606"/>
      <c r="F4" s="1606"/>
      <c r="G4" s="1606"/>
      <c r="H4" s="525"/>
      <c r="I4" s="525"/>
      <c r="J4" s="525"/>
      <c r="K4" s="525"/>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ht="16" thickBot="1">
      <c r="A7" s="807"/>
      <c r="B7" s="808"/>
      <c r="C7" s="808"/>
      <c r="D7" s="808"/>
      <c r="E7" s="808"/>
      <c r="F7" s="808"/>
      <c r="G7" s="808"/>
      <c r="H7" s="808"/>
      <c r="I7" s="808"/>
      <c r="J7" s="808"/>
      <c r="K7" s="808"/>
    </row>
    <row r="8" spans="1:11" ht="46.5">
      <c r="A8" s="809" t="str">
        <f>"Reconciliation Revenue Requirement For Year 2016 Available May 25, 2017"</f>
        <v>Reconciliation Revenue Requirement For Year 2016 Available May 25, 2017</v>
      </c>
      <c r="B8" s="808"/>
      <c r="C8" s="808"/>
      <c r="D8" s="809" t="s">
        <v>975</v>
      </c>
      <c r="E8" s="808"/>
      <c r="F8" s="808"/>
      <c r="G8" s="525"/>
      <c r="H8" s="809" t="s">
        <v>550</v>
      </c>
      <c r="I8" s="525"/>
      <c r="J8" s="525"/>
      <c r="K8" s="525"/>
    </row>
    <row r="9" spans="1:11" ht="15.5">
      <c r="A9" s="810" t="s">
        <v>115</v>
      </c>
      <c r="B9" s="808"/>
      <c r="C9" s="808"/>
      <c r="D9" s="810"/>
      <c r="E9" s="808"/>
      <c r="F9" s="808"/>
      <c r="G9" s="525"/>
      <c r="H9" s="811"/>
      <c r="I9" s="525"/>
      <c r="J9" s="525"/>
      <c r="K9" s="525"/>
    </row>
    <row r="10" spans="1:11" ht="16" thickBot="1">
      <c r="A10" s="895">
        <v>0</v>
      </c>
      <c r="B10" s="812" t="str">
        <f>"-"</f>
        <v>-</v>
      </c>
      <c r="C10" s="813"/>
      <c r="D10" s="895">
        <v>0</v>
      </c>
      <c r="E10" s="814"/>
      <c r="F10" s="815" t="str">
        <f>"="</f>
        <v>=</v>
      </c>
      <c r="G10" s="816"/>
      <c r="H10" s="817">
        <f>IF(A10=0,0,D10-A10)</f>
        <v>0</v>
      </c>
      <c r="I10" s="525"/>
      <c r="J10" s="525"/>
      <c r="K10" s="525"/>
    </row>
    <row r="11" spans="1:11" ht="15.5">
      <c r="A11" s="818"/>
      <c r="B11" s="819"/>
      <c r="C11" s="819"/>
      <c r="D11" s="818"/>
      <c r="E11" s="818"/>
      <c r="F11" s="819"/>
      <c r="G11" s="818"/>
      <c r="H11" s="525"/>
      <c r="I11" s="525"/>
      <c r="J11" s="525"/>
      <c r="K11" s="525"/>
    </row>
    <row r="12" spans="1:11" ht="16" thickBot="1">
      <c r="A12" s="820"/>
      <c r="B12" s="821"/>
      <c r="C12" s="821"/>
      <c r="D12" s="820"/>
      <c r="E12" s="820"/>
      <c r="F12" s="821"/>
      <c r="G12" s="820"/>
      <c r="H12" s="822"/>
      <c r="I12" s="822"/>
      <c r="J12" s="822"/>
      <c r="K12" s="822"/>
    </row>
    <row r="13" spans="1:11" ht="15.5">
      <c r="A13" s="823"/>
      <c r="B13" s="819"/>
      <c r="C13" s="819"/>
      <c r="D13" s="818"/>
      <c r="E13" s="818"/>
      <c r="F13" s="819"/>
      <c r="G13" s="818"/>
      <c r="H13" s="525"/>
      <c r="I13" s="525"/>
      <c r="J13" s="525"/>
      <c r="K13" s="525"/>
    </row>
    <row r="14" spans="1:11" ht="46.5">
      <c r="A14" s="824" t="s">
        <v>551</v>
      </c>
      <c r="B14" s="819"/>
      <c r="C14" s="819"/>
      <c r="D14" s="825" t="s">
        <v>552</v>
      </c>
      <c r="E14" s="818"/>
      <c r="F14" s="825" t="s">
        <v>553</v>
      </c>
      <c r="G14" s="826" t="s">
        <v>554</v>
      </c>
      <c r="H14" s="827" t="s">
        <v>555</v>
      </c>
      <c r="I14" s="825" t="s">
        <v>556</v>
      </c>
      <c r="J14" s="828"/>
      <c r="K14" s="825" t="s">
        <v>557</v>
      </c>
    </row>
    <row r="15" spans="1:11" ht="15.5">
      <c r="A15" s="824" t="s">
        <v>558</v>
      </c>
      <c r="B15" s="819"/>
      <c r="C15" s="819"/>
      <c r="D15" s="525"/>
      <c r="E15" s="829"/>
      <c r="F15" s="896">
        <v>2.96E-3</v>
      </c>
      <c r="G15" s="337"/>
      <c r="H15" s="525"/>
      <c r="I15" s="525"/>
      <c r="J15" s="525"/>
      <c r="K15" s="525"/>
    </row>
    <row r="16" spans="1:11" ht="15.5">
      <c r="A16" s="824"/>
      <c r="B16" s="819"/>
      <c r="C16" s="819"/>
      <c r="D16" s="525"/>
      <c r="E16" s="829"/>
      <c r="F16" s="829"/>
      <c r="G16" s="818"/>
      <c r="H16" s="525"/>
      <c r="I16" s="525"/>
      <c r="J16" s="525"/>
      <c r="K16" s="525"/>
    </row>
    <row r="17" spans="1:11" ht="15.5">
      <c r="A17" s="824" t="s">
        <v>976</v>
      </c>
      <c r="B17" s="819"/>
      <c r="C17" s="819"/>
      <c r="D17" s="525"/>
      <c r="E17" s="829"/>
      <c r="F17" s="829"/>
      <c r="G17" s="818"/>
      <c r="H17" s="525"/>
      <c r="I17" s="525"/>
      <c r="J17" s="525"/>
      <c r="K17" s="525"/>
    </row>
    <row r="18" spans="1:11" ht="15.5">
      <c r="A18" s="830" t="s">
        <v>115</v>
      </c>
      <c r="B18" s="819"/>
      <c r="C18" s="819"/>
      <c r="D18" s="819"/>
      <c r="E18" s="819"/>
      <c r="F18" s="819" t="s">
        <v>115</v>
      </c>
      <c r="G18" s="525"/>
      <c r="H18" s="525"/>
      <c r="I18" s="525"/>
      <c r="J18" s="525"/>
      <c r="K18" s="525"/>
    </row>
    <row r="19" spans="1:11" ht="15.5">
      <c r="A19" s="831"/>
      <c r="B19" s="819"/>
      <c r="C19" s="819"/>
      <c r="D19" s="819"/>
      <c r="E19" s="819"/>
      <c r="F19" s="525"/>
      <c r="G19" s="525"/>
      <c r="H19" s="826"/>
      <c r="I19" s="819"/>
      <c r="J19" s="819"/>
      <c r="K19" s="819"/>
    </row>
    <row r="20" spans="1:11" ht="15.5">
      <c r="A20" s="831" t="s">
        <v>559</v>
      </c>
      <c r="B20" s="819"/>
      <c r="C20" s="819"/>
      <c r="D20" s="819"/>
      <c r="E20" s="819"/>
      <c r="F20" s="525"/>
      <c r="G20" s="525"/>
      <c r="H20" s="826" t="s">
        <v>560</v>
      </c>
      <c r="I20" s="819"/>
      <c r="J20" s="819"/>
      <c r="K20" s="819"/>
    </row>
    <row r="21" spans="1:11" ht="15.5">
      <c r="A21" s="808" t="s">
        <v>186</v>
      </c>
      <c r="B21" s="808" t="str">
        <f>"Year 2016"</f>
        <v>Year 2016</v>
      </c>
      <c r="C21" s="808"/>
      <c r="D21" s="832">
        <f>H10/12</f>
        <v>0</v>
      </c>
      <c r="E21" s="832"/>
      <c r="F21" s="833">
        <f>+F15</f>
        <v>2.96E-3</v>
      </c>
      <c r="G21" s="834">
        <v>12</v>
      </c>
      <c r="H21" s="832">
        <f>F21*D21*G21*-1</f>
        <v>0</v>
      </c>
      <c r="I21" s="832"/>
      <c r="J21" s="832"/>
      <c r="K21" s="832">
        <f>(-H21+D21)*-1</f>
        <v>0</v>
      </c>
    </row>
    <row r="22" spans="1:11" ht="15.5">
      <c r="A22" s="808" t="s">
        <v>561</v>
      </c>
      <c r="B22" s="808" t="str">
        <f>B21</f>
        <v>Year 2016</v>
      </c>
      <c r="C22" s="808"/>
      <c r="D22" s="832">
        <f>+D21</f>
        <v>0</v>
      </c>
      <c r="E22" s="832"/>
      <c r="F22" s="833">
        <f>+F21</f>
        <v>2.96E-3</v>
      </c>
      <c r="G22" s="834">
        <f t="shared" ref="G22:G32" si="0">+G21-1</f>
        <v>11</v>
      </c>
      <c r="H22" s="832">
        <f t="shared" ref="H22:H32" si="1">F22*D22*G22*-1</f>
        <v>0</v>
      </c>
      <c r="I22" s="832"/>
      <c r="J22" s="832"/>
      <c r="K22" s="832">
        <f t="shared" ref="K22:K32" si="2">(-H22+D22)*-1</f>
        <v>0</v>
      </c>
    </row>
    <row r="23" spans="1:11" ht="15.5">
      <c r="A23" s="808" t="s">
        <v>187</v>
      </c>
      <c r="B23" s="808" t="str">
        <f t="shared" ref="B23:B32" si="3">B22</f>
        <v>Year 2016</v>
      </c>
      <c r="C23" s="808"/>
      <c r="D23" s="832">
        <f t="shared" ref="D23:D32" si="4">+D22</f>
        <v>0</v>
      </c>
      <c r="E23" s="832"/>
      <c r="F23" s="833">
        <f t="shared" ref="F23:F32" si="5">+F22</f>
        <v>2.96E-3</v>
      </c>
      <c r="G23" s="834">
        <f t="shared" si="0"/>
        <v>10</v>
      </c>
      <c r="H23" s="832">
        <f t="shared" si="1"/>
        <v>0</v>
      </c>
      <c r="I23" s="832"/>
      <c r="J23" s="832"/>
      <c r="K23" s="832">
        <f t="shared" si="2"/>
        <v>0</v>
      </c>
    </row>
    <row r="24" spans="1:11" ht="15.5">
      <c r="A24" s="808" t="s">
        <v>188</v>
      </c>
      <c r="B24" s="808" t="str">
        <f t="shared" si="3"/>
        <v>Year 2016</v>
      </c>
      <c r="C24" s="808"/>
      <c r="D24" s="832">
        <f t="shared" si="4"/>
        <v>0</v>
      </c>
      <c r="E24" s="832"/>
      <c r="F24" s="833">
        <f t="shared" si="5"/>
        <v>2.96E-3</v>
      </c>
      <c r="G24" s="834">
        <f t="shared" si="0"/>
        <v>9</v>
      </c>
      <c r="H24" s="832">
        <f t="shared" si="1"/>
        <v>0</v>
      </c>
      <c r="I24" s="832"/>
      <c r="J24" s="832"/>
      <c r="K24" s="832">
        <f t="shared" si="2"/>
        <v>0</v>
      </c>
    </row>
    <row r="25" spans="1:11" ht="15.5">
      <c r="A25" s="808" t="s">
        <v>189</v>
      </c>
      <c r="B25" s="808" t="str">
        <f t="shared" si="3"/>
        <v>Year 2016</v>
      </c>
      <c r="C25" s="808"/>
      <c r="D25" s="832">
        <f t="shared" si="4"/>
        <v>0</v>
      </c>
      <c r="E25" s="832"/>
      <c r="F25" s="833">
        <f t="shared" si="5"/>
        <v>2.96E-3</v>
      </c>
      <c r="G25" s="834">
        <f t="shared" si="0"/>
        <v>8</v>
      </c>
      <c r="H25" s="832">
        <f t="shared" si="1"/>
        <v>0</v>
      </c>
      <c r="I25" s="832"/>
      <c r="J25" s="832"/>
      <c r="K25" s="832">
        <f t="shared" si="2"/>
        <v>0</v>
      </c>
    </row>
    <row r="26" spans="1:11" ht="15.5">
      <c r="A26" s="808" t="s">
        <v>383</v>
      </c>
      <c r="B26" s="808" t="str">
        <f t="shared" si="3"/>
        <v>Year 2016</v>
      </c>
      <c r="C26" s="808"/>
      <c r="D26" s="832">
        <f t="shared" si="4"/>
        <v>0</v>
      </c>
      <c r="E26" s="832"/>
      <c r="F26" s="833">
        <f t="shared" si="5"/>
        <v>2.96E-3</v>
      </c>
      <c r="G26" s="834">
        <f t="shared" si="0"/>
        <v>7</v>
      </c>
      <c r="H26" s="832">
        <f t="shared" si="1"/>
        <v>0</v>
      </c>
      <c r="I26" s="832"/>
      <c r="J26" s="832"/>
      <c r="K26" s="832">
        <f t="shared" si="2"/>
        <v>0</v>
      </c>
    </row>
    <row r="27" spans="1:11" ht="15.5">
      <c r="A27" s="808" t="s">
        <v>190</v>
      </c>
      <c r="B27" s="808" t="str">
        <f t="shared" si="3"/>
        <v>Year 2016</v>
      </c>
      <c r="C27" s="808"/>
      <c r="D27" s="832">
        <f t="shared" si="4"/>
        <v>0</v>
      </c>
      <c r="E27" s="832"/>
      <c r="F27" s="833">
        <f t="shared" si="5"/>
        <v>2.96E-3</v>
      </c>
      <c r="G27" s="834">
        <f t="shared" si="0"/>
        <v>6</v>
      </c>
      <c r="H27" s="832">
        <f t="shared" si="1"/>
        <v>0</v>
      </c>
      <c r="I27" s="832"/>
      <c r="J27" s="832"/>
      <c r="K27" s="832">
        <f t="shared" si="2"/>
        <v>0</v>
      </c>
    </row>
    <row r="28" spans="1:11" ht="15.5">
      <c r="A28" s="808" t="s">
        <v>191</v>
      </c>
      <c r="B28" s="808" t="str">
        <f t="shared" si="3"/>
        <v>Year 2016</v>
      </c>
      <c r="C28" s="808"/>
      <c r="D28" s="832">
        <f t="shared" si="4"/>
        <v>0</v>
      </c>
      <c r="E28" s="832"/>
      <c r="F28" s="833">
        <f t="shared" si="5"/>
        <v>2.96E-3</v>
      </c>
      <c r="G28" s="834">
        <f t="shared" si="0"/>
        <v>5</v>
      </c>
      <c r="H28" s="832">
        <f t="shared" si="1"/>
        <v>0</v>
      </c>
      <c r="I28" s="832"/>
      <c r="J28" s="832"/>
      <c r="K28" s="832">
        <f t="shared" si="2"/>
        <v>0</v>
      </c>
    </row>
    <row r="29" spans="1:11" ht="15.5">
      <c r="A29" s="808" t="s">
        <v>193</v>
      </c>
      <c r="B29" s="808" t="str">
        <f t="shared" si="3"/>
        <v>Year 2016</v>
      </c>
      <c r="C29" s="808"/>
      <c r="D29" s="832">
        <f t="shared" si="4"/>
        <v>0</v>
      </c>
      <c r="E29" s="832"/>
      <c r="F29" s="833">
        <f t="shared" si="5"/>
        <v>2.96E-3</v>
      </c>
      <c r="G29" s="834">
        <f t="shared" si="0"/>
        <v>4</v>
      </c>
      <c r="H29" s="832">
        <f t="shared" si="1"/>
        <v>0</v>
      </c>
      <c r="I29" s="832"/>
      <c r="J29" s="832"/>
      <c r="K29" s="832">
        <f t="shared" si="2"/>
        <v>0</v>
      </c>
    </row>
    <row r="30" spans="1:11" ht="15.5">
      <c r="A30" s="808" t="s">
        <v>562</v>
      </c>
      <c r="B30" s="808" t="str">
        <f t="shared" si="3"/>
        <v>Year 2016</v>
      </c>
      <c r="C30" s="808"/>
      <c r="D30" s="832">
        <f t="shared" si="4"/>
        <v>0</v>
      </c>
      <c r="E30" s="832"/>
      <c r="F30" s="833">
        <f t="shared" si="5"/>
        <v>2.96E-3</v>
      </c>
      <c r="G30" s="834">
        <f t="shared" si="0"/>
        <v>3</v>
      </c>
      <c r="H30" s="832">
        <f t="shared" si="1"/>
        <v>0</v>
      </c>
      <c r="I30" s="832"/>
      <c r="J30" s="832"/>
      <c r="K30" s="832">
        <f t="shared" si="2"/>
        <v>0</v>
      </c>
    </row>
    <row r="31" spans="1:11" ht="15.5">
      <c r="A31" s="808" t="s">
        <v>563</v>
      </c>
      <c r="B31" s="808" t="str">
        <f t="shared" si="3"/>
        <v>Year 2016</v>
      </c>
      <c r="C31" s="808"/>
      <c r="D31" s="832">
        <f t="shared" si="4"/>
        <v>0</v>
      </c>
      <c r="E31" s="832"/>
      <c r="F31" s="833">
        <f t="shared" si="5"/>
        <v>2.96E-3</v>
      </c>
      <c r="G31" s="834">
        <f t="shared" si="0"/>
        <v>2</v>
      </c>
      <c r="H31" s="832">
        <f t="shared" si="1"/>
        <v>0</v>
      </c>
      <c r="I31" s="832"/>
      <c r="J31" s="832"/>
      <c r="K31" s="832">
        <f t="shared" si="2"/>
        <v>0</v>
      </c>
    </row>
    <row r="32" spans="1:11" ht="15.5">
      <c r="A32" s="808" t="s">
        <v>192</v>
      </c>
      <c r="B32" s="808" t="str">
        <f t="shared" si="3"/>
        <v>Year 2016</v>
      </c>
      <c r="C32" s="808"/>
      <c r="D32" s="832">
        <f t="shared" si="4"/>
        <v>0</v>
      </c>
      <c r="E32" s="832"/>
      <c r="F32" s="833">
        <f t="shared" si="5"/>
        <v>2.96E-3</v>
      </c>
      <c r="G32" s="834">
        <f t="shared" si="0"/>
        <v>1</v>
      </c>
      <c r="H32" s="835">
        <f t="shared" si="1"/>
        <v>0</v>
      </c>
      <c r="I32" s="832"/>
      <c r="J32" s="832"/>
      <c r="K32" s="832">
        <f t="shared" si="2"/>
        <v>0</v>
      </c>
    </row>
    <row r="33" spans="1:11" ht="15.5">
      <c r="A33" s="808"/>
      <c r="B33" s="808"/>
      <c r="C33" s="808"/>
      <c r="D33" s="832"/>
      <c r="E33" s="832"/>
      <c r="F33" s="833"/>
      <c r="G33" s="808"/>
      <c r="H33" s="832">
        <f>SUM(H21:H32)</f>
        <v>0</v>
      </c>
      <c r="I33" s="832"/>
      <c r="J33" s="832"/>
      <c r="K33" s="836">
        <f>SUM(K21:K32)</f>
        <v>0</v>
      </c>
    </row>
    <row r="34" spans="1:11" ht="15.5">
      <c r="A34" s="808"/>
      <c r="B34" s="808"/>
      <c r="C34" s="808"/>
      <c r="D34" s="832"/>
      <c r="E34" s="832"/>
      <c r="F34" s="833"/>
      <c r="G34" s="808"/>
      <c r="H34" s="832"/>
      <c r="I34" s="832" t="s">
        <v>115</v>
      </c>
      <c r="J34" s="832"/>
      <c r="K34" s="525"/>
    </row>
    <row r="35" spans="1:11" ht="15.5">
      <c r="A35" s="808"/>
      <c r="B35" s="808"/>
      <c r="C35" s="808"/>
      <c r="D35" s="818"/>
      <c r="E35" s="818"/>
      <c r="F35" s="833"/>
      <c r="G35" s="808"/>
      <c r="H35" s="837" t="s">
        <v>564</v>
      </c>
      <c r="I35" s="832"/>
      <c r="J35" s="832"/>
      <c r="K35" s="832"/>
    </row>
    <row r="36" spans="1:11" ht="15.5">
      <c r="A36" s="808" t="s">
        <v>565</v>
      </c>
      <c r="B36" s="808" t="str">
        <f>"Year 2017"</f>
        <v>Year 2017</v>
      </c>
      <c r="C36" s="808"/>
      <c r="D36" s="818">
        <f>K33</f>
        <v>0</v>
      </c>
      <c r="E36" s="818"/>
      <c r="F36" s="833">
        <f>+F32</f>
        <v>2.96E-3</v>
      </c>
      <c r="G36" s="834">
        <v>12</v>
      </c>
      <c r="H36" s="832">
        <f>+G36*F36*D36</f>
        <v>0</v>
      </c>
      <c r="I36" s="832"/>
      <c r="J36" s="832"/>
      <c r="K36" s="836">
        <f>+D36+H36</f>
        <v>0</v>
      </c>
    </row>
    <row r="37" spans="1:11" ht="15.5">
      <c r="A37" s="808"/>
      <c r="B37" s="808"/>
      <c r="C37" s="808"/>
      <c r="D37" s="818"/>
      <c r="E37" s="818"/>
      <c r="F37" s="833"/>
      <c r="G37" s="808"/>
      <c r="H37" s="832"/>
      <c r="I37" s="832"/>
      <c r="J37" s="832"/>
      <c r="K37" s="832"/>
    </row>
    <row r="38" spans="1:11" ht="15.5">
      <c r="A38" s="838" t="s">
        <v>566</v>
      </c>
      <c r="B38" s="808"/>
      <c r="C38" s="808"/>
      <c r="D38" s="832"/>
      <c r="E38" s="832"/>
      <c r="F38" s="833"/>
      <c r="G38" s="808"/>
      <c r="H38" s="837" t="s">
        <v>560</v>
      </c>
      <c r="I38" s="832"/>
      <c r="J38" s="832"/>
      <c r="K38" s="832"/>
    </row>
    <row r="39" spans="1:11" ht="15.5">
      <c r="A39" s="808" t="s">
        <v>186</v>
      </c>
      <c r="B39" s="808" t="str">
        <f>"Year 2018"</f>
        <v>Year 2018</v>
      </c>
      <c r="C39" s="808"/>
      <c r="D39" s="818">
        <f>-K36</f>
        <v>0</v>
      </c>
      <c r="E39" s="818"/>
      <c r="F39" s="833">
        <f>+F32</f>
        <v>2.96E-3</v>
      </c>
      <c r="G39" s="808"/>
      <c r="H39" s="832">
        <f xml:space="preserve"> -F39*D39</f>
        <v>0</v>
      </c>
      <c r="I39" s="832">
        <f>PMT(F39,12,K$36)</f>
        <v>0</v>
      </c>
      <c r="J39" s="832"/>
      <c r="K39" s="832">
        <f>(+D39+D39*F39-I39)*-1</f>
        <v>0</v>
      </c>
    </row>
    <row r="40" spans="1:11" ht="15.5">
      <c r="A40" s="808" t="s">
        <v>561</v>
      </c>
      <c r="B40" s="808" t="str">
        <f>+B39</f>
        <v>Year 2018</v>
      </c>
      <c r="C40" s="808"/>
      <c r="D40" s="818">
        <f>-K39</f>
        <v>0</v>
      </c>
      <c r="E40" s="818"/>
      <c r="F40" s="833">
        <f>+F39</f>
        <v>2.96E-3</v>
      </c>
      <c r="G40" s="808"/>
      <c r="H40" s="832">
        <f xml:space="preserve"> -F40*D40</f>
        <v>0</v>
      </c>
      <c r="I40" s="832">
        <f>I39</f>
        <v>0</v>
      </c>
      <c r="J40" s="832"/>
      <c r="K40" s="832">
        <f t="shared" ref="K40:K50" si="6">(+D40+D40*F40-I40)*-1</f>
        <v>0</v>
      </c>
    </row>
    <row r="41" spans="1:11" ht="15.5">
      <c r="A41" s="808" t="s">
        <v>187</v>
      </c>
      <c r="B41" s="808" t="str">
        <f>+B40</f>
        <v>Year 2018</v>
      </c>
      <c r="C41" s="808"/>
      <c r="D41" s="818">
        <f t="shared" ref="D41:D50" si="7">-K40</f>
        <v>0</v>
      </c>
      <c r="E41" s="818"/>
      <c r="F41" s="833">
        <f t="shared" ref="F41:F50" si="8">+F40</f>
        <v>2.96E-3</v>
      </c>
      <c r="G41" s="808"/>
      <c r="H41" s="832">
        <f t="shared" ref="H41:H50" si="9" xml:space="preserve"> -F41*D41</f>
        <v>0</v>
      </c>
      <c r="I41" s="832">
        <f t="shared" ref="I41:I50" si="10">I40</f>
        <v>0</v>
      </c>
      <c r="J41" s="832"/>
      <c r="K41" s="832">
        <f t="shared" si="6"/>
        <v>0</v>
      </c>
    </row>
    <row r="42" spans="1:11" ht="15.5">
      <c r="A42" s="808" t="s">
        <v>188</v>
      </c>
      <c r="B42" s="808" t="str">
        <f>+B41</f>
        <v>Year 2018</v>
      </c>
      <c r="C42" s="808"/>
      <c r="D42" s="818">
        <f t="shared" si="7"/>
        <v>0</v>
      </c>
      <c r="E42" s="818"/>
      <c r="F42" s="833">
        <f t="shared" si="8"/>
        <v>2.96E-3</v>
      </c>
      <c r="G42" s="808"/>
      <c r="H42" s="832">
        <f t="shared" si="9"/>
        <v>0</v>
      </c>
      <c r="I42" s="832">
        <f t="shared" si="10"/>
        <v>0</v>
      </c>
      <c r="J42" s="832"/>
      <c r="K42" s="832">
        <f t="shared" si="6"/>
        <v>0</v>
      </c>
    </row>
    <row r="43" spans="1:11" ht="15.5">
      <c r="A43" s="808" t="s">
        <v>189</v>
      </c>
      <c r="B43" s="808" t="str">
        <f>+B42</f>
        <v>Year 2018</v>
      </c>
      <c r="C43" s="808"/>
      <c r="D43" s="818">
        <f t="shared" si="7"/>
        <v>0</v>
      </c>
      <c r="E43" s="818"/>
      <c r="F43" s="833">
        <f t="shared" si="8"/>
        <v>2.96E-3</v>
      </c>
      <c r="G43" s="808"/>
      <c r="H43" s="832">
        <f t="shared" si="9"/>
        <v>0</v>
      </c>
      <c r="I43" s="832">
        <f>I42</f>
        <v>0</v>
      </c>
      <c r="J43" s="832"/>
      <c r="K43" s="832">
        <f t="shared" si="6"/>
        <v>0</v>
      </c>
    </row>
    <row r="44" spans="1:11" ht="15.5">
      <c r="A44" s="808" t="s">
        <v>383</v>
      </c>
      <c r="B44" s="808" t="str">
        <f>B43</f>
        <v>Year 2018</v>
      </c>
      <c r="C44" s="525"/>
      <c r="D44" s="818">
        <f t="shared" si="7"/>
        <v>0</v>
      </c>
      <c r="E44" s="818"/>
      <c r="F44" s="833">
        <f t="shared" si="8"/>
        <v>2.96E-3</v>
      </c>
      <c r="G44" s="808"/>
      <c r="H44" s="832">
        <f t="shared" si="9"/>
        <v>0</v>
      </c>
      <c r="I44" s="832">
        <f t="shared" si="10"/>
        <v>0</v>
      </c>
      <c r="J44" s="832"/>
      <c r="K44" s="832">
        <f t="shared" si="6"/>
        <v>0</v>
      </c>
    </row>
    <row r="45" spans="1:11" ht="15.5">
      <c r="A45" s="808" t="s">
        <v>190</v>
      </c>
      <c r="B45" s="808" t="str">
        <f t="shared" ref="B45:B50" si="11">+B44</f>
        <v>Year 2018</v>
      </c>
      <c r="C45" s="808"/>
      <c r="D45" s="818">
        <f t="shared" si="7"/>
        <v>0</v>
      </c>
      <c r="E45" s="818"/>
      <c r="F45" s="833">
        <f t="shared" si="8"/>
        <v>2.96E-3</v>
      </c>
      <c r="G45" s="808"/>
      <c r="H45" s="832">
        <f t="shared" si="9"/>
        <v>0</v>
      </c>
      <c r="I45" s="832">
        <f t="shared" si="10"/>
        <v>0</v>
      </c>
      <c r="J45" s="832"/>
      <c r="K45" s="832">
        <f t="shared" si="6"/>
        <v>0</v>
      </c>
    </row>
    <row r="46" spans="1:11" ht="15.5">
      <c r="A46" s="808" t="s">
        <v>191</v>
      </c>
      <c r="B46" s="808" t="str">
        <f t="shared" si="11"/>
        <v>Year 2018</v>
      </c>
      <c r="C46" s="808"/>
      <c r="D46" s="818">
        <f t="shared" si="7"/>
        <v>0</v>
      </c>
      <c r="E46" s="818"/>
      <c r="F46" s="833">
        <f t="shared" si="8"/>
        <v>2.96E-3</v>
      </c>
      <c r="G46" s="808"/>
      <c r="H46" s="832">
        <f t="shared" si="9"/>
        <v>0</v>
      </c>
      <c r="I46" s="832">
        <f t="shared" si="10"/>
        <v>0</v>
      </c>
      <c r="J46" s="832"/>
      <c r="K46" s="832">
        <f t="shared" si="6"/>
        <v>0</v>
      </c>
    </row>
    <row r="47" spans="1:11" ht="15.5">
      <c r="A47" s="808" t="s">
        <v>193</v>
      </c>
      <c r="B47" s="808" t="str">
        <f t="shared" si="11"/>
        <v>Year 2018</v>
      </c>
      <c r="C47" s="808"/>
      <c r="D47" s="818">
        <f t="shared" si="7"/>
        <v>0</v>
      </c>
      <c r="E47" s="818"/>
      <c r="F47" s="833">
        <f t="shared" si="8"/>
        <v>2.96E-3</v>
      </c>
      <c r="G47" s="808"/>
      <c r="H47" s="832">
        <f t="shared" si="9"/>
        <v>0</v>
      </c>
      <c r="I47" s="832">
        <f>I46</f>
        <v>0</v>
      </c>
      <c r="J47" s="832"/>
      <c r="K47" s="832">
        <f t="shared" si="6"/>
        <v>0</v>
      </c>
    </row>
    <row r="48" spans="1:11" ht="15.5">
      <c r="A48" s="808" t="s">
        <v>562</v>
      </c>
      <c r="B48" s="808" t="str">
        <f t="shared" si="11"/>
        <v>Year 2018</v>
      </c>
      <c r="C48" s="808"/>
      <c r="D48" s="818">
        <f t="shared" si="7"/>
        <v>0</v>
      </c>
      <c r="E48" s="818"/>
      <c r="F48" s="833">
        <f t="shared" si="8"/>
        <v>2.96E-3</v>
      </c>
      <c r="G48" s="808"/>
      <c r="H48" s="832">
        <f t="shared" si="9"/>
        <v>0</v>
      </c>
      <c r="I48" s="832">
        <f t="shared" si="10"/>
        <v>0</v>
      </c>
      <c r="J48" s="832"/>
      <c r="K48" s="832">
        <f t="shared" si="6"/>
        <v>0</v>
      </c>
    </row>
    <row r="49" spans="1:11" ht="15.5">
      <c r="A49" s="808" t="s">
        <v>563</v>
      </c>
      <c r="B49" s="808" t="str">
        <f t="shared" si="11"/>
        <v>Year 2018</v>
      </c>
      <c r="C49" s="808"/>
      <c r="D49" s="818">
        <f t="shared" si="7"/>
        <v>0</v>
      </c>
      <c r="E49" s="818"/>
      <c r="F49" s="833">
        <f t="shared" si="8"/>
        <v>2.96E-3</v>
      </c>
      <c r="G49" s="808"/>
      <c r="H49" s="832">
        <f t="shared" si="9"/>
        <v>0</v>
      </c>
      <c r="I49" s="832">
        <f t="shared" si="10"/>
        <v>0</v>
      </c>
      <c r="J49" s="832"/>
      <c r="K49" s="832">
        <f t="shared" si="6"/>
        <v>0</v>
      </c>
    </row>
    <row r="50" spans="1:11" ht="15.5">
      <c r="A50" s="808" t="s">
        <v>192</v>
      </c>
      <c r="B50" s="808" t="str">
        <f t="shared" si="11"/>
        <v>Year 2018</v>
      </c>
      <c r="C50" s="808"/>
      <c r="D50" s="818">
        <f t="shared" si="7"/>
        <v>0</v>
      </c>
      <c r="E50" s="818"/>
      <c r="F50" s="833">
        <f t="shared" si="8"/>
        <v>2.96E-3</v>
      </c>
      <c r="G50" s="808"/>
      <c r="H50" s="835">
        <f t="shared" si="9"/>
        <v>0</v>
      </c>
      <c r="I50" s="832">
        <f t="shared" si="10"/>
        <v>0</v>
      </c>
      <c r="J50" s="832"/>
      <c r="K50" s="832">
        <f t="shared" si="6"/>
        <v>0</v>
      </c>
    </row>
    <row r="51" spans="1:11" ht="15.5">
      <c r="A51" s="808"/>
      <c r="B51" s="808"/>
      <c r="C51" s="808"/>
      <c r="D51" s="818"/>
      <c r="E51" s="818"/>
      <c r="F51" s="833"/>
      <c r="G51" s="808"/>
      <c r="H51" s="832">
        <f>SUM(H39:H50)</f>
        <v>0</v>
      </c>
      <c r="I51" s="832"/>
      <c r="J51" s="832"/>
      <c r="K51" s="832"/>
    </row>
    <row r="52" spans="1:11" ht="15.5">
      <c r="A52" s="525"/>
      <c r="B52" s="525"/>
      <c r="C52" s="525"/>
      <c r="D52" s="525"/>
      <c r="E52" s="525"/>
      <c r="F52" s="525"/>
      <c r="G52" s="525"/>
      <c r="H52" s="525"/>
      <c r="I52" s="840"/>
      <c r="J52" s="525"/>
      <c r="K52" s="525"/>
    </row>
    <row r="53" spans="1:11" ht="15.5">
      <c r="A53" s="808" t="s">
        <v>571</v>
      </c>
      <c r="B53" s="525"/>
      <c r="C53" s="525"/>
      <c r="D53" s="525"/>
      <c r="E53" s="525"/>
      <c r="F53" s="525"/>
      <c r="G53" s="525"/>
      <c r="H53" s="525"/>
      <c r="I53" s="841">
        <f>(SUM(I39:I50)*-1)</f>
        <v>0</v>
      </c>
      <c r="J53" s="525"/>
      <c r="K53" s="525"/>
    </row>
    <row r="54" spans="1:11" ht="15.5">
      <c r="A54" s="808" t="s">
        <v>567</v>
      </c>
      <c r="B54" s="525"/>
      <c r="C54" s="525"/>
      <c r="D54" s="525"/>
      <c r="E54" s="525"/>
      <c r="F54" s="525"/>
      <c r="G54" s="525"/>
      <c r="H54" s="525"/>
      <c r="I54" s="842">
        <f>+H10</f>
        <v>0</v>
      </c>
      <c r="J54" s="525"/>
      <c r="K54" s="525"/>
    </row>
    <row r="55" spans="1:11" ht="15.5">
      <c r="A55" s="808" t="s">
        <v>568</v>
      </c>
      <c r="B55" s="525"/>
      <c r="C55" s="525"/>
      <c r="D55" s="525"/>
      <c r="E55" s="525"/>
      <c r="F55" s="525"/>
      <c r="G55" s="525"/>
      <c r="H55" s="525"/>
      <c r="I55" s="841">
        <f>(I53+I54)</f>
        <v>0</v>
      </c>
      <c r="J55" s="525"/>
      <c r="K55" s="525"/>
    </row>
    <row r="56" spans="1:11">
      <c r="A56" s="419"/>
      <c r="B56" s="419"/>
      <c r="C56" s="419"/>
      <c r="D56" s="419"/>
      <c r="E56" s="419"/>
      <c r="F56" s="419"/>
      <c r="G56" s="419"/>
      <c r="H56" s="419"/>
      <c r="I56" s="419"/>
      <c r="J56" s="419"/>
      <c r="K56" s="419"/>
    </row>
    <row r="57" spans="1:11" ht="60.65" customHeight="1">
      <c r="A57" s="1607" t="s">
        <v>572</v>
      </c>
      <c r="B57" s="1607"/>
      <c r="C57" s="1607"/>
      <c r="D57" s="1607"/>
      <c r="E57" s="843"/>
      <c r="F57" s="843"/>
      <c r="G57" s="843"/>
      <c r="H57" s="843"/>
      <c r="I57" s="843"/>
      <c r="J57" s="843"/>
      <c r="K57" s="843"/>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6" zoomScale="60" zoomScaleNormal="100" workbookViewId="0">
      <selection activeCell="E10" sqref="E10"/>
    </sheetView>
  </sheetViews>
  <sheetFormatPr defaultRowHeight="12.5"/>
  <cols>
    <col min="1" max="1" width="24" customWidth="1"/>
    <col min="4" max="4" width="18" customWidth="1"/>
    <col min="8" max="8" width="17.54296875" customWidth="1"/>
    <col min="9" max="9" width="14" customWidth="1"/>
    <col min="11" max="11" width="14.453125" customWidth="1"/>
  </cols>
  <sheetData>
    <row r="1" spans="1:11" ht="15.5">
      <c r="A1" s="1605" t="s">
        <v>388</v>
      </c>
      <c r="B1" s="1605"/>
      <c r="C1" s="1605"/>
      <c r="D1" s="1605"/>
      <c r="E1" s="1605"/>
      <c r="F1" s="1605"/>
      <c r="G1" s="1605"/>
      <c r="H1" s="1605"/>
      <c r="I1" s="1605"/>
      <c r="J1" s="1605"/>
      <c r="K1" s="1605"/>
    </row>
    <row r="2" spans="1:11" ht="15.5">
      <c r="A2" s="1606" t="s">
        <v>569</v>
      </c>
      <c r="B2" s="1606"/>
      <c r="C2" s="1606"/>
      <c r="D2" s="1606"/>
      <c r="E2" s="1606"/>
      <c r="F2" s="1606"/>
      <c r="G2" s="1606"/>
      <c r="H2" s="1606"/>
      <c r="I2" s="1606"/>
      <c r="J2" s="1606"/>
      <c r="K2" s="1606"/>
    </row>
    <row r="3" spans="1:11" ht="15.5">
      <c r="A3" s="1606" t="s">
        <v>570</v>
      </c>
      <c r="B3" s="1606"/>
      <c r="C3" s="1606"/>
      <c r="D3" s="1606"/>
      <c r="E3" s="1606"/>
      <c r="F3" s="1606"/>
      <c r="G3" s="1606"/>
      <c r="H3" s="1606"/>
      <c r="I3" s="1606"/>
      <c r="J3" s="1606"/>
      <c r="K3" s="1606"/>
    </row>
    <row r="4" spans="1:11" ht="15.5">
      <c r="A4" s="525"/>
      <c r="B4" s="525"/>
      <c r="C4" s="525"/>
      <c r="D4" s="1606"/>
      <c r="E4" s="1606"/>
      <c r="F4" s="1606"/>
      <c r="G4" s="1606"/>
      <c r="H4" s="525"/>
      <c r="I4" s="525"/>
      <c r="J4" s="525"/>
      <c r="K4" s="525"/>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ht="16" thickBot="1">
      <c r="A7" s="807"/>
      <c r="B7" s="808"/>
      <c r="C7" s="808"/>
      <c r="D7" s="808"/>
      <c r="E7" s="808"/>
      <c r="F7" s="808"/>
      <c r="G7" s="808"/>
      <c r="H7" s="808"/>
      <c r="I7" s="808"/>
      <c r="J7" s="808"/>
      <c r="K7" s="808"/>
    </row>
    <row r="8" spans="1:11" ht="62">
      <c r="A8" s="809" t="str">
        <f>"Reconciliation Revenue Requirement For Year 2016 Available May 25, 2017"</f>
        <v>Reconciliation Revenue Requirement For Year 2016 Available May 25, 2017</v>
      </c>
      <c r="B8" s="808"/>
      <c r="C8" s="808"/>
      <c r="D8" s="809" t="s">
        <v>975</v>
      </c>
      <c r="E8" s="808"/>
      <c r="F8" s="808"/>
      <c r="G8" s="525"/>
      <c r="H8" s="809" t="s">
        <v>550</v>
      </c>
      <c r="I8" s="525"/>
      <c r="J8" s="525"/>
      <c r="K8" s="525"/>
    </row>
    <row r="9" spans="1:11" ht="15.5">
      <c r="A9" s="810" t="s">
        <v>115</v>
      </c>
      <c r="B9" s="808"/>
      <c r="C9" s="808"/>
      <c r="D9" s="810"/>
      <c r="E9" s="808"/>
      <c r="F9" s="808"/>
      <c r="G9" s="525"/>
      <c r="H9" s="811"/>
      <c r="I9" s="525"/>
      <c r="J9" s="525"/>
      <c r="K9" s="525"/>
    </row>
    <row r="10" spans="1:11" ht="16" thickBot="1">
      <c r="A10" s="895">
        <v>0</v>
      </c>
      <c r="B10" s="812" t="str">
        <f>"-"</f>
        <v>-</v>
      </c>
      <c r="C10" s="813"/>
      <c r="D10" s="895">
        <v>0</v>
      </c>
      <c r="E10" s="814"/>
      <c r="F10" s="815" t="str">
        <f>"="</f>
        <v>=</v>
      </c>
      <c r="G10" s="816"/>
      <c r="H10" s="817">
        <f>IF(A10=0,0,D10-A10)</f>
        <v>0</v>
      </c>
      <c r="I10" s="525"/>
      <c r="J10" s="525"/>
      <c r="K10" s="525"/>
    </row>
    <row r="11" spans="1:11" ht="15.5">
      <c r="A11" s="818"/>
      <c r="B11" s="819"/>
      <c r="C11" s="819"/>
      <c r="D11" s="818"/>
      <c r="E11" s="818"/>
      <c r="F11" s="819"/>
      <c r="G11" s="818"/>
      <c r="H11" s="525"/>
      <c r="I11" s="525"/>
      <c r="J11" s="525"/>
      <c r="K11" s="525"/>
    </row>
    <row r="12" spans="1:11" ht="16" thickBot="1">
      <c r="A12" s="820"/>
      <c r="B12" s="821"/>
      <c r="C12" s="821"/>
      <c r="D12" s="820"/>
      <c r="E12" s="820"/>
      <c r="F12" s="821"/>
      <c r="G12" s="820"/>
      <c r="H12" s="822"/>
      <c r="I12" s="822"/>
      <c r="J12" s="822"/>
      <c r="K12" s="822"/>
    </row>
    <row r="13" spans="1:11" ht="15.5">
      <c r="A13" s="823"/>
      <c r="B13" s="819"/>
      <c r="C13" s="819"/>
      <c r="D13" s="818"/>
      <c r="E13" s="818"/>
      <c r="F13" s="819"/>
      <c r="G13" s="818"/>
      <c r="H13" s="525"/>
      <c r="I13" s="525"/>
      <c r="J13" s="525"/>
      <c r="K13" s="525"/>
    </row>
    <row r="14" spans="1:11" ht="62">
      <c r="A14" s="824" t="s">
        <v>551</v>
      </c>
      <c r="B14" s="819"/>
      <c r="C14" s="819"/>
      <c r="D14" s="825" t="s">
        <v>552</v>
      </c>
      <c r="E14" s="818"/>
      <c r="F14" s="825" t="s">
        <v>553</v>
      </c>
      <c r="G14" s="826" t="s">
        <v>554</v>
      </c>
      <c r="H14" s="827" t="s">
        <v>555</v>
      </c>
      <c r="I14" s="825" t="s">
        <v>556</v>
      </c>
      <c r="J14" s="828"/>
      <c r="K14" s="825" t="s">
        <v>557</v>
      </c>
    </row>
    <row r="15" spans="1:11" ht="15.5">
      <c r="A15" s="824" t="s">
        <v>558</v>
      </c>
      <c r="B15" s="819"/>
      <c r="C15" s="819"/>
      <c r="D15" s="525"/>
      <c r="E15" s="829"/>
      <c r="F15" s="896">
        <v>2.96E-3</v>
      </c>
      <c r="G15" s="337"/>
      <c r="H15" s="525"/>
      <c r="I15" s="525"/>
      <c r="J15" s="525"/>
      <c r="K15" s="525"/>
    </row>
    <row r="16" spans="1:11" ht="15.5">
      <c r="A16" s="824"/>
      <c r="B16" s="819"/>
      <c r="C16" s="819"/>
      <c r="D16" s="525"/>
      <c r="E16" s="829"/>
      <c r="F16" s="829"/>
      <c r="G16" s="818"/>
      <c r="H16" s="525"/>
      <c r="I16" s="525"/>
      <c r="J16" s="525"/>
      <c r="K16" s="525"/>
    </row>
    <row r="17" spans="1:11" ht="15.5">
      <c r="A17" s="824" t="s">
        <v>976</v>
      </c>
      <c r="B17" s="819"/>
      <c r="C17" s="819"/>
      <c r="D17" s="525"/>
      <c r="E17" s="829"/>
      <c r="F17" s="829"/>
      <c r="G17" s="818"/>
      <c r="H17" s="525"/>
      <c r="I17" s="525"/>
      <c r="J17" s="525"/>
      <c r="K17" s="525"/>
    </row>
    <row r="18" spans="1:11" ht="15.5">
      <c r="A18" s="830" t="s">
        <v>115</v>
      </c>
      <c r="B18" s="819"/>
      <c r="C18" s="819"/>
      <c r="D18" s="819"/>
      <c r="E18" s="819"/>
      <c r="F18" s="819" t="s">
        <v>115</v>
      </c>
      <c r="G18" s="525"/>
      <c r="H18" s="525"/>
      <c r="I18" s="525"/>
      <c r="J18" s="525"/>
      <c r="K18" s="525"/>
    </row>
    <row r="19" spans="1:11" ht="15.5">
      <c r="A19" s="831"/>
      <c r="B19" s="819"/>
      <c r="C19" s="819"/>
      <c r="D19" s="819"/>
      <c r="E19" s="819"/>
      <c r="F19" s="525"/>
      <c r="G19" s="525"/>
      <c r="H19" s="826"/>
      <c r="I19" s="819"/>
      <c r="J19" s="819"/>
      <c r="K19" s="819"/>
    </row>
    <row r="20" spans="1:11" ht="15.5">
      <c r="A20" s="831" t="s">
        <v>559</v>
      </c>
      <c r="B20" s="819"/>
      <c r="C20" s="819"/>
      <c r="D20" s="819"/>
      <c r="E20" s="819"/>
      <c r="F20" s="525"/>
      <c r="G20" s="525"/>
      <c r="H20" s="826" t="s">
        <v>560</v>
      </c>
      <c r="I20" s="819"/>
      <c r="J20" s="819"/>
      <c r="K20" s="819"/>
    </row>
    <row r="21" spans="1:11" ht="15.5">
      <c r="A21" s="808" t="s">
        <v>186</v>
      </c>
      <c r="B21" s="808" t="str">
        <f>"Year 2016"</f>
        <v>Year 2016</v>
      </c>
      <c r="C21" s="808"/>
      <c r="D21" s="832">
        <f>H10/12</f>
        <v>0</v>
      </c>
      <c r="E21" s="832"/>
      <c r="F21" s="833">
        <f>+F15</f>
        <v>2.96E-3</v>
      </c>
      <c r="G21" s="834">
        <v>12</v>
      </c>
      <c r="H21" s="832">
        <f>F21*D21*G21*-1</f>
        <v>0</v>
      </c>
      <c r="I21" s="832"/>
      <c r="J21" s="832"/>
      <c r="K21" s="832">
        <f>(-H21+D21)*-1</f>
        <v>0</v>
      </c>
    </row>
    <row r="22" spans="1:11" ht="15.5">
      <c r="A22" s="808" t="s">
        <v>561</v>
      </c>
      <c r="B22" s="808" t="str">
        <f>B21</f>
        <v>Year 2016</v>
      </c>
      <c r="C22" s="808"/>
      <c r="D22" s="832">
        <f>+D21</f>
        <v>0</v>
      </c>
      <c r="E22" s="832"/>
      <c r="F22" s="833">
        <f>+F21</f>
        <v>2.96E-3</v>
      </c>
      <c r="G22" s="834">
        <f t="shared" ref="G22:G32" si="0">+G21-1</f>
        <v>11</v>
      </c>
      <c r="H22" s="832">
        <f t="shared" ref="H22:H32" si="1">F22*D22*G22*-1</f>
        <v>0</v>
      </c>
      <c r="I22" s="832"/>
      <c r="J22" s="832"/>
      <c r="K22" s="832">
        <f t="shared" ref="K22:K32" si="2">(-H22+D22)*-1</f>
        <v>0</v>
      </c>
    </row>
    <row r="23" spans="1:11" ht="15.5">
      <c r="A23" s="808" t="s">
        <v>187</v>
      </c>
      <c r="B23" s="808" t="str">
        <f t="shared" ref="B23:B32" si="3">B22</f>
        <v>Year 2016</v>
      </c>
      <c r="C23" s="808"/>
      <c r="D23" s="832">
        <f t="shared" ref="D23:D32" si="4">+D22</f>
        <v>0</v>
      </c>
      <c r="E23" s="832"/>
      <c r="F23" s="833">
        <f t="shared" ref="F23:F32" si="5">+F22</f>
        <v>2.96E-3</v>
      </c>
      <c r="G23" s="834">
        <f t="shared" si="0"/>
        <v>10</v>
      </c>
      <c r="H23" s="832">
        <f t="shared" si="1"/>
        <v>0</v>
      </c>
      <c r="I23" s="832"/>
      <c r="J23" s="832"/>
      <c r="K23" s="832">
        <f t="shared" si="2"/>
        <v>0</v>
      </c>
    </row>
    <row r="24" spans="1:11" ht="15.5">
      <c r="A24" s="808" t="s">
        <v>188</v>
      </c>
      <c r="B24" s="808" t="str">
        <f t="shared" si="3"/>
        <v>Year 2016</v>
      </c>
      <c r="C24" s="808"/>
      <c r="D24" s="832">
        <f t="shared" si="4"/>
        <v>0</v>
      </c>
      <c r="E24" s="832"/>
      <c r="F24" s="833">
        <f t="shared" si="5"/>
        <v>2.96E-3</v>
      </c>
      <c r="G24" s="834">
        <f t="shared" si="0"/>
        <v>9</v>
      </c>
      <c r="H24" s="832">
        <f t="shared" si="1"/>
        <v>0</v>
      </c>
      <c r="I24" s="832"/>
      <c r="J24" s="832"/>
      <c r="K24" s="832">
        <f t="shared" si="2"/>
        <v>0</v>
      </c>
    </row>
    <row r="25" spans="1:11" ht="15.5">
      <c r="A25" s="808" t="s">
        <v>189</v>
      </c>
      <c r="B25" s="808" t="str">
        <f t="shared" si="3"/>
        <v>Year 2016</v>
      </c>
      <c r="C25" s="808"/>
      <c r="D25" s="832">
        <f t="shared" si="4"/>
        <v>0</v>
      </c>
      <c r="E25" s="832"/>
      <c r="F25" s="833">
        <f t="shared" si="5"/>
        <v>2.96E-3</v>
      </c>
      <c r="G25" s="834">
        <f t="shared" si="0"/>
        <v>8</v>
      </c>
      <c r="H25" s="832">
        <f t="shared" si="1"/>
        <v>0</v>
      </c>
      <c r="I25" s="832"/>
      <c r="J25" s="832"/>
      <c r="K25" s="832">
        <f t="shared" si="2"/>
        <v>0</v>
      </c>
    </row>
    <row r="26" spans="1:11" ht="15.5">
      <c r="A26" s="808" t="s">
        <v>383</v>
      </c>
      <c r="B26" s="808" t="str">
        <f t="shared" si="3"/>
        <v>Year 2016</v>
      </c>
      <c r="C26" s="808"/>
      <c r="D26" s="832">
        <f t="shared" si="4"/>
        <v>0</v>
      </c>
      <c r="E26" s="832"/>
      <c r="F26" s="833">
        <f t="shared" si="5"/>
        <v>2.96E-3</v>
      </c>
      <c r="G26" s="834">
        <f t="shared" si="0"/>
        <v>7</v>
      </c>
      <c r="H26" s="832">
        <f t="shared" si="1"/>
        <v>0</v>
      </c>
      <c r="I26" s="832"/>
      <c r="J26" s="832"/>
      <c r="K26" s="832">
        <f t="shared" si="2"/>
        <v>0</v>
      </c>
    </row>
    <row r="27" spans="1:11" ht="15.5">
      <c r="A27" s="808" t="s">
        <v>190</v>
      </c>
      <c r="B27" s="808" t="str">
        <f t="shared" si="3"/>
        <v>Year 2016</v>
      </c>
      <c r="C27" s="808"/>
      <c r="D27" s="832">
        <f t="shared" si="4"/>
        <v>0</v>
      </c>
      <c r="E27" s="832"/>
      <c r="F27" s="833">
        <f t="shared" si="5"/>
        <v>2.96E-3</v>
      </c>
      <c r="G27" s="834">
        <f t="shared" si="0"/>
        <v>6</v>
      </c>
      <c r="H27" s="832">
        <f t="shared" si="1"/>
        <v>0</v>
      </c>
      <c r="I27" s="832"/>
      <c r="J27" s="832"/>
      <c r="K27" s="832">
        <f t="shared" si="2"/>
        <v>0</v>
      </c>
    </row>
    <row r="28" spans="1:11" ht="15.5">
      <c r="A28" s="808" t="s">
        <v>191</v>
      </c>
      <c r="B28" s="808" t="str">
        <f t="shared" si="3"/>
        <v>Year 2016</v>
      </c>
      <c r="C28" s="808"/>
      <c r="D28" s="832">
        <f t="shared" si="4"/>
        <v>0</v>
      </c>
      <c r="E28" s="832"/>
      <c r="F28" s="833">
        <f t="shared" si="5"/>
        <v>2.96E-3</v>
      </c>
      <c r="G28" s="834">
        <f t="shared" si="0"/>
        <v>5</v>
      </c>
      <c r="H28" s="832">
        <f t="shared" si="1"/>
        <v>0</v>
      </c>
      <c r="I28" s="832"/>
      <c r="J28" s="832"/>
      <c r="K28" s="832">
        <f t="shared" si="2"/>
        <v>0</v>
      </c>
    </row>
    <row r="29" spans="1:11" ht="15.5">
      <c r="A29" s="808" t="s">
        <v>193</v>
      </c>
      <c r="B29" s="808" t="str">
        <f t="shared" si="3"/>
        <v>Year 2016</v>
      </c>
      <c r="C29" s="808"/>
      <c r="D29" s="832">
        <f t="shared" si="4"/>
        <v>0</v>
      </c>
      <c r="E29" s="832"/>
      <c r="F29" s="833">
        <f t="shared" si="5"/>
        <v>2.96E-3</v>
      </c>
      <c r="G29" s="834">
        <f t="shared" si="0"/>
        <v>4</v>
      </c>
      <c r="H29" s="832">
        <f t="shared" si="1"/>
        <v>0</v>
      </c>
      <c r="I29" s="832"/>
      <c r="J29" s="832"/>
      <c r="K29" s="832">
        <f t="shared" si="2"/>
        <v>0</v>
      </c>
    </row>
    <row r="30" spans="1:11" ht="15.5">
      <c r="A30" s="808" t="s">
        <v>562</v>
      </c>
      <c r="B30" s="808" t="str">
        <f t="shared" si="3"/>
        <v>Year 2016</v>
      </c>
      <c r="C30" s="808"/>
      <c r="D30" s="832">
        <f t="shared" si="4"/>
        <v>0</v>
      </c>
      <c r="E30" s="832"/>
      <c r="F30" s="833">
        <f t="shared" si="5"/>
        <v>2.96E-3</v>
      </c>
      <c r="G30" s="834">
        <f t="shared" si="0"/>
        <v>3</v>
      </c>
      <c r="H30" s="832">
        <f t="shared" si="1"/>
        <v>0</v>
      </c>
      <c r="I30" s="832"/>
      <c r="J30" s="832"/>
      <c r="K30" s="832">
        <f t="shared" si="2"/>
        <v>0</v>
      </c>
    </row>
    <row r="31" spans="1:11" ht="15.5">
      <c r="A31" s="808" t="s">
        <v>563</v>
      </c>
      <c r="B31" s="808" t="str">
        <f t="shared" si="3"/>
        <v>Year 2016</v>
      </c>
      <c r="C31" s="808"/>
      <c r="D31" s="832">
        <f t="shared" si="4"/>
        <v>0</v>
      </c>
      <c r="E31" s="832"/>
      <c r="F31" s="833">
        <f t="shared" si="5"/>
        <v>2.96E-3</v>
      </c>
      <c r="G31" s="834">
        <f t="shared" si="0"/>
        <v>2</v>
      </c>
      <c r="H31" s="832">
        <f t="shared" si="1"/>
        <v>0</v>
      </c>
      <c r="I31" s="832"/>
      <c r="J31" s="832"/>
      <c r="K31" s="832">
        <f t="shared" si="2"/>
        <v>0</v>
      </c>
    </row>
    <row r="32" spans="1:11" ht="15.5">
      <c r="A32" s="808" t="s">
        <v>192</v>
      </c>
      <c r="B32" s="808" t="str">
        <f t="shared" si="3"/>
        <v>Year 2016</v>
      </c>
      <c r="C32" s="808"/>
      <c r="D32" s="832">
        <f t="shared" si="4"/>
        <v>0</v>
      </c>
      <c r="E32" s="832"/>
      <c r="F32" s="833">
        <f t="shared" si="5"/>
        <v>2.96E-3</v>
      </c>
      <c r="G32" s="834">
        <f t="shared" si="0"/>
        <v>1</v>
      </c>
      <c r="H32" s="835">
        <f t="shared" si="1"/>
        <v>0</v>
      </c>
      <c r="I32" s="832"/>
      <c r="J32" s="832"/>
      <c r="K32" s="832">
        <f t="shared" si="2"/>
        <v>0</v>
      </c>
    </row>
    <row r="33" spans="1:11" ht="15.5">
      <c r="A33" s="808"/>
      <c r="B33" s="808"/>
      <c r="C33" s="808"/>
      <c r="D33" s="832"/>
      <c r="E33" s="832"/>
      <c r="F33" s="833"/>
      <c r="G33" s="808"/>
      <c r="H33" s="832">
        <f>SUM(H21:H32)</f>
        <v>0</v>
      </c>
      <c r="I33" s="832"/>
      <c r="J33" s="832"/>
      <c r="K33" s="836">
        <f>SUM(K21:K32)</f>
        <v>0</v>
      </c>
    </row>
    <row r="34" spans="1:11" ht="15.5">
      <c r="A34" s="808"/>
      <c r="B34" s="808"/>
      <c r="C34" s="808"/>
      <c r="D34" s="832"/>
      <c r="E34" s="832"/>
      <c r="F34" s="833"/>
      <c r="G34" s="808"/>
      <c r="H34" s="832"/>
      <c r="I34" s="832" t="s">
        <v>115</v>
      </c>
      <c r="J34" s="832"/>
      <c r="K34" s="525"/>
    </row>
    <row r="35" spans="1:11" ht="15.5">
      <c r="A35" s="808"/>
      <c r="B35" s="808"/>
      <c r="C35" s="808"/>
      <c r="D35" s="818"/>
      <c r="E35" s="818"/>
      <c r="F35" s="833"/>
      <c r="G35" s="808"/>
      <c r="H35" s="837" t="s">
        <v>564</v>
      </c>
      <c r="I35" s="832"/>
      <c r="J35" s="832"/>
      <c r="K35" s="832"/>
    </row>
    <row r="36" spans="1:11" ht="15.5">
      <c r="A36" s="808" t="s">
        <v>565</v>
      </c>
      <c r="B36" s="808" t="str">
        <f>"Year 2017"</f>
        <v>Year 2017</v>
      </c>
      <c r="C36" s="808"/>
      <c r="D36" s="818">
        <f>K33</f>
        <v>0</v>
      </c>
      <c r="E36" s="818"/>
      <c r="F36" s="833">
        <f>+F32</f>
        <v>2.96E-3</v>
      </c>
      <c r="G36" s="834">
        <v>12</v>
      </c>
      <c r="H36" s="832">
        <f>+G36*F36*D36</f>
        <v>0</v>
      </c>
      <c r="I36" s="832"/>
      <c r="J36" s="832"/>
      <c r="K36" s="836">
        <f>+D36+H36</f>
        <v>0</v>
      </c>
    </row>
    <row r="37" spans="1:11" ht="15.5">
      <c r="A37" s="808"/>
      <c r="B37" s="808"/>
      <c r="C37" s="808"/>
      <c r="D37" s="818"/>
      <c r="E37" s="818"/>
      <c r="F37" s="833"/>
      <c r="G37" s="808"/>
      <c r="H37" s="832"/>
      <c r="I37" s="832"/>
      <c r="J37" s="832"/>
      <c r="K37" s="832"/>
    </row>
    <row r="38" spans="1:11" ht="15.5">
      <c r="A38" s="838" t="s">
        <v>566</v>
      </c>
      <c r="B38" s="808"/>
      <c r="C38" s="808"/>
      <c r="D38" s="832"/>
      <c r="E38" s="832"/>
      <c r="F38" s="833"/>
      <c r="G38" s="808"/>
      <c r="H38" s="837" t="s">
        <v>560</v>
      </c>
      <c r="I38" s="832"/>
      <c r="J38" s="832"/>
      <c r="K38" s="832"/>
    </row>
    <row r="39" spans="1:11" ht="15.5">
      <c r="A39" s="808" t="s">
        <v>186</v>
      </c>
      <c r="B39" s="808" t="str">
        <f>"Year 2018"</f>
        <v>Year 2018</v>
      </c>
      <c r="C39" s="808"/>
      <c r="D39" s="839">
        <f>-K36</f>
        <v>0</v>
      </c>
      <c r="E39" s="818"/>
      <c r="F39" s="833">
        <f>+F32</f>
        <v>2.96E-3</v>
      </c>
      <c r="G39" s="808"/>
      <c r="H39" s="832">
        <f xml:space="preserve"> -F39*D39</f>
        <v>0</v>
      </c>
      <c r="I39" s="832">
        <f>PMT(F39,12,K$36)</f>
        <v>0</v>
      </c>
      <c r="J39" s="832"/>
      <c r="K39" s="832">
        <f>(+D39+D39*F39-I39)*-1</f>
        <v>0</v>
      </c>
    </row>
    <row r="40" spans="1:11" ht="15.5">
      <c r="A40" s="808" t="s">
        <v>561</v>
      </c>
      <c r="B40" s="808" t="str">
        <f>+B39</f>
        <v>Year 2018</v>
      </c>
      <c r="C40" s="808"/>
      <c r="D40" s="818">
        <f>-K39</f>
        <v>0</v>
      </c>
      <c r="E40" s="818"/>
      <c r="F40" s="833">
        <f>+F39</f>
        <v>2.96E-3</v>
      </c>
      <c r="G40" s="808"/>
      <c r="H40" s="832">
        <f xml:space="preserve"> -F40*D40</f>
        <v>0</v>
      </c>
      <c r="I40" s="832">
        <f>I39</f>
        <v>0</v>
      </c>
      <c r="J40" s="832"/>
      <c r="K40" s="832">
        <f t="shared" ref="K40:K50" si="6">(+D40+D40*F40-I40)*-1</f>
        <v>0</v>
      </c>
    </row>
    <row r="41" spans="1:11" ht="15.5">
      <c r="A41" s="808" t="s">
        <v>187</v>
      </c>
      <c r="B41" s="808" t="str">
        <f>+B40</f>
        <v>Year 2018</v>
      </c>
      <c r="C41" s="808"/>
      <c r="D41" s="818">
        <f t="shared" ref="D41:D50" si="7">-K40</f>
        <v>0</v>
      </c>
      <c r="E41" s="818"/>
      <c r="F41" s="833">
        <f t="shared" ref="F41:F50" si="8">+F40</f>
        <v>2.96E-3</v>
      </c>
      <c r="G41" s="808"/>
      <c r="H41" s="832">
        <f t="shared" ref="H41:H50" si="9" xml:space="preserve"> -F41*D41</f>
        <v>0</v>
      </c>
      <c r="I41" s="832">
        <f t="shared" ref="I41:I50" si="10">I40</f>
        <v>0</v>
      </c>
      <c r="J41" s="832"/>
      <c r="K41" s="832">
        <f t="shared" si="6"/>
        <v>0</v>
      </c>
    </row>
    <row r="42" spans="1:11" ht="15.5">
      <c r="A42" s="808" t="s">
        <v>188</v>
      </c>
      <c r="B42" s="808" t="str">
        <f>+B41</f>
        <v>Year 2018</v>
      </c>
      <c r="C42" s="808"/>
      <c r="D42" s="818">
        <f t="shared" si="7"/>
        <v>0</v>
      </c>
      <c r="E42" s="818"/>
      <c r="F42" s="833">
        <f t="shared" si="8"/>
        <v>2.96E-3</v>
      </c>
      <c r="G42" s="808"/>
      <c r="H42" s="832">
        <f t="shared" si="9"/>
        <v>0</v>
      </c>
      <c r="I42" s="832">
        <f t="shared" si="10"/>
        <v>0</v>
      </c>
      <c r="J42" s="832"/>
      <c r="K42" s="832">
        <f t="shared" si="6"/>
        <v>0</v>
      </c>
    </row>
    <row r="43" spans="1:11" ht="15.5">
      <c r="A43" s="808" t="s">
        <v>189</v>
      </c>
      <c r="B43" s="808" t="str">
        <f>+B42</f>
        <v>Year 2018</v>
      </c>
      <c r="C43" s="808"/>
      <c r="D43" s="818">
        <f t="shared" si="7"/>
        <v>0</v>
      </c>
      <c r="E43" s="818"/>
      <c r="F43" s="833">
        <f t="shared" si="8"/>
        <v>2.96E-3</v>
      </c>
      <c r="G43" s="808"/>
      <c r="H43" s="832">
        <f t="shared" si="9"/>
        <v>0</v>
      </c>
      <c r="I43" s="832">
        <f>I42</f>
        <v>0</v>
      </c>
      <c r="J43" s="832"/>
      <c r="K43" s="832">
        <f t="shared" si="6"/>
        <v>0</v>
      </c>
    </row>
    <row r="44" spans="1:11" ht="15.5">
      <c r="A44" s="808" t="s">
        <v>383</v>
      </c>
      <c r="B44" s="808" t="str">
        <f>B43</f>
        <v>Year 2018</v>
      </c>
      <c r="C44" s="525"/>
      <c r="D44" s="818">
        <f t="shared" si="7"/>
        <v>0</v>
      </c>
      <c r="E44" s="818"/>
      <c r="F44" s="833">
        <f t="shared" si="8"/>
        <v>2.96E-3</v>
      </c>
      <c r="G44" s="808"/>
      <c r="H44" s="832">
        <f t="shared" si="9"/>
        <v>0</v>
      </c>
      <c r="I44" s="832">
        <f t="shared" si="10"/>
        <v>0</v>
      </c>
      <c r="J44" s="832"/>
      <c r="K44" s="832">
        <f t="shared" si="6"/>
        <v>0</v>
      </c>
    </row>
    <row r="45" spans="1:11" ht="15.5">
      <c r="A45" s="808" t="s">
        <v>190</v>
      </c>
      <c r="B45" s="808" t="str">
        <f t="shared" ref="B45:B50" si="11">+B44</f>
        <v>Year 2018</v>
      </c>
      <c r="C45" s="808"/>
      <c r="D45" s="818">
        <f t="shared" si="7"/>
        <v>0</v>
      </c>
      <c r="E45" s="818"/>
      <c r="F45" s="833">
        <f t="shared" si="8"/>
        <v>2.96E-3</v>
      </c>
      <c r="G45" s="808"/>
      <c r="H45" s="832">
        <f t="shared" si="9"/>
        <v>0</v>
      </c>
      <c r="I45" s="832">
        <f t="shared" si="10"/>
        <v>0</v>
      </c>
      <c r="J45" s="832"/>
      <c r="K45" s="832">
        <f t="shared" si="6"/>
        <v>0</v>
      </c>
    </row>
    <row r="46" spans="1:11" ht="15.5">
      <c r="A46" s="808" t="s">
        <v>191</v>
      </c>
      <c r="B46" s="808" t="str">
        <f t="shared" si="11"/>
        <v>Year 2018</v>
      </c>
      <c r="C46" s="808"/>
      <c r="D46" s="818">
        <f t="shared" si="7"/>
        <v>0</v>
      </c>
      <c r="E46" s="818"/>
      <c r="F46" s="833">
        <f t="shared" si="8"/>
        <v>2.96E-3</v>
      </c>
      <c r="G46" s="808"/>
      <c r="H46" s="832">
        <f t="shared" si="9"/>
        <v>0</v>
      </c>
      <c r="I46" s="832">
        <f t="shared" si="10"/>
        <v>0</v>
      </c>
      <c r="J46" s="832"/>
      <c r="K46" s="832">
        <f t="shared" si="6"/>
        <v>0</v>
      </c>
    </row>
    <row r="47" spans="1:11" ht="15.5">
      <c r="A47" s="808" t="s">
        <v>193</v>
      </c>
      <c r="B47" s="808" t="str">
        <f t="shared" si="11"/>
        <v>Year 2018</v>
      </c>
      <c r="C47" s="808"/>
      <c r="D47" s="818">
        <f t="shared" si="7"/>
        <v>0</v>
      </c>
      <c r="E47" s="818"/>
      <c r="F47" s="833">
        <f t="shared" si="8"/>
        <v>2.96E-3</v>
      </c>
      <c r="G47" s="808"/>
      <c r="H47" s="832">
        <f t="shared" si="9"/>
        <v>0</v>
      </c>
      <c r="I47" s="832">
        <f>I46</f>
        <v>0</v>
      </c>
      <c r="J47" s="832"/>
      <c r="K47" s="832">
        <f t="shared" si="6"/>
        <v>0</v>
      </c>
    </row>
    <row r="48" spans="1:11" ht="15.5">
      <c r="A48" s="808" t="s">
        <v>562</v>
      </c>
      <c r="B48" s="808" t="str">
        <f t="shared" si="11"/>
        <v>Year 2018</v>
      </c>
      <c r="C48" s="808"/>
      <c r="D48" s="818">
        <f t="shared" si="7"/>
        <v>0</v>
      </c>
      <c r="E48" s="818"/>
      <c r="F48" s="833">
        <f t="shared" si="8"/>
        <v>2.96E-3</v>
      </c>
      <c r="G48" s="808"/>
      <c r="H48" s="832">
        <f t="shared" si="9"/>
        <v>0</v>
      </c>
      <c r="I48" s="832">
        <f t="shared" si="10"/>
        <v>0</v>
      </c>
      <c r="J48" s="832"/>
      <c r="K48" s="832">
        <f t="shared" si="6"/>
        <v>0</v>
      </c>
    </row>
    <row r="49" spans="1:11" ht="15.5">
      <c r="A49" s="808" t="s">
        <v>563</v>
      </c>
      <c r="B49" s="808" t="str">
        <f t="shared" si="11"/>
        <v>Year 2018</v>
      </c>
      <c r="C49" s="808"/>
      <c r="D49" s="818">
        <f t="shared" si="7"/>
        <v>0</v>
      </c>
      <c r="E49" s="818"/>
      <c r="F49" s="833">
        <f t="shared" si="8"/>
        <v>2.96E-3</v>
      </c>
      <c r="G49" s="808"/>
      <c r="H49" s="832">
        <f t="shared" si="9"/>
        <v>0</v>
      </c>
      <c r="I49" s="832">
        <f t="shared" si="10"/>
        <v>0</v>
      </c>
      <c r="J49" s="832"/>
      <c r="K49" s="832">
        <f t="shared" si="6"/>
        <v>0</v>
      </c>
    </row>
    <row r="50" spans="1:11" ht="15.5">
      <c r="A50" s="808" t="s">
        <v>192</v>
      </c>
      <c r="B50" s="808" t="str">
        <f t="shared" si="11"/>
        <v>Year 2018</v>
      </c>
      <c r="C50" s="808"/>
      <c r="D50" s="818">
        <f t="shared" si="7"/>
        <v>0</v>
      </c>
      <c r="E50" s="818"/>
      <c r="F50" s="833">
        <f t="shared" si="8"/>
        <v>2.96E-3</v>
      </c>
      <c r="G50" s="808"/>
      <c r="H50" s="835">
        <f t="shared" si="9"/>
        <v>0</v>
      </c>
      <c r="I50" s="832">
        <f t="shared" si="10"/>
        <v>0</v>
      </c>
      <c r="J50" s="832"/>
      <c r="K50" s="832">
        <f t="shared" si="6"/>
        <v>0</v>
      </c>
    </row>
    <row r="51" spans="1:11" ht="15.5">
      <c r="A51" s="808"/>
      <c r="B51" s="808"/>
      <c r="C51" s="808"/>
      <c r="D51" s="818"/>
      <c r="E51" s="818"/>
      <c r="F51" s="833"/>
      <c r="G51" s="808"/>
      <c r="H51" s="832">
        <f>SUM(H39:H50)</f>
        <v>0</v>
      </c>
      <c r="I51" s="832"/>
      <c r="J51" s="832"/>
      <c r="K51" s="832"/>
    </row>
    <row r="52" spans="1:11" ht="15.5">
      <c r="A52" s="525"/>
      <c r="B52" s="525"/>
      <c r="C52" s="525"/>
      <c r="D52" s="525"/>
      <c r="E52" s="525"/>
      <c r="F52" s="525"/>
      <c r="G52" s="525"/>
      <c r="H52" s="525"/>
      <c r="I52" s="840"/>
      <c r="J52" s="525"/>
      <c r="K52" s="525"/>
    </row>
    <row r="53" spans="1:11" ht="15.5">
      <c r="A53" s="808" t="s">
        <v>571</v>
      </c>
      <c r="B53" s="525"/>
      <c r="C53" s="525"/>
      <c r="D53" s="525"/>
      <c r="E53" s="525"/>
      <c r="F53" s="525"/>
      <c r="G53" s="525"/>
      <c r="H53" s="525"/>
      <c r="I53" s="841">
        <f>(SUM(I39:I50)*-1)</f>
        <v>0</v>
      </c>
      <c r="J53" s="525"/>
      <c r="K53" s="525"/>
    </row>
    <row r="54" spans="1:11" ht="15.5">
      <c r="A54" s="808" t="s">
        <v>567</v>
      </c>
      <c r="B54" s="525"/>
      <c r="C54" s="525"/>
      <c r="D54" s="525"/>
      <c r="E54" s="525"/>
      <c r="F54" s="525"/>
      <c r="G54" s="525"/>
      <c r="H54" s="525"/>
      <c r="I54" s="842">
        <f>+H10</f>
        <v>0</v>
      </c>
      <c r="J54" s="525"/>
      <c r="K54" s="525"/>
    </row>
    <row r="55" spans="1:11" ht="15.5">
      <c r="A55" s="808" t="s">
        <v>568</v>
      </c>
      <c r="B55" s="525"/>
      <c r="C55" s="525"/>
      <c r="D55" s="525"/>
      <c r="E55" s="525"/>
      <c r="F55" s="525"/>
      <c r="G55" s="525"/>
      <c r="H55" s="525"/>
      <c r="I55" s="841">
        <f>(I53+I54)</f>
        <v>0</v>
      </c>
      <c r="J55" s="525"/>
      <c r="K55" s="525"/>
    </row>
    <row r="56" spans="1:11">
      <c r="A56" s="419"/>
      <c r="B56" s="419"/>
      <c r="C56" s="419"/>
      <c r="D56" s="419"/>
      <c r="E56" s="419"/>
      <c r="F56" s="419"/>
      <c r="G56" s="419"/>
      <c r="H56" s="419"/>
      <c r="I56" s="419"/>
      <c r="J56" s="419"/>
      <c r="K56" s="419"/>
    </row>
    <row r="57" spans="1:11" ht="59.5" customHeight="1">
      <c r="A57" s="1607" t="s">
        <v>572</v>
      </c>
      <c r="B57" s="1607"/>
      <c r="C57" s="1607"/>
      <c r="D57" s="1607"/>
      <c r="E57" s="843"/>
      <c r="F57" s="843"/>
      <c r="G57" s="843"/>
      <c r="H57" s="843"/>
      <c r="I57" s="843"/>
      <c r="J57" s="843"/>
      <c r="K57" s="843"/>
    </row>
  </sheetData>
  <mergeCells count="5">
    <mergeCell ref="A1:K1"/>
    <mergeCell ref="A2:K2"/>
    <mergeCell ref="A3:K3"/>
    <mergeCell ref="D4:G4"/>
    <mergeCell ref="A57:D57"/>
  </mergeCells>
  <pageMargins left="0.7" right="0.7" top="0.75" bottom="0.75" header="0.3" footer="0.3"/>
  <pageSetup scale="6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9" zoomScale="60" zoomScaleNormal="100" workbookViewId="0">
      <selection activeCell="D11" sqref="D11"/>
    </sheetView>
  </sheetViews>
  <sheetFormatPr defaultRowHeight="12.5"/>
  <cols>
    <col min="1" max="1" width="19.453125" customWidth="1"/>
    <col min="4" max="4" width="16.1796875" customWidth="1"/>
    <col min="6" max="6" width="9.1796875" bestFit="1" customWidth="1"/>
    <col min="8" max="8" width="15.453125" customWidth="1"/>
    <col min="9" max="9" width="16.81640625" customWidth="1"/>
    <col min="11" max="11" width="15" customWidth="1"/>
  </cols>
  <sheetData>
    <row r="1" spans="1:11" ht="15.5">
      <c r="A1" s="1605" t="s">
        <v>388</v>
      </c>
      <c r="B1" s="1605"/>
      <c r="C1" s="1605"/>
      <c r="D1" s="1605"/>
      <c r="E1" s="1605"/>
      <c r="F1" s="1605"/>
      <c r="G1" s="1605"/>
      <c r="H1" s="1605"/>
      <c r="I1" s="1605"/>
      <c r="J1" s="1605"/>
      <c r="K1" s="1605"/>
    </row>
    <row r="2" spans="1:11" ht="15.5">
      <c r="A2" s="1606" t="s">
        <v>569</v>
      </c>
      <c r="B2" s="1606"/>
      <c r="C2" s="1606"/>
      <c r="D2" s="1606"/>
      <c r="E2" s="1606"/>
      <c r="F2" s="1606"/>
      <c r="G2" s="1606"/>
      <c r="H2" s="1606"/>
      <c r="I2" s="1606"/>
      <c r="J2" s="1606"/>
      <c r="K2" s="1606"/>
    </row>
    <row r="3" spans="1:11" ht="15.5">
      <c r="A3" s="1606" t="s">
        <v>570</v>
      </c>
      <c r="B3" s="1606"/>
      <c r="C3" s="1606"/>
      <c r="D3" s="1606"/>
      <c r="E3" s="1606"/>
      <c r="F3" s="1606"/>
      <c r="G3" s="1606"/>
      <c r="H3" s="1606"/>
      <c r="I3" s="1606"/>
      <c r="J3" s="1606"/>
      <c r="K3" s="1606"/>
    </row>
    <row r="4" spans="1:11" ht="15.5">
      <c r="A4" s="525"/>
      <c r="B4" s="525"/>
      <c r="C4" s="525"/>
      <c r="D4" s="1606"/>
      <c r="E4" s="1606"/>
      <c r="F4" s="1606"/>
      <c r="G4" s="1606"/>
      <c r="H4" s="525"/>
      <c r="I4" s="525"/>
      <c r="J4" s="525"/>
      <c r="K4" s="525"/>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ht="16" thickBot="1">
      <c r="A7" s="807"/>
      <c r="B7" s="808"/>
      <c r="C7" s="808"/>
      <c r="D7" s="808"/>
      <c r="E7" s="808"/>
      <c r="F7" s="808"/>
      <c r="G7" s="808"/>
      <c r="H7" s="808"/>
      <c r="I7" s="808"/>
      <c r="J7" s="808"/>
      <c r="K7" s="808"/>
    </row>
    <row r="8" spans="1:11" ht="77.5">
      <c r="A8" s="809" t="str">
        <f>"Reconciliation Revenue Requirement For Year 2016 Available May 25, 2017"</f>
        <v>Reconciliation Revenue Requirement For Year 2016 Available May 25, 2017</v>
      </c>
      <c r="B8" s="808"/>
      <c r="C8" s="808"/>
      <c r="D8" s="809" t="s">
        <v>975</v>
      </c>
      <c r="E8" s="808"/>
      <c r="F8" s="808"/>
      <c r="G8" s="525"/>
      <c r="H8" s="809" t="s">
        <v>550</v>
      </c>
      <c r="I8" s="525"/>
      <c r="J8" s="525"/>
      <c r="K8" s="525"/>
    </row>
    <row r="9" spans="1:11" ht="15.5">
      <c r="A9" s="810" t="s">
        <v>115</v>
      </c>
      <c r="B9" s="808"/>
      <c r="C9" s="808"/>
      <c r="D9" s="810"/>
      <c r="E9" s="808"/>
      <c r="F9" s="808"/>
      <c r="G9" s="525"/>
      <c r="H9" s="811"/>
      <c r="I9" s="525"/>
      <c r="J9" s="525"/>
      <c r="K9" s="525"/>
    </row>
    <row r="10" spans="1:11" ht="16" thickBot="1">
      <c r="A10" s="895">
        <v>0</v>
      </c>
      <c r="B10" s="812" t="str">
        <f>"-"</f>
        <v>-</v>
      </c>
      <c r="C10" s="813"/>
      <c r="D10" s="895">
        <v>0</v>
      </c>
      <c r="E10" s="814"/>
      <c r="F10" s="815" t="str">
        <f>"="</f>
        <v>=</v>
      </c>
      <c r="G10" s="816"/>
      <c r="H10" s="817">
        <f>IF(A10=0,0,D10-A10)</f>
        <v>0</v>
      </c>
      <c r="I10" s="525"/>
      <c r="J10" s="525"/>
      <c r="K10" s="525"/>
    </row>
    <row r="11" spans="1:11" ht="15.5">
      <c r="A11" s="818"/>
      <c r="B11" s="819"/>
      <c r="C11" s="819"/>
      <c r="D11" s="818"/>
      <c r="E11" s="818"/>
      <c r="F11" s="819"/>
      <c r="G11" s="818"/>
      <c r="H11" s="525"/>
      <c r="I11" s="525"/>
      <c r="J11" s="525"/>
      <c r="K11" s="525"/>
    </row>
    <row r="12" spans="1:11" ht="16" thickBot="1">
      <c r="A12" s="820"/>
      <c r="B12" s="821"/>
      <c r="C12" s="821"/>
      <c r="D12" s="820"/>
      <c r="E12" s="820"/>
      <c r="F12" s="821"/>
      <c r="G12" s="820"/>
      <c r="H12" s="822"/>
      <c r="I12" s="822"/>
      <c r="J12" s="822"/>
      <c r="K12" s="822"/>
    </row>
    <row r="13" spans="1:11" ht="15.5">
      <c r="A13" s="823"/>
      <c r="B13" s="819"/>
      <c r="C13" s="819"/>
      <c r="D13" s="818"/>
      <c r="E13" s="818"/>
      <c r="F13" s="819"/>
      <c r="G13" s="818"/>
      <c r="H13" s="525"/>
      <c r="I13" s="525"/>
      <c r="J13" s="525"/>
      <c r="K13" s="525"/>
    </row>
    <row r="14" spans="1:11" ht="62">
      <c r="A14" s="824" t="s">
        <v>551</v>
      </c>
      <c r="B14" s="819"/>
      <c r="C14" s="819"/>
      <c r="D14" s="825" t="s">
        <v>552</v>
      </c>
      <c r="E14" s="818"/>
      <c r="F14" s="825" t="s">
        <v>553</v>
      </c>
      <c r="G14" s="826" t="s">
        <v>554</v>
      </c>
      <c r="H14" s="827" t="s">
        <v>555</v>
      </c>
      <c r="I14" s="825" t="s">
        <v>556</v>
      </c>
      <c r="J14" s="828"/>
      <c r="K14" s="825" t="s">
        <v>557</v>
      </c>
    </row>
    <row r="15" spans="1:11" ht="15.5">
      <c r="A15" s="824" t="s">
        <v>558</v>
      </c>
      <c r="B15" s="819"/>
      <c r="C15" s="819"/>
      <c r="D15" s="525"/>
      <c r="E15" s="829"/>
      <c r="F15" s="896">
        <v>2.96E-3</v>
      </c>
      <c r="G15" s="337"/>
      <c r="H15" s="525"/>
      <c r="I15" s="525"/>
      <c r="J15" s="525"/>
      <c r="K15" s="525"/>
    </row>
    <row r="16" spans="1:11" ht="15.5">
      <c r="A16" s="824"/>
      <c r="B16" s="819"/>
      <c r="C16" s="819"/>
      <c r="D16" s="525"/>
      <c r="E16" s="829"/>
      <c r="F16" s="829"/>
      <c r="G16" s="818"/>
      <c r="H16" s="525"/>
      <c r="I16" s="525"/>
      <c r="J16" s="525"/>
      <c r="K16" s="525"/>
    </row>
    <row r="17" spans="1:11" ht="15.5">
      <c r="A17" s="824" t="s">
        <v>976</v>
      </c>
      <c r="B17" s="819"/>
      <c r="C17" s="819"/>
      <c r="D17" s="525"/>
      <c r="E17" s="829"/>
      <c r="F17" s="829"/>
      <c r="G17" s="818"/>
      <c r="H17" s="525"/>
      <c r="I17" s="525"/>
      <c r="J17" s="525"/>
      <c r="K17" s="525"/>
    </row>
    <row r="18" spans="1:11" ht="15.5">
      <c r="A18" s="830" t="s">
        <v>115</v>
      </c>
      <c r="B18" s="819"/>
      <c r="C18" s="819"/>
      <c r="D18" s="819"/>
      <c r="E18" s="819"/>
      <c r="F18" s="819" t="s">
        <v>115</v>
      </c>
      <c r="G18" s="525"/>
      <c r="H18" s="525"/>
      <c r="I18" s="525"/>
      <c r="J18" s="525"/>
      <c r="K18" s="525"/>
    </row>
    <row r="19" spans="1:11" ht="15.5">
      <c r="A19" s="831"/>
      <c r="B19" s="819"/>
      <c r="C19" s="819"/>
      <c r="D19" s="819"/>
      <c r="E19" s="819"/>
      <c r="F19" s="525"/>
      <c r="G19" s="525"/>
      <c r="H19" s="826"/>
      <c r="I19" s="819"/>
      <c r="J19" s="819"/>
      <c r="K19" s="819"/>
    </row>
    <row r="20" spans="1:11" ht="15.5">
      <c r="A20" s="831" t="s">
        <v>559</v>
      </c>
      <c r="B20" s="819"/>
      <c r="C20" s="819"/>
      <c r="D20" s="819"/>
      <c r="E20" s="819"/>
      <c r="F20" s="525"/>
      <c r="G20" s="525"/>
      <c r="H20" s="826" t="s">
        <v>560</v>
      </c>
      <c r="I20" s="819"/>
      <c r="J20" s="819"/>
      <c r="K20" s="819"/>
    </row>
    <row r="21" spans="1:11" ht="15.5">
      <c r="A21" s="808" t="s">
        <v>186</v>
      </c>
      <c r="B21" s="808" t="str">
        <f>"Year 2016"</f>
        <v>Year 2016</v>
      </c>
      <c r="C21" s="808"/>
      <c r="D21" s="832">
        <f>H10/12</f>
        <v>0</v>
      </c>
      <c r="E21" s="832"/>
      <c r="F21" s="833">
        <f>+F15</f>
        <v>2.96E-3</v>
      </c>
      <c r="G21" s="834">
        <v>12</v>
      </c>
      <c r="H21" s="832">
        <f>F21*D21*G21*-1</f>
        <v>0</v>
      </c>
      <c r="I21" s="832"/>
      <c r="J21" s="832"/>
      <c r="K21" s="832">
        <f>(-H21+D21)*-1</f>
        <v>0</v>
      </c>
    </row>
    <row r="22" spans="1:11" ht="15.5">
      <c r="A22" s="808" t="s">
        <v>561</v>
      </c>
      <c r="B22" s="808" t="str">
        <f>B21</f>
        <v>Year 2016</v>
      </c>
      <c r="C22" s="808"/>
      <c r="D22" s="832">
        <f>+D21</f>
        <v>0</v>
      </c>
      <c r="E22" s="832"/>
      <c r="F22" s="833">
        <f>+F21</f>
        <v>2.96E-3</v>
      </c>
      <c r="G22" s="834">
        <f t="shared" ref="G22:G32" si="0">+G21-1</f>
        <v>11</v>
      </c>
      <c r="H22" s="832">
        <f t="shared" ref="H22:H32" si="1">F22*D22*G22*-1</f>
        <v>0</v>
      </c>
      <c r="I22" s="832"/>
      <c r="J22" s="832"/>
      <c r="K22" s="832">
        <f t="shared" ref="K22:K32" si="2">(-H22+D22)*-1</f>
        <v>0</v>
      </c>
    </row>
    <row r="23" spans="1:11" ht="15.5">
      <c r="A23" s="808" t="s">
        <v>187</v>
      </c>
      <c r="B23" s="808" t="str">
        <f t="shared" ref="B23:B32" si="3">B22</f>
        <v>Year 2016</v>
      </c>
      <c r="C23" s="808"/>
      <c r="D23" s="832">
        <f t="shared" ref="D23:D32" si="4">+D22</f>
        <v>0</v>
      </c>
      <c r="E23" s="832"/>
      <c r="F23" s="833">
        <f t="shared" ref="F23:F32" si="5">+F22</f>
        <v>2.96E-3</v>
      </c>
      <c r="G23" s="834">
        <f t="shared" si="0"/>
        <v>10</v>
      </c>
      <c r="H23" s="832">
        <f t="shared" si="1"/>
        <v>0</v>
      </c>
      <c r="I23" s="832"/>
      <c r="J23" s="832"/>
      <c r="K23" s="832">
        <f t="shared" si="2"/>
        <v>0</v>
      </c>
    </row>
    <row r="24" spans="1:11" ht="15.5">
      <c r="A24" s="808" t="s">
        <v>188</v>
      </c>
      <c r="B24" s="808" t="str">
        <f t="shared" si="3"/>
        <v>Year 2016</v>
      </c>
      <c r="C24" s="808"/>
      <c r="D24" s="832">
        <f t="shared" si="4"/>
        <v>0</v>
      </c>
      <c r="E24" s="832"/>
      <c r="F24" s="833">
        <f t="shared" si="5"/>
        <v>2.96E-3</v>
      </c>
      <c r="G24" s="834">
        <f t="shared" si="0"/>
        <v>9</v>
      </c>
      <c r="H24" s="832">
        <f t="shared" si="1"/>
        <v>0</v>
      </c>
      <c r="I24" s="832"/>
      <c r="J24" s="832"/>
      <c r="K24" s="832">
        <f t="shared" si="2"/>
        <v>0</v>
      </c>
    </row>
    <row r="25" spans="1:11" ht="15.5">
      <c r="A25" s="808" t="s">
        <v>189</v>
      </c>
      <c r="B25" s="808" t="str">
        <f t="shared" si="3"/>
        <v>Year 2016</v>
      </c>
      <c r="C25" s="808"/>
      <c r="D25" s="832">
        <f t="shared" si="4"/>
        <v>0</v>
      </c>
      <c r="E25" s="832"/>
      <c r="F25" s="833">
        <f t="shared" si="5"/>
        <v>2.96E-3</v>
      </c>
      <c r="G25" s="834">
        <f t="shared" si="0"/>
        <v>8</v>
      </c>
      <c r="H25" s="832">
        <f t="shared" si="1"/>
        <v>0</v>
      </c>
      <c r="I25" s="832"/>
      <c r="J25" s="832"/>
      <c r="K25" s="832">
        <f t="shared" si="2"/>
        <v>0</v>
      </c>
    </row>
    <row r="26" spans="1:11" ht="15.5">
      <c r="A26" s="808" t="s">
        <v>383</v>
      </c>
      <c r="B26" s="808" t="str">
        <f t="shared" si="3"/>
        <v>Year 2016</v>
      </c>
      <c r="C26" s="808"/>
      <c r="D26" s="832">
        <f t="shared" si="4"/>
        <v>0</v>
      </c>
      <c r="E26" s="832"/>
      <c r="F26" s="833">
        <f t="shared" si="5"/>
        <v>2.96E-3</v>
      </c>
      <c r="G26" s="834">
        <f t="shared" si="0"/>
        <v>7</v>
      </c>
      <c r="H26" s="832">
        <f t="shared" si="1"/>
        <v>0</v>
      </c>
      <c r="I26" s="832"/>
      <c r="J26" s="832"/>
      <c r="K26" s="832">
        <f t="shared" si="2"/>
        <v>0</v>
      </c>
    </row>
    <row r="27" spans="1:11" ht="15.5">
      <c r="A27" s="808" t="s">
        <v>190</v>
      </c>
      <c r="B27" s="808" t="str">
        <f t="shared" si="3"/>
        <v>Year 2016</v>
      </c>
      <c r="C27" s="808"/>
      <c r="D27" s="832">
        <f t="shared" si="4"/>
        <v>0</v>
      </c>
      <c r="E27" s="832"/>
      <c r="F27" s="833">
        <f t="shared" si="5"/>
        <v>2.96E-3</v>
      </c>
      <c r="G27" s="834">
        <f t="shared" si="0"/>
        <v>6</v>
      </c>
      <c r="H27" s="832">
        <f t="shared" si="1"/>
        <v>0</v>
      </c>
      <c r="I27" s="832"/>
      <c r="J27" s="832"/>
      <c r="K27" s="832">
        <f t="shared" si="2"/>
        <v>0</v>
      </c>
    </row>
    <row r="28" spans="1:11" ht="15.5">
      <c r="A28" s="808" t="s">
        <v>191</v>
      </c>
      <c r="B28" s="808" t="str">
        <f t="shared" si="3"/>
        <v>Year 2016</v>
      </c>
      <c r="C28" s="808"/>
      <c r="D28" s="832">
        <f t="shared" si="4"/>
        <v>0</v>
      </c>
      <c r="E28" s="832"/>
      <c r="F28" s="833">
        <f t="shared" si="5"/>
        <v>2.96E-3</v>
      </c>
      <c r="G28" s="834">
        <f t="shared" si="0"/>
        <v>5</v>
      </c>
      <c r="H28" s="832">
        <f t="shared" si="1"/>
        <v>0</v>
      </c>
      <c r="I28" s="832"/>
      <c r="J28" s="832"/>
      <c r="K28" s="832">
        <f t="shared" si="2"/>
        <v>0</v>
      </c>
    </row>
    <row r="29" spans="1:11" ht="15.5">
      <c r="A29" s="808" t="s">
        <v>193</v>
      </c>
      <c r="B29" s="808" t="str">
        <f t="shared" si="3"/>
        <v>Year 2016</v>
      </c>
      <c r="C29" s="808"/>
      <c r="D29" s="832">
        <f t="shared" si="4"/>
        <v>0</v>
      </c>
      <c r="E29" s="832"/>
      <c r="F29" s="833">
        <f t="shared" si="5"/>
        <v>2.96E-3</v>
      </c>
      <c r="G29" s="834">
        <f t="shared" si="0"/>
        <v>4</v>
      </c>
      <c r="H29" s="832">
        <f t="shared" si="1"/>
        <v>0</v>
      </c>
      <c r="I29" s="832"/>
      <c r="J29" s="832"/>
      <c r="K29" s="832">
        <f t="shared" si="2"/>
        <v>0</v>
      </c>
    </row>
    <row r="30" spans="1:11" ht="15.5">
      <c r="A30" s="808" t="s">
        <v>562</v>
      </c>
      <c r="B30" s="808" t="str">
        <f t="shared" si="3"/>
        <v>Year 2016</v>
      </c>
      <c r="C30" s="808"/>
      <c r="D30" s="832">
        <f t="shared" si="4"/>
        <v>0</v>
      </c>
      <c r="E30" s="832"/>
      <c r="F30" s="833">
        <f t="shared" si="5"/>
        <v>2.96E-3</v>
      </c>
      <c r="G30" s="834">
        <f t="shared" si="0"/>
        <v>3</v>
      </c>
      <c r="H30" s="832">
        <f t="shared" si="1"/>
        <v>0</v>
      </c>
      <c r="I30" s="832"/>
      <c r="J30" s="832"/>
      <c r="K30" s="832">
        <f t="shared" si="2"/>
        <v>0</v>
      </c>
    </row>
    <row r="31" spans="1:11" ht="15.5">
      <c r="A31" s="808" t="s">
        <v>563</v>
      </c>
      <c r="B31" s="808" t="str">
        <f t="shared" si="3"/>
        <v>Year 2016</v>
      </c>
      <c r="C31" s="808"/>
      <c r="D31" s="832">
        <f t="shared" si="4"/>
        <v>0</v>
      </c>
      <c r="E31" s="832"/>
      <c r="F31" s="833">
        <f t="shared" si="5"/>
        <v>2.96E-3</v>
      </c>
      <c r="G31" s="834">
        <f t="shared" si="0"/>
        <v>2</v>
      </c>
      <c r="H31" s="832">
        <f t="shared" si="1"/>
        <v>0</v>
      </c>
      <c r="I31" s="832"/>
      <c r="J31" s="832"/>
      <c r="K31" s="832">
        <f t="shared" si="2"/>
        <v>0</v>
      </c>
    </row>
    <row r="32" spans="1:11" ht="15.5">
      <c r="A32" s="808" t="s">
        <v>192</v>
      </c>
      <c r="B32" s="808" t="str">
        <f t="shared" si="3"/>
        <v>Year 2016</v>
      </c>
      <c r="C32" s="808"/>
      <c r="D32" s="832">
        <f t="shared" si="4"/>
        <v>0</v>
      </c>
      <c r="E32" s="832"/>
      <c r="F32" s="833">
        <f t="shared" si="5"/>
        <v>2.96E-3</v>
      </c>
      <c r="G32" s="834">
        <f t="shared" si="0"/>
        <v>1</v>
      </c>
      <c r="H32" s="835">
        <f t="shared" si="1"/>
        <v>0</v>
      </c>
      <c r="I32" s="832"/>
      <c r="J32" s="832"/>
      <c r="K32" s="832">
        <f t="shared" si="2"/>
        <v>0</v>
      </c>
    </row>
    <row r="33" spans="1:11" ht="15.5">
      <c r="A33" s="808"/>
      <c r="B33" s="808"/>
      <c r="C33" s="808"/>
      <c r="D33" s="832"/>
      <c r="E33" s="832"/>
      <c r="F33" s="833"/>
      <c r="G33" s="808"/>
      <c r="H33" s="832">
        <f>SUM(H21:H32)</f>
        <v>0</v>
      </c>
      <c r="I33" s="832"/>
      <c r="J33" s="832"/>
      <c r="K33" s="836">
        <f>SUM(K21:K32)</f>
        <v>0</v>
      </c>
    </row>
    <row r="34" spans="1:11" ht="15.5">
      <c r="A34" s="808"/>
      <c r="B34" s="808"/>
      <c r="C34" s="808"/>
      <c r="D34" s="832"/>
      <c r="E34" s="832"/>
      <c r="F34" s="833"/>
      <c r="G34" s="808"/>
      <c r="H34" s="832"/>
      <c r="I34" s="832" t="s">
        <v>115</v>
      </c>
      <c r="J34" s="832"/>
      <c r="K34" s="525"/>
    </row>
    <row r="35" spans="1:11" ht="15.5">
      <c r="A35" s="808"/>
      <c r="B35" s="808"/>
      <c r="C35" s="808"/>
      <c r="D35" s="818"/>
      <c r="E35" s="818"/>
      <c r="F35" s="833"/>
      <c r="G35" s="808"/>
      <c r="H35" s="837" t="s">
        <v>564</v>
      </c>
      <c r="I35" s="832"/>
      <c r="J35" s="832"/>
      <c r="K35" s="832"/>
    </row>
    <row r="36" spans="1:11" ht="15.5">
      <c r="A36" s="808" t="s">
        <v>565</v>
      </c>
      <c r="B36" s="808" t="str">
        <f>"Year 2017"</f>
        <v>Year 2017</v>
      </c>
      <c r="C36" s="808"/>
      <c r="D36" s="818">
        <f>K33</f>
        <v>0</v>
      </c>
      <c r="E36" s="818"/>
      <c r="F36" s="833">
        <f>+F32</f>
        <v>2.96E-3</v>
      </c>
      <c r="G36" s="834">
        <v>12</v>
      </c>
      <c r="H36" s="832">
        <f>+G36*F36*D36</f>
        <v>0</v>
      </c>
      <c r="I36" s="832"/>
      <c r="J36" s="832"/>
      <c r="K36" s="836">
        <f>+D36+H36</f>
        <v>0</v>
      </c>
    </row>
    <row r="37" spans="1:11" ht="15.5">
      <c r="A37" s="808"/>
      <c r="B37" s="808"/>
      <c r="C37" s="808"/>
      <c r="D37" s="818"/>
      <c r="E37" s="818"/>
      <c r="F37" s="833"/>
      <c r="G37" s="808"/>
      <c r="H37" s="832"/>
      <c r="I37" s="832"/>
      <c r="J37" s="832"/>
      <c r="K37" s="832"/>
    </row>
    <row r="38" spans="1:11" ht="15.5">
      <c r="A38" s="838" t="s">
        <v>566</v>
      </c>
      <c r="B38" s="808"/>
      <c r="C38" s="808"/>
      <c r="D38" s="832"/>
      <c r="E38" s="832"/>
      <c r="F38" s="833"/>
      <c r="G38" s="808"/>
      <c r="H38" s="837" t="s">
        <v>560</v>
      </c>
      <c r="I38" s="832"/>
      <c r="J38" s="832"/>
      <c r="K38" s="832"/>
    </row>
    <row r="39" spans="1:11" ht="15.5">
      <c r="A39" s="808" t="s">
        <v>186</v>
      </c>
      <c r="B39" s="808" t="str">
        <f>"Year 2018"</f>
        <v>Year 2018</v>
      </c>
      <c r="C39" s="808"/>
      <c r="D39" s="839">
        <f>-K36</f>
        <v>0</v>
      </c>
      <c r="E39" s="818"/>
      <c r="F39" s="833">
        <f>+F32</f>
        <v>2.96E-3</v>
      </c>
      <c r="G39" s="808"/>
      <c r="H39" s="832">
        <f xml:space="preserve"> -F39*D39</f>
        <v>0</v>
      </c>
      <c r="I39" s="832">
        <f>PMT(F39,12,K$36)</f>
        <v>0</v>
      </c>
      <c r="J39" s="832"/>
      <c r="K39" s="832">
        <f>(+D39+D39*F39-I39)*-1</f>
        <v>0</v>
      </c>
    </row>
    <row r="40" spans="1:11" ht="15.5">
      <c r="A40" s="808" t="s">
        <v>561</v>
      </c>
      <c r="B40" s="808" t="str">
        <f>+B39</f>
        <v>Year 2018</v>
      </c>
      <c r="C40" s="808"/>
      <c r="D40" s="818">
        <f>-K39</f>
        <v>0</v>
      </c>
      <c r="E40" s="818"/>
      <c r="F40" s="833">
        <f>+F39</f>
        <v>2.96E-3</v>
      </c>
      <c r="G40" s="808"/>
      <c r="H40" s="832">
        <f xml:space="preserve"> -F40*D40</f>
        <v>0</v>
      </c>
      <c r="I40" s="832">
        <f>I39</f>
        <v>0</v>
      </c>
      <c r="J40" s="832"/>
      <c r="K40" s="832">
        <f t="shared" ref="K40:K50" si="6">(+D40+D40*F40-I40)*-1</f>
        <v>0</v>
      </c>
    </row>
    <row r="41" spans="1:11" ht="15.5">
      <c r="A41" s="808" t="s">
        <v>187</v>
      </c>
      <c r="B41" s="808" t="str">
        <f>+B40</f>
        <v>Year 2018</v>
      </c>
      <c r="C41" s="808"/>
      <c r="D41" s="818">
        <f t="shared" ref="D41:D50" si="7">-K40</f>
        <v>0</v>
      </c>
      <c r="E41" s="818"/>
      <c r="F41" s="833">
        <f t="shared" ref="F41:F50" si="8">+F40</f>
        <v>2.96E-3</v>
      </c>
      <c r="G41" s="808"/>
      <c r="H41" s="832">
        <f t="shared" ref="H41:H50" si="9" xml:space="preserve"> -F41*D41</f>
        <v>0</v>
      </c>
      <c r="I41" s="832">
        <f t="shared" ref="I41:I50" si="10">I40</f>
        <v>0</v>
      </c>
      <c r="J41" s="832"/>
      <c r="K41" s="832">
        <f t="shared" si="6"/>
        <v>0</v>
      </c>
    </row>
    <row r="42" spans="1:11" ht="15.5">
      <c r="A42" s="808" t="s">
        <v>188</v>
      </c>
      <c r="B42" s="808" t="str">
        <f>+B41</f>
        <v>Year 2018</v>
      </c>
      <c r="C42" s="808"/>
      <c r="D42" s="818">
        <f t="shared" si="7"/>
        <v>0</v>
      </c>
      <c r="E42" s="818"/>
      <c r="F42" s="833">
        <f t="shared" si="8"/>
        <v>2.96E-3</v>
      </c>
      <c r="G42" s="808"/>
      <c r="H42" s="832">
        <f t="shared" si="9"/>
        <v>0</v>
      </c>
      <c r="I42" s="832">
        <f t="shared" si="10"/>
        <v>0</v>
      </c>
      <c r="J42" s="832"/>
      <c r="K42" s="832">
        <f t="shared" si="6"/>
        <v>0</v>
      </c>
    </row>
    <row r="43" spans="1:11" ht="15.5">
      <c r="A43" s="808" t="s">
        <v>189</v>
      </c>
      <c r="B43" s="808" t="str">
        <f>+B42</f>
        <v>Year 2018</v>
      </c>
      <c r="C43" s="808"/>
      <c r="D43" s="818">
        <f t="shared" si="7"/>
        <v>0</v>
      </c>
      <c r="E43" s="818"/>
      <c r="F43" s="833">
        <f t="shared" si="8"/>
        <v>2.96E-3</v>
      </c>
      <c r="G43" s="808"/>
      <c r="H43" s="832">
        <f t="shared" si="9"/>
        <v>0</v>
      </c>
      <c r="I43" s="832">
        <f>I42</f>
        <v>0</v>
      </c>
      <c r="J43" s="832"/>
      <c r="K43" s="832">
        <f t="shared" si="6"/>
        <v>0</v>
      </c>
    </row>
    <row r="44" spans="1:11" ht="15.5">
      <c r="A44" s="808" t="s">
        <v>383</v>
      </c>
      <c r="B44" s="808" t="str">
        <f>B43</f>
        <v>Year 2018</v>
      </c>
      <c r="C44" s="525"/>
      <c r="D44" s="818">
        <f t="shared" si="7"/>
        <v>0</v>
      </c>
      <c r="E44" s="818"/>
      <c r="F44" s="833">
        <f t="shared" si="8"/>
        <v>2.96E-3</v>
      </c>
      <c r="G44" s="808"/>
      <c r="H44" s="832">
        <f t="shared" si="9"/>
        <v>0</v>
      </c>
      <c r="I44" s="832">
        <f t="shared" si="10"/>
        <v>0</v>
      </c>
      <c r="J44" s="832"/>
      <c r="K44" s="832">
        <f t="shared" si="6"/>
        <v>0</v>
      </c>
    </row>
    <row r="45" spans="1:11" ht="15.5">
      <c r="A45" s="808" t="s">
        <v>190</v>
      </c>
      <c r="B45" s="808" t="str">
        <f t="shared" ref="B45:B50" si="11">+B44</f>
        <v>Year 2018</v>
      </c>
      <c r="C45" s="808"/>
      <c r="D45" s="818">
        <f t="shared" si="7"/>
        <v>0</v>
      </c>
      <c r="E45" s="818"/>
      <c r="F45" s="833">
        <f t="shared" si="8"/>
        <v>2.96E-3</v>
      </c>
      <c r="G45" s="808"/>
      <c r="H45" s="832">
        <f t="shared" si="9"/>
        <v>0</v>
      </c>
      <c r="I45" s="832">
        <f t="shared" si="10"/>
        <v>0</v>
      </c>
      <c r="J45" s="832"/>
      <c r="K45" s="832">
        <f t="shared" si="6"/>
        <v>0</v>
      </c>
    </row>
    <row r="46" spans="1:11" ht="15.5">
      <c r="A46" s="808" t="s">
        <v>191</v>
      </c>
      <c r="B46" s="808" t="str">
        <f t="shared" si="11"/>
        <v>Year 2018</v>
      </c>
      <c r="C46" s="808"/>
      <c r="D46" s="818">
        <f t="shared" si="7"/>
        <v>0</v>
      </c>
      <c r="E46" s="818"/>
      <c r="F46" s="833">
        <f t="shared" si="8"/>
        <v>2.96E-3</v>
      </c>
      <c r="G46" s="808"/>
      <c r="H46" s="832">
        <f t="shared" si="9"/>
        <v>0</v>
      </c>
      <c r="I46" s="832">
        <f t="shared" si="10"/>
        <v>0</v>
      </c>
      <c r="J46" s="832"/>
      <c r="K46" s="832">
        <f t="shared" si="6"/>
        <v>0</v>
      </c>
    </row>
    <row r="47" spans="1:11" ht="15.5">
      <c r="A47" s="808" t="s">
        <v>193</v>
      </c>
      <c r="B47" s="808" t="str">
        <f t="shared" si="11"/>
        <v>Year 2018</v>
      </c>
      <c r="C47" s="808"/>
      <c r="D47" s="818">
        <f t="shared" si="7"/>
        <v>0</v>
      </c>
      <c r="E47" s="818"/>
      <c r="F47" s="833">
        <f t="shared" si="8"/>
        <v>2.96E-3</v>
      </c>
      <c r="G47" s="808"/>
      <c r="H47" s="832">
        <f t="shared" si="9"/>
        <v>0</v>
      </c>
      <c r="I47" s="832">
        <f>I46</f>
        <v>0</v>
      </c>
      <c r="J47" s="832"/>
      <c r="K47" s="832">
        <f t="shared" si="6"/>
        <v>0</v>
      </c>
    </row>
    <row r="48" spans="1:11" ht="15.5">
      <c r="A48" s="808" t="s">
        <v>562</v>
      </c>
      <c r="B48" s="808" t="str">
        <f t="shared" si="11"/>
        <v>Year 2018</v>
      </c>
      <c r="C48" s="808"/>
      <c r="D48" s="818">
        <f t="shared" si="7"/>
        <v>0</v>
      </c>
      <c r="E48" s="818"/>
      <c r="F48" s="833">
        <f t="shared" si="8"/>
        <v>2.96E-3</v>
      </c>
      <c r="G48" s="808"/>
      <c r="H48" s="832">
        <f t="shared" si="9"/>
        <v>0</v>
      </c>
      <c r="I48" s="832">
        <f t="shared" si="10"/>
        <v>0</v>
      </c>
      <c r="J48" s="832"/>
      <c r="K48" s="832">
        <f t="shared" si="6"/>
        <v>0</v>
      </c>
    </row>
    <row r="49" spans="1:11" ht="15.5">
      <c r="A49" s="808" t="s">
        <v>563</v>
      </c>
      <c r="B49" s="808" t="str">
        <f t="shared" si="11"/>
        <v>Year 2018</v>
      </c>
      <c r="C49" s="808"/>
      <c r="D49" s="818">
        <f t="shared" si="7"/>
        <v>0</v>
      </c>
      <c r="E49" s="818"/>
      <c r="F49" s="833">
        <f t="shared" si="8"/>
        <v>2.96E-3</v>
      </c>
      <c r="G49" s="808"/>
      <c r="H49" s="832">
        <f t="shared" si="9"/>
        <v>0</v>
      </c>
      <c r="I49" s="832">
        <f t="shared" si="10"/>
        <v>0</v>
      </c>
      <c r="J49" s="832"/>
      <c r="K49" s="832">
        <f t="shared" si="6"/>
        <v>0</v>
      </c>
    </row>
    <row r="50" spans="1:11" ht="15.5">
      <c r="A50" s="808" t="s">
        <v>192</v>
      </c>
      <c r="B50" s="808" t="str">
        <f t="shared" si="11"/>
        <v>Year 2018</v>
      </c>
      <c r="C50" s="808"/>
      <c r="D50" s="818">
        <f t="shared" si="7"/>
        <v>0</v>
      </c>
      <c r="E50" s="818"/>
      <c r="F50" s="833">
        <f t="shared" si="8"/>
        <v>2.96E-3</v>
      </c>
      <c r="G50" s="808"/>
      <c r="H50" s="835">
        <f t="shared" si="9"/>
        <v>0</v>
      </c>
      <c r="I50" s="832">
        <f t="shared" si="10"/>
        <v>0</v>
      </c>
      <c r="J50" s="832"/>
      <c r="K50" s="832">
        <f t="shared" si="6"/>
        <v>0</v>
      </c>
    </row>
    <row r="51" spans="1:11" ht="15.5">
      <c r="A51" s="808"/>
      <c r="B51" s="808"/>
      <c r="C51" s="808"/>
      <c r="D51" s="818"/>
      <c r="E51" s="818"/>
      <c r="F51" s="833"/>
      <c r="G51" s="808"/>
      <c r="H51" s="832">
        <f>SUM(H39:H50)</f>
        <v>0</v>
      </c>
      <c r="I51" s="832"/>
      <c r="J51" s="832"/>
      <c r="K51" s="832"/>
    </row>
    <row r="52" spans="1:11" ht="15.5">
      <c r="A52" s="525"/>
      <c r="B52" s="525"/>
      <c r="C52" s="525"/>
      <c r="D52" s="525"/>
      <c r="E52" s="525"/>
      <c r="F52" s="525"/>
      <c r="G52" s="525"/>
      <c r="H52" s="525"/>
      <c r="I52" s="840"/>
      <c r="J52" s="525"/>
      <c r="K52" s="525"/>
    </row>
    <row r="53" spans="1:11" ht="15.5">
      <c r="A53" s="808" t="s">
        <v>571</v>
      </c>
      <c r="B53" s="525"/>
      <c r="C53" s="525"/>
      <c r="D53" s="525"/>
      <c r="E53" s="525"/>
      <c r="F53" s="525"/>
      <c r="G53" s="525"/>
      <c r="H53" s="525"/>
      <c r="I53" s="841">
        <f>(SUM(I39:I50)*-1)</f>
        <v>0</v>
      </c>
      <c r="J53" s="525"/>
      <c r="K53" s="525"/>
    </row>
    <row r="54" spans="1:11" ht="15.5">
      <c r="A54" s="808" t="s">
        <v>567</v>
      </c>
      <c r="B54" s="525"/>
      <c r="C54" s="525"/>
      <c r="D54" s="525"/>
      <c r="E54" s="525"/>
      <c r="F54" s="525"/>
      <c r="G54" s="525"/>
      <c r="H54" s="525"/>
      <c r="I54" s="842">
        <f>+H10</f>
        <v>0</v>
      </c>
      <c r="J54" s="525"/>
      <c r="K54" s="525"/>
    </row>
    <row r="55" spans="1:11" ht="15.5">
      <c r="A55" s="808" t="s">
        <v>568</v>
      </c>
      <c r="B55" s="525"/>
      <c r="C55" s="525"/>
      <c r="D55" s="525"/>
      <c r="E55" s="525"/>
      <c r="F55" s="525"/>
      <c r="G55" s="525"/>
      <c r="H55" s="525"/>
      <c r="I55" s="841">
        <f>(I53+I54)</f>
        <v>0</v>
      </c>
      <c r="J55" s="525"/>
      <c r="K55" s="525"/>
    </row>
    <row r="56" spans="1:11" ht="21" customHeight="1">
      <c r="A56" s="419"/>
      <c r="B56" s="419"/>
      <c r="C56" s="419"/>
      <c r="D56" s="419"/>
      <c r="E56" s="419"/>
      <c r="F56" s="419"/>
      <c r="G56" s="419"/>
      <c r="H56" s="419"/>
      <c r="I56" s="419"/>
      <c r="J56" s="419"/>
      <c r="K56" s="419"/>
    </row>
    <row r="57" spans="1:11" ht="74.5" customHeight="1">
      <c r="A57" s="1607" t="s">
        <v>572</v>
      </c>
      <c r="B57" s="1607"/>
      <c r="C57" s="1607"/>
      <c r="D57" s="1607"/>
      <c r="E57" s="843"/>
      <c r="F57" s="843"/>
      <c r="G57" s="843"/>
      <c r="H57" s="843"/>
      <c r="I57" s="843"/>
      <c r="J57" s="843"/>
      <c r="K57" s="843"/>
    </row>
  </sheetData>
  <mergeCells count="5">
    <mergeCell ref="A1:K1"/>
    <mergeCell ref="A2:K2"/>
    <mergeCell ref="A3:K3"/>
    <mergeCell ref="D4:G4"/>
    <mergeCell ref="A57:D57"/>
  </mergeCell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23"/>
  <sheetViews>
    <sheetView topLeftCell="A4" zoomScale="75" zoomScaleNormal="100" zoomScaleSheetLayoutView="100" workbookViewId="0">
      <selection activeCell="E27" sqref="E27"/>
    </sheetView>
  </sheetViews>
  <sheetFormatPr defaultColWidth="9.1796875" defaultRowHeight="12.5"/>
  <cols>
    <col min="1" max="1" width="9.1796875" style="32"/>
    <col min="2" max="2" width="0.81640625" style="36" customWidth="1"/>
    <col min="3" max="3" width="41.54296875" style="32" customWidth="1"/>
    <col min="4" max="4" width="34.453125" style="32" bestFit="1" customWidth="1"/>
    <col min="5" max="5" width="23.1796875" style="32" customWidth="1"/>
    <col min="6" max="6" width="3.1796875" style="32" customWidth="1"/>
    <col min="7" max="7" width="24.54296875" style="32" customWidth="1"/>
    <col min="8" max="8" width="2.81640625" style="32" customWidth="1"/>
    <col min="9" max="9" width="20.81640625" style="32" customWidth="1"/>
    <col min="10" max="10" width="4.54296875" style="32" customWidth="1"/>
    <col min="11" max="11" width="18" style="32" bestFit="1" customWidth="1"/>
    <col min="12" max="12" width="20.453125" style="32" customWidth="1"/>
    <col min="13" max="15" width="9.1796875" style="32"/>
    <col min="16" max="16" width="10" style="32" bestFit="1" customWidth="1"/>
    <col min="17" max="17" width="17.54296875" style="32" customWidth="1"/>
    <col min="18" max="18" width="15.54296875" style="32" bestFit="1" customWidth="1"/>
    <col min="19" max="16384" width="9.1796875" style="32"/>
  </cols>
  <sheetData>
    <row r="1" spans="1:15" ht="15.5">
      <c r="A1" s="911" t="s">
        <v>115</v>
      </c>
    </row>
    <row r="2" spans="1:15" ht="15.5">
      <c r="A2" s="911" t="s">
        <v>115</v>
      </c>
    </row>
    <row r="3" spans="1:15" ht="15.5">
      <c r="A3" s="1499" t="s">
        <v>388</v>
      </c>
      <c r="B3" s="1499"/>
      <c r="C3" s="1499"/>
      <c r="D3" s="1499"/>
      <c r="E3" s="1499"/>
      <c r="F3" s="1499"/>
      <c r="G3" s="1499"/>
      <c r="H3" s="1499"/>
      <c r="I3" s="1499"/>
      <c r="J3" s="40"/>
      <c r="K3" s="40"/>
    </row>
    <row r="4" spans="1:15" ht="15.5">
      <c r="A4" s="1500" t="str">
        <f>"Cost of Service Formula Rate Using Actual/Projected FF1 Balances"</f>
        <v>Cost of Service Formula Rate Using Actual/Projected FF1 Balances</v>
      </c>
      <c r="B4" s="1500"/>
      <c r="C4" s="1500"/>
      <c r="D4" s="1500"/>
      <c r="E4" s="1500"/>
      <c r="F4" s="1500"/>
      <c r="G4" s="1500"/>
      <c r="H4" s="1500"/>
      <c r="I4" s="1500"/>
      <c r="J4" s="99"/>
      <c r="K4" s="99"/>
    </row>
    <row r="5" spans="1:15" ht="15.5">
      <c r="A5" s="1500" t="s">
        <v>472</v>
      </c>
      <c r="B5" s="1500"/>
      <c r="C5" s="1500"/>
      <c r="D5" s="1500"/>
      <c r="E5" s="1500"/>
      <c r="F5" s="1500"/>
      <c r="G5" s="1500"/>
      <c r="H5" s="1500"/>
      <c r="I5" s="1500"/>
      <c r="J5" s="98"/>
      <c r="K5" s="98"/>
    </row>
    <row r="6" spans="1:15" ht="15.5">
      <c r="A6" s="1511" t="str">
        <f>TCOS!F9</f>
        <v xml:space="preserve">Indiana Michigan Power Company </v>
      </c>
      <c r="B6" s="1511"/>
      <c r="C6" s="1511"/>
      <c r="D6" s="1511"/>
      <c r="E6" s="1511"/>
      <c r="F6" s="1511"/>
      <c r="G6" s="1511"/>
      <c r="H6" s="1511"/>
      <c r="I6" s="1511"/>
      <c r="J6" s="4"/>
      <c r="K6" s="4"/>
      <c r="L6"/>
      <c r="M6"/>
    </row>
    <row r="7" spans="1:15" ht="13">
      <c r="C7" s="34"/>
      <c r="D7" s="34"/>
    </row>
    <row r="8" spans="1:15" ht="13">
      <c r="C8" s="8" t="s">
        <v>163</v>
      </c>
      <c r="D8" s="8" t="s">
        <v>164</v>
      </c>
      <c r="E8" s="8" t="s">
        <v>165</v>
      </c>
      <c r="G8" s="8" t="s">
        <v>166</v>
      </c>
      <c r="I8" s="8" t="s">
        <v>85</v>
      </c>
      <c r="J8" s="8"/>
      <c r="K8" s="8"/>
      <c r="L8" s="8"/>
      <c r="M8"/>
      <c r="N8"/>
      <c r="O8"/>
    </row>
    <row r="9" spans="1:15" ht="13">
      <c r="A9" s="97"/>
      <c r="I9" s="14"/>
      <c r="J9"/>
      <c r="K9"/>
      <c r="L9"/>
      <c r="M9"/>
      <c r="N9"/>
      <c r="O9"/>
    </row>
    <row r="10" spans="1:15" ht="12.75" customHeight="1">
      <c r="A10" s="12" t="s">
        <v>170</v>
      </c>
      <c r="C10" s="35"/>
      <c r="D10" s="35"/>
      <c r="E10" s="1509" t="str">
        <f>"Balance @ December 31, "&amp;TCOS!L4&amp;""</f>
        <v>Balance @ December 31, 2019</v>
      </c>
      <c r="F10" s="141"/>
      <c r="G10" s="1509" t="str">
        <f>"Balance @ December 31, "&amp;TCOS!L4-1&amp;""</f>
        <v>Balance @ December 31, 2018</v>
      </c>
      <c r="H10" s="141"/>
      <c r="I10" s="1512" t="str">
        <f>"Average Balance for "&amp;TCOS!L4&amp;""</f>
        <v>Average Balance for 2019</v>
      </c>
      <c r="J10"/>
      <c r="K10"/>
      <c r="L10"/>
      <c r="M10"/>
      <c r="N10"/>
      <c r="O10"/>
    </row>
    <row r="11" spans="1:15" ht="13">
      <c r="A11" s="12" t="s">
        <v>107</v>
      </c>
      <c r="B11" s="11"/>
      <c r="C11" s="12" t="s">
        <v>168</v>
      </c>
      <c r="D11" s="12" t="s">
        <v>207</v>
      </c>
      <c r="E11" s="1510"/>
      <c r="F11" s="89"/>
      <c r="G11" s="1510"/>
      <c r="H11" s="231"/>
      <c r="I11" s="1510"/>
      <c r="J11"/>
      <c r="K11"/>
      <c r="L11"/>
      <c r="M11"/>
      <c r="N11"/>
      <c r="O11"/>
    </row>
    <row r="12" spans="1:15" ht="13">
      <c r="A12" s="97"/>
      <c r="C12" s="34"/>
      <c r="D12" s="34"/>
      <c r="G12" s="243"/>
      <c r="J12" s="26"/>
      <c r="K12" s="26"/>
    </row>
    <row r="13" spans="1:15" ht="13">
      <c r="A13" s="97"/>
      <c r="C13" s="34"/>
      <c r="D13" s="34"/>
      <c r="J13" s="26"/>
      <c r="K13" s="26"/>
    </row>
    <row r="14" spans="1:15" ht="13">
      <c r="A14" s="97"/>
      <c r="C14" s="34"/>
      <c r="D14" s="34"/>
      <c r="J14" s="26"/>
      <c r="K14" s="26"/>
    </row>
    <row r="15" spans="1:15" ht="15.5">
      <c r="A15" s="97">
        <v>1</v>
      </c>
      <c r="C15" s="61" t="s">
        <v>510</v>
      </c>
      <c r="D15" s="61"/>
      <c r="J15" s="26"/>
      <c r="K15" s="26"/>
    </row>
    <row r="16" spans="1:15" ht="15.5">
      <c r="A16" s="97"/>
      <c r="C16" s="61"/>
      <c r="D16" s="61"/>
      <c r="H16"/>
      <c r="J16" s="26"/>
      <c r="K16" s="26"/>
    </row>
    <row r="17" spans="1:17">
      <c r="A17" s="97">
        <f>+A15+1</f>
        <v>2</v>
      </c>
      <c r="C17" s="63" t="s">
        <v>516</v>
      </c>
      <c r="D17" s="88" t="s">
        <v>518</v>
      </c>
      <c r="E17" s="854">
        <f>SUM('WS B-1 - Actual Stmt. AF'!S23:W23)</f>
        <v>28729958.949999999</v>
      </c>
      <c r="G17" s="898">
        <f>SUM('WS B-1 - Actual Stmt. AF'!M23:Q23)</f>
        <v>29456453</v>
      </c>
      <c r="H17"/>
      <c r="I17" s="137">
        <f>IF(G17="",0,(E17+G17)/2)</f>
        <v>29093205.975000001</v>
      </c>
      <c r="J17" s="26"/>
      <c r="K17" s="26"/>
    </row>
    <row r="18" spans="1:17">
      <c r="A18" s="97">
        <f>+A17+1</f>
        <v>3</v>
      </c>
      <c r="C18" s="63" t="s">
        <v>520</v>
      </c>
      <c r="D18" s="308" t="str">
        <f>"WS B-1 - Actual Stmt. AF Ln. " &amp;'WS B-1 - Actual Stmt. AF'!A24&amp;" (Note 1)"</f>
        <v>WS B-1 - Actual Stmt. AF Ln. 4 (Note 1)</v>
      </c>
      <c r="E18" s="854">
        <f>SUM('WS B-1 - Actual Stmt. AF'!S24:W24)</f>
        <v>0</v>
      </c>
      <c r="G18" s="908">
        <f>SUM('WS B-1 - Actual Stmt. AF'!M24:Q24)</f>
        <v>0</v>
      </c>
      <c r="H18"/>
      <c r="I18" s="137">
        <f>IF(G18="",0,(E18+G18)/2)</f>
        <v>0</v>
      </c>
      <c r="J18" s="26"/>
      <c r="K18" s="26"/>
    </row>
    <row r="19" spans="1:17" ht="14">
      <c r="A19" s="97">
        <f>+A18+1</f>
        <v>4</v>
      </c>
      <c r="C19" s="63" t="s">
        <v>521</v>
      </c>
      <c r="D19" s="308" t="str">
        <f>"WS B-1 - Actual Stmt. AF Ln. " &amp;'WS B-1 - Actual Stmt. AF'!A23&amp;" (Note 1)"</f>
        <v>WS B-1 - Actual Stmt. AF Ln. 3 (Note 1)</v>
      </c>
      <c r="E19" s="855">
        <f>SUM('WS B-1 - Actual Stmt. AF'!S23:W23)-SUM('WS B-1 - Actual Stmt. AF'!S24:W24)</f>
        <v>28729958.949999999</v>
      </c>
      <c r="G19" s="899">
        <f>SUM('WS B-1 - Actual Stmt. AF'!M23:Q23)-SUM('WS B-1 - Actual Stmt. AF'!M24:Q24)</f>
        <v>29456453</v>
      </c>
      <c r="I19" s="217">
        <f>IF(G19="",0,(E19+G19)/2)</f>
        <v>29093205.975000001</v>
      </c>
      <c r="J19" s="26"/>
      <c r="K19" s="26"/>
    </row>
    <row r="20" spans="1:17">
      <c r="A20" s="97">
        <f>+A19+1</f>
        <v>5</v>
      </c>
      <c r="C20" s="63" t="s">
        <v>517</v>
      </c>
      <c r="D20" s="142" t="str">
        <f>"Ln "&amp;A17&amp;" - ln "&amp;A18&amp;" - ln "&amp;A19&amp;""</f>
        <v>Ln 2 - ln 3 - ln 4</v>
      </c>
      <c r="E20" s="27">
        <f>+E17-E18-E19</f>
        <v>0</v>
      </c>
      <c r="G20" s="27">
        <f>+G17-G18-G19</f>
        <v>0</v>
      </c>
      <c r="I20" s="137">
        <f>+I17-I18-I19</f>
        <v>0</v>
      </c>
      <c r="J20" s="26"/>
      <c r="K20" s="26"/>
    </row>
    <row r="21" spans="1:17">
      <c r="A21" s="97"/>
      <c r="C21" s="63"/>
      <c r="D21" s="142"/>
      <c r="J21" s="26"/>
      <c r="K21" s="26"/>
    </row>
    <row r="22" spans="1:17">
      <c r="A22" s="97"/>
      <c r="C22" s="63"/>
      <c r="D22" s="142"/>
      <c r="J22" s="26"/>
      <c r="K22" s="27"/>
      <c r="L22" s="27"/>
      <c r="M22" s="27"/>
      <c r="N22" s="27"/>
      <c r="O22" s="27"/>
    </row>
    <row r="23" spans="1:17" ht="15.5">
      <c r="A23" s="97">
        <f>+A20+1</f>
        <v>6</v>
      </c>
      <c r="C23" s="61" t="s">
        <v>511</v>
      </c>
      <c r="D23" s="142"/>
      <c r="J23" s="26"/>
      <c r="K23" s="27"/>
      <c r="L23" s="27"/>
      <c r="M23" s="27"/>
      <c r="N23" s="27"/>
      <c r="O23" s="27"/>
    </row>
    <row r="24" spans="1:17">
      <c r="A24" s="97"/>
      <c r="C24" s="63"/>
      <c r="D24" s="142"/>
      <c r="E24" s="1411"/>
      <c r="J24" s="26"/>
      <c r="K24" s="27"/>
      <c r="L24" s="27"/>
      <c r="M24" s="27"/>
      <c r="N24" s="27"/>
      <c r="O24" s="27"/>
    </row>
    <row r="25" spans="1:17">
      <c r="A25" s="97">
        <f>+A23+1</f>
        <v>7</v>
      </c>
      <c r="C25" s="63" t="s">
        <v>516</v>
      </c>
      <c r="D25" s="88" t="s">
        <v>450</v>
      </c>
      <c r="E25" s="908">
        <f>SUM('WS B-1 - Actual Stmt. AF'!S93:W93)</f>
        <v>1477007541.04</v>
      </c>
      <c r="G25" s="900">
        <f>SUM('WS B-1 - Actual Stmt. AF'!M93:Q93)</f>
        <v>1413564060</v>
      </c>
      <c r="H25"/>
      <c r="I25" s="137">
        <f>IF(G25="",0,(E25+G25)/2)</f>
        <v>1445285800.52</v>
      </c>
      <c r="J25" s="26"/>
      <c r="K25" s="27"/>
      <c r="L25" s="27"/>
      <c r="M25" s="27"/>
      <c r="N25" s="27"/>
      <c r="O25" s="27"/>
    </row>
    <row r="26" spans="1:17">
      <c r="A26" s="97">
        <f>+A25+1</f>
        <v>8</v>
      </c>
      <c r="C26" s="63" t="s">
        <v>520</v>
      </c>
      <c r="D26" s="308" t="str">
        <f>"WS B-1 - Actual Stmt. AF Ln. " &amp;'WS B-1 - Actual Stmt. AF'!A94&amp;" (Note 1)"</f>
        <v>WS B-1 - Actual Stmt. AF Ln. 7 (Note 1)</v>
      </c>
      <c r="E26" s="908">
        <f>SUM('WS B-1 - Actual Stmt. AF'!S94:W94)</f>
        <v>74833150.049999982</v>
      </c>
      <c r="G26" s="908">
        <f>SUM('WS B-1 - Actual Stmt. AF'!M94:Q94)</f>
        <v>78750860.909999996</v>
      </c>
      <c r="H26"/>
      <c r="I26" s="137">
        <f>IF(G26="",0,(E26+G26)/2)</f>
        <v>76792005.479999989</v>
      </c>
      <c r="J26" s="26"/>
      <c r="K26" s="27"/>
      <c r="L26" s="27"/>
      <c r="M26" s="27"/>
      <c r="N26" s="27"/>
      <c r="O26" s="27"/>
    </row>
    <row r="27" spans="1:17" ht="14">
      <c r="A27" s="97">
        <f>+A26+1</f>
        <v>9</v>
      </c>
      <c r="C27" s="63" t="s">
        <v>521</v>
      </c>
      <c r="D27" s="308" t="str">
        <f>"WS B-1 - Actual Stmt. AF Ln. " &amp;'WS B-1 - Actual Stmt. AF'!A93&amp;" (Note 1)"</f>
        <v>WS B-1 - Actual Stmt. AF Ln. 6 (Note 1)</v>
      </c>
      <c r="E27" s="902">
        <f>'WS B-1 - Actual Stmt. AF'!S93+'WS B-1 - Actual Stmt. AF'!T93+'WS B-1 - Actual Stmt. AF'!V93+'WS B-1 - Actual Stmt. AF'!W93-'WS B-1 - Actual Stmt. AF'!S94-'WS B-1 - Actual Stmt. AF'!T94-'WS B-1 - Actual Stmt. AF'!V94-'WS B-1 - Actual Stmt. AF'!W94</f>
        <v>1160479512.3599999</v>
      </c>
      <c r="G27" s="901">
        <f>'WS B-1 - Actual Stmt. AF'!M93+'WS B-1 - Actual Stmt. AF'!N93+'WS B-1 - Actual Stmt. AF'!P93+'WS B-1 - Actual Stmt. AF'!Q93-'WS B-1 - Actual Stmt. AF'!M94-'WS B-1 - Actual Stmt. AF'!N94-'WS B-1 - Actual Stmt. AF'!P94-'WS B-1 - Actual Stmt. AF'!Q94</f>
        <v>1090386821.8200002</v>
      </c>
      <c r="I27" s="217">
        <f>IF(G27="",0,(E27+G27)/2)</f>
        <v>1125433167.0900002</v>
      </c>
      <c r="J27" s="26"/>
      <c r="K27" s="27"/>
      <c r="L27" s="27"/>
      <c r="M27" s="27"/>
      <c r="N27" s="27"/>
      <c r="O27" s="27"/>
    </row>
    <row r="28" spans="1:17">
      <c r="A28" s="97">
        <f>+A27+1</f>
        <v>10</v>
      </c>
      <c r="C28" s="63" t="s">
        <v>517</v>
      </c>
      <c r="D28" s="142" t="str">
        <f>"Ln "&amp;A25&amp;" - ln "&amp;A26&amp;" - ln "&amp;A27&amp;""</f>
        <v>Ln 7 - ln 8 - ln 9</v>
      </c>
      <c r="E28" s="27">
        <f>+E25-E26-E27</f>
        <v>241694878.63000011</v>
      </c>
      <c r="G28" s="27">
        <f>+G25-G26-G27</f>
        <v>244426377.26999974</v>
      </c>
      <c r="I28" s="137">
        <f>+I25-I26-I27</f>
        <v>243060627.94999981</v>
      </c>
      <c r="J28" s="26"/>
      <c r="K28" s="27"/>
      <c r="L28" s="27"/>
      <c r="M28" s="27"/>
      <c r="N28" s="27"/>
      <c r="O28" s="27"/>
    </row>
    <row r="29" spans="1:17">
      <c r="A29" s="97"/>
      <c r="C29" s="63"/>
      <c r="D29" s="142"/>
      <c r="J29" s="26"/>
      <c r="K29" s="27"/>
      <c r="L29" s="27"/>
      <c r="M29" s="27"/>
      <c r="N29" s="27"/>
      <c r="O29" s="27"/>
      <c r="P29" s="27"/>
      <c r="Q29" s="27"/>
    </row>
    <row r="30" spans="1:17">
      <c r="A30" s="97"/>
      <c r="C30" s="63"/>
      <c r="D30" s="142"/>
      <c r="E30" s="139"/>
      <c r="G30" s="139"/>
      <c r="J30" s="26"/>
      <c r="K30" s="27"/>
      <c r="L30" s="27"/>
      <c r="M30" s="27"/>
      <c r="N30" s="27"/>
      <c r="O30" s="27"/>
      <c r="P30" s="27"/>
      <c r="Q30" s="27"/>
    </row>
    <row r="31" spans="1:17" ht="15.5">
      <c r="A31" s="97">
        <f>+A28+1</f>
        <v>11</v>
      </c>
      <c r="C31" s="61" t="s">
        <v>512</v>
      </c>
      <c r="D31" s="142"/>
      <c r="J31" s="26"/>
      <c r="K31" s="27"/>
      <c r="L31" s="27"/>
      <c r="M31" s="27"/>
      <c r="N31" s="27"/>
      <c r="O31" s="27"/>
      <c r="P31" s="27"/>
      <c r="Q31" s="27"/>
    </row>
    <row r="32" spans="1:17" ht="15.5">
      <c r="A32" s="97"/>
      <c r="C32" s="61"/>
      <c r="D32" s="142"/>
      <c r="J32" s="26"/>
      <c r="K32" s="27"/>
      <c r="L32" s="27"/>
      <c r="M32" s="27"/>
      <c r="N32" s="27"/>
      <c r="O32" s="27"/>
      <c r="P32" s="27"/>
      <c r="Q32" s="27"/>
    </row>
    <row r="33" spans="1:17">
      <c r="A33" s="97">
        <f>+A31+1</f>
        <v>12</v>
      </c>
      <c r="C33" s="63" t="s">
        <v>516</v>
      </c>
      <c r="D33" s="88" t="s">
        <v>519</v>
      </c>
      <c r="E33" s="903">
        <f>SUM('WS B-1 - Actual Stmt. AF'!S230:W230)</f>
        <v>588962688.05000007</v>
      </c>
      <c r="G33" s="905">
        <f>SUM('WS B-1 - Actual Stmt. AF'!M230:Q230)</f>
        <v>528158202.62</v>
      </c>
      <c r="H33"/>
      <c r="I33" s="137">
        <f>IF(G33="",0,(E33+G33)/2)</f>
        <v>558560445.33500004</v>
      </c>
      <c r="J33" s="26"/>
      <c r="K33" s="27"/>
      <c r="L33" s="27"/>
      <c r="M33" s="27"/>
      <c r="N33" s="27"/>
      <c r="O33" s="27"/>
      <c r="P33" s="27"/>
      <c r="Q33" s="27"/>
    </row>
    <row r="34" spans="1:17">
      <c r="A34" s="97">
        <f>+A33+1</f>
        <v>13</v>
      </c>
      <c r="C34" s="63" t="s">
        <v>520</v>
      </c>
      <c r="D34" s="308" t="str">
        <f>"WS B-1 - Actual Stmt. AF Ln. " &amp;'WS B-1 - Actual Stmt. AF'!A237&amp;" (Note 1)"</f>
        <v>WS B-1 - Actual Stmt. AF Ln. 13 (Note 1)</v>
      </c>
      <c r="E34" s="903">
        <f>SUM('WS B-1 - Actual Stmt. AF'!S237:W237)</f>
        <v>551427583.71000004</v>
      </c>
      <c r="G34" s="905">
        <f>SUM('WS B-1 - Actual Stmt. AF'!M237:Q237)</f>
        <v>447748773.80000001</v>
      </c>
      <c r="H34"/>
      <c r="I34" s="137">
        <f>IF(G34="",0,(E34+G34)/2)</f>
        <v>499588178.755</v>
      </c>
      <c r="J34" s="26"/>
      <c r="K34" s="1091"/>
      <c r="L34" s="1091"/>
      <c r="M34" s="1091"/>
      <c r="N34" s="1091"/>
      <c r="O34" s="1091"/>
    </row>
    <row r="35" spans="1:17" ht="14">
      <c r="A35" s="97">
        <f>+A34+1</f>
        <v>14</v>
      </c>
      <c r="C35" s="63" t="s">
        <v>521</v>
      </c>
      <c r="D35" s="308" t="str">
        <f>"WS B-1 - Actual Stmt. AF Ln. " &amp;'WS B-1 - Actual Stmt. AF'!A236&amp;" (Note 1)"</f>
        <v>WS B-1 - Actual Stmt. AF Ln. 12 (Note 1)</v>
      </c>
      <c r="E35" s="904">
        <f>'WS B-1 - Actual Stmt. AF'!S230+'WS B-1 - Actual Stmt. AF'!T230+'WS B-1 - Actual Stmt. AF'!V230+'WS B-1 - Actual Stmt. AF'!W230-'WS B-1 - Actual Stmt. AF'!S237-'WS B-1 - Actual Stmt. AF'!T237-'WS B-1 - Actual Stmt. AF'!V237-'WS B-1 - Actual Stmt. AF'!W237</f>
        <v>35889748.360000022</v>
      </c>
      <c r="G35" s="906">
        <f>'WS B-1 - Actual Stmt. AF'!M230+'WS B-1 - Actual Stmt. AF'!N230+'WS B-1 - Actual Stmt. AF'!P230+'WS B-1 - Actual Stmt. AF'!Q230-'WS B-1 - Actual Stmt. AF'!M237-'WS B-1 - Actual Stmt. AF'!N237-'WS B-1 - Actual Stmt. AF'!P237-'WS B-1 - Actual Stmt. AF'!Q237</f>
        <v>79884875.800000012</v>
      </c>
      <c r="I35" s="217">
        <f>IF(G35="",0,(E35+G35)/2)</f>
        <v>57887312.080000013</v>
      </c>
      <c r="J35" s="26"/>
      <c r="K35" s="26"/>
    </row>
    <row r="36" spans="1:17">
      <c r="A36" s="97">
        <f>+A35+1</f>
        <v>15</v>
      </c>
      <c r="C36" s="63" t="s">
        <v>517</v>
      </c>
      <c r="D36" s="142" t="str">
        <f>"Ln "&amp;A33&amp;" - ln "&amp;A34&amp;" - ln "&amp;A35&amp;""</f>
        <v>Ln 12 - ln 13 - ln 14</v>
      </c>
      <c r="E36" s="27">
        <f>+E33-E34-E35</f>
        <v>1645355.9800000116</v>
      </c>
      <c r="G36" s="27">
        <f>+G33-G34-G35</f>
        <v>524553.01999998093</v>
      </c>
      <c r="I36" s="137">
        <f>+I33-I34-I35</f>
        <v>1084954.5000000298</v>
      </c>
      <c r="J36" s="26"/>
      <c r="K36" s="26"/>
    </row>
    <row r="37" spans="1:17" ht="15.5">
      <c r="A37" s="97"/>
      <c r="C37" s="61"/>
      <c r="D37" s="142"/>
      <c r="J37" s="26"/>
      <c r="K37" s="27"/>
      <c r="L37" s="27"/>
      <c r="M37" s="27"/>
      <c r="N37" s="27"/>
      <c r="O37" s="27"/>
      <c r="P37" s="27"/>
    </row>
    <row r="38" spans="1:17">
      <c r="A38" s="97"/>
      <c r="C38" s="63"/>
      <c r="D38" s="142"/>
      <c r="J38" s="26"/>
      <c r="K38" s="27"/>
      <c r="L38" s="27"/>
      <c r="M38" s="27"/>
      <c r="N38" s="27"/>
      <c r="O38" s="27"/>
      <c r="P38" s="27"/>
    </row>
    <row r="39" spans="1:17" ht="15.5">
      <c r="A39" s="97">
        <f>+A36+1</f>
        <v>16</v>
      </c>
      <c r="C39" s="61" t="s">
        <v>513</v>
      </c>
      <c r="D39" s="142"/>
      <c r="J39" s="26"/>
      <c r="K39" s="27"/>
      <c r="L39" s="27"/>
      <c r="M39" s="27"/>
      <c r="N39" s="27"/>
      <c r="O39" s="27"/>
      <c r="P39" s="27"/>
    </row>
    <row r="40" spans="1:17">
      <c r="A40" s="97"/>
      <c r="C40" s="63"/>
      <c r="D40" s="142"/>
      <c r="E40" s="1411"/>
      <c r="J40" s="26"/>
      <c r="K40" s="27"/>
      <c r="L40" s="27"/>
      <c r="M40" s="27"/>
      <c r="N40" s="27"/>
      <c r="O40" s="27"/>
      <c r="P40" s="27"/>
    </row>
    <row r="41" spans="1:17">
      <c r="A41" s="97">
        <f>+A39+1</f>
        <v>17</v>
      </c>
      <c r="C41" s="63" t="s">
        <v>516</v>
      </c>
      <c r="D41" s="88" t="s">
        <v>515</v>
      </c>
      <c r="E41" s="908">
        <f>SUM('WS B-2 - Actual Stmt. AG'!U140:Y140)</f>
        <v>750376333.95000005</v>
      </c>
      <c r="G41" s="908">
        <f>SUM('WS B-2 - Actual Stmt. AG'!O140:S140)</f>
        <v>581127505</v>
      </c>
      <c r="H41"/>
      <c r="I41" s="137">
        <f>IF(G41="",0,(E41+G41)/2)</f>
        <v>665751919.47500002</v>
      </c>
      <c r="J41" s="26"/>
      <c r="K41" s="27"/>
      <c r="L41" s="27"/>
      <c r="M41" s="27"/>
      <c r="N41" s="27"/>
      <c r="O41" s="27"/>
    </row>
    <row r="42" spans="1:17">
      <c r="A42" s="97">
        <f>+A41+1</f>
        <v>18</v>
      </c>
      <c r="C42" s="63" t="s">
        <v>520</v>
      </c>
      <c r="D42" s="308" t="str">
        <f>"WS B-2 - Actual Stmt. AG Ln. " &amp;'WS B-2 - Actual Stmt. AG'!A141&amp;" (Note 1)"</f>
        <v>WS B-2 - Actual Stmt. AG Ln. 4 (Note 1)</v>
      </c>
      <c r="E42" s="908">
        <f>SUM('WS B-2 - Actual Stmt. AG'!U141:Y141)</f>
        <v>626760704.23000002</v>
      </c>
      <c r="G42" s="908">
        <f>SUM('WS B-2 - Actual Stmt. AG'!O141:S141)</f>
        <v>527060405</v>
      </c>
      <c r="H42"/>
      <c r="I42" s="137">
        <f>IF(G42="",0,(E42+G42)/2)</f>
        <v>576910554.61500001</v>
      </c>
      <c r="J42" s="26"/>
      <c r="K42" s="27"/>
      <c r="L42" s="27"/>
      <c r="M42" s="27"/>
      <c r="N42" s="27"/>
      <c r="O42" s="27"/>
    </row>
    <row r="43" spans="1:17" ht="14">
      <c r="A43" s="97">
        <f>+A42+1</f>
        <v>19</v>
      </c>
      <c r="C43" s="63" t="s">
        <v>521</v>
      </c>
      <c r="D43" s="308" t="str">
        <f>"WS B-2 - Actual Stmt. AG Ln. " &amp;'WS B-2 - Actual Stmt. AG'!A140&amp;" (Note 1)"</f>
        <v>WS B-2 - Actual Stmt. AG Ln. 3 (Note 1)</v>
      </c>
      <c r="E43" s="907">
        <f>('WS B-2 - Actual Stmt. AG'!U140+'WS B-2 - Actual Stmt. AG'!V140+'WS B-2 - Actual Stmt. AG'!X140+'WS B-2 - Actual Stmt. AG'!S140)-('WS B-2 - Actual Stmt. AG'!U141+'WS B-2 - Actual Stmt. AG'!V141+'WS B-2 - Actual Stmt. AG'!X141+'WS B-2 - Actual Stmt. AG'!S141)</f>
        <v>112608471.20000005</v>
      </c>
      <c r="G43" s="909">
        <f>('WS B-2 - Actual Stmt. AG'!O140+'WS B-2 - Actual Stmt. AG'!P140+'WS B-2 - Actual Stmt. AG'!R140+'WS B-2 - Actual Stmt. AG'!S140)-('WS B-2 - Actual Stmt. AG'!O141+'WS B-2 - Actual Stmt. AG'!P141+'WS B-2 - Actual Stmt. AG'!R141+'WS B-2 - Actual Stmt. AG'!S141)</f>
        <v>46335522</v>
      </c>
      <c r="I43" s="217">
        <f>IF(G43="",0,(E43+G43)/2)</f>
        <v>79471996.600000024</v>
      </c>
      <c r="J43" s="26"/>
      <c r="K43" s="27"/>
      <c r="L43" s="27"/>
      <c r="M43" s="27"/>
      <c r="N43" s="27"/>
      <c r="O43" s="27"/>
    </row>
    <row r="44" spans="1:17">
      <c r="A44" s="97">
        <f>+A43+1</f>
        <v>20</v>
      </c>
      <c r="C44" s="63" t="s">
        <v>517</v>
      </c>
      <c r="D44" s="142" t="str">
        <f>"Ln "&amp;A41&amp;" - ln "&amp;A42&amp;" - ln "&amp;A43&amp;""</f>
        <v>Ln 17 - ln 18 - ln 19</v>
      </c>
      <c r="E44" s="27">
        <f>+E41-E42-E43</f>
        <v>11007158.519999981</v>
      </c>
      <c r="G44" s="27">
        <f>+G41-G42-G43</f>
        <v>7731578</v>
      </c>
      <c r="I44" s="137">
        <f>+I41-I42-I43</f>
        <v>9369368.2599999905</v>
      </c>
      <c r="J44" s="26"/>
      <c r="K44" s="26"/>
    </row>
    <row r="45" spans="1:17">
      <c r="A45" s="97"/>
      <c r="C45" s="63"/>
      <c r="D45" s="142"/>
      <c r="J45" s="26"/>
      <c r="K45" s="26"/>
    </row>
    <row r="46" spans="1:17">
      <c r="A46" s="97"/>
      <c r="C46" s="63"/>
      <c r="D46" s="142"/>
      <c r="J46" s="26"/>
      <c r="K46" s="26"/>
    </row>
    <row r="47" spans="1:17" ht="15.5">
      <c r="A47" s="97">
        <f>+A44+1</f>
        <v>21</v>
      </c>
      <c r="C47" s="61" t="s">
        <v>514</v>
      </c>
      <c r="D47" s="142"/>
      <c r="J47" s="26"/>
      <c r="K47" s="26"/>
    </row>
    <row r="48" spans="1:17">
      <c r="A48" s="97"/>
      <c r="C48" s="63"/>
      <c r="D48" s="142"/>
      <c r="J48" s="26"/>
      <c r="K48" s="27"/>
      <c r="L48" s="27"/>
      <c r="M48" s="27"/>
      <c r="N48" s="27"/>
      <c r="O48" s="27"/>
    </row>
    <row r="49" spans="1:15">
      <c r="A49" s="97">
        <f>+A47+1</f>
        <v>22</v>
      </c>
      <c r="C49" s="63" t="s">
        <v>522</v>
      </c>
      <c r="D49" s="88" t="s">
        <v>471</v>
      </c>
      <c r="E49" s="854">
        <v>25745970</v>
      </c>
      <c r="G49" s="854">
        <v>29388700</v>
      </c>
      <c r="H49"/>
      <c r="I49" s="137">
        <f>IF(G49="",0,(E49+G49)/2)</f>
        <v>27567335</v>
      </c>
      <c r="J49" s="26"/>
      <c r="K49" s="27"/>
      <c r="L49" s="27"/>
      <c r="M49" s="27"/>
      <c r="N49" s="27"/>
      <c r="O49" s="27"/>
    </row>
    <row r="50" spans="1:15" ht="14">
      <c r="A50" s="97">
        <f>+A49+1</f>
        <v>23</v>
      </c>
      <c r="C50" s="63" t="s">
        <v>523</v>
      </c>
      <c r="D50" s="308" t="s">
        <v>68</v>
      </c>
      <c r="E50" s="909">
        <v>25745970</v>
      </c>
      <c r="G50" s="909">
        <v>29388700</v>
      </c>
      <c r="H50"/>
      <c r="I50" s="217">
        <f>IF(G50="",0,(E50+G50)/2)</f>
        <v>27567335</v>
      </c>
      <c r="J50" s="26"/>
      <c r="K50" s="27"/>
      <c r="L50" s="27"/>
      <c r="M50" s="27"/>
      <c r="N50" s="27"/>
      <c r="O50" s="27"/>
    </row>
    <row r="51" spans="1:15">
      <c r="A51" s="97">
        <f>+A50+1</f>
        <v>24</v>
      </c>
      <c r="C51" s="63" t="s">
        <v>389</v>
      </c>
      <c r="D51" s="142" t="str">
        <f>"Ln "&amp;A49&amp;" - ln "&amp;A50&amp;""</f>
        <v>Ln 22 - ln 23</v>
      </c>
      <c r="E51" s="27">
        <f>+E49-E50</f>
        <v>0</v>
      </c>
      <c r="G51" s="27">
        <f>+G49-G50</f>
        <v>0</v>
      </c>
      <c r="H51"/>
      <c r="I51" s="137">
        <f>+I49-I50</f>
        <v>0</v>
      </c>
      <c r="J51" s="26"/>
      <c r="K51" s="27"/>
      <c r="L51" s="27"/>
      <c r="M51" s="27"/>
      <c r="N51" s="27"/>
      <c r="O51" s="27"/>
    </row>
    <row r="52" spans="1:15">
      <c r="A52" s="97">
        <f>+A51+1</f>
        <v>25</v>
      </c>
      <c r="C52" s="63" t="s">
        <v>517</v>
      </c>
      <c r="D52" s="308" t="str">
        <f>"WS B-1 - Actual Stmt. AF Ln. " &amp;'WS B-1 - Actual Stmt. AF'!A253&amp;" (Note 1)"</f>
        <v>WS B-1 - Actual Stmt. AF Ln. 2 (Note 1)</v>
      </c>
      <c r="E52" s="854">
        <f>'WS B-1 - Actual Stmt. AF'!U253</f>
        <v>0</v>
      </c>
      <c r="G52" s="854">
        <f>'WS B-1 - Actual Stmt. AF'!O253</f>
        <v>0</v>
      </c>
      <c r="H52"/>
      <c r="I52" s="137">
        <f>IF(G52="",0,(E52+G52)/2)</f>
        <v>0</v>
      </c>
      <c r="J52" s="26"/>
      <c r="K52" s="27"/>
      <c r="L52" s="27"/>
      <c r="M52" s="27"/>
      <c r="N52" s="27"/>
      <c r="O52" s="27"/>
    </row>
    <row r="53" spans="1:15">
      <c r="A53" s="97"/>
      <c r="C53" s="63"/>
      <c r="D53" s="63"/>
      <c r="J53" s="26"/>
      <c r="K53" s="27"/>
      <c r="L53" s="27"/>
      <c r="M53" s="27"/>
      <c r="N53" s="27"/>
      <c r="O53" s="27"/>
    </row>
    <row r="54" spans="1:15">
      <c r="A54" s="86" t="s">
        <v>69</v>
      </c>
      <c r="C54" s="1508" t="s">
        <v>829</v>
      </c>
      <c r="D54" s="1508"/>
      <c r="E54" s="1508"/>
      <c r="F54" s="1508"/>
      <c r="G54" s="1508"/>
      <c r="H54" s="1508"/>
      <c r="I54" s="1508"/>
      <c r="J54" s="26"/>
      <c r="K54" s="26"/>
    </row>
    <row r="55" spans="1:15">
      <c r="A55" s="86"/>
      <c r="C55" s="1508"/>
      <c r="D55" s="1508"/>
      <c r="E55" s="1508"/>
      <c r="F55" s="1508"/>
      <c r="G55" s="1508"/>
      <c r="H55" s="1508"/>
      <c r="I55" s="1508"/>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1"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3"/>
  <sheetViews>
    <sheetView view="pageBreakPreview" topLeftCell="C4" zoomScale="85" zoomScaleNormal="50" zoomScaleSheetLayoutView="85" workbookViewId="0">
      <selection activeCell="W9" sqref="W9"/>
    </sheetView>
  </sheetViews>
  <sheetFormatPr defaultRowHeight="12.5"/>
  <cols>
    <col min="1" max="1" width="7.54296875" style="1" bestFit="1" customWidth="1"/>
    <col min="2" max="2" width="57.54296875" bestFit="1" customWidth="1"/>
    <col min="3" max="4" width="14.81640625" customWidth="1"/>
    <col min="5" max="6" width="14.453125" customWidth="1"/>
    <col min="7" max="7" width="15.453125" bestFit="1" customWidth="1"/>
    <col min="8" max="8" width="3.453125" customWidth="1"/>
    <col min="9" max="9" width="13.1796875" bestFit="1" customWidth="1"/>
    <col min="10" max="10" width="15" bestFit="1" customWidth="1"/>
    <col min="11" max="11" width="13.54296875" bestFit="1" customWidth="1"/>
    <col min="12" max="12" width="3.1796875" customWidth="1"/>
    <col min="13" max="13" width="13.1796875" bestFit="1" customWidth="1"/>
    <col min="14" max="14" width="13.1796875" customWidth="1"/>
    <col min="15" max="15" width="15" bestFit="1" customWidth="1"/>
    <col min="16" max="16" width="13.54296875" bestFit="1" customWidth="1"/>
    <col min="17" max="17" width="13.54296875" customWidth="1"/>
    <col min="18" max="18" width="3.1796875" customWidth="1"/>
    <col min="19" max="19" width="13.1796875" bestFit="1" customWidth="1"/>
    <col min="20" max="20" width="13.1796875" customWidth="1"/>
    <col min="21" max="21" width="15" bestFit="1" customWidth="1"/>
    <col min="22" max="22" width="13.54296875" bestFit="1" customWidth="1"/>
    <col min="23" max="23" width="13.54296875" customWidth="1"/>
  </cols>
  <sheetData>
    <row r="1" spans="1:23" ht="13">
      <c r="A1" s="1076"/>
      <c r="B1" s="1135" t="str">
        <f>TCOS!F9</f>
        <v xml:space="preserve">Indiana Michigan Power Company </v>
      </c>
      <c r="C1" s="1057"/>
      <c r="D1" s="1057"/>
      <c r="E1" s="1057"/>
      <c r="F1" s="1057"/>
      <c r="G1" s="1058"/>
      <c r="H1" s="1058"/>
      <c r="I1" s="1058"/>
      <c r="J1" s="1058"/>
      <c r="K1" s="1058"/>
      <c r="L1" s="1058"/>
      <c r="M1" s="1057"/>
      <c r="N1" s="1057"/>
      <c r="O1" s="1057"/>
      <c r="P1" s="1057"/>
      <c r="Q1" s="1057"/>
      <c r="R1" s="1057"/>
      <c r="S1" s="1057"/>
      <c r="T1" s="1057"/>
      <c r="U1" s="1057"/>
      <c r="V1" s="1058"/>
      <c r="W1" s="1058"/>
    </row>
    <row r="2" spans="1:23" ht="13">
      <c r="A2" s="1076"/>
      <c r="B2" s="1056" t="s">
        <v>831</v>
      </c>
      <c r="C2" s="1057"/>
      <c r="D2" s="1057"/>
      <c r="E2" s="1057"/>
      <c r="F2" s="1057"/>
      <c r="G2" s="1058"/>
      <c r="H2" s="1058"/>
      <c r="I2" s="1058"/>
      <c r="J2" s="1058"/>
      <c r="K2" s="1058"/>
      <c r="L2" s="1058"/>
      <c r="M2" s="1057"/>
      <c r="N2" s="1057"/>
      <c r="O2" s="1057"/>
      <c r="P2" s="1057"/>
      <c r="Q2" s="1057"/>
      <c r="R2" s="1057"/>
      <c r="S2" s="1057"/>
      <c r="T2" s="1057"/>
      <c r="U2" s="1057"/>
      <c r="V2" s="1058"/>
      <c r="W2" s="1058"/>
    </row>
    <row r="3" spans="1:23" ht="13">
      <c r="A3" s="1076"/>
      <c r="B3" s="1097" t="str">
        <f>"PERIOD ENDED DECEMBER 31, "&amp;TCOS!L4</f>
        <v>PERIOD ENDED DECEMBER 31, 2019</v>
      </c>
      <c r="C3" s="1057"/>
      <c r="D3" s="1057"/>
      <c r="E3" s="1057"/>
      <c r="F3" s="1057"/>
      <c r="G3" s="1057"/>
      <c r="H3" s="1057"/>
      <c r="I3" s="1057"/>
      <c r="J3" s="1057"/>
      <c r="K3" s="1057"/>
      <c r="L3" s="1057"/>
      <c r="M3" s="1057"/>
      <c r="N3" s="1057"/>
      <c r="O3" s="1057"/>
      <c r="P3" s="1057"/>
      <c r="Q3" s="1057"/>
      <c r="R3" s="1057"/>
      <c r="S3" s="1057"/>
      <c r="T3" s="1057"/>
      <c r="U3" s="1057"/>
      <c r="V3" s="1057"/>
      <c r="W3" s="1057"/>
    </row>
    <row r="4" spans="1:23">
      <c r="A4" s="1076"/>
      <c r="B4" s="1057"/>
      <c r="C4" s="1057"/>
      <c r="D4" s="1057"/>
      <c r="E4" s="1057"/>
      <c r="F4" s="1057"/>
      <c r="G4" s="978" t="s">
        <v>702</v>
      </c>
      <c r="H4" s="978"/>
      <c r="I4" s="978"/>
      <c r="J4" s="978"/>
      <c r="K4" s="978"/>
      <c r="L4" s="978"/>
      <c r="M4" s="1057"/>
      <c r="N4" s="1057"/>
      <c r="O4" s="1057"/>
      <c r="P4" s="1057"/>
      <c r="Q4" s="1057"/>
      <c r="R4" s="1057"/>
      <c r="S4" s="1057"/>
      <c r="T4" s="1057"/>
      <c r="U4" s="1057"/>
      <c r="V4" s="1057"/>
      <c r="W4" s="1057"/>
    </row>
    <row r="5" spans="1:23">
      <c r="A5" s="1076"/>
      <c r="B5" s="1059"/>
      <c r="C5" s="1057"/>
      <c r="D5" s="1057"/>
      <c r="E5" s="1057"/>
      <c r="F5" s="1057"/>
      <c r="G5" s="1057"/>
      <c r="H5" s="1057"/>
      <c r="I5" s="1057"/>
      <c r="J5" s="1057"/>
      <c r="K5" s="1057"/>
      <c r="L5" s="1057"/>
      <c r="M5" s="1057"/>
      <c r="N5" s="1057"/>
      <c r="O5" s="1057"/>
      <c r="P5" s="1057"/>
      <c r="Q5" s="1057"/>
      <c r="R5" s="1057"/>
      <c r="S5" s="1057"/>
      <c r="T5" s="1057"/>
      <c r="U5" s="1057"/>
      <c r="V5" s="1057"/>
      <c r="W5" s="1057"/>
    </row>
    <row r="6" spans="1:23">
      <c r="A6" s="1076"/>
      <c r="B6" s="1057"/>
      <c r="C6" s="1057"/>
      <c r="D6" s="1057"/>
      <c r="E6" s="1057"/>
      <c r="F6" s="1057"/>
      <c r="G6" s="1057"/>
      <c r="H6" s="1057"/>
      <c r="I6" s="1057"/>
      <c r="J6" s="1057"/>
      <c r="K6" s="1057"/>
      <c r="L6" s="1057"/>
      <c r="M6" s="1057"/>
      <c r="N6" s="1057"/>
      <c r="O6" s="1057"/>
      <c r="P6" s="1057"/>
      <c r="Q6" s="1057"/>
      <c r="R6" s="1057"/>
      <c r="S6" s="1057"/>
      <c r="T6" s="1057"/>
      <c r="U6" s="1057"/>
      <c r="V6" s="1057"/>
      <c r="W6" s="1057"/>
    </row>
    <row r="7" spans="1:23">
      <c r="A7" s="1076"/>
      <c r="B7" s="1057"/>
      <c r="C7" s="1057"/>
      <c r="D7" s="1057"/>
      <c r="E7" s="1057"/>
      <c r="F7" s="1057"/>
      <c r="G7" s="1057"/>
      <c r="H7" s="1057"/>
      <c r="I7" s="1057"/>
      <c r="J7" s="1057"/>
      <c r="K7" s="1057"/>
      <c r="L7" s="1057"/>
      <c r="M7" s="1057"/>
      <c r="N7" s="1057"/>
      <c r="O7" s="1057"/>
      <c r="P7" s="1057"/>
      <c r="Q7" s="1057"/>
      <c r="R7" s="1057"/>
      <c r="S7" s="1057"/>
      <c r="T7" s="1057"/>
      <c r="U7" s="1057"/>
      <c r="V7" s="1057"/>
      <c r="W7" s="1057"/>
    </row>
    <row r="8" spans="1:23">
      <c r="A8" s="1076"/>
      <c r="B8" s="1060" t="s">
        <v>703</v>
      </c>
      <c r="C8" s="1060" t="s">
        <v>704</v>
      </c>
      <c r="D8" s="1060" t="s">
        <v>705</v>
      </c>
      <c r="E8" s="1060" t="s">
        <v>706</v>
      </c>
      <c r="F8" s="1060" t="s">
        <v>707</v>
      </c>
      <c r="G8" s="1060" t="s">
        <v>708</v>
      </c>
      <c r="H8" s="1060"/>
      <c r="I8" s="1060" t="s">
        <v>709</v>
      </c>
      <c r="J8" s="1060" t="s">
        <v>710</v>
      </c>
      <c r="K8" s="1060" t="s">
        <v>711</v>
      </c>
      <c r="L8" s="1060"/>
      <c r="M8" s="1060" t="s">
        <v>712</v>
      </c>
      <c r="N8" s="1060" t="s">
        <v>713</v>
      </c>
      <c r="O8" s="1060" t="s">
        <v>714</v>
      </c>
      <c r="P8" s="1060" t="s">
        <v>715</v>
      </c>
      <c r="Q8" s="1060" t="s">
        <v>716</v>
      </c>
      <c r="R8" s="1057"/>
      <c r="S8" s="1060" t="s">
        <v>717</v>
      </c>
      <c r="T8" s="1060" t="s">
        <v>1337</v>
      </c>
      <c r="U8" s="1060" t="s">
        <v>1338</v>
      </c>
      <c r="V8" s="1060" t="s">
        <v>1339</v>
      </c>
      <c r="W8" s="1060" t="s">
        <v>1340</v>
      </c>
    </row>
    <row r="9" spans="1:23">
      <c r="A9" s="1076"/>
      <c r="B9" s="1057"/>
      <c r="C9" s="1057"/>
      <c r="D9" s="1057"/>
      <c r="E9" s="1057"/>
      <c r="F9" s="1057"/>
      <c r="G9" s="1057"/>
      <c r="H9" s="1057"/>
      <c r="I9" s="1057"/>
      <c r="J9" s="1057"/>
      <c r="K9" s="1057"/>
      <c r="L9" s="1057"/>
      <c r="M9" s="1057"/>
      <c r="N9" s="1057"/>
      <c r="O9" s="1057"/>
      <c r="P9" s="1057"/>
      <c r="Q9" s="1057"/>
      <c r="R9" s="1057"/>
      <c r="S9" s="1057"/>
      <c r="T9" s="1057"/>
      <c r="U9" s="1057"/>
      <c r="V9" s="1057"/>
      <c r="W9" s="1057"/>
    </row>
    <row r="10" spans="1:23">
      <c r="A10" s="1076"/>
      <c r="B10" s="1057"/>
      <c r="C10" s="1061" t="s">
        <v>718</v>
      </c>
      <c r="D10" s="1061"/>
      <c r="E10" s="1062" t="s">
        <v>719</v>
      </c>
      <c r="F10" s="1061"/>
      <c r="G10" s="22" t="s">
        <v>720</v>
      </c>
      <c r="H10" s="22"/>
      <c r="I10" s="1063" t="s">
        <v>721</v>
      </c>
      <c r="J10" s="1061"/>
      <c r="K10" s="1061"/>
      <c r="L10" s="22"/>
      <c r="M10" s="1063" t="str">
        <f>"FUNCTIONALIZATION 12/31/"&amp;TCOS!L4-1</f>
        <v>FUNCTIONALIZATION 12/31/2018</v>
      </c>
      <c r="N10" s="1063"/>
      <c r="O10" s="1061"/>
      <c r="P10" s="1061"/>
      <c r="Q10" s="1061"/>
      <c r="R10" s="1057"/>
      <c r="S10" s="1063" t="str">
        <f>"FUNCTIONALIZATION 12/31/"&amp;TCOS!L4</f>
        <v>FUNCTIONALIZATION 12/31/2019</v>
      </c>
      <c r="T10" s="1063"/>
      <c r="U10" s="1061"/>
      <c r="V10" s="1061"/>
      <c r="W10" s="1061"/>
    </row>
    <row r="11" spans="1:23">
      <c r="A11" s="1076"/>
      <c r="B11" s="1057"/>
      <c r="C11" s="1064"/>
      <c r="D11" s="1064"/>
      <c r="E11" s="1057"/>
      <c r="F11" s="1057"/>
      <c r="G11" s="22" t="s">
        <v>722</v>
      </c>
      <c r="H11" s="22"/>
      <c r="I11" s="1064"/>
      <c r="J11" s="1064"/>
      <c r="K11" s="1064"/>
      <c r="L11" s="22"/>
      <c r="M11" s="1064"/>
      <c r="N11" s="1064"/>
      <c r="O11" s="1064"/>
      <c r="P11" s="1064"/>
      <c r="Q11" s="1333"/>
      <c r="R11" s="1057"/>
      <c r="S11" s="1064"/>
      <c r="T11" s="1064"/>
      <c r="U11" s="1064"/>
      <c r="V11" s="1064"/>
      <c r="W11" s="1333"/>
    </row>
    <row r="12" spans="1:23" s="21" customFormat="1">
      <c r="A12" s="1076"/>
      <c r="B12" s="1057"/>
      <c r="C12" s="22" t="s">
        <v>723</v>
      </c>
      <c r="D12" s="22" t="s">
        <v>723</v>
      </c>
      <c r="E12" s="22" t="s">
        <v>723</v>
      </c>
      <c r="F12" s="22" t="s">
        <v>723</v>
      </c>
      <c r="G12" s="22" t="s">
        <v>724</v>
      </c>
      <c r="H12" s="22"/>
      <c r="I12" s="1057"/>
      <c r="J12" s="1057"/>
      <c r="K12" s="1057"/>
      <c r="L12" s="22"/>
      <c r="M12" s="1057"/>
      <c r="N12" s="1057"/>
      <c r="O12" s="1057"/>
      <c r="P12" s="1057"/>
      <c r="Q12" s="1057"/>
      <c r="R12" s="1057"/>
      <c r="S12" s="1057"/>
      <c r="T12" s="1057"/>
      <c r="U12" s="1057"/>
      <c r="V12" s="1057"/>
      <c r="W12" s="1057"/>
    </row>
    <row r="13" spans="1:23" s="21" customFormat="1">
      <c r="A13" s="1076"/>
      <c r="B13" s="1060" t="s">
        <v>725</v>
      </c>
      <c r="C13" s="1060" t="str">
        <f>"OF 12-31-"&amp;TCOS!L4-1</f>
        <v>OF 12-31-2018</v>
      </c>
      <c r="D13" s="1060" t="str">
        <f>"OF 12-31-"&amp;TCOS!L4</f>
        <v>OF 12-31-2019</v>
      </c>
      <c r="E13" s="1060" t="str">
        <f>"OF 12-31-"&amp;TCOS!L4-1</f>
        <v>OF 12-31-2018</v>
      </c>
      <c r="F13" s="1060" t="str">
        <f>"OF 12-31-"&amp;TCOS!L4</f>
        <v>OF 12-31-2019</v>
      </c>
      <c r="G13" s="1060" t="s">
        <v>726</v>
      </c>
      <c r="H13" s="1060"/>
      <c r="I13" s="1060" t="s">
        <v>727</v>
      </c>
      <c r="J13" s="1060" t="s">
        <v>728</v>
      </c>
      <c r="K13" s="1060" t="s">
        <v>729</v>
      </c>
      <c r="L13" s="1060"/>
      <c r="M13" s="1060" t="s">
        <v>727</v>
      </c>
      <c r="N13" s="1060" t="s">
        <v>1090</v>
      </c>
      <c r="O13" s="1060" t="s">
        <v>728</v>
      </c>
      <c r="P13" s="1060" t="s">
        <v>729</v>
      </c>
      <c r="Q13" s="1060" t="s">
        <v>1091</v>
      </c>
      <c r="R13" s="1057"/>
      <c r="S13" s="1060" t="s">
        <v>727</v>
      </c>
      <c r="T13" s="1060" t="s">
        <v>1090</v>
      </c>
      <c r="U13" s="1060" t="s">
        <v>728</v>
      </c>
      <c r="V13" s="1060" t="s">
        <v>729</v>
      </c>
      <c r="W13" s="1060" t="s">
        <v>1091</v>
      </c>
    </row>
    <row r="14" spans="1:23">
      <c r="A14" s="1076"/>
      <c r="B14" s="1057"/>
      <c r="C14" s="1057"/>
      <c r="D14" s="1057"/>
      <c r="E14" s="1057"/>
      <c r="F14" s="1057"/>
      <c r="G14" s="1057"/>
      <c r="H14" s="1057"/>
      <c r="I14" s="1057"/>
      <c r="J14" s="1057"/>
      <c r="K14" s="1057"/>
      <c r="L14" s="1057"/>
      <c r="M14" s="1057"/>
      <c r="N14" s="1057"/>
      <c r="O14" s="1057"/>
      <c r="P14" s="1057"/>
      <c r="Q14" s="1057"/>
      <c r="R14" s="1057"/>
      <c r="S14" s="1057"/>
      <c r="T14" s="1057"/>
      <c r="U14" s="1057"/>
      <c r="V14" s="1057"/>
      <c r="W14" s="1057"/>
    </row>
    <row r="15" spans="1:23">
      <c r="A15" s="1096">
        <v>1</v>
      </c>
      <c r="B15" s="854" t="s">
        <v>730</v>
      </c>
      <c r="C15" s="1066"/>
      <c r="D15" s="1066"/>
      <c r="E15" s="1066"/>
      <c r="F15" s="1067"/>
      <c r="G15" s="1066"/>
      <c r="H15" s="1066"/>
      <c r="I15" s="1066"/>
      <c r="J15" s="1066"/>
      <c r="K15" s="1066"/>
      <c r="L15" s="1066"/>
      <c r="M15" s="1066"/>
      <c r="N15" s="1066"/>
      <c r="O15" s="1066"/>
      <c r="P15" s="1066"/>
      <c r="Q15" s="1066"/>
      <c r="R15" s="1066"/>
      <c r="S15" s="1066"/>
      <c r="T15" s="1066"/>
      <c r="U15" s="1066"/>
      <c r="V15" s="1066"/>
      <c r="W15" s="1066"/>
    </row>
    <row r="16" spans="1:23">
      <c r="A16" s="1096">
        <v>2.0099999999999998</v>
      </c>
      <c r="B16" s="854"/>
      <c r="C16" s="1066"/>
      <c r="D16" s="1066"/>
      <c r="E16" s="1066"/>
      <c r="F16" s="1066"/>
      <c r="G16" s="1066"/>
      <c r="H16" s="1066"/>
      <c r="I16" s="1066"/>
      <c r="J16" s="1066"/>
      <c r="K16" s="1066"/>
      <c r="L16" s="1066"/>
      <c r="M16" s="1066"/>
      <c r="N16" s="1066"/>
      <c r="O16" s="1066"/>
      <c r="P16" s="1066"/>
      <c r="Q16" s="1066"/>
      <c r="R16" s="1066"/>
      <c r="S16" s="1066"/>
      <c r="T16" s="1066"/>
      <c r="U16" s="1066"/>
      <c r="V16" s="1066"/>
      <c r="W16" s="1066"/>
    </row>
    <row r="17" spans="1:23">
      <c r="A17" s="1096">
        <v>2.02</v>
      </c>
      <c r="B17" s="854" t="s">
        <v>1029</v>
      </c>
      <c r="C17" s="1066">
        <f>SUM(M17:P17)</f>
        <v>29456453</v>
      </c>
      <c r="D17" s="1066">
        <f>SUM(S17:V17)</f>
        <v>28729958.949999999</v>
      </c>
      <c r="E17" s="1066"/>
      <c r="F17" s="1066"/>
      <c r="G17" s="1066">
        <f>ROUND(SUM(C17:F17)/2,0)</f>
        <v>29093206</v>
      </c>
      <c r="H17" s="1066"/>
      <c r="I17" s="1066">
        <f>(M17+S17)/2</f>
        <v>29093205.975000001</v>
      </c>
      <c r="J17" s="1066">
        <f>(O17+U17)/2</f>
        <v>0</v>
      </c>
      <c r="K17" s="1066">
        <f>(P17+V17)/2</f>
        <v>0</v>
      </c>
      <c r="L17" s="1066"/>
      <c r="M17" s="854">
        <v>29456453</v>
      </c>
      <c r="N17" s="854"/>
      <c r="O17" s="854"/>
      <c r="P17" s="854"/>
      <c r="Q17" s="854"/>
      <c r="R17" s="1066"/>
      <c r="S17" s="854">
        <v>28729958.949999999</v>
      </c>
      <c r="T17" s="854"/>
      <c r="U17" s="854"/>
      <c r="V17" s="854"/>
      <c r="W17" s="854"/>
    </row>
    <row r="18" spans="1:23">
      <c r="A18" s="1096">
        <v>2.0299999999999998</v>
      </c>
      <c r="B18" s="854"/>
      <c r="C18" s="1066"/>
      <c r="D18" s="1066"/>
      <c r="E18" s="1066"/>
      <c r="F18" s="1066"/>
      <c r="G18" s="1066"/>
      <c r="H18" s="1066"/>
      <c r="I18" s="1066"/>
      <c r="J18" s="1066"/>
      <c r="K18" s="1066"/>
      <c r="L18" s="1066"/>
      <c r="M18" s="1066"/>
      <c r="N18" s="1066"/>
      <c r="O18" s="1066"/>
      <c r="P18" s="1066"/>
      <c r="Q18" s="1066"/>
      <c r="R18" s="1066"/>
      <c r="S18" s="1066"/>
      <c r="T18" s="1066"/>
      <c r="U18" s="1066"/>
      <c r="V18" s="1066"/>
      <c r="W18" s="1066"/>
    </row>
    <row r="19" spans="1:23">
      <c r="A19" s="1096">
        <v>2.04</v>
      </c>
      <c r="B19" s="854" t="s">
        <v>1030</v>
      </c>
      <c r="C19" s="1066">
        <v>0</v>
      </c>
      <c r="D19" s="1066">
        <v>0</v>
      </c>
      <c r="E19" s="1066">
        <f t="shared" ref="E19:F20" si="0">-C19</f>
        <v>0</v>
      </c>
      <c r="F19" s="1066">
        <f t="shared" si="0"/>
        <v>0</v>
      </c>
      <c r="G19" s="1066">
        <f>ROUND(SUM(C19:F19)/2,0)</f>
        <v>0</v>
      </c>
      <c r="H19" s="1066"/>
      <c r="I19" s="1066"/>
      <c r="J19" s="1066"/>
      <c r="K19" s="1066"/>
      <c r="L19" s="1066"/>
      <c r="M19" s="1066"/>
      <c r="N19" s="1066"/>
      <c r="O19" s="1066"/>
      <c r="P19" s="1066"/>
      <c r="Q19" s="1066"/>
      <c r="R19" s="1066"/>
      <c r="S19" s="1066"/>
      <c r="T19" s="1066"/>
      <c r="U19" s="1066"/>
      <c r="V19" s="1066"/>
      <c r="W19" s="1066"/>
    </row>
    <row r="20" spans="1:23">
      <c r="A20" s="1096">
        <v>2.0499999999999998</v>
      </c>
      <c r="B20" s="854" t="s">
        <v>1031</v>
      </c>
      <c r="C20" s="1066">
        <v>0</v>
      </c>
      <c r="D20" s="1066">
        <v>0</v>
      </c>
      <c r="E20" s="1066">
        <f t="shared" si="0"/>
        <v>0</v>
      </c>
      <c r="F20" s="1066">
        <f t="shared" si="0"/>
        <v>0</v>
      </c>
      <c r="G20" s="1066">
        <f>ROUND(SUM(C20:F20)/2,0)</f>
        <v>0</v>
      </c>
      <c r="H20" s="1066"/>
      <c r="I20" s="1066"/>
      <c r="J20" s="1066"/>
      <c r="K20" s="1066"/>
      <c r="L20" s="1066"/>
      <c r="M20" s="1066"/>
      <c r="N20" s="1066"/>
      <c r="O20" s="1066"/>
      <c r="P20" s="1066"/>
      <c r="Q20" s="1066"/>
      <c r="R20" s="1066"/>
      <c r="S20" s="1066"/>
      <c r="T20" s="1066"/>
      <c r="U20" s="1066"/>
      <c r="V20" s="1066"/>
      <c r="W20" s="1066"/>
    </row>
    <row r="21" spans="1:23">
      <c r="A21" s="1096">
        <v>2.06</v>
      </c>
      <c r="B21" s="854" t="s">
        <v>1032</v>
      </c>
      <c r="C21" s="1066">
        <f>-E21</f>
        <v>-11692443</v>
      </c>
      <c r="D21" s="1066">
        <f>-F21</f>
        <v>-11462674.720000001</v>
      </c>
      <c r="E21" s="1066">
        <v>11692443</v>
      </c>
      <c r="F21" s="1066">
        <v>11462674.720000001</v>
      </c>
      <c r="G21" s="1066">
        <f>ROUND(SUM(C21:F21)/2,0)</f>
        <v>0</v>
      </c>
      <c r="H21" s="1066"/>
      <c r="I21" s="1066"/>
      <c r="J21" s="1066"/>
      <c r="K21" s="1066"/>
      <c r="L21" s="1066"/>
      <c r="M21" s="1066"/>
      <c r="N21" s="1066"/>
      <c r="O21" s="1066"/>
      <c r="P21" s="1066"/>
      <c r="Q21" s="1066"/>
      <c r="R21" s="1066"/>
      <c r="S21" s="1066"/>
      <c r="T21" s="1066"/>
      <c r="U21" s="1066"/>
      <c r="V21" s="1066"/>
      <c r="W21" s="1066"/>
    </row>
    <row r="22" spans="1:23">
      <c r="A22" s="1092"/>
      <c r="B22" s="1057"/>
      <c r="C22" s="1066"/>
      <c r="D22" s="1066"/>
      <c r="E22" s="1066"/>
      <c r="F22" s="1066"/>
      <c r="G22" s="1066"/>
      <c r="H22" s="1066"/>
      <c r="I22" s="1066"/>
      <c r="J22" s="1066"/>
      <c r="K22" s="1066"/>
      <c r="L22" s="1066"/>
      <c r="M22" s="1066"/>
      <c r="N22" s="1066"/>
      <c r="O22" s="1066"/>
      <c r="P22" s="1066"/>
      <c r="Q22" s="1066"/>
      <c r="R22" s="1066"/>
      <c r="S22" s="1066"/>
      <c r="T22" s="1066"/>
      <c r="U22" s="1066"/>
      <c r="V22" s="1066"/>
      <c r="W22" s="1066"/>
    </row>
    <row r="23" spans="1:23" ht="13" thickBot="1">
      <c r="A23" s="1077">
        <v>3</v>
      </c>
      <c r="B23" s="247" t="s">
        <v>731</v>
      </c>
      <c r="C23" s="1069">
        <f>SUM(C17:C22)</f>
        <v>17764010</v>
      </c>
      <c r="D23" s="1069">
        <f>SUM(D17:D22)</f>
        <v>17267284.229999997</v>
      </c>
      <c r="E23" s="1069">
        <f>SUM(E17:E22)</f>
        <v>11692443</v>
      </c>
      <c r="F23" s="1069">
        <f>SUM(F17:F22)</f>
        <v>11462674.720000001</v>
      </c>
      <c r="G23" s="1069">
        <f>SUM(G17:G22)</f>
        <v>29093206</v>
      </c>
      <c r="H23" s="1066"/>
      <c r="I23" s="1069">
        <f>SUM(I17:I22)</f>
        <v>29093205.975000001</v>
      </c>
      <c r="J23" s="1069">
        <f>SUM(J17:J22)</f>
        <v>0</v>
      </c>
      <c r="K23" s="1069">
        <f>SUM(K17:K22)</f>
        <v>0</v>
      </c>
      <c r="L23" s="1066"/>
      <c r="M23" s="1069">
        <f>SUM(M17:M22)</f>
        <v>29456453</v>
      </c>
      <c r="N23" s="1069">
        <f>SUM(N17:N22)</f>
        <v>0</v>
      </c>
      <c r="O23" s="1069">
        <f>SUM(O17:O22)</f>
        <v>0</v>
      </c>
      <c r="P23" s="1069">
        <f>SUM(P17:P22)</f>
        <v>0</v>
      </c>
      <c r="Q23" s="1069">
        <f>SUM(Q17:Q22)</f>
        <v>0</v>
      </c>
      <c r="R23" s="1066"/>
      <c r="S23" s="1069">
        <f>SUM(S17:S22)</f>
        <v>28729958.949999999</v>
      </c>
      <c r="T23" s="1069">
        <f>SUM(T17:T22)</f>
        <v>0</v>
      </c>
      <c r="U23" s="1069">
        <f>SUM(U17:U22)</f>
        <v>0</v>
      </c>
      <c r="V23" s="1069">
        <f>SUM(V17:V22)</f>
        <v>0</v>
      </c>
      <c r="W23" s="1069">
        <f>SUM(W17:W22)</f>
        <v>0</v>
      </c>
    </row>
    <row r="24" spans="1:23" ht="13" thickTop="1">
      <c r="A24" s="1077">
        <f>A23+1</f>
        <v>4</v>
      </c>
      <c r="B24" s="1136" t="s">
        <v>749</v>
      </c>
      <c r="C24" s="1089">
        <v>0</v>
      </c>
      <c r="D24" s="1089">
        <v>0</v>
      </c>
      <c r="E24" s="1089">
        <v>0</v>
      </c>
      <c r="F24" s="1089">
        <v>0</v>
      </c>
      <c r="G24" s="1089">
        <v>0</v>
      </c>
      <c r="H24" s="1090"/>
      <c r="I24" s="1089">
        <v>0</v>
      </c>
      <c r="J24" s="1089">
        <v>0</v>
      </c>
      <c r="K24" s="1089">
        <v>0</v>
      </c>
      <c r="L24" s="1090"/>
      <c r="M24" s="1089">
        <v>0</v>
      </c>
      <c r="N24" s="1089">
        <v>0</v>
      </c>
      <c r="O24" s="1089">
        <v>0</v>
      </c>
      <c r="P24" s="1089">
        <v>0</v>
      </c>
      <c r="Q24" s="1089">
        <v>0</v>
      </c>
      <c r="R24" s="1090"/>
      <c r="S24" s="1089">
        <v>0</v>
      </c>
      <c r="T24" s="1089">
        <v>0</v>
      </c>
      <c r="U24" s="1089">
        <v>0</v>
      </c>
      <c r="V24" s="1089">
        <v>0</v>
      </c>
      <c r="W24" s="1089">
        <v>0</v>
      </c>
    </row>
    <row r="25" spans="1:23">
      <c r="A25" s="1077"/>
      <c r="B25" s="1057"/>
      <c r="C25" s="1066"/>
      <c r="D25" s="1066"/>
      <c r="E25" s="1066"/>
      <c r="F25" s="1066"/>
      <c r="G25" s="1066"/>
      <c r="H25" s="1066"/>
      <c r="I25" s="1066"/>
      <c r="J25" s="1066"/>
      <c r="K25" s="1066"/>
      <c r="L25" s="1066"/>
      <c r="M25" s="1066"/>
      <c r="N25" s="1066"/>
      <c r="O25" s="1066"/>
      <c r="P25" s="1066"/>
      <c r="Q25" s="1066"/>
      <c r="R25" s="1066"/>
      <c r="S25" s="1066"/>
      <c r="T25" s="1066"/>
      <c r="U25" s="1066"/>
      <c r="V25" s="1066"/>
      <c r="W25" s="1066"/>
    </row>
    <row r="26" spans="1:23">
      <c r="A26" s="1077">
        <v>5</v>
      </c>
      <c r="B26" s="1058" t="s">
        <v>732</v>
      </c>
      <c r="C26" s="1066"/>
      <c r="D26" s="1066"/>
      <c r="E26" s="1066"/>
      <c r="F26" s="1066"/>
      <c r="G26" s="1066"/>
      <c r="H26" s="1066"/>
      <c r="I26" s="1066"/>
      <c r="J26" s="1066"/>
      <c r="K26" s="1066"/>
      <c r="L26" s="1066"/>
      <c r="M26" s="1066"/>
      <c r="N26" s="1066"/>
      <c r="O26" s="1066"/>
      <c r="P26" s="1066"/>
      <c r="Q26" s="1066"/>
      <c r="R26" s="1066"/>
      <c r="S26" s="1066"/>
      <c r="T26" s="1066"/>
      <c r="U26" s="1066"/>
      <c r="V26" s="1066"/>
      <c r="W26" s="1066"/>
    </row>
    <row r="27" spans="1:23">
      <c r="A27" s="1093"/>
      <c r="B27" s="1057"/>
      <c r="C27" s="1066"/>
      <c r="D27" s="1066"/>
      <c r="E27" s="1066"/>
      <c r="F27" s="1066"/>
      <c r="G27" s="1066"/>
      <c r="H27" s="1066"/>
      <c r="I27" s="1066"/>
      <c r="J27" s="1066"/>
      <c r="K27" s="1066"/>
      <c r="L27" s="1066"/>
      <c r="M27" s="1066"/>
      <c r="N27" s="1066"/>
      <c r="O27" s="1066"/>
      <c r="P27" s="1066"/>
      <c r="Q27" s="1066"/>
      <c r="R27" s="1066"/>
      <c r="S27" s="1066"/>
      <c r="T27" s="1066"/>
      <c r="U27" s="1066"/>
      <c r="V27" s="1066"/>
      <c r="W27" s="1066"/>
    </row>
    <row r="28" spans="1:23">
      <c r="A28" s="1096">
        <v>5.01</v>
      </c>
      <c r="B28" s="854" t="s">
        <v>1033</v>
      </c>
      <c r="C28" s="1066">
        <f t="shared" ref="C28:C67" si="1">SUM(M28:P28)</f>
        <v>0</v>
      </c>
      <c r="D28" s="1066">
        <f t="shared" ref="D28:D67" si="2">SUM(S28:V28)</f>
        <v>0</v>
      </c>
      <c r="E28" s="1066"/>
      <c r="F28" s="1066"/>
      <c r="G28" s="1066">
        <f t="shared" ref="G28:G53" si="3">ROUND(SUM(C28:F28)/2,0)</f>
        <v>0</v>
      </c>
      <c r="H28" s="1066"/>
      <c r="I28" s="1066">
        <f t="shared" ref="I28:I68" si="4">(M28+S28)/2</f>
        <v>0</v>
      </c>
      <c r="J28" s="1066">
        <f t="shared" ref="J28:J68" si="5">(O28+U28)/2</f>
        <v>0</v>
      </c>
      <c r="K28" s="1066">
        <f t="shared" ref="K28:K68" si="6">(P28+V28)/2</f>
        <v>0</v>
      </c>
      <c r="L28" s="1066"/>
      <c r="M28" s="854">
        <v>0</v>
      </c>
      <c r="N28" s="854">
        <v>0</v>
      </c>
      <c r="O28" s="854">
        <v>0</v>
      </c>
      <c r="P28" s="854">
        <v>0</v>
      </c>
      <c r="Q28" s="854">
        <v>0</v>
      </c>
      <c r="R28" s="1066"/>
      <c r="S28" s="854">
        <v>0</v>
      </c>
      <c r="T28" s="854">
        <v>0</v>
      </c>
      <c r="U28" s="854">
        <v>0</v>
      </c>
      <c r="V28" s="854">
        <v>0</v>
      </c>
      <c r="W28" s="854">
        <v>0</v>
      </c>
    </row>
    <row r="29" spans="1:23">
      <c r="A29" s="1096">
        <f>A28+0.01</f>
        <v>5.0199999999999996</v>
      </c>
      <c r="B29" s="854" t="s">
        <v>1034</v>
      </c>
      <c r="C29" s="1066">
        <f>SUM(M29:P29)</f>
        <v>0</v>
      </c>
      <c r="D29" s="1066">
        <f>SUM(S29:V29)</f>
        <v>0</v>
      </c>
      <c r="E29" s="1066"/>
      <c r="F29" s="1066"/>
      <c r="G29" s="1066">
        <f t="shared" si="3"/>
        <v>0</v>
      </c>
      <c r="H29" s="1066"/>
      <c r="I29" s="1066">
        <f t="shared" si="4"/>
        <v>0</v>
      </c>
      <c r="J29" s="1066">
        <f t="shared" si="5"/>
        <v>0</v>
      </c>
      <c r="K29" s="1066">
        <f t="shared" si="6"/>
        <v>0</v>
      </c>
      <c r="L29" s="1066"/>
      <c r="M29" s="854">
        <v>0</v>
      </c>
      <c r="N29" s="854">
        <v>0</v>
      </c>
      <c r="O29" s="854">
        <v>0</v>
      </c>
      <c r="P29" s="854">
        <v>0</v>
      </c>
      <c r="Q29" s="854">
        <v>0</v>
      </c>
      <c r="R29" s="1066"/>
      <c r="S29" s="854">
        <v>0</v>
      </c>
      <c r="T29" s="854">
        <v>0</v>
      </c>
      <c r="U29" s="854">
        <v>0</v>
      </c>
      <c r="V29" s="854">
        <v>0</v>
      </c>
      <c r="W29" s="854">
        <v>0</v>
      </c>
    </row>
    <row r="30" spans="1:23">
      <c r="A30" s="1096">
        <f t="shared" ref="A30:A90" si="7">A29+0.01</f>
        <v>5.0299999999999994</v>
      </c>
      <c r="B30" s="854" t="s">
        <v>1035</v>
      </c>
      <c r="C30" s="1066">
        <f t="shared" si="1"/>
        <v>0</v>
      </c>
      <c r="D30" s="1066">
        <f t="shared" si="2"/>
        <v>0</v>
      </c>
      <c r="E30" s="1066"/>
      <c r="F30" s="1066"/>
      <c r="G30" s="1066">
        <f t="shared" si="3"/>
        <v>0</v>
      </c>
      <c r="H30" s="1066"/>
      <c r="I30" s="1066">
        <f t="shared" si="4"/>
        <v>0</v>
      </c>
      <c r="J30" s="1066">
        <f t="shared" si="5"/>
        <v>0</v>
      </c>
      <c r="K30" s="1066">
        <f t="shared" si="6"/>
        <v>0</v>
      </c>
      <c r="L30" s="1066"/>
      <c r="M30" s="1123">
        <v>0</v>
      </c>
      <c r="N30" s="1123">
        <v>0</v>
      </c>
      <c r="O30" s="1123">
        <v>0</v>
      </c>
      <c r="P30" s="854">
        <v>0</v>
      </c>
      <c r="Q30" s="854">
        <v>0</v>
      </c>
      <c r="R30" s="1066"/>
      <c r="S30" s="1123">
        <v>0</v>
      </c>
      <c r="T30" s="1123">
        <v>0</v>
      </c>
      <c r="U30" s="1123">
        <v>0</v>
      </c>
      <c r="V30" s="854">
        <v>0</v>
      </c>
      <c r="W30" s="854">
        <v>0</v>
      </c>
    </row>
    <row r="31" spans="1:23">
      <c r="A31" s="1096">
        <f t="shared" si="7"/>
        <v>5.0399999999999991</v>
      </c>
      <c r="B31" s="854" t="s">
        <v>1036</v>
      </c>
      <c r="C31" s="1066">
        <f>SUM(M31:P31)</f>
        <v>490296031.04999995</v>
      </c>
      <c r="D31" s="1066">
        <f>SUM(S31:V31)</f>
        <v>505087606.56</v>
      </c>
      <c r="E31" s="1066"/>
      <c r="F31" s="1066"/>
      <c r="G31" s="1066">
        <f t="shared" si="3"/>
        <v>497691819</v>
      </c>
      <c r="H31" s="1066"/>
      <c r="I31" s="1066">
        <f t="shared" si="4"/>
        <v>28154345.740000002</v>
      </c>
      <c r="J31" s="1066">
        <f t="shared" si="5"/>
        <v>106943738.39500001</v>
      </c>
      <c r="K31" s="1066">
        <f t="shared" si="6"/>
        <v>141208956.495</v>
      </c>
      <c r="L31" s="1066"/>
      <c r="M31" s="854">
        <v>29163097.280000001</v>
      </c>
      <c r="N31" s="854">
        <v>214901978.54999998</v>
      </c>
      <c r="O31" s="854">
        <v>105148815.84</v>
      </c>
      <c r="P31" s="854">
        <v>141082139.38</v>
      </c>
      <c r="Q31" s="854">
        <v>0</v>
      </c>
      <c r="R31" s="1066"/>
      <c r="S31" s="854">
        <v>27145594.199999999</v>
      </c>
      <c r="T31" s="854">
        <v>227867577.80000001</v>
      </c>
      <c r="U31" s="854">
        <v>108738660.95</v>
      </c>
      <c r="V31" s="854">
        <v>141335773.61000001</v>
      </c>
      <c r="W31" s="854">
        <v>0</v>
      </c>
    </row>
    <row r="32" spans="1:23">
      <c r="A32" s="1096">
        <f t="shared" si="7"/>
        <v>5.0499999999999989</v>
      </c>
      <c r="B32" s="854" t="s">
        <v>1344</v>
      </c>
      <c r="C32" s="1066">
        <f>SUM(M32:P32)</f>
        <v>0</v>
      </c>
      <c r="D32" s="1066">
        <f>SUM(S32:V32)</f>
        <v>-59906.38</v>
      </c>
      <c r="E32" s="1066"/>
      <c r="F32" s="1066"/>
      <c r="G32" s="1066">
        <f t="shared" ref="G32" si="8">ROUND(SUM(C32:F32)/2,0)</f>
        <v>-29953</v>
      </c>
      <c r="H32" s="1066"/>
      <c r="I32" s="1066">
        <f t="shared" ref="I32" si="9">(M32+S32)/2</f>
        <v>-29953.19</v>
      </c>
      <c r="J32" s="1066">
        <f t="shared" ref="J32" si="10">(O32+U32)/2</f>
        <v>0</v>
      </c>
      <c r="K32" s="1066">
        <f t="shared" ref="K32" si="11">(P32+V32)/2</f>
        <v>0</v>
      </c>
      <c r="L32" s="1066"/>
      <c r="M32" s="854"/>
      <c r="N32" s="854"/>
      <c r="O32" s="854"/>
      <c r="P32" s="854"/>
      <c r="Q32" s="854"/>
      <c r="R32" s="1066"/>
      <c r="S32" s="854">
        <v>-59906.38</v>
      </c>
      <c r="T32" s="854"/>
      <c r="U32" s="854"/>
      <c r="V32" s="854"/>
      <c r="W32" s="854"/>
    </row>
    <row r="33" spans="1:23">
      <c r="A33" s="1096">
        <f t="shared" si="7"/>
        <v>5.0599999999999987</v>
      </c>
      <c r="B33" s="854" t="s">
        <v>1037</v>
      </c>
      <c r="C33" s="1066">
        <f t="shared" si="1"/>
        <v>29510430.390000001</v>
      </c>
      <c r="D33" s="1066">
        <f t="shared" si="2"/>
        <v>33962561.849999994</v>
      </c>
      <c r="E33" s="1066"/>
      <c r="F33" s="1066"/>
      <c r="G33" s="1066">
        <f t="shared" si="3"/>
        <v>31736496</v>
      </c>
      <c r="H33" s="1066"/>
      <c r="I33" s="1066">
        <f t="shared" si="4"/>
        <v>1879021.62</v>
      </c>
      <c r="J33" s="1066">
        <f t="shared" si="5"/>
        <v>15021.3</v>
      </c>
      <c r="K33" s="1066">
        <f t="shared" si="6"/>
        <v>241887.66</v>
      </c>
      <c r="L33" s="1066"/>
      <c r="M33" s="854">
        <v>1879021.62</v>
      </c>
      <c r="N33" s="854">
        <v>27374499.809999999</v>
      </c>
      <c r="O33" s="854">
        <v>15021.3</v>
      </c>
      <c r="P33" s="854">
        <v>241887.66</v>
      </c>
      <c r="Q33" s="854">
        <v>0</v>
      </c>
      <c r="R33" s="1066"/>
      <c r="S33" s="854">
        <v>1879021.62</v>
      </c>
      <c r="T33" s="854">
        <v>31826631.27</v>
      </c>
      <c r="U33" s="854">
        <v>15021.3</v>
      </c>
      <c r="V33" s="854">
        <v>241887.66</v>
      </c>
      <c r="W33" s="854">
        <v>0</v>
      </c>
    </row>
    <row r="34" spans="1:23">
      <c r="A34" s="1096">
        <f t="shared" si="7"/>
        <v>5.0699999999999985</v>
      </c>
      <c r="B34" s="854" t="s">
        <v>1038</v>
      </c>
      <c r="C34" s="1066">
        <f t="shared" ref="C34:C41" si="12">SUM(M34:P34)</f>
        <v>14746.199999999999</v>
      </c>
      <c r="D34" s="1066">
        <f t="shared" ref="D34:D41" si="13">SUM(S34:V34)</f>
        <v>14746.199999999999</v>
      </c>
      <c r="E34" s="1066"/>
      <c r="F34" s="1066"/>
      <c r="G34" s="1066">
        <f t="shared" si="3"/>
        <v>14746</v>
      </c>
      <c r="H34" s="1066"/>
      <c r="I34" s="1066">
        <f t="shared" si="4"/>
        <v>918.33</v>
      </c>
      <c r="J34" s="1066">
        <f t="shared" si="5"/>
        <v>710.22</v>
      </c>
      <c r="K34" s="1066">
        <f t="shared" si="6"/>
        <v>1598.94</v>
      </c>
      <c r="L34" s="1066"/>
      <c r="M34" s="854">
        <v>918.33</v>
      </c>
      <c r="N34" s="854">
        <v>11518.71</v>
      </c>
      <c r="O34" s="854">
        <v>710.22</v>
      </c>
      <c r="P34" s="854">
        <v>1598.94</v>
      </c>
      <c r="Q34" s="854">
        <v>0</v>
      </c>
      <c r="R34" s="1066"/>
      <c r="S34" s="854">
        <v>918.33</v>
      </c>
      <c r="T34" s="854">
        <v>11518.71</v>
      </c>
      <c r="U34" s="854">
        <v>710.22</v>
      </c>
      <c r="V34" s="854">
        <v>1598.94</v>
      </c>
      <c r="W34" s="854">
        <v>0</v>
      </c>
    </row>
    <row r="35" spans="1:23">
      <c r="A35" s="1096">
        <f t="shared" si="7"/>
        <v>5.0799999999999983</v>
      </c>
      <c r="B35" s="854" t="s">
        <v>1039</v>
      </c>
      <c r="C35" s="1066">
        <f t="shared" si="12"/>
        <v>78384.81</v>
      </c>
      <c r="D35" s="1066">
        <f t="shared" si="13"/>
        <v>78384.81</v>
      </c>
      <c r="E35" s="1066"/>
      <c r="F35" s="1066"/>
      <c r="G35" s="1066">
        <f t="shared" si="3"/>
        <v>78385</v>
      </c>
      <c r="H35" s="1066"/>
      <c r="I35" s="1066">
        <f t="shared" si="4"/>
        <v>0</v>
      </c>
      <c r="J35" s="1066">
        <f t="shared" si="5"/>
        <v>0</v>
      </c>
      <c r="K35" s="1066">
        <f t="shared" si="6"/>
        <v>78384.81</v>
      </c>
      <c r="L35" s="1066"/>
      <c r="M35" s="1123">
        <v>0</v>
      </c>
      <c r="N35" s="1123">
        <v>0</v>
      </c>
      <c r="O35" s="1123">
        <v>0</v>
      </c>
      <c r="P35" s="854">
        <v>78384.81</v>
      </c>
      <c r="Q35" s="854">
        <v>0</v>
      </c>
      <c r="R35" s="1066"/>
      <c r="S35" s="1123">
        <v>0</v>
      </c>
      <c r="T35" s="1123">
        <v>0</v>
      </c>
      <c r="U35" s="1123">
        <v>0</v>
      </c>
      <c r="V35" s="854">
        <v>78384.81</v>
      </c>
      <c r="W35" s="854">
        <v>0</v>
      </c>
    </row>
    <row r="36" spans="1:23">
      <c r="A36" s="1096">
        <f t="shared" si="7"/>
        <v>5.0899999999999981</v>
      </c>
      <c r="B36" s="854" t="s">
        <v>1040</v>
      </c>
      <c r="C36" s="1066">
        <f t="shared" si="12"/>
        <v>95814.65</v>
      </c>
      <c r="D36" s="1066">
        <f t="shared" si="13"/>
        <v>66345.58</v>
      </c>
      <c r="E36" s="1066"/>
      <c r="F36" s="1066"/>
      <c r="G36" s="1066">
        <f t="shared" si="3"/>
        <v>81080</v>
      </c>
      <c r="H36" s="1066"/>
      <c r="I36" s="1066">
        <f t="shared" si="4"/>
        <v>0</v>
      </c>
      <c r="J36" s="1066">
        <f t="shared" si="5"/>
        <v>14734.395</v>
      </c>
      <c r="K36" s="1066">
        <f t="shared" si="6"/>
        <v>0</v>
      </c>
      <c r="L36" s="1066"/>
      <c r="M36" s="854">
        <v>0</v>
      </c>
      <c r="N36" s="854">
        <v>66345.72</v>
      </c>
      <c r="O36" s="854">
        <v>29468.93</v>
      </c>
      <c r="P36" s="854">
        <v>0</v>
      </c>
      <c r="Q36" s="854">
        <v>0</v>
      </c>
      <c r="R36" s="1066"/>
      <c r="S36" s="854">
        <v>0</v>
      </c>
      <c r="T36" s="854">
        <v>66345.72</v>
      </c>
      <c r="U36" s="854">
        <v>-0.14000000000000001</v>
      </c>
      <c r="V36" s="854">
        <v>0</v>
      </c>
      <c r="W36" s="854">
        <v>0</v>
      </c>
    </row>
    <row r="37" spans="1:23">
      <c r="A37" s="1096">
        <f t="shared" si="7"/>
        <v>5.0999999999999979</v>
      </c>
      <c r="B37" s="854" t="s">
        <v>1041</v>
      </c>
      <c r="C37" s="1071">
        <f>SUM(M37:P37)</f>
        <v>78750860.909999996</v>
      </c>
      <c r="D37" s="1071">
        <f t="shared" si="13"/>
        <v>74833150.049999982</v>
      </c>
      <c r="E37" s="1071"/>
      <c r="F37" s="1071"/>
      <c r="G37" s="1071">
        <f>ROUND(SUM(C37:F37)/2,0)</f>
        <v>76792005</v>
      </c>
      <c r="H37" s="1071"/>
      <c r="I37" s="1071">
        <f t="shared" si="4"/>
        <v>9385600.6850000005</v>
      </c>
      <c r="J37" s="1071">
        <f t="shared" si="5"/>
        <v>-1693.93</v>
      </c>
      <c r="K37" s="1071">
        <f t="shared" si="6"/>
        <v>88872.040000000008</v>
      </c>
      <c r="L37" s="1071"/>
      <c r="M37" s="854">
        <v>9256103.8100000005</v>
      </c>
      <c r="N37" s="854">
        <v>69408893.409999996</v>
      </c>
      <c r="O37" s="854">
        <v>-1693.93</v>
      </c>
      <c r="P37" s="854">
        <v>87557.62</v>
      </c>
      <c r="Q37" s="854">
        <v>0</v>
      </c>
      <c r="R37" s="1071"/>
      <c r="S37" s="854">
        <v>9515097.5600000005</v>
      </c>
      <c r="T37" s="854">
        <v>65229559.960000001</v>
      </c>
      <c r="U37" s="854">
        <v>-1693.93</v>
      </c>
      <c r="V37" s="854">
        <v>90186.46</v>
      </c>
      <c r="W37" s="854">
        <v>0</v>
      </c>
    </row>
    <row r="38" spans="1:23">
      <c r="A38" s="1096">
        <f t="shared" si="7"/>
        <v>5.1099999999999977</v>
      </c>
      <c r="B38" s="854" t="s">
        <v>1345</v>
      </c>
      <c r="C38" s="1066">
        <f t="shared" ref="C38" si="14">SUM(M38:P38)</f>
        <v>0</v>
      </c>
      <c r="D38" s="1066">
        <f t="shared" ref="D38" si="15">SUM(S38:V38)</f>
        <v>-5412604.2599999998</v>
      </c>
      <c r="E38" s="1066"/>
      <c r="F38" s="1066"/>
      <c r="G38" s="1066">
        <f t="shared" ref="G38" si="16">ROUND(SUM(C38:F38)/2,0)</f>
        <v>-2706302</v>
      </c>
      <c r="H38" s="1066"/>
      <c r="I38" s="1066">
        <f t="shared" ref="I38" si="17">(M38+S38)/2</f>
        <v>0</v>
      </c>
      <c r="J38" s="1066">
        <f t="shared" ref="J38" si="18">(O38+U38)/2</f>
        <v>-2706302.13</v>
      </c>
      <c r="K38" s="1066">
        <f t="shared" ref="K38" si="19">(P38+V38)/2</f>
        <v>0</v>
      </c>
      <c r="L38" s="1066"/>
      <c r="M38" s="854"/>
      <c r="N38" s="854"/>
      <c r="O38" s="854"/>
      <c r="P38" s="854"/>
      <c r="Q38" s="854"/>
      <c r="R38" s="1066"/>
      <c r="S38" s="854"/>
      <c r="T38" s="854"/>
      <c r="U38" s="854">
        <v>-5412604.2599999998</v>
      </c>
      <c r="V38" s="854"/>
      <c r="W38" s="854"/>
    </row>
    <row r="39" spans="1:23">
      <c r="A39" s="1096">
        <f t="shared" si="7"/>
        <v>5.1199999999999974</v>
      </c>
      <c r="B39" s="854" t="s">
        <v>1042</v>
      </c>
      <c r="C39" s="1066">
        <f t="shared" si="12"/>
        <v>43209809.319999993</v>
      </c>
      <c r="D39" s="1066">
        <f t="shared" si="13"/>
        <v>41324555.099999994</v>
      </c>
      <c r="E39" s="1066"/>
      <c r="F39" s="1066"/>
      <c r="G39" s="1066">
        <f t="shared" si="3"/>
        <v>42267182</v>
      </c>
      <c r="H39" s="1066"/>
      <c r="I39" s="1066">
        <f t="shared" si="4"/>
        <v>3652106.3649999998</v>
      </c>
      <c r="J39" s="1066">
        <f t="shared" si="5"/>
        <v>6586708.5700000003</v>
      </c>
      <c r="K39" s="1066">
        <f t="shared" si="6"/>
        <v>14933972.629999999</v>
      </c>
      <c r="L39" s="1066"/>
      <c r="M39" s="854">
        <v>3796809.1499999994</v>
      </c>
      <c r="N39" s="854">
        <v>17439946.620000001</v>
      </c>
      <c r="O39" s="854">
        <v>6786220.9899999993</v>
      </c>
      <c r="P39" s="854">
        <v>15186832.559999999</v>
      </c>
      <c r="Q39" s="854">
        <v>0</v>
      </c>
      <c r="R39" s="1066"/>
      <c r="S39" s="854">
        <v>3507403.58</v>
      </c>
      <c r="T39" s="854">
        <v>16748842.67</v>
      </c>
      <c r="U39" s="854">
        <v>6387196.1500000004</v>
      </c>
      <c r="V39" s="854">
        <v>14681112.699999999</v>
      </c>
      <c r="W39" s="854">
        <v>0</v>
      </c>
    </row>
    <row r="40" spans="1:23">
      <c r="A40" s="1096">
        <f t="shared" si="7"/>
        <v>5.1299999999999972</v>
      </c>
      <c r="B40" s="854" t="s">
        <v>1043</v>
      </c>
      <c r="C40" s="1066">
        <f t="shared" si="12"/>
        <v>-1120245.6099999999</v>
      </c>
      <c r="D40" s="1066">
        <f t="shared" si="13"/>
        <v>-1120245.6099999999</v>
      </c>
      <c r="E40" s="1066"/>
      <c r="F40" s="1066"/>
      <c r="G40" s="1066">
        <f t="shared" si="3"/>
        <v>-1120246</v>
      </c>
      <c r="H40" s="1066"/>
      <c r="I40" s="1066">
        <f t="shared" si="4"/>
        <v>-966515.5</v>
      </c>
      <c r="J40" s="1066">
        <f t="shared" si="5"/>
        <v>0</v>
      </c>
      <c r="K40" s="1066">
        <f t="shared" si="6"/>
        <v>0</v>
      </c>
      <c r="L40" s="1066"/>
      <c r="M40" s="854">
        <v>-966515.5</v>
      </c>
      <c r="N40" s="854">
        <v>-153730.10999999999</v>
      </c>
      <c r="O40" s="854">
        <v>0</v>
      </c>
      <c r="P40" s="854">
        <v>0</v>
      </c>
      <c r="Q40" s="854">
        <v>0</v>
      </c>
      <c r="R40" s="1066"/>
      <c r="S40" s="854">
        <v>-966515.5</v>
      </c>
      <c r="T40" s="854">
        <v>-153730.10999999999</v>
      </c>
      <c r="U40" s="854">
        <v>0</v>
      </c>
      <c r="V40" s="854">
        <v>0</v>
      </c>
      <c r="W40" s="854">
        <v>0</v>
      </c>
    </row>
    <row r="41" spans="1:23">
      <c r="A41" s="1096">
        <f t="shared" si="7"/>
        <v>5.139999999999997</v>
      </c>
      <c r="B41" s="854" t="s">
        <v>1044</v>
      </c>
      <c r="C41" s="1066">
        <f t="shared" si="12"/>
        <v>43001473.170000002</v>
      </c>
      <c r="D41" s="1066">
        <f t="shared" si="13"/>
        <v>43001473.170000002</v>
      </c>
      <c r="E41" s="1066"/>
      <c r="F41" s="1066"/>
      <c r="G41" s="1066">
        <f t="shared" si="3"/>
        <v>43001473</v>
      </c>
      <c r="H41" s="1066"/>
      <c r="I41" s="1066">
        <f t="shared" si="4"/>
        <v>43001473.170000002</v>
      </c>
      <c r="J41" s="1066">
        <f t="shared" si="5"/>
        <v>0</v>
      </c>
      <c r="K41" s="1066">
        <f t="shared" si="6"/>
        <v>0</v>
      </c>
      <c r="L41" s="1066"/>
      <c r="M41" s="854">
        <v>43001473.170000002</v>
      </c>
      <c r="N41" s="854">
        <v>0</v>
      </c>
      <c r="O41" s="854">
        <v>0</v>
      </c>
      <c r="P41" s="854">
        <v>0</v>
      </c>
      <c r="Q41" s="854">
        <v>0</v>
      </c>
      <c r="R41" s="1066"/>
      <c r="S41" s="854">
        <v>43001473.170000002</v>
      </c>
      <c r="T41" s="854">
        <v>0</v>
      </c>
      <c r="U41" s="854">
        <v>0</v>
      </c>
      <c r="V41" s="854">
        <v>0</v>
      </c>
      <c r="W41" s="854">
        <v>0</v>
      </c>
    </row>
    <row r="42" spans="1:23">
      <c r="A42" s="1096">
        <f t="shared" si="7"/>
        <v>5.1499999999999968</v>
      </c>
      <c r="B42" s="854" t="s">
        <v>1436</v>
      </c>
      <c r="C42" s="1066">
        <f t="shared" ref="C42" si="20">SUM(M42:P42)</f>
        <v>0</v>
      </c>
      <c r="D42" s="1066">
        <f t="shared" ref="D42" si="21">SUM(S42:V42)</f>
        <v>55620.6</v>
      </c>
      <c r="E42" s="1066"/>
      <c r="F42" s="1066"/>
      <c r="G42" s="1066">
        <f t="shared" ref="G42" si="22">ROUND(SUM(C42:F42)/2,0)</f>
        <v>27810</v>
      </c>
      <c r="H42" s="1066"/>
      <c r="I42" s="1066">
        <f t="shared" ref="I42" si="23">(M42+S42)/2</f>
        <v>27810.3</v>
      </c>
      <c r="J42" s="1066">
        <f t="shared" ref="J42" si="24">(O42+U42)/2</f>
        <v>0</v>
      </c>
      <c r="K42" s="1066">
        <f t="shared" ref="K42" si="25">(P42+V42)/2</f>
        <v>0</v>
      </c>
      <c r="L42" s="1066"/>
      <c r="M42" s="854"/>
      <c r="N42" s="854"/>
      <c r="O42" s="854"/>
      <c r="P42" s="854"/>
      <c r="Q42" s="854"/>
      <c r="R42" s="1066"/>
      <c r="S42" s="854">
        <v>55620.6</v>
      </c>
      <c r="T42" s="854"/>
      <c r="U42" s="854"/>
      <c r="V42" s="854"/>
      <c r="W42" s="854"/>
    </row>
    <row r="43" spans="1:23">
      <c r="A43" s="1096">
        <f t="shared" si="7"/>
        <v>5.1599999999999966</v>
      </c>
      <c r="B43" s="854" t="s">
        <v>1045</v>
      </c>
      <c r="C43" s="1066">
        <f t="shared" si="1"/>
        <v>13446907.25</v>
      </c>
      <c r="D43" s="1066">
        <f t="shared" si="2"/>
        <v>14317667.58</v>
      </c>
      <c r="E43" s="1066"/>
      <c r="F43" s="1066"/>
      <c r="G43" s="1066">
        <f t="shared" si="3"/>
        <v>13882287</v>
      </c>
      <c r="H43" s="1066"/>
      <c r="I43" s="1066">
        <f t="shared" si="4"/>
        <v>2517266.5300000003</v>
      </c>
      <c r="J43" s="1066">
        <f t="shared" si="5"/>
        <v>2511305.4750000001</v>
      </c>
      <c r="K43" s="1066">
        <f t="shared" si="6"/>
        <v>2604674.7799999998</v>
      </c>
      <c r="L43" s="1066"/>
      <c r="M43" s="854">
        <v>2508866.6900000004</v>
      </c>
      <c r="N43" s="854">
        <v>5968748.4900000002</v>
      </c>
      <c r="O43" s="854">
        <v>2451273.12</v>
      </c>
      <c r="P43" s="854">
        <v>2518018.9499999997</v>
      </c>
      <c r="Q43" s="854">
        <v>0</v>
      </c>
      <c r="R43" s="1066"/>
      <c r="S43" s="854">
        <v>2525666.37</v>
      </c>
      <c r="T43" s="854">
        <v>6529332.7699999996</v>
      </c>
      <c r="U43" s="854">
        <v>2571337.83</v>
      </c>
      <c r="V43" s="854">
        <v>2691330.61</v>
      </c>
      <c r="W43" s="854">
        <v>0</v>
      </c>
    </row>
    <row r="44" spans="1:23">
      <c r="A44" s="1096">
        <f t="shared" si="7"/>
        <v>5.1699999999999964</v>
      </c>
      <c r="B44" s="854" t="s">
        <v>1046</v>
      </c>
      <c r="C44" s="1066">
        <f t="shared" si="1"/>
        <v>268613.36000000034</v>
      </c>
      <c r="D44" s="1066">
        <f t="shared" si="2"/>
        <v>303567.88</v>
      </c>
      <c r="E44" s="1066"/>
      <c r="F44" s="1066"/>
      <c r="G44" s="1066">
        <f t="shared" si="3"/>
        <v>286091</v>
      </c>
      <c r="H44" s="1066"/>
      <c r="I44" s="1066">
        <f t="shared" si="4"/>
        <v>0</v>
      </c>
      <c r="J44" s="1066">
        <f t="shared" si="5"/>
        <v>0</v>
      </c>
      <c r="K44" s="1066">
        <f t="shared" si="6"/>
        <v>0</v>
      </c>
      <c r="L44" s="1066"/>
      <c r="M44" s="854">
        <v>0</v>
      </c>
      <c r="N44" s="854">
        <v>268613.36000000034</v>
      </c>
      <c r="O44" s="854">
        <v>0</v>
      </c>
      <c r="P44" s="854">
        <v>0</v>
      </c>
      <c r="Q44" s="854">
        <v>0</v>
      </c>
      <c r="R44" s="1066"/>
      <c r="S44" s="854">
        <v>0</v>
      </c>
      <c r="T44" s="854">
        <v>303567.88</v>
      </c>
      <c r="U44" s="854">
        <v>0</v>
      </c>
      <c r="V44" s="854">
        <v>0</v>
      </c>
      <c r="W44" s="854">
        <v>0</v>
      </c>
    </row>
    <row r="45" spans="1:23">
      <c r="A45" s="1096">
        <f t="shared" si="7"/>
        <v>5.1799999999999962</v>
      </c>
      <c r="B45" s="854" t="s">
        <v>1047</v>
      </c>
      <c r="C45" s="1066">
        <f t="shared" si="1"/>
        <v>0</v>
      </c>
      <c r="D45" s="1066">
        <f t="shared" si="2"/>
        <v>0</v>
      </c>
      <c r="E45" s="1066"/>
      <c r="F45" s="1066"/>
      <c r="G45" s="1066">
        <f t="shared" si="3"/>
        <v>0</v>
      </c>
      <c r="H45" s="1066"/>
      <c r="I45" s="1066">
        <f t="shared" si="4"/>
        <v>0</v>
      </c>
      <c r="J45" s="1066">
        <f t="shared" si="5"/>
        <v>0</v>
      </c>
      <c r="K45" s="1066">
        <f t="shared" si="6"/>
        <v>0</v>
      </c>
      <c r="L45" s="1066"/>
      <c r="M45" s="854">
        <v>0</v>
      </c>
      <c r="N45" s="854">
        <v>0</v>
      </c>
      <c r="O45" s="854">
        <v>0</v>
      </c>
      <c r="P45" s="854">
        <v>0</v>
      </c>
      <c r="Q45" s="854">
        <v>0</v>
      </c>
      <c r="R45" s="1066"/>
      <c r="S45" s="854">
        <v>0</v>
      </c>
      <c r="T45" s="854">
        <v>0</v>
      </c>
      <c r="U45" s="854">
        <v>0</v>
      </c>
      <c r="V45" s="854">
        <v>0</v>
      </c>
      <c r="W45" s="854">
        <v>0</v>
      </c>
    </row>
    <row r="46" spans="1:23">
      <c r="A46" s="1096">
        <f t="shared" si="7"/>
        <v>5.1899999999999959</v>
      </c>
      <c r="B46" s="854" t="s">
        <v>1048</v>
      </c>
      <c r="C46" s="1066">
        <f t="shared" si="1"/>
        <v>0.09</v>
      </c>
      <c r="D46" s="1066">
        <f t="shared" si="2"/>
        <v>0.09</v>
      </c>
      <c r="E46" s="1066"/>
      <c r="F46" s="1066"/>
      <c r="G46" s="1066">
        <f t="shared" si="3"/>
        <v>0</v>
      </c>
      <c r="H46" s="1066"/>
      <c r="I46" s="1066">
        <f t="shared" si="4"/>
        <v>0</v>
      </c>
      <c r="J46" s="1066">
        <f t="shared" si="5"/>
        <v>0.09</v>
      </c>
      <c r="K46" s="1066">
        <f t="shared" si="6"/>
        <v>0</v>
      </c>
      <c r="L46" s="1066"/>
      <c r="M46" s="854">
        <v>0</v>
      </c>
      <c r="N46" s="854">
        <v>0</v>
      </c>
      <c r="O46" s="854">
        <v>0.09</v>
      </c>
      <c r="P46" s="854">
        <v>0</v>
      </c>
      <c r="Q46" s="854">
        <v>0</v>
      </c>
      <c r="R46" s="1066"/>
      <c r="S46" s="854">
        <v>0</v>
      </c>
      <c r="T46" s="854">
        <v>0</v>
      </c>
      <c r="U46" s="854">
        <v>0.09</v>
      </c>
      <c r="V46" s="854">
        <v>0</v>
      </c>
      <c r="W46" s="854">
        <v>0</v>
      </c>
    </row>
    <row r="47" spans="1:23">
      <c r="A47" s="1096">
        <f t="shared" si="7"/>
        <v>5.1999999999999957</v>
      </c>
      <c r="B47" s="854" t="s">
        <v>1049</v>
      </c>
      <c r="C47" s="1066">
        <f t="shared" si="1"/>
        <v>0</v>
      </c>
      <c r="D47" s="1066">
        <f t="shared" si="2"/>
        <v>0</v>
      </c>
      <c r="E47" s="1066"/>
      <c r="F47" s="1066"/>
      <c r="G47" s="1066">
        <f t="shared" si="3"/>
        <v>0</v>
      </c>
      <c r="H47" s="1066"/>
      <c r="I47" s="1066">
        <f t="shared" si="4"/>
        <v>0</v>
      </c>
      <c r="J47" s="1066">
        <f t="shared" si="5"/>
        <v>0</v>
      </c>
      <c r="K47" s="1066">
        <f t="shared" si="6"/>
        <v>0</v>
      </c>
      <c r="L47" s="1066"/>
      <c r="M47" s="854">
        <v>0</v>
      </c>
      <c r="N47" s="854">
        <v>0</v>
      </c>
      <c r="O47" s="854">
        <v>0</v>
      </c>
      <c r="P47" s="854">
        <v>0</v>
      </c>
      <c r="Q47" s="854">
        <v>0</v>
      </c>
      <c r="R47" s="1066"/>
      <c r="S47" s="854">
        <v>0</v>
      </c>
      <c r="T47" s="854">
        <v>0</v>
      </c>
      <c r="U47" s="854">
        <v>0</v>
      </c>
      <c r="V47" s="854">
        <v>0</v>
      </c>
      <c r="W47" s="854">
        <v>0</v>
      </c>
    </row>
    <row r="48" spans="1:23">
      <c r="A48" s="1096">
        <f t="shared" si="7"/>
        <v>5.2099999999999955</v>
      </c>
      <c r="B48" s="854" t="s">
        <v>1050</v>
      </c>
      <c r="C48" s="1066">
        <f t="shared" si="1"/>
        <v>95.320000000065193</v>
      </c>
      <c r="D48" s="1066">
        <f t="shared" si="2"/>
        <v>0.32</v>
      </c>
      <c r="E48" s="1066"/>
      <c r="F48" s="1066"/>
      <c r="G48" s="1066">
        <f t="shared" si="3"/>
        <v>48</v>
      </c>
      <c r="H48" s="1066"/>
      <c r="I48" s="1066">
        <f t="shared" si="4"/>
        <v>47.820000000032593</v>
      </c>
      <c r="J48" s="1066">
        <f t="shared" si="5"/>
        <v>0</v>
      </c>
      <c r="K48" s="1066">
        <f t="shared" si="6"/>
        <v>0</v>
      </c>
      <c r="L48" s="1066"/>
      <c r="M48" s="854">
        <v>95.320000000065193</v>
      </c>
      <c r="N48" s="854">
        <v>0</v>
      </c>
      <c r="O48" s="854">
        <v>0</v>
      </c>
      <c r="P48" s="854">
        <v>0</v>
      </c>
      <c r="Q48" s="854">
        <v>0</v>
      </c>
      <c r="R48" s="1066"/>
      <c r="S48" s="854">
        <v>0.32</v>
      </c>
      <c r="T48" s="854">
        <v>0</v>
      </c>
      <c r="U48" s="854">
        <v>0</v>
      </c>
      <c r="V48" s="854">
        <v>0</v>
      </c>
      <c r="W48" s="854">
        <v>0</v>
      </c>
    </row>
    <row r="49" spans="1:23">
      <c r="A49" s="1096">
        <f t="shared" si="7"/>
        <v>5.2199999999999953</v>
      </c>
      <c r="B49" s="854" t="s">
        <v>1051</v>
      </c>
      <c r="C49" s="1066">
        <f t="shared" si="1"/>
        <v>0</v>
      </c>
      <c r="D49" s="1066">
        <f t="shared" si="2"/>
        <v>0</v>
      </c>
      <c r="E49" s="1066"/>
      <c r="F49" s="1066"/>
      <c r="G49" s="1066">
        <f t="shared" si="3"/>
        <v>0</v>
      </c>
      <c r="H49" s="1066"/>
      <c r="I49" s="1066">
        <f t="shared" si="4"/>
        <v>0</v>
      </c>
      <c r="J49" s="1066">
        <f t="shared" si="5"/>
        <v>0</v>
      </c>
      <c r="K49" s="1066">
        <f t="shared" si="6"/>
        <v>0</v>
      </c>
      <c r="L49" s="1066"/>
      <c r="M49" s="854">
        <v>0</v>
      </c>
      <c r="N49" s="854">
        <v>0</v>
      </c>
      <c r="O49" s="854">
        <v>0</v>
      </c>
      <c r="P49" s="854">
        <v>0</v>
      </c>
      <c r="Q49" s="854">
        <v>0</v>
      </c>
      <c r="R49" s="1066"/>
      <c r="S49" s="854">
        <v>0</v>
      </c>
      <c r="T49" s="854">
        <v>0</v>
      </c>
      <c r="U49" s="854">
        <v>0</v>
      </c>
      <c r="V49" s="854">
        <v>0</v>
      </c>
      <c r="W49" s="854">
        <v>0</v>
      </c>
    </row>
    <row r="50" spans="1:23">
      <c r="A50" s="1096">
        <f t="shared" si="7"/>
        <v>5.2299999999999951</v>
      </c>
      <c r="B50" s="854" t="s">
        <v>1052</v>
      </c>
      <c r="C50" s="1066">
        <f t="shared" si="1"/>
        <v>0</v>
      </c>
      <c r="D50" s="1066">
        <f t="shared" si="2"/>
        <v>0</v>
      </c>
      <c r="E50" s="1066"/>
      <c r="F50" s="1066"/>
      <c r="G50" s="1066">
        <f t="shared" si="3"/>
        <v>0</v>
      </c>
      <c r="H50" s="1066"/>
      <c r="I50" s="1066">
        <f t="shared" si="4"/>
        <v>0</v>
      </c>
      <c r="J50" s="1066">
        <f t="shared" si="5"/>
        <v>0</v>
      </c>
      <c r="K50" s="1066">
        <f t="shared" si="6"/>
        <v>0</v>
      </c>
      <c r="L50" s="1066"/>
      <c r="M50" s="854">
        <v>0</v>
      </c>
      <c r="N50" s="854">
        <v>0</v>
      </c>
      <c r="O50" s="854">
        <v>0</v>
      </c>
      <c r="P50" s="854">
        <v>0</v>
      </c>
      <c r="Q50" s="854">
        <v>0</v>
      </c>
      <c r="R50" s="1066"/>
      <c r="S50" s="854">
        <v>0</v>
      </c>
      <c r="T50" s="854">
        <v>0</v>
      </c>
      <c r="U50" s="854">
        <v>0</v>
      </c>
      <c r="V50" s="854">
        <v>0</v>
      </c>
      <c r="W50" s="854">
        <v>0</v>
      </c>
    </row>
    <row r="51" spans="1:23">
      <c r="A51" s="1096">
        <f t="shared" si="7"/>
        <v>5.2399999999999949</v>
      </c>
      <c r="B51" s="854" t="s">
        <v>1053</v>
      </c>
      <c r="C51" s="1066">
        <f t="shared" si="1"/>
        <v>0</v>
      </c>
      <c r="D51" s="1066">
        <f t="shared" si="2"/>
        <v>0</v>
      </c>
      <c r="E51" s="1066"/>
      <c r="F51" s="1066"/>
      <c r="G51" s="1066">
        <f t="shared" si="3"/>
        <v>0</v>
      </c>
      <c r="H51" s="1066"/>
      <c r="I51" s="1066">
        <f t="shared" si="4"/>
        <v>0</v>
      </c>
      <c r="J51" s="1066">
        <f t="shared" si="5"/>
        <v>0</v>
      </c>
      <c r="K51" s="1066">
        <f t="shared" si="6"/>
        <v>0</v>
      </c>
      <c r="L51" s="1066"/>
      <c r="M51" s="854">
        <v>0</v>
      </c>
      <c r="N51" s="854">
        <v>0</v>
      </c>
      <c r="O51" s="854">
        <v>0</v>
      </c>
      <c r="P51" s="854">
        <v>0</v>
      </c>
      <c r="Q51" s="854">
        <v>0</v>
      </c>
      <c r="R51" s="1066"/>
      <c r="S51" s="854">
        <v>0</v>
      </c>
      <c r="T51" s="854">
        <v>0</v>
      </c>
      <c r="U51" s="854">
        <v>0</v>
      </c>
      <c r="V51" s="854">
        <v>0</v>
      </c>
      <c r="W51" s="854">
        <v>0</v>
      </c>
    </row>
    <row r="52" spans="1:23">
      <c r="A52" s="1096">
        <f t="shared" si="7"/>
        <v>5.2499999999999947</v>
      </c>
      <c r="B52" s="854" t="s">
        <v>1054</v>
      </c>
      <c r="C52" s="1066">
        <f t="shared" ref="C52:C58" si="26">SUM(M52:P52)</f>
        <v>0</v>
      </c>
      <c r="D52" s="1066">
        <f t="shared" ref="D52:D58" si="27">SUM(S52:V52)</f>
        <v>0</v>
      </c>
      <c r="E52" s="1066"/>
      <c r="F52" s="1066"/>
      <c r="G52" s="1066">
        <f t="shared" si="3"/>
        <v>0</v>
      </c>
      <c r="H52" s="1066"/>
      <c r="I52" s="1066">
        <f t="shared" si="4"/>
        <v>0</v>
      </c>
      <c r="J52" s="1066">
        <f t="shared" si="5"/>
        <v>0</v>
      </c>
      <c r="K52" s="1066">
        <f t="shared" si="6"/>
        <v>0</v>
      </c>
      <c r="L52" s="1066"/>
      <c r="M52" s="854">
        <v>0</v>
      </c>
      <c r="N52" s="854">
        <v>0</v>
      </c>
      <c r="O52" s="854">
        <v>0</v>
      </c>
      <c r="P52" s="854">
        <v>0</v>
      </c>
      <c r="Q52" s="854">
        <v>0</v>
      </c>
      <c r="R52" s="1066"/>
      <c r="S52" s="854">
        <v>0</v>
      </c>
      <c r="T52" s="854">
        <v>0</v>
      </c>
      <c r="U52" s="854">
        <v>0</v>
      </c>
      <c r="V52" s="854">
        <v>0</v>
      </c>
      <c r="W52" s="854">
        <v>0</v>
      </c>
    </row>
    <row r="53" spans="1:23">
      <c r="A53" s="1096">
        <f t="shared" si="7"/>
        <v>5.2599999999999945</v>
      </c>
      <c r="B53" s="854" t="s">
        <v>1055</v>
      </c>
      <c r="C53" s="1066">
        <f t="shared" si="26"/>
        <v>0</v>
      </c>
      <c r="D53" s="1066">
        <f t="shared" si="27"/>
        <v>0</v>
      </c>
      <c r="E53" s="1066"/>
      <c r="F53" s="1066"/>
      <c r="G53" s="1066">
        <f t="shared" si="3"/>
        <v>0</v>
      </c>
      <c r="H53" s="1066"/>
      <c r="I53" s="1066">
        <f t="shared" si="4"/>
        <v>0</v>
      </c>
      <c r="J53" s="1066">
        <f t="shared" si="5"/>
        <v>0</v>
      </c>
      <c r="K53" s="1066">
        <f t="shared" si="6"/>
        <v>0</v>
      </c>
      <c r="L53" s="1066"/>
      <c r="M53" s="854">
        <v>0</v>
      </c>
      <c r="N53" s="854">
        <v>0</v>
      </c>
      <c r="O53" s="854">
        <v>0</v>
      </c>
      <c r="P53" s="854">
        <v>0</v>
      </c>
      <c r="Q53" s="854">
        <v>0</v>
      </c>
      <c r="R53" s="1066"/>
      <c r="S53" s="854">
        <v>0</v>
      </c>
      <c r="T53" s="854">
        <v>0</v>
      </c>
      <c r="U53" s="854">
        <v>0</v>
      </c>
      <c r="V53" s="854">
        <v>0</v>
      </c>
      <c r="W53" s="854">
        <v>0</v>
      </c>
    </row>
    <row r="54" spans="1:23">
      <c r="A54" s="1096">
        <f t="shared" si="7"/>
        <v>5.2699999999999942</v>
      </c>
      <c r="B54" s="854" t="s">
        <v>1056</v>
      </c>
      <c r="C54" s="1066">
        <f t="shared" si="26"/>
        <v>0</v>
      </c>
      <c r="D54" s="1066">
        <f t="shared" si="27"/>
        <v>0</v>
      </c>
      <c r="E54" s="1066"/>
      <c r="F54" s="1066"/>
      <c r="G54" s="1066">
        <f>ROUND(SUM(C54:F54)/2,0)</f>
        <v>0</v>
      </c>
      <c r="H54" s="1066"/>
      <c r="I54" s="1066">
        <f t="shared" si="4"/>
        <v>0</v>
      </c>
      <c r="J54" s="1066">
        <f t="shared" si="5"/>
        <v>0</v>
      </c>
      <c r="K54" s="1066">
        <f t="shared" si="6"/>
        <v>0</v>
      </c>
      <c r="L54" s="1066"/>
      <c r="M54" s="854">
        <v>0</v>
      </c>
      <c r="N54" s="854">
        <v>0</v>
      </c>
      <c r="O54" s="854">
        <v>0</v>
      </c>
      <c r="P54" s="854">
        <v>0</v>
      </c>
      <c r="Q54" s="854">
        <v>0</v>
      </c>
      <c r="R54" s="1066"/>
      <c r="S54" s="854">
        <v>0</v>
      </c>
      <c r="T54" s="854">
        <v>0</v>
      </c>
      <c r="U54" s="854">
        <v>0</v>
      </c>
      <c r="V54" s="854">
        <v>0</v>
      </c>
      <c r="W54" s="854">
        <v>0</v>
      </c>
    </row>
    <row r="55" spans="1:23">
      <c r="A55" s="1096">
        <f t="shared" si="7"/>
        <v>5.279999999999994</v>
      </c>
      <c r="B55" s="854" t="s">
        <v>1057</v>
      </c>
      <c r="C55" s="1066">
        <f t="shared" si="26"/>
        <v>0</v>
      </c>
      <c r="D55" s="1066">
        <f t="shared" si="27"/>
        <v>0</v>
      </c>
      <c r="E55" s="1066"/>
      <c r="F55" s="1066"/>
      <c r="G55" s="1066">
        <f>ROUND(SUM(C55:F55)/2,0)</f>
        <v>0</v>
      </c>
      <c r="H55" s="1066"/>
      <c r="I55" s="1066">
        <f t="shared" si="4"/>
        <v>0</v>
      </c>
      <c r="J55" s="1066">
        <f t="shared" si="5"/>
        <v>0</v>
      </c>
      <c r="K55" s="1066">
        <f t="shared" si="6"/>
        <v>0</v>
      </c>
      <c r="L55" s="1066"/>
      <c r="M55" s="854">
        <v>0</v>
      </c>
      <c r="N55" s="854">
        <v>0</v>
      </c>
      <c r="O55" s="854">
        <v>0</v>
      </c>
      <c r="P55" s="854">
        <v>0</v>
      </c>
      <c r="Q55" s="854">
        <v>0</v>
      </c>
      <c r="R55" s="1066"/>
      <c r="S55" s="854">
        <v>0</v>
      </c>
      <c r="T55" s="854">
        <v>0</v>
      </c>
      <c r="U55" s="854">
        <v>0</v>
      </c>
      <c r="V55" s="854">
        <v>0</v>
      </c>
      <c r="W55" s="854">
        <v>0</v>
      </c>
    </row>
    <row r="56" spans="1:23">
      <c r="A56" s="1096">
        <f t="shared" si="7"/>
        <v>5.2899999999999938</v>
      </c>
      <c r="B56" s="854" t="s">
        <v>1058</v>
      </c>
      <c r="C56" s="1066">
        <f t="shared" si="26"/>
        <v>0</v>
      </c>
      <c r="D56" s="1066">
        <f t="shared" si="27"/>
        <v>0</v>
      </c>
      <c r="E56" s="1066"/>
      <c r="F56" s="1066"/>
      <c r="G56" s="1066">
        <f>ROUND(SUM(C56:F56)/2,0)</f>
        <v>0</v>
      </c>
      <c r="H56" s="1066"/>
      <c r="I56" s="1066">
        <f t="shared" si="4"/>
        <v>0</v>
      </c>
      <c r="J56" s="1066">
        <f t="shared" si="5"/>
        <v>0</v>
      </c>
      <c r="K56" s="1066">
        <f t="shared" si="6"/>
        <v>0</v>
      </c>
      <c r="L56" s="1066"/>
      <c r="M56" s="854">
        <v>0</v>
      </c>
      <c r="N56" s="854">
        <v>0</v>
      </c>
      <c r="O56" s="854">
        <v>0</v>
      </c>
      <c r="P56" s="854">
        <v>0</v>
      </c>
      <c r="Q56" s="854">
        <v>0</v>
      </c>
      <c r="R56" s="1066"/>
      <c r="S56" s="854">
        <v>0</v>
      </c>
      <c r="T56" s="854">
        <v>0</v>
      </c>
      <c r="U56" s="854">
        <v>0</v>
      </c>
      <c r="V56" s="854">
        <v>0</v>
      </c>
      <c r="W56" s="854">
        <v>0</v>
      </c>
    </row>
    <row r="57" spans="1:23">
      <c r="A57" s="1096">
        <f t="shared" si="7"/>
        <v>5.2999999999999936</v>
      </c>
      <c r="B57" s="854" t="s">
        <v>1059</v>
      </c>
      <c r="C57" s="1066">
        <f t="shared" si="26"/>
        <v>0</v>
      </c>
      <c r="D57" s="1066">
        <f t="shared" si="27"/>
        <v>0</v>
      </c>
      <c r="E57" s="1066"/>
      <c r="F57" s="1066"/>
      <c r="G57" s="1066">
        <f>ROUND(SUM(C57:F57)/2,0)</f>
        <v>0</v>
      </c>
      <c r="H57" s="1066"/>
      <c r="I57" s="1066">
        <f t="shared" si="4"/>
        <v>0</v>
      </c>
      <c r="J57" s="1066">
        <f t="shared" si="5"/>
        <v>0</v>
      </c>
      <c r="K57" s="1066">
        <f t="shared" si="6"/>
        <v>0</v>
      </c>
      <c r="L57" s="1066"/>
      <c r="M57" s="854">
        <v>0</v>
      </c>
      <c r="N57" s="854">
        <v>0</v>
      </c>
      <c r="O57" s="854">
        <v>0</v>
      </c>
      <c r="P57" s="854">
        <v>0</v>
      </c>
      <c r="Q57" s="854">
        <v>0</v>
      </c>
      <c r="R57" s="1066"/>
      <c r="S57" s="854">
        <v>0</v>
      </c>
      <c r="T57" s="854">
        <v>0</v>
      </c>
      <c r="U57" s="854">
        <v>0</v>
      </c>
      <c r="V57" s="854">
        <v>0</v>
      </c>
      <c r="W57" s="854">
        <v>0</v>
      </c>
    </row>
    <row r="58" spans="1:23">
      <c r="A58" s="1096">
        <f t="shared" si="7"/>
        <v>5.3099999999999934</v>
      </c>
      <c r="B58" s="854" t="s">
        <v>1060</v>
      </c>
      <c r="C58" s="1066">
        <f t="shared" si="26"/>
        <v>-3.5999999999999091</v>
      </c>
      <c r="D58" s="1066">
        <f t="shared" si="27"/>
        <v>-3.5999999999999091</v>
      </c>
      <c r="E58" s="1066"/>
      <c r="F58" s="1066"/>
      <c r="G58" s="1066">
        <f>ROUND(SUM(C58:F58)/2,0)</f>
        <v>-4</v>
      </c>
      <c r="H58" s="1066"/>
      <c r="I58" s="1066">
        <f t="shared" si="4"/>
        <v>-3.5999999999999091</v>
      </c>
      <c r="J58" s="1066">
        <f t="shared" si="5"/>
        <v>0</v>
      </c>
      <c r="K58" s="1066">
        <f t="shared" si="6"/>
        <v>0</v>
      </c>
      <c r="L58" s="1066"/>
      <c r="M58" s="854">
        <v>-3.5999999999999091</v>
      </c>
      <c r="N58" s="854">
        <v>0</v>
      </c>
      <c r="O58" s="854">
        <v>0</v>
      </c>
      <c r="P58" s="854">
        <v>0</v>
      </c>
      <c r="Q58" s="854">
        <v>0</v>
      </c>
      <c r="R58" s="1066"/>
      <c r="S58" s="854">
        <v>-3.5999999999999091</v>
      </c>
      <c r="T58" s="854">
        <v>0</v>
      </c>
      <c r="U58" s="854">
        <v>0</v>
      </c>
      <c r="V58" s="854">
        <v>0</v>
      </c>
      <c r="W58" s="854">
        <v>0</v>
      </c>
    </row>
    <row r="59" spans="1:23">
      <c r="A59" s="1096">
        <f t="shared" si="7"/>
        <v>5.3199999999999932</v>
      </c>
      <c r="B59" s="854" t="s">
        <v>1061</v>
      </c>
      <c r="C59" s="1066">
        <f t="shared" si="1"/>
        <v>0</v>
      </c>
      <c r="D59" s="1066">
        <f t="shared" si="2"/>
        <v>0</v>
      </c>
      <c r="E59" s="1066"/>
      <c r="F59" s="1066"/>
      <c r="G59" s="1066">
        <f t="shared" ref="G59:G67" si="28">ROUND(SUM(C59:F59)/2,0)</f>
        <v>0</v>
      </c>
      <c r="H59" s="1066"/>
      <c r="I59" s="1066">
        <f t="shared" si="4"/>
        <v>0</v>
      </c>
      <c r="J59" s="1066">
        <f t="shared" si="5"/>
        <v>0</v>
      </c>
      <c r="K59" s="1066">
        <f t="shared" si="6"/>
        <v>0</v>
      </c>
      <c r="L59" s="1066"/>
      <c r="M59" s="854">
        <v>0</v>
      </c>
      <c r="N59" s="854">
        <v>0</v>
      </c>
      <c r="O59" s="854">
        <v>0</v>
      </c>
      <c r="P59" s="854">
        <v>0</v>
      </c>
      <c r="Q59" s="854">
        <v>0</v>
      </c>
      <c r="R59" s="1066"/>
      <c r="S59" s="854">
        <v>0</v>
      </c>
      <c r="T59" s="854">
        <v>0</v>
      </c>
      <c r="U59" s="854">
        <v>0</v>
      </c>
      <c r="V59" s="854">
        <v>0</v>
      </c>
      <c r="W59" s="854">
        <v>0</v>
      </c>
    </row>
    <row r="60" spans="1:23">
      <c r="A60" s="1096">
        <f t="shared" si="7"/>
        <v>5.329999999999993</v>
      </c>
      <c r="B60" s="854" t="s">
        <v>1062</v>
      </c>
      <c r="C60" s="1066">
        <f t="shared" si="1"/>
        <v>0</v>
      </c>
      <c r="D60" s="1066">
        <f t="shared" si="2"/>
        <v>0</v>
      </c>
      <c r="E60" s="1066"/>
      <c r="F60" s="1066"/>
      <c r="G60" s="1066">
        <f t="shared" si="28"/>
        <v>0</v>
      </c>
      <c r="H60" s="1066"/>
      <c r="I60" s="1066">
        <f t="shared" si="4"/>
        <v>0</v>
      </c>
      <c r="J60" s="1066">
        <f t="shared" si="5"/>
        <v>0</v>
      </c>
      <c r="K60" s="1066">
        <f t="shared" si="6"/>
        <v>0</v>
      </c>
      <c r="L60" s="1066"/>
      <c r="M60" s="854">
        <v>0</v>
      </c>
      <c r="N60" s="854">
        <v>0</v>
      </c>
      <c r="O60" s="854">
        <v>0</v>
      </c>
      <c r="P60" s="854">
        <v>0</v>
      </c>
      <c r="Q60" s="854">
        <v>0</v>
      </c>
      <c r="R60" s="1066"/>
      <c r="S60" s="854">
        <v>0</v>
      </c>
      <c r="T60" s="854">
        <v>0</v>
      </c>
      <c r="U60" s="854">
        <v>0</v>
      </c>
      <c r="V60" s="854">
        <v>0</v>
      </c>
      <c r="W60" s="854">
        <v>0</v>
      </c>
    </row>
    <row r="61" spans="1:23">
      <c r="A61" s="1096">
        <f t="shared" si="7"/>
        <v>5.3399999999999928</v>
      </c>
      <c r="B61" s="854" t="s">
        <v>1063</v>
      </c>
      <c r="C61" s="1066">
        <f>SUM(M61:P61)</f>
        <v>-0.03</v>
      </c>
      <c r="D61" s="1066">
        <f>SUM(S61:V61)</f>
        <v>-0.03</v>
      </c>
      <c r="E61" s="1066"/>
      <c r="F61" s="1066"/>
      <c r="G61" s="1066">
        <f>ROUND(SUM(C61:F61)/2,0)</f>
        <v>0</v>
      </c>
      <c r="H61" s="1066"/>
      <c r="I61" s="1066">
        <f t="shared" si="4"/>
        <v>0</v>
      </c>
      <c r="J61" s="1066">
        <f t="shared" si="5"/>
        <v>-0.03</v>
      </c>
      <c r="K61" s="1066">
        <f t="shared" si="6"/>
        <v>0</v>
      </c>
      <c r="L61" s="1066"/>
      <c r="M61" s="854">
        <v>0</v>
      </c>
      <c r="N61" s="854">
        <v>0</v>
      </c>
      <c r="O61" s="854">
        <v>-0.03</v>
      </c>
      <c r="P61" s="854">
        <v>0</v>
      </c>
      <c r="Q61" s="854">
        <v>0</v>
      </c>
      <c r="R61" s="1066"/>
      <c r="S61" s="854">
        <v>0</v>
      </c>
      <c r="T61" s="854">
        <v>0</v>
      </c>
      <c r="U61" s="854">
        <v>-0.03</v>
      </c>
      <c r="V61" s="854">
        <v>0</v>
      </c>
      <c r="W61" s="854">
        <v>0</v>
      </c>
    </row>
    <row r="62" spans="1:23">
      <c r="A62" s="1096">
        <f t="shared" si="7"/>
        <v>5.3499999999999925</v>
      </c>
      <c r="B62" s="854" t="s">
        <v>1064</v>
      </c>
      <c r="C62" s="1066">
        <f t="shared" si="1"/>
        <v>0</v>
      </c>
      <c r="D62" s="1066">
        <f t="shared" si="2"/>
        <v>0</v>
      </c>
      <c r="E62" s="1066"/>
      <c r="F62" s="1066"/>
      <c r="G62" s="1066">
        <f t="shared" si="28"/>
        <v>0</v>
      </c>
      <c r="H62" s="1066"/>
      <c r="I62" s="1066">
        <f t="shared" si="4"/>
        <v>0</v>
      </c>
      <c r="J62" s="1066">
        <f t="shared" si="5"/>
        <v>0</v>
      </c>
      <c r="K62" s="1066">
        <f t="shared" si="6"/>
        <v>0</v>
      </c>
      <c r="L62" s="1066"/>
      <c r="M62" s="854">
        <v>0</v>
      </c>
      <c r="N62" s="854">
        <v>0</v>
      </c>
      <c r="O62" s="854">
        <v>0</v>
      </c>
      <c r="P62" s="854">
        <v>0</v>
      </c>
      <c r="Q62" s="854">
        <v>0</v>
      </c>
      <c r="R62" s="1066"/>
      <c r="S62" s="854">
        <v>0</v>
      </c>
      <c r="T62" s="854">
        <v>0</v>
      </c>
      <c r="U62" s="854">
        <v>0</v>
      </c>
      <c r="V62" s="854">
        <v>0</v>
      </c>
      <c r="W62" s="854">
        <v>0</v>
      </c>
    </row>
    <row r="63" spans="1:23">
      <c r="A63" s="1096">
        <f t="shared" si="7"/>
        <v>5.3599999999999923</v>
      </c>
      <c r="B63" s="854" t="s">
        <v>1065</v>
      </c>
      <c r="C63" s="1066">
        <f t="shared" si="1"/>
        <v>0</v>
      </c>
      <c r="D63" s="1066">
        <f t="shared" si="2"/>
        <v>0</v>
      </c>
      <c r="E63" s="1066"/>
      <c r="F63" s="1066"/>
      <c r="G63" s="1066">
        <f t="shared" si="28"/>
        <v>0</v>
      </c>
      <c r="H63" s="1066"/>
      <c r="I63" s="1066">
        <f t="shared" si="4"/>
        <v>0</v>
      </c>
      <c r="J63" s="1066">
        <f t="shared" si="5"/>
        <v>0</v>
      </c>
      <c r="K63" s="1066">
        <f t="shared" si="6"/>
        <v>0</v>
      </c>
      <c r="L63" s="1066"/>
      <c r="M63" s="854">
        <v>0</v>
      </c>
      <c r="N63" s="854">
        <v>0</v>
      </c>
      <c r="O63" s="854">
        <v>0</v>
      </c>
      <c r="P63" s="854">
        <v>0</v>
      </c>
      <c r="Q63" s="854">
        <v>0</v>
      </c>
      <c r="R63" s="1066"/>
      <c r="S63" s="854">
        <v>0</v>
      </c>
      <c r="T63" s="854">
        <v>0</v>
      </c>
      <c r="U63" s="854">
        <v>0</v>
      </c>
      <c r="V63" s="854">
        <v>0</v>
      </c>
      <c r="W63" s="854">
        <v>0</v>
      </c>
    </row>
    <row r="64" spans="1:23">
      <c r="A64" s="1096">
        <f t="shared" si="7"/>
        <v>5.3699999999999921</v>
      </c>
      <c r="B64" s="854" t="s">
        <v>1066</v>
      </c>
      <c r="C64" s="1066">
        <f>SUM(M64:P64)</f>
        <v>0</v>
      </c>
      <c r="D64" s="1066">
        <f>SUM(S64:V64)</f>
        <v>0</v>
      </c>
      <c r="E64" s="1066"/>
      <c r="F64" s="1066"/>
      <c r="G64" s="1066">
        <f>ROUND(SUM(C64:F64)/2,0)</f>
        <v>0</v>
      </c>
      <c r="H64" s="1066"/>
      <c r="I64" s="1066">
        <f t="shared" si="4"/>
        <v>0</v>
      </c>
      <c r="J64" s="1066">
        <f t="shared" si="5"/>
        <v>0</v>
      </c>
      <c r="K64" s="1066">
        <f t="shared" si="6"/>
        <v>0</v>
      </c>
      <c r="L64" s="1066"/>
      <c r="M64" s="854">
        <v>0</v>
      </c>
      <c r="N64" s="854">
        <v>0</v>
      </c>
      <c r="O64" s="854">
        <v>0</v>
      </c>
      <c r="P64" s="854">
        <v>0</v>
      </c>
      <c r="Q64" s="854">
        <v>0</v>
      </c>
      <c r="R64" s="1066"/>
      <c r="S64" s="854">
        <v>0</v>
      </c>
      <c r="T64" s="854">
        <v>0</v>
      </c>
      <c r="U64" s="854">
        <v>0</v>
      </c>
      <c r="V64" s="854">
        <v>0</v>
      </c>
      <c r="W64" s="854">
        <v>0</v>
      </c>
    </row>
    <row r="65" spans="1:23">
      <c r="A65" s="1096">
        <f t="shared" si="7"/>
        <v>5.3799999999999919</v>
      </c>
      <c r="B65" s="854" t="s">
        <v>1067</v>
      </c>
      <c r="C65" s="1066">
        <f t="shared" si="1"/>
        <v>0</v>
      </c>
      <c r="D65" s="1066">
        <f t="shared" si="2"/>
        <v>0</v>
      </c>
      <c r="E65" s="1066"/>
      <c r="F65" s="1066"/>
      <c r="G65" s="1066">
        <f t="shared" si="28"/>
        <v>0</v>
      </c>
      <c r="H65" s="1066"/>
      <c r="I65" s="1066">
        <f t="shared" si="4"/>
        <v>0</v>
      </c>
      <c r="J65" s="1066">
        <f t="shared" si="5"/>
        <v>0</v>
      </c>
      <c r="K65" s="1066">
        <f t="shared" si="6"/>
        <v>0</v>
      </c>
      <c r="L65" s="1066"/>
      <c r="M65" s="854">
        <v>0</v>
      </c>
      <c r="N65" s="854">
        <v>0</v>
      </c>
      <c r="O65" s="854">
        <v>0</v>
      </c>
      <c r="P65" s="854">
        <v>0</v>
      </c>
      <c r="Q65" s="854">
        <v>0</v>
      </c>
      <c r="R65" s="1066"/>
      <c r="S65" s="854">
        <v>0</v>
      </c>
      <c r="T65" s="854">
        <v>0</v>
      </c>
      <c r="U65" s="854">
        <v>0</v>
      </c>
      <c r="V65" s="854">
        <v>0</v>
      </c>
      <c r="W65" s="854">
        <v>0</v>
      </c>
    </row>
    <row r="66" spans="1:23">
      <c r="A66" s="1096">
        <f t="shared" si="7"/>
        <v>5.3899999999999917</v>
      </c>
      <c r="B66" s="854" t="s">
        <v>1068</v>
      </c>
      <c r="C66" s="1066">
        <f t="shared" si="1"/>
        <v>296</v>
      </c>
      <c r="D66" s="1066">
        <f t="shared" si="2"/>
        <v>296</v>
      </c>
      <c r="E66" s="1066"/>
      <c r="F66" s="1066"/>
      <c r="G66" s="1066">
        <f t="shared" si="28"/>
        <v>296</v>
      </c>
      <c r="H66" s="1066"/>
      <c r="I66" s="1066">
        <f t="shared" si="4"/>
        <v>0</v>
      </c>
      <c r="J66" s="1066">
        <f t="shared" si="5"/>
        <v>0</v>
      </c>
      <c r="K66" s="1066">
        <f t="shared" si="6"/>
        <v>0</v>
      </c>
      <c r="L66" s="1066"/>
      <c r="M66" s="854">
        <v>0</v>
      </c>
      <c r="N66" s="854">
        <v>296</v>
      </c>
      <c r="O66" s="854">
        <v>0</v>
      </c>
      <c r="P66" s="854">
        <v>0</v>
      </c>
      <c r="Q66" s="854">
        <v>0</v>
      </c>
      <c r="R66" s="1066"/>
      <c r="S66" s="854">
        <v>0</v>
      </c>
      <c r="T66" s="854">
        <v>296</v>
      </c>
      <c r="U66" s="854">
        <v>0</v>
      </c>
      <c r="V66" s="854">
        <v>0</v>
      </c>
      <c r="W66" s="854">
        <v>0</v>
      </c>
    </row>
    <row r="67" spans="1:23">
      <c r="A67" s="1096">
        <f t="shared" si="7"/>
        <v>5.3999999999999915</v>
      </c>
      <c r="B67" s="854" t="s">
        <v>1069</v>
      </c>
      <c r="C67" s="1066">
        <f t="shared" si="1"/>
        <v>0</v>
      </c>
      <c r="D67" s="1066">
        <f t="shared" si="2"/>
        <v>0</v>
      </c>
      <c r="E67" s="1066"/>
      <c r="F67" s="1066"/>
      <c r="G67" s="1066">
        <f t="shared" si="28"/>
        <v>0</v>
      </c>
      <c r="H67" s="1066"/>
      <c r="I67" s="1066">
        <f t="shared" si="4"/>
        <v>0</v>
      </c>
      <c r="J67" s="1066">
        <f t="shared" si="5"/>
        <v>0</v>
      </c>
      <c r="K67" s="1066">
        <f t="shared" si="6"/>
        <v>0</v>
      </c>
      <c r="L67" s="1066"/>
      <c r="M67" s="854">
        <v>0</v>
      </c>
      <c r="N67" s="854">
        <v>0</v>
      </c>
      <c r="O67" s="854">
        <v>0</v>
      </c>
      <c r="P67" s="854">
        <v>0</v>
      </c>
      <c r="Q67" s="854">
        <v>0</v>
      </c>
      <c r="R67" s="1066"/>
      <c r="S67" s="854">
        <v>0</v>
      </c>
      <c r="T67" s="854">
        <v>0</v>
      </c>
      <c r="U67" s="854">
        <v>0</v>
      </c>
      <c r="V67" s="854">
        <v>0</v>
      </c>
      <c r="W67" s="854">
        <v>0</v>
      </c>
    </row>
    <row r="68" spans="1:23">
      <c r="A68" s="1096">
        <f t="shared" si="7"/>
        <v>5.4099999999999913</v>
      </c>
      <c r="B68" s="854" t="s">
        <v>1070</v>
      </c>
      <c r="C68" s="1066">
        <f>SUM(M68:P68)</f>
        <v>0</v>
      </c>
      <c r="D68" s="1066">
        <f>SUM(S68:V68)</f>
        <v>0</v>
      </c>
      <c r="E68" s="1066"/>
      <c r="F68" s="1066"/>
      <c r="G68" s="1066">
        <f>ROUND(SUM(C68:F68)/2,0)</f>
        <v>0</v>
      </c>
      <c r="H68" s="1066"/>
      <c r="I68" s="1066">
        <f t="shared" si="4"/>
        <v>0</v>
      </c>
      <c r="J68" s="1066">
        <f t="shared" si="5"/>
        <v>0</v>
      </c>
      <c r="K68" s="1066">
        <f t="shared" si="6"/>
        <v>0</v>
      </c>
      <c r="L68" s="1066"/>
      <c r="M68" s="854">
        <v>0</v>
      </c>
      <c r="N68" s="854">
        <v>0</v>
      </c>
      <c r="O68" s="854">
        <v>0</v>
      </c>
      <c r="P68" s="854">
        <v>0</v>
      </c>
      <c r="Q68" s="854">
        <v>0</v>
      </c>
      <c r="R68" s="1066"/>
      <c r="S68" s="854">
        <v>0</v>
      </c>
      <c r="T68" s="854">
        <v>0</v>
      </c>
      <c r="U68" s="854">
        <v>0</v>
      </c>
      <c r="V68" s="854">
        <v>0</v>
      </c>
      <c r="W68" s="854">
        <v>0</v>
      </c>
    </row>
    <row r="69" spans="1:23">
      <c r="A69" s="1096">
        <f t="shared" si="7"/>
        <v>5.419999999999991</v>
      </c>
      <c r="B69" s="854" t="s">
        <v>1071</v>
      </c>
      <c r="C69" s="1066">
        <f t="shared" ref="C69:C86" si="29">SUM(M69:P69)</f>
        <v>0</v>
      </c>
      <c r="D69" s="1066">
        <f t="shared" ref="D69:D86" si="30">SUM(S69:V69)</f>
        <v>0</v>
      </c>
      <c r="E69" s="1066"/>
      <c r="F69" s="1066"/>
      <c r="G69" s="1066">
        <f t="shared" ref="G69:G89" si="31">ROUND(SUM(C69:F69)/2,0)</f>
        <v>0</v>
      </c>
      <c r="H69" s="1066"/>
      <c r="I69" s="1066">
        <f t="shared" ref="I69:I86" si="32">(M69+S69)/2</f>
        <v>0</v>
      </c>
      <c r="J69" s="1066">
        <f t="shared" ref="J69:J86" si="33">(O69+U69)/2</f>
        <v>0</v>
      </c>
      <c r="K69" s="1066">
        <f t="shared" ref="K69:K86" si="34">(P69+V69)/2</f>
        <v>0</v>
      </c>
      <c r="L69" s="1066"/>
      <c r="M69" s="854">
        <v>0</v>
      </c>
      <c r="N69" s="854">
        <v>0</v>
      </c>
      <c r="O69" s="854">
        <v>0</v>
      </c>
      <c r="P69" s="854">
        <v>0</v>
      </c>
      <c r="Q69" s="854">
        <v>0</v>
      </c>
      <c r="R69" s="1066"/>
      <c r="S69" s="854">
        <v>0</v>
      </c>
      <c r="T69" s="854">
        <v>0</v>
      </c>
      <c r="U69" s="854">
        <v>0</v>
      </c>
      <c r="V69" s="854">
        <v>0</v>
      </c>
      <c r="W69" s="854">
        <v>0</v>
      </c>
    </row>
    <row r="70" spans="1:23">
      <c r="A70" s="1096">
        <f t="shared" si="7"/>
        <v>5.4299999999999908</v>
      </c>
      <c r="B70" s="854" t="s">
        <v>1072</v>
      </c>
      <c r="C70" s="1066">
        <f t="shared" si="29"/>
        <v>0</v>
      </c>
      <c r="D70" s="1066">
        <f t="shared" si="30"/>
        <v>0</v>
      </c>
      <c r="E70" s="1066"/>
      <c r="F70" s="1066"/>
      <c r="G70" s="1066">
        <f t="shared" si="31"/>
        <v>0</v>
      </c>
      <c r="H70" s="1066"/>
      <c r="I70" s="1066">
        <f t="shared" si="32"/>
        <v>0</v>
      </c>
      <c r="J70" s="1066">
        <f t="shared" si="33"/>
        <v>0</v>
      </c>
      <c r="K70" s="1066">
        <f t="shared" si="34"/>
        <v>0</v>
      </c>
      <c r="L70" s="1066"/>
      <c r="M70" s="854">
        <v>0</v>
      </c>
      <c r="N70" s="854">
        <v>0</v>
      </c>
      <c r="O70" s="854">
        <v>0</v>
      </c>
      <c r="P70" s="854">
        <v>0</v>
      </c>
      <c r="Q70" s="854">
        <v>0</v>
      </c>
      <c r="R70" s="1066"/>
      <c r="S70" s="854">
        <v>0</v>
      </c>
      <c r="T70" s="854">
        <v>0</v>
      </c>
      <c r="U70" s="854">
        <v>0</v>
      </c>
      <c r="V70" s="854">
        <v>0</v>
      </c>
      <c r="W70" s="854">
        <v>0</v>
      </c>
    </row>
    <row r="71" spans="1:23">
      <c r="A71" s="1096">
        <f t="shared" si="7"/>
        <v>5.4399999999999906</v>
      </c>
      <c r="B71" s="854" t="s">
        <v>1073</v>
      </c>
      <c r="C71" s="1066">
        <f t="shared" si="29"/>
        <v>0</v>
      </c>
      <c r="D71" s="1066">
        <f t="shared" si="30"/>
        <v>0</v>
      </c>
      <c r="E71" s="1066"/>
      <c r="F71" s="1066"/>
      <c r="G71" s="1066">
        <f t="shared" si="31"/>
        <v>0</v>
      </c>
      <c r="H71" s="1066"/>
      <c r="I71" s="1066">
        <f t="shared" si="32"/>
        <v>0</v>
      </c>
      <c r="J71" s="1066">
        <f t="shared" si="33"/>
        <v>0</v>
      </c>
      <c r="K71" s="1066">
        <f t="shared" si="34"/>
        <v>0</v>
      </c>
      <c r="L71" s="1066"/>
      <c r="M71" s="854">
        <v>0</v>
      </c>
      <c r="N71" s="854">
        <v>0</v>
      </c>
      <c r="O71" s="854">
        <v>0</v>
      </c>
      <c r="P71" s="854">
        <v>0</v>
      </c>
      <c r="Q71" s="854">
        <v>0</v>
      </c>
      <c r="R71" s="1066"/>
      <c r="S71" s="854">
        <v>0</v>
      </c>
      <c r="T71" s="854">
        <v>0</v>
      </c>
      <c r="U71" s="854">
        <v>0</v>
      </c>
      <c r="V71" s="854">
        <v>0</v>
      </c>
      <c r="W71" s="854">
        <v>0</v>
      </c>
    </row>
    <row r="72" spans="1:23">
      <c r="A72" s="1096">
        <f t="shared" si="7"/>
        <v>5.4499999999999904</v>
      </c>
      <c r="B72" s="854" t="s">
        <v>1074</v>
      </c>
      <c r="C72" s="1066">
        <f t="shared" si="29"/>
        <v>4030.1999999999825</v>
      </c>
      <c r="D72" s="1066">
        <f t="shared" si="30"/>
        <v>0.2</v>
      </c>
      <c r="E72" s="1066"/>
      <c r="F72" s="1066"/>
      <c r="G72" s="1066">
        <f t="shared" si="31"/>
        <v>2015</v>
      </c>
      <c r="H72" s="1066"/>
      <c r="I72" s="1066">
        <f t="shared" si="32"/>
        <v>2015.1999999999912</v>
      </c>
      <c r="J72" s="1066">
        <f t="shared" si="33"/>
        <v>0</v>
      </c>
      <c r="K72" s="1066">
        <f t="shared" si="34"/>
        <v>0</v>
      </c>
      <c r="L72" s="1066"/>
      <c r="M72" s="854">
        <v>4030.1999999999825</v>
      </c>
      <c r="N72" s="854">
        <v>0</v>
      </c>
      <c r="O72" s="854">
        <v>0</v>
      </c>
      <c r="P72" s="854">
        <v>0</v>
      </c>
      <c r="Q72" s="854">
        <v>0</v>
      </c>
      <c r="R72" s="1066"/>
      <c r="S72" s="854">
        <v>0.2</v>
      </c>
      <c r="T72" s="854">
        <v>0</v>
      </c>
      <c r="U72" s="854">
        <v>0</v>
      </c>
      <c r="V72" s="854">
        <v>0</v>
      </c>
      <c r="W72" s="854">
        <v>0</v>
      </c>
    </row>
    <row r="73" spans="1:23">
      <c r="A73" s="1096">
        <f t="shared" si="7"/>
        <v>5.4599999999999902</v>
      </c>
      <c r="B73" s="854" t="s">
        <v>1075</v>
      </c>
      <c r="C73" s="1066">
        <f t="shared" si="29"/>
        <v>7602548.9600000028</v>
      </c>
      <c r="D73" s="1066">
        <f t="shared" si="30"/>
        <v>6895999.96</v>
      </c>
      <c r="E73" s="1066"/>
      <c r="F73" s="1066"/>
      <c r="G73" s="1066">
        <f t="shared" si="31"/>
        <v>7249274</v>
      </c>
      <c r="H73" s="1066"/>
      <c r="I73" s="1066">
        <f t="shared" si="32"/>
        <v>2397467.16</v>
      </c>
      <c r="J73" s="1066">
        <f t="shared" si="33"/>
        <v>733451.25</v>
      </c>
      <c r="K73" s="1066">
        <f t="shared" si="34"/>
        <v>3985788.6500000013</v>
      </c>
      <c r="L73" s="1066"/>
      <c r="M73" s="854">
        <v>2488692.66</v>
      </c>
      <c r="N73" s="854">
        <v>150575.39999999991</v>
      </c>
      <c r="O73" s="854">
        <v>789975.25</v>
      </c>
      <c r="P73" s="854">
        <v>4173305.6500000022</v>
      </c>
      <c r="Q73" s="854">
        <v>0</v>
      </c>
      <c r="R73" s="1066"/>
      <c r="S73" s="854">
        <v>2306241.66</v>
      </c>
      <c r="T73" s="854">
        <v>114559.4</v>
      </c>
      <c r="U73" s="854">
        <v>676927.25</v>
      </c>
      <c r="V73" s="854">
        <v>3798271.65</v>
      </c>
      <c r="W73" s="854">
        <v>0</v>
      </c>
    </row>
    <row r="74" spans="1:23">
      <c r="A74" s="1096">
        <f t="shared" si="7"/>
        <v>5.46999999999999</v>
      </c>
      <c r="B74" s="854" t="s">
        <v>1076</v>
      </c>
      <c r="C74" s="1066">
        <f t="shared" si="29"/>
        <v>88576344.360000014</v>
      </c>
      <c r="D74" s="1066">
        <f t="shared" si="30"/>
        <v>115247009.84999999</v>
      </c>
      <c r="E74" s="1066"/>
      <c r="F74" s="1066"/>
      <c r="G74" s="1066">
        <f t="shared" si="31"/>
        <v>101911677</v>
      </c>
      <c r="H74" s="1066"/>
      <c r="I74" s="1066">
        <f t="shared" si="32"/>
        <v>11564389.935000001</v>
      </c>
      <c r="J74" s="1066">
        <f t="shared" si="33"/>
        <v>3917439.8550000004</v>
      </c>
      <c r="K74" s="1066">
        <f t="shared" si="34"/>
        <v>10942616.789999999</v>
      </c>
      <c r="L74" s="1066"/>
      <c r="M74" s="854">
        <v>11046490.98</v>
      </c>
      <c r="N74" s="854">
        <v>68858625.780000001</v>
      </c>
      <c r="O74" s="854">
        <v>3396894.06</v>
      </c>
      <c r="P74" s="854">
        <v>5274333.54</v>
      </c>
      <c r="Q74" s="854">
        <v>0</v>
      </c>
      <c r="R74" s="1066"/>
      <c r="S74" s="854">
        <v>12082288.890000001</v>
      </c>
      <c r="T74" s="854">
        <v>82115835.269999996</v>
      </c>
      <c r="U74" s="854">
        <v>4437985.6500000004</v>
      </c>
      <c r="V74" s="854">
        <v>16610900.039999999</v>
      </c>
      <c r="W74" s="854">
        <v>0</v>
      </c>
    </row>
    <row r="75" spans="1:23">
      <c r="A75" s="1096">
        <f t="shared" si="7"/>
        <v>5.4799999999999898</v>
      </c>
      <c r="B75" s="854" t="s">
        <v>1077</v>
      </c>
      <c r="C75" s="1066">
        <f t="shared" si="29"/>
        <v>79368050.159999996</v>
      </c>
      <c r="D75" s="1066">
        <f t="shared" si="30"/>
        <v>81901490.159999996</v>
      </c>
      <c r="E75" s="1066"/>
      <c r="F75" s="1066"/>
      <c r="G75" s="1066">
        <f t="shared" si="31"/>
        <v>80634770</v>
      </c>
      <c r="H75" s="1066"/>
      <c r="I75" s="1066">
        <f t="shared" si="32"/>
        <v>3558787.47</v>
      </c>
      <c r="J75" s="1066">
        <f t="shared" si="33"/>
        <v>23196001.289999999</v>
      </c>
      <c r="K75" s="1066">
        <f t="shared" si="34"/>
        <v>37613807.909999996</v>
      </c>
      <c r="L75" s="1066"/>
      <c r="M75" s="854">
        <v>3537367.47</v>
      </c>
      <c r="N75" s="854">
        <v>16168418.49</v>
      </c>
      <c r="O75" s="854">
        <v>22920691.289999999</v>
      </c>
      <c r="P75" s="854">
        <v>36741572.909999996</v>
      </c>
      <c r="Q75" s="854">
        <v>0</v>
      </c>
      <c r="R75" s="1066"/>
      <c r="S75" s="854">
        <v>3580207.47</v>
      </c>
      <c r="T75" s="854">
        <v>16363928.49</v>
      </c>
      <c r="U75" s="854">
        <v>23471311.289999999</v>
      </c>
      <c r="V75" s="854">
        <v>38486042.909999996</v>
      </c>
      <c r="W75" s="854">
        <v>0</v>
      </c>
    </row>
    <row r="76" spans="1:23">
      <c r="A76" s="1096">
        <f t="shared" si="7"/>
        <v>5.4899999999999896</v>
      </c>
      <c r="B76" s="854" t="s">
        <v>1078</v>
      </c>
      <c r="C76" s="1066">
        <f t="shared" si="29"/>
        <v>2652380.2800000003</v>
      </c>
      <c r="D76" s="1066">
        <f t="shared" si="30"/>
        <v>2357671.3199999998</v>
      </c>
      <c r="E76" s="1066"/>
      <c r="F76" s="1066"/>
      <c r="G76" s="1066">
        <f t="shared" si="31"/>
        <v>2505026</v>
      </c>
      <c r="H76" s="1066"/>
      <c r="I76" s="1066">
        <f t="shared" si="32"/>
        <v>274589.51</v>
      </c>
      <c r="J76" s="1066">
        <f t="shared" si="33"/>
        <v>221482.16999999998</v>
      </c>
      <c r="K76" s="1066">
        <f t="shared" si="34"/>
        <v>709464.33499999996</v>
      </c>
      <c r="L76" s="1066"/>
      <c r="M76" s="854">
        <v>290741.87</v>
      </c>
      <c r="N76" s="854">
        <v>1375930.31</v>
      </c>
      <c r="O76" s="854">
        <v>234510.57</v>
      </c>
      <c r="P76" s="854">
        <v>751197.53</v>
      </c>
      <c r="Q76" s="854">
        <v>0</v>
      </c>
      <c r="R76" s="1066"/>
      <c r="S76" s="854">
        <v>258437.15</v>
      </c>
      <c r="T76" s="854">
        <v>1223049.26</v>
      </c>
      <c r="U76" s="854">
        <v>208453.77</v>
      </c>
      <c r="V76" s="854">
        <v>667731.14</v>
      </c>
      <c r="W76" s="854">
        <v>0</v>
      </c>
    </row>
    <row r="77" spans="1:23">
      <c r="A77" s="1096">
        <f t="shared" si="7"/>
        <v>5.4999999999999893</v>
      </c>
      <c r="B77" s="854" t="s">
        <v>1079</v>
      </c>
      <c r="C77" s="1066">
        <f t="shared" si="29"/>
        <v>6554706.1800000006</v>
      </c>
      <c r="D77" s="1066">
        <f t="shared" si="30"/>
        <v>5851654.1799999997</v>
      </c>
      <c r="E77" s="1066"/>
      <c r="F77" s="1066"/>
      <c r="G77" s="1066">
        <f t="shared" si="31"/>
        <v>6203180</v>
      </c>
      <c r="H77" s="1066"/>
      <c r="I77" s="1066">
        <f t="shared" si="32"/>
        <v>0</v>
      </c>
      <c r="J77" s="1066">
        <f t="shared" si="33"/>
        <v>425402.73</v>
      </c>
      <c r="K77" s="1066">
        <f t="shared" si="34"/>
        <v>5777777.4500000002</v>
      </c>
      <c r="L77" s="1066"/>
      <c r="M77" s="854">
        <v>0</v>
      </c>
      <c r="N77" s="854">
        <v>0</v>
      </c>
      <c r="O77" s="854">
        <v>437753.73000000004</v>
      </c>
      <c r="P77" s="854">
        <v>6116952.4500000002</v>
      </c>
      <c r="Q77" s="854">
        <v>0</v>
      </c>
      <c r="R77" s="1066"/>
      <c r="S77" s="854">
        <v>0</v>
      </c>
      <c r="T77" s="854">
        <v>0</v>
      </c>
      <c r="U77" s="854">
        <v>413051.73</v>
      </c>
      <c r="V77" s="854">
        <v>5438602.4500000002</v>
      </c>
      <c r="W77" s="854">
        <v>0</v>
      </c>
    </row>
    <row r="78" spans="1:23">
      <c r="A78" s="1096">
        <f t="shared" si="7"/>
        <v>5.5099999999999891</v>
      </c>
      <c r="B78" s="854" t="s">
        <v>1343</v>
      </c>
      <c r="C78" s="1066">
        <f t="shared" ref="C78" si="35">SUM(M78:P78)</f>
        <v>0</v>
      </c>
      <c r="D78" s="1066">
        <f t="shared" ref="D78" si="36">SUM(S78:V78)</f>
        <v>68777330.609999999</v>
      </c>
      <c r="E78" s="1066"/>
      <c r="F78" s="1066"/>
      <c r="G78" s="1066">
        <f t="shared" ref="G78" si="37">ROUND(SUM(C78:F78)/2,0)</f>
        <v>34388665</v>
      </c>
      <c r="H78" s="1066"/>
      <c r="I78" s="1066">
        <f t="shared" ref="I78" si="38">(M78+S78)/2</f>
        <v>29897698.075000003</v>
      </c>
      <c r="J78" s="1066">
        <f t="shared" ref="J78" si="39">(O78+U78)/2</f>
        <v>1385279.125</v>
      </c>
      <c r="K78" s="1066">
        <f t="shared" ref="K78" si="40">(P78+V78)/2</f>
        <v>3032422.1949999998</v>
      </c>
      <c r="L78" s="1066"/>
      <c r="M78" s="854"/>
      <c r="N78" s="854"/>
      <c r="O78" s="854"/>
      <c r="P78" s="854"/>
      <c r="Q78" s="854"/>
      <c r="R78" s="1066"/>
      <c r="S78" s="854">
        <f>44652877.27+9139799.6+6002719.28</f>
        <v>59795396.150000006</v>
      </c>
      <c r="T78" s="854">
        <v>146531.82</v>
      </c>
      <c r="U78" s="854">
        <v>2770558.25</v>
      </c>
      <c r="V78" s="854">
        <v>6064844.3899999997</v>
      </c>
      <c r="W78" s="854"/>
    </row>
    <row r="79" spans="1:23">
      <c r="A79" s="1096">
        <f t="shared" si="7"/>
        <v>5.5199999999999889</v>
      </c>
      <c r="B79" s="854" t="s">
        <v>1080</v>
      </c>
      <c r="C79" s="1066">
        <f t="shared" si="29"/>
        <v>228668.55</v>
      </c>
      <c r="D79" s="1066">
        <f t="shared" si="30"/>
        <v>228668.55</v>
      </c>
      <c r="E79" s="1066"/>
      <c r="F79" s="1066"/>
      <c r="G79" s="1066">
        <f t="shared" si="31"/>
        <v>228669</v>
      </c>
      <c r="H79" s="1066"/>
      <c r="I79" s="1066">
        <f t="shared" si="32"/>
        <v>228668.55</v>
      </c>
      <c r="J79" s="1066">
        <f t="shared" si="33"/>
        <v>0</v>
      </c>
      <c r="K79" s="1066">
        <f t="shared" si="34"/>
        <v>0</v>
      </c>
      <c r="L79" s="1066"/>
      <c r="M79" s="854">
        <v>228668.55</v>
      </c>
      <c r="N79" s="854">
        <v>0</v>
      </c>
      <c r="O79" s="854">
        <v>0</v>
      </c>
      <c r="P79" s="854">
        <v>0</v>
      </c>
      <c r="Q79" s="854">
        <v>0</v>
      </c>
      <c r="R79" s="1066"/>
      <c r="S79" s="854">
        <v>228668.55</v>
      </c>
      <c r="T79" s="854">
        <v>0</v>
      </c>
      <c r="U79" s="854">
        <v>0</v>
      </c>
      <c r="V79" s="854">
        <v>0</v>
      </c>
      <c r="W79" s="854">
        <v>0</v>
      </c>
    </row>
    <row r="80" spans="1:23">
      <c r="A80" s="1096">
        <f t="shared" si="7"/>
        <v>5.5299999999999887</v>
      </c>
      <c r="B80" s="854" t="s">
        <v>1081</v>
      </c>
      <c r="C80" s="1066">
        <f t="shared" si="29"/>
        <v>18979.2</v>
      </c>
      <c r="D80" s="1066">
        <f t="shared" si="30"/>
        <v>18979.2</v>
      </c>
      <c r="E80" s="1066"/>
      <c r="F80" s="1066"/>
      <c r="G80" s="1066">
        <f t="shared" si="31"/>
        <v>18979</v>
      </c>
      <c r="H80" s="1066"/>
      <c r="I80" s="1066">
        <f t="shared" si="32"/>
        <v>18979.2</v>
      </c>
      <c r="J80" s="1066">
        <f t="shared" si="33"/>
        <v>0</v>
      </c>
      <c r="K80" s="1066">
        <f t="shared" si="34"/>
        <v>0</v>
      </c>
      <c r="L80" s="1066"/>
      <c r="M80" s="854">
        <v>18979.2</v>
      </c>
      <c r="N80" s="854">
        <v>0</v>
      </c>
      <c r="O80" s="854">
        <v>0</v>
      </c>
      <c r="P80" s="854">
        <v>0</v>
      </c>
      <c r="Q80" s="854">
        <v>0</v>
      </c>
      <c r="R80" s="1066"/>
      <c r="S80" s="854">
        <v>18979.2</v>
      </c>
      <c r="T80" s="854">
        <v>0</v>
      </c>
      <c r="U80" s="854">
        <v>0</v>
      </c>
      <c r="V80" s="854">
        <v>0</v>
      </c>
      <c r="W80" s="854">
        <v>0</v>
      </c>
    </row>
    <row r="81" spans="1:23">
      <c r="A81" s="1096">
        <f t="shared" si="7"/>
        <v>5.5399999999999885</v>
      </c>
      <c r="B81" s="854" t="s">
        <v>1082</v>
      </c>
      <c r="C81" s="1066">
        <f t="shared" si="29"/>
        <v>0</v>
      </c>
      <c r="D81" s="1066">
        <f t="shared" si="30"/>
        <v>0</v>
      </c>
      <c r="E81" s="1066"/>
      <c r="F81" s="1066"/>
      <c r="G81" s="1066">
        <f t="shared" si="31"/>
        <v>0</v>
      </c>
      <c r="H81" s="1066"/>
      <c r="I81" s="1066">
        <f t="shared" si="32"/>
        <v>0</v>
      </c>
      <c r="J81" s="1066">
        <f t="shared" si="33"/>
        <v>0</v>
      </c>
      <c r="K81" s="1066">
        <f t="shared" si="34"/>
        <v>0</v>
      </c>
      <c r="L81" s="1066"/>
      <c r="M81" s="854">
        <v>0</v>
      </c>
      <c r="N81" s="854">
        <v>0</v>
      </c>
      <c r="O81" s="854">
        <v>0</v>
      </c>
      <c r="P81" s="854">
        <v>0</v>
      </c>
      <c r="Q81" s="854">
        <v>0</v>
      </c>
      <c r="R81" s="1066"/>
      <c r="S81" s="854">
        <v>0</v>
      </c>
      <c r="T81" s="854">
        <v>0</v>
      </c>
      <c r="U81" s="854">
        <v>0</v>
      </c>
      <c r="V81" s="854">
        <v>0</v>
      </c>
      <c r="W81" s="854">
        <v>0</v>
      </c>
    </row>
    <row r="82" spans="1:23">
      <c r="A82" s="1096">
        <f t="shared" si="7"/>
        <v>5.5499999999999883</v>
      </c>
      <c r="B82" s="854" t="s">
        <v>1083</v>
      </c>
      <c r="C82" s="1066">
        <f t="shared" si="29"/>
        <v>0.09</v>
      </c>
      <c r="D82" s="1066">
        <f t="shared" si="30"/>
        <v>0.09</v>
      </c>
      <c r="E82" s="1066"/>
      <c r="F82" s="1066"/>
      <c r="G82" s="1066">
        <f t="shared" si="31"/>
        <v>0</v>
      </c>
      <c r="H82" s="1066"/>
      <c r="I82" s="1066">
        <f t="shared" si="32"/>
        <v>0</v>
      </c>
      <c r="J82" s="1066">
        <f t="shared" si="33"/>
        <v>0.09</v>
      </c>
      <c r="K82" s="1066">
        <f t="shared" si="34"/>
        <v>0</v>
      </c>
      <c r="L82" s="1066"/>
      <c r="M82" s="854">
        <v>0</v>
      </c>
      <c r="N82" s="854">
        <v>0</v>
      </c>
      <c r="O82" s="854">
        <v>0.09</v>
      </c>
      <c r="P82" s="854">
        <v>0</v>
      </c>
      <c r="Q82" s="854">
        <v>0</v>
      </c>
      <c r="R82" s="1066"/>
      <c r="S82" s="854">
        <v>0</v>
      </c>
      <c r="T82" s="854">
        <v>0</v>
      </c>
      <c r="U82" s="854">
        <v>0.09</v>
      </c>
      <c r="V82" s="854">
        <v>0</v>
      </c>
      <c r="W82" s="854">
        <v>0</v>
      </c>
    </row>
    <row r="83" spans="1:23">
      <c r="A83" s="1096">
        <f t="shared" si="7"/>
        <v>5.5599999999999881</v>
      </c>
      <c r="B83" s="854" t="s">
        <v>1084</v>
      </c>
      <c r="C83" s="1066">
        <f t="shared" si="29"/>
        <v>0</v>
      </c>
      <c r="D83" s="1066">
        <f t="shared" si="30"/>
        <v>0</v>
      </c>
      <c r="E83" s="1066"/>
      <c r="F83" s="1066"/>
      <c r="G83" s="1066">
        <f t="shared" si="31"/>
        <v>0</v>
      </c>
      <c r="H83" s="1066"/>
      <c r="I83" s="1066">
        <f t="shared" si="32"/>
        <v>0</v>
      </c>
      <c r="J83" s="1066">
        <f t="shared" si="33"/>
        <v>0</v>
      </c>
      <c r="K83" s="1066">
        <f t="shared" si="34"/>
        <v>0</v>
      </c>
      <c r="L83" s="1066"/>
      <c r="M83" s="854">
        <v>0</v>
      </c>
      <c r="N83" s="854">
        <v>0</v>
      </c>
      <c r="O83" s="854">
        <v>0</v>
      </c>
      <c r="P83" s="854">
        <v>0</v>
      </c>
      <c r="Q83" s="854">
        <v>0</v>
      </c>
      <c r="R83" s="1066"/>
      <c r="S83" s="854">
        <v>0</v>
      </c>
      <c r="T83" s="854">
        <v>0</v>
      </c>
      <c r="U83" s="854">
        <v>0</v>
      </c>
      <c r="V83" s="854">
        <v>0</v>
      </c>
      <c r="W83" s="854">
        <v>0</v>
      </c>
    </row>
    <row r="84" spans="1:23">
      <c r="A84" s="1096">
        <f t="shared" si="7"/>
        <v>5.5699999999999878</v>
      </c>
      <c r="B84" s="854" t="s">
        <v>1085</v>
      </c>
      <c r="C84" s="1066">
        <f t="shared" si="29"/>
        <v>1237732</v>
      </c>
      <c r="D84" s="1066">
        <f t="shared" si="30"/>
        <v>1020211</v>
      </c>
      <c r="E84" s="1066"/>
      <c r="F84" s="1066"/>
      <c r="G84" s="1066">
        <f t="shared" si="31"/>
        <v>1128972</v>
      </c>
      <c r="H84" s="1066"/>
      <c r="I84" s="1066">
        <f t="shared" si="32"/>
        <v>0</v>
      </c>
      <c r="J84" s="1066">
        <f t="shared" si="33"/>
        <v>0</v>
      </c>
      <c r="K84" s="1066">
        <f t="shared" si="34"/>
        <v>0</v>
      </c>
      <c r="L84" s="1066"/>
      <c r="M84" s="854">
        <v>0</v>
      </c>
      <c r="N84" s="854">
        <v>1237732</v>
      </c>
      <c r="O84" s="854">
        <v>0</v>
      </c>
      <c r="P84" s="854">
        <v>0</v>
      </c>
      <c r="Q84" s="854">
        <v>0</v>
      </c>
      <c r="R84" s="1066"/>
      <c r="S84" s="854">
        <v>0</v>
      </c>
      <c r="T84" s="854">
        <v>1020211</v>
      </c>
      <c r="U84" s="854">
        <v>0</v>
      </c>
      <c r="V84" s="854">
        <v>0</v>
      </c>
      <c r="W84" s="854">
        <v>0</v>
      </c>
    </row>
    <row r="85" spans="1:23">
      <c r="A85" s="1096">
        <f t="shared" si="7"/>
        <v>5.5799999999999876</v>
      </c>
      <c r="B85" s="854" t="s">
        <v>1086</v>
      </c>
      <c r="C85" s="1066">
        <f t="shared" si="29"/>
        <v>9234751.2599999998</v>
      </c>
      <c r="D85" s="1066">
        <f t="shared" si="30"/>
        <v>9332477.4900000002</v>
      </c>
      <c r="E85" s="1066"/>
      <c r="F85" s="1066"/>
      <c r="G85" s="1066">
        <f t="shared" si="31"/>
        <v>9283614</v>
      </c>
      <c r="H85" s="1066"/>
      <c r="I85" s="1066">
        <f t="shared" si="32"/>
        <v>0</v>
      </c>
      <c r="J85" s="1066">
        <f t="shared" si="33"/>
        <v>9283614.375</v>
      </c>
      <c r="K85" s="1066">
        <f t="shared" si="34"/>
        <v>0</v>
      </c>
      <c r="L85" s="1066"/>
      <c r="M85" s="854">
        <v>0</v>
      </c>
      <c r="N85" s="854">
        <v>0</v>
      </c>
      <c r="O85" s="854">
        <v>9234751.2599999998</v>
      </c>
      <c r="P85" s="854">
        <v>0</v>
      </c>
      <c r="Q85" s="854">
        <v>0</v>
      </c>
      <c r="R85" s="1066"/>
      <c r="S85" s="854">
        <v>0</v>
      </c>
      <c r="T85" s="854">
        <v>0</v>
      </c>
      <c r="U85" s="854">
        <v>9332477.4900000002</v>
      </c>
      <c r="V85" s="854">
        <v>0</v>
      </c>
      <c r="W85" s="854">
        <v>0</v>
      </c>
    </row>
    <row r="86" spans="1:23">
      <c r="A86" s="1096">
        <f t="shared" si="7"/>
        <v>5.5899999999999874</v>
      </c>
      <c r="B86" s="854" t="s">
        <v>1087</v>
      </c>
      <c r="C86" s="1066">
        <f t="shared" si="29"/>
        <v>520532655.48000002</v>
      </c>
      <c r="D86" s="1066">
        <f t="shared" si="30"/>
        <v>478922832.51999998</v>
      </c>
      <c r="E86" s="1066"/>
      <c r="F86" s="1066"/>
      <c r="G86" s="1066">
        <f t="shared" si="31"/>
        <v>499727744</v>
      </c>
      <c r="H86" s="1066"/>
      <c r="I86" s="1066">
        <f t="shared" si="32"/>
        <v>64693913.740000002</v>
      </c>
      <c r="J86" s="1066">
        <f t="shared" si="33"/>
        <v>90532040.780000001</v>
      </c>
      <c r="K86" s="1066">
        <f t="shared" si="34"/>
        <v>128558400.69499999</v>
      </c>
      <c r="L86" s="1066"/>
      <c r="M86" s="854">
        <v>70536271.120000005</v>
      </c>
      <c r="N86" s="854">
        <v>222186181.80000001</v>
      </c>
      <c r="O86" s="854">
        <v>92980290.560000002</v>
      </c>
      <c r="P86" s="854">
        <v>134829912</v>
      </c>
      <c r="Q86" s="854">
        <v>0</v>
      </c>
      <c r="R86" s="1066"/>
      <c r="S86" s="854">
        <v>58851556.359999999</v>
      </c>
      <c r="T86" s="854">
        <v>209700595.77000001</v>
      </c>
      <c r="U86" s="854">
        <v>88083791</v>
      </c>
      <c r="V86" s="854">
        <v>122286889.39</v>
      </c>
      <c r="W86" s="854">
        <v>0</v>
      </c>
    </row>
    <row r="87" spans="1:23">
      <c r="A87" s="1096">
        <f t="shared" si="7"/>
        <v>5.5999999999999872</v>
      </c>
      <c r="B87" s="854" t="s">
        <v>1030</v>
      </c>
      <c r="C87" s="854">
        <f>-E87</f>
        <v>284270</v>
      </c>
      <c r="D87" s="854">
        <f>-F87</f>
        <v>-5724073.5999999996</v>
      </c>
      <c r="E87" s="1066">
        <v>-284270</v>
      </c>
      <c r="F87" s="1066">
        <v>5724073.5999999996</v>
      </c>
      <c r="G87" s="1066">
        <f t="shared" si="31"/>
        <v>0</v>
      </c>
      <c r="H87" s="1066"/>
      <c r="I87" s="1066"/>
      <c r="J87" s="1066"/>
      <c r="K87" s="1066"/>
      <c r="L87" s="1066"/>
      <c r="M87" s="1066"/>
      <c r="N87" s="1066"/>
      <c r="O87" s="1066"/>
      <c r="P87" s="1066"/>
      <c r="Q87" s="1066"/>
      <c r="R87" s="1066"/>
      <c r="S87" s="1066"/>
      <c r="T87" s="1066"/>
      <c r="U87" s="1066"/>
      <c r="V87" s="1066"/>
      <c r="W87" s="1066"/>
    </row>
    <row r="88" spans="1:23">
      <c r="A88" s="1096">
        <f t="shared" si="7"/>
        <v>5.609999999999987</v>
      </c>
      <c r="B88" s="854" t="s">
        <v>1088</v>
      </c>
      <c r="C88" s="854">
        <f t="shared" ref="C88:C89" si="41">-E88</f>
        <v>82469963</v>
      </c>
      <c r="D88" s="854">
        <f t="shared" ref="D88:D89" si="42">-F88</f>
        <v>91769252.870000005</v>
      </c>
      <c r="E88" s="1066">
        <v>-82469963</v>
      </c>
      <c r="F88" s="1066">
        <v>-91769252.870000005</v>
      </c>
      <c r="G88" s="1066">
        <f t="shared" si="31"/>
        <v>0</v>
      </c>
      <c r="H88" s="1066"/>
      <c r="I88" s="1066"/>
      <c r="J88" s="1066"/>
      <c r="K88" s="1066"/>
      <c r="L88" s="1066"/>
      <c r="M88" s="1066"/>
      <c r="N88" s="1066"/>
      <c r="O88" s="1066"/>
      <c r="P88" s="1066"/>
      <c r="Q88" s="1066"/>
      <c r="R88" s="1066"/>
      <c r="S88" s="1066"/>
      <c r="T88" s="1066"/>
      <c r="U88" s="1066"/>
      <c r="V88" s="1066"/>
      <c r="W88" s="1066"/>
    </row>
    <row r="89" spans="1:23">
      <c r="A89" s="1096">
        <f t="shared" si="7"/>
        <v>5.6199999999999868</v>
      </c>
      <c r="B89" s="854" t="s">
        <v>1089</v>
      </c>
      <c r="C89" s="854">
        <f t="shared" si="41"/>
        <v>-520530711</v>
      </c>
      <c r="D89" s="854">
        <f t="shared" si="42"/>
        <v>-479937761.69999999</v>
      </c>
      <c r="E89" s="1066">
        <v>520530711</v>
      </c>
      <c r="F89" s="1066">
        <v>479937761.69999999</v>
      </c>
      <c r="G89" s="1066">
        <f t="shared" si="31"/>
        <v>0</v>
      </c>
      <c r="H89" s="1066"/>
      <c r="I89" s="1066"/>
      <c r="J89" s="1066"/>
      <c r="K89" s="1066"/>
      <c r="L89" s="1066"/>
      <c r="M89" s="1066"/>
      <c r="N89" s="1066"/>
      <c r="O89" s="1066"/>
      <c r="P89" s="1066"/>
      <c r="Q89" s="1066"/>
      <c r="R89" s="1066"/>
      <c r="S89" s="1066"/>
      <c r="T89" s="1066"/>
      <c r="U89" s="1066"/>
      <c r="V89" s="1066"/>
      <c r="W89" s="1066"/>
    </row>
    <row r="90" spans="1:23">
      <c r="A90" s="1096">
        <f t="shared" si="7"/>
        <v>5.6299999999999866</v>
      </c>
      <c r="B90" s="854"/>
      <c r="C90" s="854"/>
      <c r="D90" s="854"/>
      <c r="E90" s="1066"/>
      <c r="F90" s="1066"/>
      <c r="G90" s="1066"/>
      <c r="H90" s="1066"/>
      <c r="I90" s="1066"/>
      <c r="J90" s="1066"/>
      <c r="K90" s="1066"/>
      <c r="L90" s="1066"/>
      <c r="M90" s="1066"/>
      <c r="N90" s="1066"/>
      <c r="O90" s="1066"/>
      <c r="P90" s="1066"/>
      <c r="Q90" s="1066"/>
      <c r="R90" s="1066"/>
      <c r="S90" s="1066"/>
      <c r="T90" s="1066"/>
      <c r="U90" s="1066"/>
      <c r="V90" s="1066"/>
      <c r="W90" s="1066"/>
    </row>
    <row r="91" spans="1:23">
      <c r="A91"/>
    </row>
    <row r="92" spans="1:23">
      <c r="A92" s="1077"/>
      <c r="B92" s="1057"/>
      <c r="C92" s="1066"/>
      <c r="D92" s="1066"/>
      <c r="E92" s="1066"/>
      <c r="F92" s="1066"/>
      <c r="G92" s="1066"/>
      <c r="H92" s="1066"/>
      <c r="I92" s="1066"/>
      <c r="J92" s="1066"/>
      <c r="K92" s="1066"/>
      <c r="L92" s="1066"/>
      <c r="M92" s="1066"/>
      <c r="N92" s="1066"/>
      <c r="O92" s="1066"/>
      <c r="P92" s="1066"/>
      <c r="Q92" s="1066"/>
      <c r="R92" s="1066"/>
      <c r="S92" s="1066"/>
      <c r="T92" s="1066"/>
      <c r="U92" s="1066"/>
      <c r="V92" s="1066"/>
      <c r="W92" s="1066"/>
    </row>
    <row r="93" spans="1:23" ht="13" thickBot="1">
      <c r="A93" s="1077">
        <v>6</v>
      </c>
      <c r="B93" s="1058" t="s">
        <v>733</v>
      </c>
      <c r="C93" s="1069">
        <f>SUM(C28:C92)</f>
        <v>975787582</v>
      </c>
      <c r="D93" s="1069">
        <f>SUM(D28:D92)</f>
        <v>1083114958.6100004</v>
      </c>
      <c r="E93" s="1069">
        <f>SUM(E28:E92)</f>
        <v>437776478</v>
      </c>
      <c r="F93" s="1069">
        <f>SUM(F28:F92)</f>
        <v>393892582.42999995</v>
      </c>
      <c r="G93" s="1069">
        <f>SUM(G28:G92)</f>
        <v>1445285798</v>
      </c>
      <c r="H93" s="1066"/>
      <c r="I93" s="1069">
        <f>SUM(I28:I92)</f>
        <v>200258627.11000001</v>
      </c>
      <c r="J93" s="1069">
        <f>SUM(J28:J92)</f>
        <v>243058934.01999998</v>
      </c>
      <c r="K93" s="1069">
        <f>SUM(K28:K92)</f>
        <v>349778625.38</v>
      </c>
      <c r="L93" s="1066"/>
      <c r="M93" s="1069">
        <f>SUM(M28:M92)</f>
        <v>176791108.31999999</v>
      </c>
      <c r="N93" s="1069">
        <f t="shared" ref="N93:Q93" si="43">SUM(N28:N92)</f>
        <v>645264574.34000003</v>
      </c>
      <c r="O93" s="1069">
        <f t="shared" si="43"/>
        <v>244424683.33999997</v>
      </c>
      <c r="P93" s="1069">
        <f t="shared" si="43"/>
        <v>347083694</v>
      </c>
      <c r="Q93" s="1069">
        <f t="shared" si="43"/>
        <v>0</v>
      </c>
      <c r="R93" s="1066"/>
      <c r="S93" s="1069">
        <f>SUM(S28:S92)</f>
        <v>223726145.90000004</v>
      </c>
      <c r="T93" s="1069">
        <f t="shared" ref="T93:W93" si="44">SUM(T28:T92)</f>
        <v>659114653.67999995</v>
      </c>
      <c r="U93" s="1069">
        <f t="shared" si="44"/>
        <v>241693184.70000002</v>
      </c>
      <c r="V93" s="1069">
        <f t="shared" si="44"/>
        <v>352473556.75999999</v>
      </c>
      <c r="W93" s="1069">
        <f t="shared" si="44"/>
        <v>0</v>
      </c>
    </row>
    <row r="94" spans="1:23" ht="13" thickTop="1">
      <c r="A94" s="1077">
        <f>A93+1</f>
        <v>7</v>
      </c>
      <c r="B94" s="1136" t="s">
        <v>746</v>
      </c>
      <c r="C94" s="1070">
        <f>C37</f>
        <v>78750860.909999996</v>
      </c>
      <c r="D94" s="1070">
        <f t="shared" ref="D94:G94" si="45">D37</f>
        <v>74833150.049999982</v>
      </c>
      <c r="E94" s="1070">
        <f t="shared" si="45"/>
        <v>0</v>
      </c>
      <c r="F94" s="1070">
        <f t="shared" si="45"/>
        <v>0</v>
      </c>
      <c r="G94" s="1070">
        <f t="shared" si="45"/>
        <v>76792005</v>
      </c>
      <c r="H94" s="1066"/>
      <c r="I94" s="1070">
        <f t="shared" ref="I94:K94" si="46">I37</f>
        <v>9385600.6850000005</v>
      </c>
      <c r="J94" s="1070">
        <f t="shared" si="46"/>
        <v>-1693.93</v>
      </c>
      <c r="K94" s="1070">
        <f t="shared" si="46"/>
        <v>88872.040000000008</v>
      </c>
      <c r="L94" s="1070"/>
      <c r="M94" s="1070">
        <f t="shared" ref="M94:Q94" si="47">M37</f>
        <v>9256103.8100000005</v>
      </c>
      <c r="N94" s="1070">
        <f t="shared" si="47"/>
        <v>69408893.409999996</v>
      </c>
      <c r="O94" s="1070">
        <f t="shared" si="47"/>
        <v>-1693.93</v>
      </c>
      <c r="P94" s="1070">
        <f t="shared" si="47"/>
        <v>87557.62</v>
      </c>
      <c r="Q94" s="1070">
        <f t="shared" si="47"/>
        <v>0</v>
      </c>
      <c r="R94" s="1066"/>
      <c r="S94" s="1070">
        <f t="shared" ref="S94:W94" si="48">S37</f>
        <v>9515097.5600000005</v>
      </c>
      <c r="T94" s="1070">
        <f t="shared" si="48"/>
        <v>65229559.960000001</v>
      </c>
      <c r="U94" s="1070">
        <f t="shared" si="48"/>
        <v>-1693.93</v>
      </c>
      <c r="V94" s="1070">
        <f t="shared" si="48"/>
        <v>90186.46</v>
      </c>
      <c r="W94" s="1070">
        <f t="shared" si="48"/>
        <v>0</v>
      </c>
    </row>
    <row r="95" spans="1:23">
      <c r="A95" s="1077"/>
      <c r="B95" s="1058"/>
      <c r="C95" s="1066"/>
      <c r="D95" s="1072"/>
      <c r="E95" s="1066"/>
      <c r="F95" s="1066"/>
      <c r="G95" s="1066"/>
      <c r="H95" s="1066"/>
      <c r="I95" s="1066"/>
      <c r="J95" s="1066"/>
      <c r="K95" s="1066"/>
      <c r="L95" s="1066"/>
      <c r="M95" s="1066"/>
      <c r="N95" s="1066"/>
      <c r="O95" s="1066"/>
      <c r="P95" s="1066"/>
      <c r="Q95" s="1066"/>
      <c r="R95" s="1066"/>
      <c r="S95" s="1066"/>
      <c r="T95" s="1066"/>
      <c r="U95" s="1066"/>
      <c r="V95" s="1066"/>
      <c r="W95" s="1066"/>
    </row>
    <row r="96" spans="1:23">
      <c r="A96" s="1077">
        <v>8</v>
      </c>
      <c r="B96" s="247" t="s">
        <v>734</v>
      </c>
      <c r="C96" s="1066" t="s">
        <v>115</v>
      </c>
      <c r="D96" s="1066"/>
      <c r="E96" s="1066"/>
      <c r="F96" s="1066"/>
      <c r="G96" s="1066"/>
      <c r="H96" s="1066"/>
      <c r="I96" s="1066"/>
      <c r="J96" s="1066"/>
      <c r="K96" s="1066"/>
      <c r="L96" s="1066"/>
      <c r="M96" s="1066"/>
      <c r="N96" s="1066"/>
      <c r="O96" s="1066"/>
      <c r="P96" s="1066"/>
      <c r="Q96" s="1066"/>
      <c r="R96" s="1066"/>
      <c r="S96" s="1066"/>
      <c r="T96" s="1066"/>
      <c r="U96" s="1066"/>
      <c r="V96" s="1066"/>
      <c r="W96" s="1066"/>
    </row>
    <row r="97" spans="1:23">
      <c r="A97" s="1077"/>
      <c r="B97" s="1057"/>
      <c r="C97" s="1066"/>
      <c r="D97" s="1066"/>
      <c r="E97" s="1066"/>
      <c r="F97" s="1066"/>
      <c r="G97" s="1066"/>
      <c r="H97" s="1066"/>
      <c r="I97" s="1066"/>
      <c r="J97" s="1066"/>
      <c r="K97" s="1066"/>
      <c r="L97" s="1066"/>
      <c r="M97" s="1066"/>
      <c r="N97" s="1066"/>
      <c r="O97" s="1066"/>
      <c r="P97" s="1066"/>
      <c r="Q97" s="1066"/>
      <c r="R97" s="1066"/>
      <c r="S97" s="1066"/>
      <c r="T97" s="1066"/>
      <c r="U97" s="1066"/>
      <c r="V97" s="1066"/>
      <c r="W97" s="1066"/>
    </row>
    <row r="98" spans="1:23">
      <c r="A98" s="1096">
        <v>9.01</v>
      </c>
      <c r="B98" s="854" t="s">
        <v>1092</v>
      </c>
      <c r="C98" s="1066">
        <f>SUM(M98:P98)</f>
        <v>40549.130000000005</v>
      </c>
      <c r="D98" s="1066">
        <f t="shared" ref="D98:D162" si="49">SUM(S98:V98)</f>
        <v>-52729.219999999994</v>
      </c>
      <c r="E98" s="1066"/>
      <c r="F98" s="1066"/>
      <c r="G98" s="1066">
        <f t="shared" ref="G98:G153" si="50">ROUND(SUM(C98:F98)/2,0)</f>
        <v>-6090</v>
      </c>
      <c r="H98" s="1066"/>
      <c r="I98" s="1066">
        <f>(M98+S98)/2</f>
        <v>-38818.764999999999</v>
      </c>
      <c r="J98" s="1066">
        <f t="shared" ref="J98:J130" si="51">(O98+U98)/2</f>
        <v>0</v>
      </c>
      <c r="K98" s="1066">
        <f t="shared" ref="K98:K130" si="52">(P98+V98)/2</f>
        <v>-7820.41</v>
      </c>
      <c r="L98" s="1066"/>
      <c r="M98" s="854">
        <v>0</v>
      </c>
      <c r="N98" s="854">
        <v>40549.130000000005</v>
      </c>
      <c r="O98" s="854">
        <v>0</v>
      </c>
      <c r="P98" s="854">
        <v>0</v>
      </c>
      <c r="Q98" s="854">
        <v>0</v>
      </c>
      <c r="R98" s="1066"/>
      <c r="S98" s="854">
        <v>-77637.53</v>
      </c>
      <c r="T98" s="854">
        <v>40549.130000000005</v>
      </c>
      <c r="U98" s="854">
        <v>0</v>
      </c>
      <c r="V98" s="854">
        <v>-15640.82</v>
      </c>
      <c r="W98" s="854">
        <v>0</v>
      </c>
    </row>
    <row r="99" spans="1:23">
      <c r="A99" s="1096">
        <f>A98+0.01</f>
        <v>9.02</v>
      </c>
      <c r="B99" s="854" t="s">
        <v>1093</v>
      </c>
      <c r="C99" s="1066">
        <f t="shared" ref="C99:C163" si="53">SUM(M99:P99)</f>
        <v>0</v>
      </c>
      <c r="D99" s="1066">
        <f t="shared" si="49"/>
        <v>-1270830.54</v>
      </c>
      <c r="E99" s="1066"/>
      <c r="F99" s="1066"/>
      <c r="G99" s="1066">
        <f>ROUND(SUM(C99:F99)/2,0)</f>
        <v>-635415</v>
      </c>
      <c r="H99" s="1066"/>
      <c r="I99" s="1066">
        <f t="shared" ref="I99:I159" si="54">(M99+S99)/2</f>
        <v>-635415.27</v>
      </c>
      <c r="J99" s="1066">
        <f t="shared" si="51"/>
        <v>0</v>
      </c>
      <c r="K99" s="1066">
        <f t="shared" si="52"/>
        <v>0</v>
      </c>
      <c r="L99" s="1066"/>
      <c r="M99" s="854">
        <v>0</v>
      </c>
      <c r="N99" s="854">
        <v>0</v>
      </c>
      <c r="O99" s="854">
        <v>0</v>
      </c>
      <c r="P99" s="854">
        <v>0</v>
      </c>
      <c r="Q99" s="854">
        <v>0</v>
      </c>
      <c r="R99" s="1066"/>
      <c r="S99" s="854">
        <v>-1270830.54</v>
      </c>
      <c r="T99" s="854">
        <v>0</v>
      </c>
      <c r="U99" s="854">
        <v>0</v>
      </c>
      <c r="V99" s="854">
        <v>0</v>
      </c>
      <c r="W99" s="854">
        <v>0</v>
      </c>
    </row>
    <row r="100" spans="1:23">
      <c r="A100" s="1096">
        <f t="shared" ref="A100:A164" si="55">A99+0.01</f>
        <v>9.0299999999999994</v>
      </c>
      <c r="B100" s="854" t="s">
        <v>1094</v>
      </c>
      <c r="C100" s="1066">
        <f t="shared" si="53"/>
        <v>0.28999999999999998</v>
      </c>
      <c r="D100" s="1066">
        <f t="shared" si="49"/>
        <v>802598.33</v>
      </c>
      <c r="E100" s="1066"/>
      <c r="F100" s="1066"/>
      <c r="G100" s="1066">
        <f t="shared" si="50"/>
        <v>401299</v>
      </c>
      <c r="H100" s="1066"/>
      <c r="I100" s="1066">
        <f t="shared" si="54"/>
        <v>401299.31</v>
      </c>
      <c r="J100" s="1066">
        <f t="shared" si="51"/>
        <v>0</v>
      </c>
      <c r="K100" s="1066">
        <f t="shared" si="52"/>
        <v>0</v>
      </c>
      <c r="L100" s="1066"/>
      <c r="M100" s="854">
        <v>0.28999999999999998</v>
      </c>
      <c r="N100" s="854">
        <v>0</v>
      </c>
      <c r="O100" s="854">
        <v>0</v>
      </c>
      <c r="P100" s="854">
        <v>0</v>
      </c>
      <c r="Q100" s="854">
        <v>0</v>
      </c>
      <c r="R100" s="1066"/>
      <c r="S100" s="854">
        <v>802598.33</v>
      </c>
      <c r="T100" s="854">
        <v>0</v>
      </c>
      <c r="U100" s="854">
        <v>0</v>
      </c>
      <c r="V100" s="854">
        <v>0</v>
      </c>
      <c r="W100" s="854">
        <v>0</v>
      </c>
    </row>
    <row r="101" spans="1:23">
      <c r="A101" s="1096">
        <f t="shared" si="55"/>
        <v>9.0399999999999991</v>
      </c>
      <c r="B101" s="854" t="s">
        <v>1095</v>
      </c>
      <c r="C101" s="1066">
        <f t="shared" si="53"/>
        <v>0</v>
      </c>
      <c r="D101" s="1066">
        <f t="shared" si="49"/>
        <v>0</v>
      </c>
      <c r="E101" s="1066"/>
      <c r="F101" s="1066"/>
      <c r="G101" s="1066">
        <f t="shared" si="50"/>
        <v>0</v>
      </c>
      <c r="H101" s="1066"/>
      <c r="I101" s="1066">
        <f t="shared" si="54"/>
        <v>0</v>
      </c>
      <c r="J101" s="1066">
        <f t="shared" si="51"/>
        <v>0</v>
      </c>
      <c r="K101" s="1066">
        <f t="shared" si="52"/>
        <v>0</v>
      </c>
      <c r="L101" s="1066"/>
      <c r="M101" s="854">
        <v>0</v>
      </c>
      <c r="N101" s="854">
        <v>0</v>
      </c>
      <c r="O101" s="854">
        <v>0</v>
      </c>
      <c r="P101" s="854">
        <v>0</v>
      </c>
      <c r="Q101" s="854">
        <v>0</v>
      </c>
      <c r="R101" s="1066"/>
      <c r="S101" s="854">
        <v>0</v>
      </c>
      <c r="T101" s="854">
        <v>0</v>
      </c>
      <c r="U101" s="854">
        <v>0</v>
      </c>
      <c r="V101" s="854">
        <v>0</v>
      </c>
      <c r="W101" s="854">
        <v>0</v>
      </c>
    </row>
    <row r="102" spans="1:23">
      <c r="A102" s="1096">
        <f t="shared" si="55"/>
        <v>9.0499999999999989</v>
      </c>
      <c r="B102" s="854" t="s">
        <v>1096</v>
      </c>
      <c r="C102" s="1066">
        <f t="shared" si="53"/>
        <v>0</v>
      </c>
      <c r="D102" s="1066">
        <f t="shared" si="49"/>
        <v>0</v>
      </c>
      <c r="E102" s="1066"/>
      <c r="F102" s="1066"/>
      <c r="G102" s="1066">
        <f t="shared" si="50"/>
        <v>0</v>
      </c>
      <c r="H102" s="1066"/>
      <c r="I102" s="1066">
        <f t="shared" si="54"/>
        <v>0</v>
      </c>
      <c r="J102" s="1066">
        <f t="shared" si="51"/>
        <v>0</v>
      </c>
      <c r="K102" s="1066">
        <f t="shared" si="52"/>
        <v>0</v>
      </c>
      <c r="L102" s="1066"/>
      <c r="M102" s="854">
        <v>0</v>
      </c>
      <c r="N102" s="854">
        <v>0</v>
      </c>
      <c r="O102" s="854">
        <v>0</v>
      </c>
      <c r="P102" s="854">
        <v>0</v>
      </c>
      <c r="Q102" s="854">
        <v>0</v>
      </c>
      <c r="R102" s="1066"/>
      <c r="S102" s="854">
        <v>0</v>
      </c>
      <c r="T102" s="854">
        <v>0</v>
      </c>
      <c r="U102" s="854">
        <v>0</v>
      </c>
      <c r="V102" s="854">
        <v>0</v>
      </c>
      <c r="W102" s="854">
        <v>0</v>
      </c>
    </row>
    <row r="103" spans="1:23">
      <c r="A103" s="1096">
        <f t="shared" si="55"/>
        <v>9.0599999999999987</v>
      </c>
      <c r="B103" s="854" t="s">
        <v>1097</v>
      </c>
      <c r="C103" s="1066">
        <f t="shared" si="53"/>
        <v>-2898.78</v>
      </c>
      <c r="D103" s="1066">
        <f t="shared" si="49"/>
        <v>-2898.78</v>
      </c>
      <c r="E103" s="1066"/>
      <c r="F103" s="1066"/>
      <c r="G103" s="1066">
        <f t="shared" si="50"/>
        <v>-2899</v>
      </c>
      <c r="H103" s="1066"/>
      <c r="I103" s="1066">
        <f t="shared" si="54"/>
        <v>-2898.78</v>
      </c>
      <c r="J103" s="1066">
        <f t="shared" si="51"/>
        <v>0</v>
      </c>
      <c r="K103" s="1066">
        <f t="shared" si="52"/>
        <v>0</v>
      </c>
      <c r="L103" s="1066"/>
      <c r="M103" s="854">
        <v>-2898.78</v>
      </c>
      <c r="N103" s="854">
        <v>0</v>
      </c>
      <c r="O103" s="854">
        <v>0</v>
      </c>
      <c r="P103" s="854">
        <v>0</v>
      </c>
      <c r="Q103" s="854">
        <v>0</v>
      </c>
      <c r="R103" s="1066"/>
      <c r="S103" s="854">
        <v>-2898.78</v>
      </c>
      <c r="T103" s="854">
        <v>0</v>
      </c>
      <c r="U103" s="854">
        <v>0</v>
      </c>
      <c r="V103" s="854">
        <v>0</v>
      </c>
      <c r="W103" s="854">
        <v>0</v>
      </c>
    </row>
    <row r="104" spans="1:23">
      <c r="A104" s="1096">
        <f t="shared" si="55"/>
        <v>9.0699999999999985</v>
      </c>
      <c r="B104" s="854" t="s">
        <v>1098</v>
      </c>
      <c r="C104" s="1066">
        <f t="shared" si="53"/>
        <v>-500705.78</v>
      </c>
      <c r="D104" s="1066">
        <f t="shared" si="49"/>
        <v>-488850.65</v>
      </c>
      <c r="E104" s="1066"/>
      <c r="F104" s="1066"/>
      <c r="G104" s="1066">
        <f>ROUND(SUM(C104:F104)/2,0)</f>
        <v>-494778</v>
      </c>
      <c r="H104" s="1066"/>
      <c r="I104" s="1066">
        <f t="shared" si="54"/>
        <v>-494778.21500000003</v>
      </c>
      <c r="J104" s="1066">
        <f t="shared" si="51"/>
        <v>0</v>
      </c>
      <c r="K104" s="1066">
        <f t="shared" si="52"/>
        <v>0</v>
      </c>
      <c r="L104" s="1066"/>
      <c r="M104" s="854">
        <v>-500705.78</v>
      </c>
      <c r="N104" s="854">
        <v>0</v>
      </c>
      <c r="O104" s="854">
        <v>0</v>
      </c>
      <c r="P104" s="854">
        <v>0</v>
      </c>
      <c r="Q104" s="854">
        <v>0</v>
      </c>
      <c r="R104" s="1066"/>
      <c r="S104" s="854">
        <v>-488850.65</v>
      </c>
      <c r="T104" s="854">
        <v>0</v>
      </c>
      <c r="U104" s="854">
        <v>0</v>
      </c>
      <c r="V104" s="854">
        <v>0</v>
      </c>
      <c r="W104" s="854">
        <v>0</v>
      </c>
    </row>
    <row r="105" spans="1:23">
      <c r="A105" s="1096">
        <f t="shared" si="55"/>
        <v>9.0799999999999983</v>
      </c>
      <c r="B105" s="854" t="s">
        <v>1099</v>
      </c>
      <c r="C105" s="1066">
        <f t="shared" si="53"/>
        <v>20325.560000000001</v>
      </c>
      <c r="D105" s="1066">
        <f t="shared" si="49"/>
        <v>20325.66</v>
      </c>
      <c r="E105" s="1066"/>
      <c r="F105" s="1066"/>
      <c r="G105" s="1066">
        <f>ROUND(SUM(C105:F105)/2,0)</f>
        <v>20326</v>
      </c>
      <c r="H105" s="1066"/>
      <c r="I105" s="1066">
        <f t="shared" si="54"/>
        <v>20325.61</v>
      </c>
      <c r="J105" s="1066">
        <f t="shared" si="51"/>
        <v>0</v>
      </c>
      <c r="K105" s="1066">
        <f t="shared" si="52"/>
        <v>0</v>
      </c>
      <c r="L105" s="1066"/>
      <c r="M105" s="854">
        <v>20325.560000000001</v>
      </c>
      <c r="N105" s="854">
        <v>0</v>
      </c>
      <c r="O105" s="854">
        <v>0</v>
      </c>
      <c r="P105" s="854">
        <v>0</v>
      </c>
      <c r="Q105" s="854">
        <v>0</v>
      </c>
      <c r="R105" s="1066"/>
      <c r="S105" s="854">
        <v>20325.66</v>
      </c>
      <c r="T105" s="854">
        <v>0</v>
      </c>
      <c r="U105" s="854">
        <v>0</v>
      </c>
      <c r="V105" s="854">
        <v>0</v>
      </c>
      <c r="W105" s="854">
        <v>0</v>
      </c>
    </row>
    <row r="106" spans="1:23">
      <c r="A106" s="1096">
        <f t="shared" si="55"/>
        <v>9.0899999999999981</v>
      </c>
      <c r="B106" s="854" t="s">
        <v>1100</v>
      </c>
      <c r="C106" s="1066">
        <f t="shared" si="53"/>
        <v>467572.56</v>
      </c>
      <c r="D106" s="1066">
        <f t="shared" si="49"/>
        <v>1144902.75</v>
      </c>
      <c r="E106" s="1066"/>
      <c r="F106" s="1066"/>
      <c r="G106" s="1066">
        <f t="shared" si="50"/>
        <v>806238</v>
      </c>
      <c r="H106" s="1066"/>
      <c r="I106" s="1066">
        <f t="shared" si="54"/>
        <v>806237.65500000003</v>
      </c>
      <c r="J106" s="1066">
        <f t="shared" si="51"/>
        <v>0</v>
      </c>
      <c r="K106" s="1066">
        <f t="shared" si="52"/>
        <v>0</v>
      </c>
      <c r="L106" s="1066"/>
      <c r="M106" s="854">
        <v>467572.56</v>
      </c>
      <c r="N106" s="854">
        <v>0</v>
      </c>
      <c r="O106" s="854">
        <v>0</v>
      </c>
      <c r="P106" s="854">
        <v>0</v>
      </c>
      <c r="Q106" s="854">
        <v>0</v>
      </c>
      <c r="R106" s="1066"/>
      <c r="S106" s="854">
        <v>1144902.75</v>
      </c>
      <c r="T106" s="854">
        <v>0</v>
      </c>
      <c r="U106" s="854">
        <v>0</v>
      </c>
      <c r="V106" s="854">
        <v>0</v>
      </c>
      <c r="W106" s="854">
        <v>0</v>
      </c>
    </row>
    <row r="107" spans="1:23">
      <c r="A107" s="1096">
        <f t="shared" si="55"/>
        <v>9.0999999999999979</v>
      </c>
      <c r="B107" s="854" t="s">
        <v>1101</v>
      </c>
      <c r="C107" s="1066">
        <f t="shared" si="53"/>
        <v>416163.09</v>
      </c>
      <c r="D107" s="1066">
        <f t="shared" si="49"/>
        <v>216511.89</v>
      </c>
      <c r="E107" s="1066"/>
      <c r="F107" s="1066"/>
      <c r="G107" s="1066">
        <f>ROUND(SUM(C107:F107)/2,0)</f>
        <v>316337</v>
      </c>
      <c r="H107" s="1066"/>
      <c r="I107" s="1066">
        <f t="shared" si="54"/>
        <v>316337.49</v>
      </c>
      <c r="J107" s="1066">
        <f t="shared" si="51"/>
        <v>0</v>
      </c>
      <c r="K107" s="1066">
        <f t="shared" si="52"/>
        <v>0</v>
      </c>
      <c r="L107" s="1066"/>
      <c r="M107" s="854">
        <v>416163.09</v>
      </c>
      <c r="N107" s="854">
        <v>0</v>
      </c>
      <c r="O107" s="854">
        <v>0</v>
      </c>
      <c r="P107" s="854">
        <v>0</v>
      </c>
      <c r="Q107" s="854">
        <v>0</v>
      </c>
      <c r="R107" s="1066"/>
      <c r="S107" s="854">
        <v>216511.89</v>
      </c>
      <c r="T107" s="854">
        <v>0</v>
      </c>
      <c r="U107" s="854">
        <v>0</v>
      </c>
      <c r="V107" s="854">
        <v>0</v>
      </c>
      <c r="W107" s="854">
        <v>0</v>
      </c>
    </row>
    <row r="108" spans="1:23">
      <c r="A108" s="1096">
        <f t="shared" si="55"/>
        <v>9.1099999999999977</v>
      </c>
      <c r="B108" s="854" t="s">
        <v>1102</v>
      </c>
      <c r="C108" s="1066">
        <f t="shared" si="53"/>
        <v>0</v>
      </c>
      <c r="D108" s="1066">
        <f t="shared" si="49"/>
        <v>0</v>
      </c>
      <c r="E108" s="1066"/>
      <c r="F108" s="1066"/>
      <c r="G108" s="1066">
        <f>ROUND(SUM(C108:F108)/2,0)</f>
        <v>0</v>
      </c>
      <c r="H108" s="1066"/>
      <c r="I108" s="1066">
        <f t="shared" si="54"/>
        <v>0</v>
      </c>
      <c r="J108" s="1066">
        <f t="shared" si="51"/>
        <v>0</v>
      </c>
      <c r="K108" s="1066">
        <f t="shared" si="52"/>
        <v>0</v>
      </c>
      <c r="L108" s="1066"/>
      <c r="M108" s="854">
        <v>0</v>
      </c>
      <c r="N108" s="854">
        <v>0</v>
      </c>
      <c r="O108" s="854">
        <v>0</v>
      </c>
      <c r="P108" s="854">
        <v>0</v>
      </c>
      <c r="Q108" s="854">
        <v>0</v>
      </c>
      <c r="R108" s="1066"/>
      <c r="S108" s="854">
        <v>0</v>
      </c>
      <c r="T108" s="854">
        <v>0</v>
      </c>
      <c r="U108" s="854">
        <v>0</v>
      </c>
      <c r="V108" s="854">
        <v>0</v>
      </c>
      <c r="W108" s="854">
        <v>0</v>
      </c>
    </row>
    <row r="109" spans="1:23">
      <c r="A109" s="1096">
        <f t="shared" si="55"/>
        <v>9.1199999999999974</v>
      </c>
      <c r="B109" s="854" t="s">
        <v>1103</v>
      </c>
      <c r="C109" s="1066">
        <f t="shared" si="53"/>
        <v>126805.24</v>
      </c>
      <c r="D109" s="1066">
        <f t="shared" si="49"/>
        <v>0</v>
      </c>
      <c r="E109" s="1066"/>
      <c r="F109" s="1066"/>
      <c r="G109" s="1066">
        <f t="shared" si="50"/>
        <v>63403</v>
      </c>
      <c r="H109" s="1066"/>
      <c r="I109" s="1066">
        <f t="shared" si="54"/>
        <v>63402.62</v>
      </c>
      <c r="J109" s="1066">
        <f t="shared" si="51"/>
        <v>0</v>
      </c>
      <c r="K109" s="1066">
        <f t="shared" si="52"/>
        <v>0</v>
      </c>
      <c r="L109" s="1066"/>
      <c r="M109" s="854">
        <v>126805.24</v>
      </c>
      <c r="N109" s="854">
        <v>0</v>
      </c>
      <c r="O109" s="854">
        <v>0</v>
      </c>
      <c r="P109" s="854">
        <v>0</v>
      </c>
      <c r="Q109" s="854">
        <v>0</v>
      </c>
      <c r="R109" s="1066"/>
      <c r="S109" s="854">
        <v>0</v>
      </c>
      <c r="T109" s="854">
        <v>0</v>
      </c>
      <c r="U109" s="854">
        <v>0</v>
      </c>
      <c r="V109" s="854">
        <v>0</v>
      </c>
      <c r="W109" s="854">
        <v>0</v>
      </c>
    </row>
    <row r="110" spans="1:23">
      <c r="A110" s="1096">
        <f t="shared" si="55"/>
        <v>9.1299999999999972</v>
      </c>
      <c r="B110" s="854" t="s">
        <v>1272</v>
      </c>
      <c r="C110" s="1066">
        <f t="shared" ref="C110" si="56">SUM(M110:P110)</f>
        <v>0</v>
      </c>
      <c r="D110" s="1066">
        <f t="shared" ref="D110" si="57">SUM(S110:V110)</f>
        <v>-83803.16</v>
      </c>
      <c r="E110" s="1066"/>
      <c r="F110" s="1066"/>
      <c r="G110" s="1066">
        <f t="shared" ref="G110" si="58">ROUND(SUM(C110:F110)/2,0)</f>
        <v>-41902</v>
      </c>
      <c r="H110" s="1066"/>
      <c r="I110" s="1066">
        <f t="shared" ref="I110" si="59">(M110+S110)/2</f>
        <v>-41901.58</v>
      </c>
      <c r="J110" s="1066">
        <f t="shared" ref="J110" si="60">(O110+U110)/2</f>
        <v>0</v>
      </c>
      <c r="K110" s="1066">
        <f t="shared" ref="K110" si="61">(P110+V110)/2</f>
        <v>0</v>
      </c>
      <c r="L110" s="1066"/>
      <c r="M110" s="854"/>
      <c r="N110" s="854"/>
      <c r="O110" s="854"/>
      <c r="P110" s="854"/>
      <c r="Q110" s="854"/>
      <c r="R110" s="1066"/>
      <c r="S110" s="854">
        <v>-83803.16</v>
      </c>
      <c r="T110" s="854"/>
      <c r="U110" s="854"/>
      <c r="V110" s="854"/>
      <c r="W110" s="854"/>
    </row>
    <row r="111" spans="1:23">
      <c r="A111" s="1096">
        <f t="shared" si="55"/>
        <v>9.139999999999997</v>
      </c>
      <c r="B111" s="854" t="s">
        <v>1104</v>
      </c>
      <c r="C111" s="1066">
        <f t="shared" si="53"/>
        <v>1219987.8</v>
      </c>
      <c r="D111" s="1066">
        <f t="shared" si="49"/>
        <v>1027923.73</v>
      </c>
      <c r="E111" s="1066"/>
      <c r="F111" s="1066"/>
      <c r="G111" s="1066">
        <f t="shared" si="50"/>
        <v>1123956</v>
      </c>
      <c r="H111" s="1066"/>
      <c r="I111" s="1066">
        <f t="shared" si="54"/>
        <v>0</v>
      </c>
      <c r="J111" s="1066">
        <f t="shared" si="51"/>
        <v>0</v>
      </c>
      <c r="K111" s="1066">
        <f t="shared" si="52"/>
        <v>1123955.7650000001</v>
      </c>
      <c r="L111" s="1066"/>
      <c r="M111" s="854">
        <v>0</v>
      </c>
      <c r="N111" s="854">
        <v>0</v>
      </c>
      <c r="O111" s="854">
        <v>0</v>
      </c>
      <c r="P111" s="854">
        <v>1219987.8</v>
      </c>
      <c r="Q111" s="854">
        <v>0</v>
      </c>
      <c r="R111" s="1066"/>
      <c r="S111" s="854">
        <v>0</v>
      </c>
      <c r="T111" s="854">
        <v>0</v>
      </c>
      <c r="U111" s="854">
        <v>0</v>
      </c>
      <c r="V111" s="854">
        <v>1027923.73</v>
      </c>
      <c r="W111" s="854">
        <v>0</v>
      </c>
    </row>
    <row r="112" spans="1:23">
      <c r="A112" s="1096">
        <f t="shared" si="55"/>
        <v>9.1499999999999968</v>
      </c>
      <c r="B112" s="854" t="s">
        <v>1105</v>
      </c>
      <c r="C112" s="1066">
        <f t="shared" si="53"/>
        <v>70171.19</v>
      </c>
      <c r="D112" s="1066">
        <f t="shared" si="49"/>
        <v>-0.31</v>
      </c>
      <c r="E112" s="1066"/>
      <c r="F112" s="1066"/>
      <c r="G112" s="1066">
        <f t="shared" si="50"/>
        <v>35085</v>
      </c>
      <c r="H112" s="1066"/>
      <c r="I112" s="1066">
        <f t="shared" si="54"/>
        <v>0</v>
      </c>
      <c r="J112" s="1066">
        <f t="shared" si="51"/>
        <v>35085.440000000002</v>
      </c>
      <c r="K112" s="1066">
        <f t="shared" si="52"/>
        <v>0</v>
      </c>
      <c r="L112" s="1066"/>
      <c r="M112" s="854">
        <v>0</v>
      </c>
      <c r="N112" s="854">
        <v>0</v>
      </c>
      <c r="O112" s="854">
        <v>70171.19</v>
      </c>
      <c r="P112" s="854">
        <v>0</v>
      </c>
      <c r="Q112" s="854">
        <v>0</v>
      </c>
      <c r="R112" s="1066"/>
      <c r="S112" s="854">
        <v>0</v>
      </c>
      <c r="T112" s="854">
        <v>0</v>
      </c>
      <c r="U112" s="854">
        <v>-0.31</v>
      </c>
      <c r="V112" s="854">
        <v>0</v>
      </c>
      <c r="W112" s="854">
        <v>0</v>
      </c>
    </row>
    <row r="113" spans="1:23">
      <c r="A113" s="1096">
        <f t="shared" si="55"/>
        <v>9.1599999999999966</v>
      </c>
      <c r="B113" s="854" t="s">
        <v>1106</v>
      </c>
      <c r="C113" s="1066">
        <f t="shared" si="53"/>
        <v>-0.01</v>
      </c>
      <c r="D113" s="1066">
        <f t="shared" si="49"/>
        <v>-0.01</v>
      </c>
      <c r="E113" s="1066"/>
      <c r="F113" s="1066"/>
      <c r="G113" s="1066">
        <f t="shared" si="50"/>
        <v>0</v>
      </c>
      <c r="H113" s="1066"/>
      <c r="I113" s="1066">
        <f t="shared" si="54"/>
        <v>0</v>
      </c>
      <c r="J113" s="1066">
        <f t="shared" si="51"/>
        <v>0</v>
      </c>
      <c r="K113" s="1066">
        <f t="shared" si="52"/>
        <v>-0.01</v>
      </c>
      <c r="L113" s="1066"/>
      <c r="M113" s="854">
        <v>0</v>
      </c>
      <c r="N113" s="854">
        <v>0</v>
      </c>
      <c r="O113" s="854">
        <v>0</v>
      </c>
      <c r="P113" s="854">
        <v>-0.01</v>
      </c>
      <c r="Q113" s="854">
        <v>0</v>
      </c>
      <c r="R113" s="1066"/>
      <c r="S113" s="854">
        <v>0</v>
      </c>
      <c r="T113" s="854">
        <v>0</v>
      </c>
      <c r="U113" s="854">
        <v>0</v>
      </c>
      <c r="V113" s="854">
        <v>-0.01</v>
      </c>
      <c r="W113" s="854">
        <v>0</v>
      </c>
    </row>
    <row r="114" spans="1:23">
      <c r="A114" s="1096">
        <f t="shared" si="55"/>
        <v>9.1699999999999964</v>
      </c>
      <c r="B114" s="854" t="s">
        <v>1107</v>
      </c>
      <c r="C114" s="1066">
        <f t="shared" si="53"/>
        <v>362004.4</v>
      </c>
      <c r="D114" s="1066">
        <f t="shared" si="49"/>
        <v>609079.09</v>
      </c>
      <c r="E114" s="1066"/>
      <c r="F114" s="1066"/>
      <c r="G114" s="1066">
        <f t="shared" si="50"/>
        <v>485542</v>
      </c>
      <c r="H114" s="1066"/>
      <c r="I114" s="1066">
        <f t="shared" si="54"/>
        <v>0</v>
      </c>
      <c r="J114" s="1066">
        <f t="shared" si="51"/>
        <v>0</v>
      </c>
      <c r="K114" s="1066">
        <f t="shared" si="52"/>
        <v>485541.745</v>
      </c>
      <c r="L114" s="1066"/>
      <c r="M114" s="854">
        <v>0</v>
      </c>
      <c r="N114" s="854">
        <v>0</v>
      </c>
      <c r="O114" s="854">
        <v>0</v>
      </c>
      <c r="P114" s="854">
        <v>362004.4</v>
      </c>
      <c r="Q114" s="854">
        <v>0</v>
      </c>
      <c r="R114" s="1066"/>
      <c r="S114" s="854">
        <v>0</v>
      </c>
      <c r="T114" s="854">
        <v>0</v>
      </c>
      <c r="U114" s="854">
        <v>0</v>
      </c>
      <c r="V114" s="854">
        <v>609079.09</v>
      </c>
      <c r="W114" s="854">
        <v>0</v>
      </c>
    </row>
    <row r="115" spans="1:23">
      <c r="A115" s="1096">
        <f t="shared" si="55"/>
        <v>9.1799999999999962</v>
      </c>
      <c r="B115" s="854" t="s">
        <v>1108</v>
      </c>
      <c r="C115" s="1066">
        <f t="shared" si="53"/>
        <v>0</v>
      </c>
      <c r="D115" s="1066">
        <f t="shared" si="49"/>
        <v>0</v>
      </c>
      <c r="E115" s="1066"/>
      <c r="F115" s="1066"/>
      <c r="G115" s="1066">
        <f t="shared" si="50"/>
        <v>0</v>
      </c>
      <c r="H115" s="1066"/>
      <c r="I115" s="1066">
        <f t="shared" si="54"/>
        <v>0</v>
      </c>
      <c r="J115" s="1066">
        <f t="shared" si="51"/>
        <v>0</v>
      </c>
      <c r="K115" s="1066">
        <f t="shared" si="52"/>
        <v>0</v>
      </c>
      <c r="L115" s="1066"/>
      <c r="M115" s="854">
        <v>0</v>
      </c>
      <c r="N115" s="854">
        <v>0</v>
      </c>
      <c r="O115" s="854">
        <v>0</v>
      </c>
      <c r="P115" s="854">
        <v>0</v>
      </c>
      <c r="Q115" s="854">
        <v>0</v>
      </c>
      <c r="R115" s="1066"/>
      <c r="S115" s="854">
        <v>0</v>
      </c>
      <c r="T115" s="854">
        <v>0</v>
      </c>
      <c r="U115" s="854">
        <v>0</v>
      </c>
      <c r="V115" s="854">
        <v>0</v>
      </c>
      <c r="W115" s="854">
        <v>0</v>
      </c>
    </row>
    <row r="116" spans="1:23">
      <c r="A116" s="1096">
        <f t="shared" si="55"/>
        <v>9.1899999999999959</v>
      </c>
      <c r="B116" s="854" t="s">
        <v>1109</v>
      </c>
      <c r="C116" s="1066">
        <f t="shared" si="53"/>
        <v>0</v>
      </c>
      <c r="D116" s="1066">
        <f t="shared" si="49"/>
        <v>0</v>
      </c>
      <c r="E116" s="1066"/>
      <c r="F116" s="1066"/>
      <c r="G116" s="1066">
        <f t="shared" si="50"/>
        <v>0</v>
      </c>
      <c r="H116" s="1066"/>
      <c r="I116" s="1066">
        <f t="shared" si="54"/>
        <v>0</v>
      </c>
      <c r="J116" s="1066">
        <f t="shared" si="51"/>
        <v>0</v>
      </c>
      <c r="K116" s="1066">
        <f t="shared" si="52"/>
        <v>0</v>
      </c>
      <c r="L116" s="1066"/>
      <c r="M116" s="854">
        <v>0</v>
      </c>
      <c r="N116" s="854">
        <v>0</v>
      </c>
      <c r="O116" s="854">
        <v>0</v>
      </c>
      <c r="P116" s="854">
        <v>0</v>
      </c>
      <c r="Q116" s="854">
        <v>0</v>
      </c>
      <c r="R116" s="1066"/>
      <c r="S116" s="854">
        <v>0</v>
      </c>
      <c r="T116" s="854">
        <v>0</v>
      </c>
      <c r="U116" s="854">
        <v>0</v>
      </c>
      <c r="V116" s="854">
        <v>0</v>
      </c>
      <c r="W116" s="854">
        <v>0</v>
      </c>
    </row>
    <row r="117" spans="1:23">
      <c r="A117" s="1096">
        <f t="shared" si="55"/>
        <v>9.1999999999999957</v>
      </c>
      <c r="B117" s="854" t="s">
        <v>1110</v>
      </c>
      <c r="C117" s="1066">
        <f t="shared" si="53"/>
        <v>5593326.5700000003</v>
      </c>
      <c r="D117" s="1066">
        <f t="shared" si="49"/>
        <v>5214981.75</v>
      </c>
      <c r="E117" s="1066"/>
      <c r="F117" s="1066"/>
      <c r="G117" s="1066">
        <f t="shared" si="50"/>
        <v>5404154</v>
      </c>
      <c r="H117" s="1066"/>
      <c r="I117" s="1066">
        <f t="shared" si="54"/>
        <v>5404154.1600000001</v>
      </c>
      <c r="J117" s="1066">
        <f t="shared" si="51"/>
        <v>0</v>
      </c>
      <c r="K117" s="1066">
        <f t="shared" si="52"/>
        <v>0</v>
      </c>
      <c r="L117" s="1066"/>
      <c r="M117" s="854">
        <v>5593326.5700000003</v>
      </c>
      <c r="N117" s="854">
        <v>0</v>
      </c>
      <c r="O117" s="854">
        <v>0</v>
      </c>
      <c r="P117" s="854">
        <v>0</v>
      </c>
      <c r="Q117" s="854">
        <v>0</v>
      </c>
      <c r="R117" s="1066"/>
      <c r="S117" s="854">
        <v>5214981.75</v>
      </c>
      <c r="T117" s="854">
        <v>0</v>
      </c>
      <c r="U117" s="854">
        <v>0</v>
      </c>
      <c r="V117" s="854">
        <v>0</v>
      </c>
      <c r="W117" s="854">
        <v>0</v>
      </c>
    </row>
    <row r="118" spans="1:23">
      <c r="A118" s="1096">
        <f t="shared" si="55"/>
        <v>9.2099999999999955</v>
      </c>
      <c r="B118" s="854" t="s">
        <v>1111</v>
      </c>
      <c r="C118" s="1066">
        <f t="shared" si="53"/>
        <v>2748.69</v>
      </c>
      <c r="D118" s="1066">
        <f t="shared" si="49"/>
        <v>2748.69</v>
      </c>
      <c r="E118" s="1066"/>
      <c r="F118" s="1066"/>
      <c r="G118" s="1066">
        <f t="shared" si="50"/>
        <v>2749</v>
      </c>
      <c r="H118" s="1066"/>
      <c r="I118" s="1066">
        <f t="shared" si="54"/>
        <v>2748.69</v>
      </c>
      <c r="J118" s="1066">
        <f t="shared" si="51"/>
        <v>0</v>
      </c>
      <c r="K118" s="1066">
        <f t="shared" si="52"/>
        <v>0</v>
      </c>
      <c r="L118" s="1066"/>
      <c r="M118" s="854">
        <v>2748.69</v>
      </c>
      <c r="N118" s="854">
        <v>0</v>
      </c>
      <c r="O118" s="854">
        <v>0</v>
      </c>
      <c r="P118" s="854">
        <v>0</v>
      </c>
      <c r="Q118" s="854">
        <v>0</v>
      </c>
      <c r="R118" s="1066"/>
      <c r="S118" s="854">
        <v>2748.69</v>
      </c>
      <c r="T118" s="854">
        <v>0</v>
      </c>
      <c r="U118" s="854">
        <v>0</v>
      </c>
      <c r="V118" s="854">
        <v>0</v>
      </c>
      <c r="W118" s="854">
        <v>0</v>
      </c>
    </row>
    <row r="119" spans="1:23">
      <c r="A119" s="1096">
        <f t="shared" si="55"/>
        <v>9.2199999999999953</v>
      </c>
      <c r="B119" s="854" t="s">
        <v>1112</v>
      </c>
      <c r="C119" s="1066">
        <f t="shared" si="53"/>
        <v>107980.02</v>
      </c>
      <c r="D119" s="1066">
        <f t="shared" si="49"/>
        <v>107980.02</v>
      </c>
      <c r="E119" s="1066"/>
      <c r="F119" s="1066"/>
      <c r="G119" s="1066">
        <f t="shared" si="50"/>
        <v>107980</v>
      </c>
      <c r="H119" s="1066"/>
      <c r="I119" s="1066">
        <f t="shared" si="54"/>
        <v>107980.02</v>
      </c>
      <c r="J119" s="1066">
        <f t="shared" si="51"/>
        <v>0</v>
      </c>
      <c r="K119" s="1066">
        <f t="shared" si="52"/>
        <v>0</v>
      </c>
      <c r="L119" s="1066"/>
      <c r="M119" s="854">
        <v>107980.02</v>
      </c>
      <c r="N119" s="854">
        <v>0</v>
      </c>
      <c r="O119" s="854">
        <v>0</v>
      </c>
      <c r="P119" s="854">
        <v>0</v>
      </c>
      <c r="Q119" s="854">
        <v>0</v>
      </c>
      <c r="R119" s="1066"/>
      <c r="S119" s="854">
        <v>107980.02</v>
      </c>
      <c r="T119" s="854">
        <v>0</v>
      </c>
      <c r="U119" s="854">
        <v>0</v>
      </c>
      <c r="V119" s="854">
        <v>0</v>
      </c>
      <c r="W119" s="854">
        <v>0</v>
      </c>
    </row>
    <row r="120" spans="1:23">
      <c r="A120" s="1096">
        <f t="shared" si="55"/>
        <v>9.2299999999999951</v>
      </c>
      <c r="B120" s="854" t="s">
        <v>1113</v>
      </c>
      <c r="C120" s="1071">
        <f t="shared" si="53"/>
        <v>28782.98</v>
      </c>
      <c r="D120" s="1071">
        <f t="shared" si="49"/>
        <v>5301.12</v>
      </c>
      <c r="E120" s="1071"/>
      <c r="F120" s="1071"/>
      <c r="G120" s="1071">
        <f t="shared" si="50"/>
        <v>17042</v>
      </c>
      <c r="H120" s="1071"/>
      <c r="I120" s="1071">
        <f t="shared" si="54"/>
        <v>17042.68</v>
      </c>
      <c r="J120" s="1071">
        <f t="shared" si="51"/>
        <v>0</v>
      </c>
      <c r="K120" s="1071">
        <f t="shared" si="52"/>
        <v>-0.63</v>
      </c>
      <c r="L120" s="1071"/>
      <c r="M120" s="854">
        <v>28782.98</v>
      </c>
      <c r="N120" s="854">
        <v>0</v>
      </c>
      <c r="O120" s="854">
        <v>0</v>
      </c>
      <c r="P120" s="854">
        <v>0</v>
      </c>
      <c r="Q120" s="854">
        <v>0</v>
      </c>
      <c r="R120" s="1071"/>
      <c r="S120" s="854">
        <v>5302.38</v>
      </c>
      <c r="T120" s="854">
        <v>0</v>
      </c>
      <c r="U120" s="854">
        <v>0</v>
      </c>
      <c r="V120" s="854">
        <v>-1.26</v>
      </c>
      <c r="W120" s="854">
        <v>0</v>
      </c>
    </row>
    <row r="121" spans="1:23">
      <c r="A121" s="1096">
        <f t="shared" si="55"/>
        <v>9.2399999999999949</v>
      </c>
      <c r="B121" s="854" t="s">
        <v>1114</v>
      </c>
      <c r="C121" s="1066">
        <f t="shared" si="53"/>
        <v>-5024.67</v>
      </c>
      <c r="D121" s="1066">
        <f t="shared" si="49"/>
        <v>-5024.67</v>
      </c>
      <c r="E121" s="1066"/>
      <c r="F121" s="1066"/>
      <c r="G121" s="1066">
        <f t="shared" si="50"/>
        <v>-5025</v>
      </c>
      <c r="H121" s="1066"/>
      <c r="I121" s="1066">
        <f t="shared" si="54"/>
        <v>-5024.67</v>
      </c>
      <c r="J121" s="1066">
        <f t="shared" si="51"/>
        <v>0</v>
      </c>
      <c r="K121" s="1066">
        <f t="shared" si="52"/>
        <v>0</v>
      </c>
      <c r="L121" s="1066"/>
      <c r="M121" s="854">
        <v>-5024.67</v>
      </c>
      <c r="N121" s="854">
        <v>0</v>
      </c>
      <c r="O121" s="854">
        <v>0</v>
      </c>
      <c r="P121" s="854">
        <v>0</v>
      </c>
      <c r="Q121" s="854">
        <v>0</v>
      </c>
      <c r="R121" s="1066"/>
      <c r="S121" s="854">
        <v>-5024.67</v>
      </c>
      <c r="T121" s="854">
        <v>0</v>
      </c>
      <c r="U121" s="854">
        <v>0</v>
      </c>
      <c r="V121" s="854">
        <v>0</v>
      </c>
      <c r="W121" s="854">
        <v>0</v>
      </c>
    </row>
    <row r="122" spans="1:23">
      <c r="A122" s="1096">
        <f t="shared" si="55"/>
        <v>9.2499999999999947</v>
      </c>
      <c r="B122" s="854" t="s">
        <v>1115</v>
      </c>
      <c r="C122" s="1066">
        <f t="shared" si="53"/>
        <v>0</v>
      </c>
      <c r="D122" s="1066">
        <f t="shared" si="49"/>
        <v>0</v>
      </c>
      <c r="E122" s="1066"/>
      <c r="F122" s="1066"/>
      <c r="G122" s="1066">
        <f t="shared" si="50"/>
        <v>0</v>
      </c>
      <c r="H122" s="1066"/>
      <c r="I122" s="1066">
        <f t="shared" si="54"/>
        <v>0</v>
      </c>
      <c r="J122" s="1066">
        <f t="shared" si="51"/>
        <v>0</v>
      </c>
      <c r="K122" s="1066">
        <f t="shared" si="52"/>
        <v>0</v>
      </c>
      <c r="L122" s="1066"/>
      <c r="M122" s="854">
        <v>0</v>
      </c>
      <c r="N122" s="854">
        <v>0</v>
      </c>
      <c r="O122" s="854">
        <v>0</v>
      </c>
      <c r="P122" s="854">
        <v>0</v>
      </c>
      <c r="Q122" s="854">
        <v>0</v>
      </c>
      <c r="R122" s="1066"/>
      <c r="S122" s="854">
        <v>0</v>
      </c>
      <c r="T122" s="854">
        <v>0</v>
      </c>
      <c r="U122" s="854">
        <v>0</v>
      </c>
      <c r="V122" s="854">
        <v>0</v>
      </c>
      <c r="W122" s="854">
        <v>0</v>
      </c>
    </row>
    <row r="123" spans="1:23">
      <c r="A123" s="1096">
        <f t="shared" si="55"/>
        <v>9.2599999999999945</v>
      </c>
      <c r="B123" s="854" t="s">
        <v>1116</v>
      </c>
      <c r="C123" s="1066">
        <f t="shared" si="53"/>
        <v>16232027.489999998</v>
      </c>
      <c r="D123" s="1066">
        <f t="shared" si="49"/>
        <v>15207773.07</v>
      </c>
      <c r="E123" s="1066"/>
      <c r="F123" s="1066"/>
      <c r="G123" s="1066">
        <f>ROUND(SUM(C123:F123)/2,0)</f>
        <v>15719900</v>
      </c>
      <c r="H123" s="1066"/>
      <c r="I123" s="1066">
        <f t="shared" si="54"/>
        <v>1244705.9100000001</v>
      </c>
      <c r="J123" s="1066">
        <f t="shared" si="51"/>
        <v>1919551.9350000001</v>
      </c>
      <c r="K123" s="1066">
        <f t="shared" si="52"/>
        <v>8141085.3300000001</v>
      </c>
      <c r="L123" s="1066"/>
      <c r="M123" s="854">
        <v>1639743.84</v>
      </c>
      <c r="N123" s="854">
        <v>4182720.57</v>
      </c>
      <c r="O123" s="854">
        <v>1896158.88</v>
      </c>
      <c r="P123" s="854">
        <v>8513404.1999999993</v>
      </c>
      <c r="Q123" s="854">
        <v>0</v>
      </c>
      <c r="R123" s="1066"/>
      <c r="S123" s="854">
        <v>849667.98</v>
      </c>
      <c r="T123" s="854">
        <v>4646393.6399999997</v>
      </c>
      <c r="U123" s="854">
        <v>1942944.99</v>
      </c>
      <c r="V123" s="854">
        <v>7768766.46</v>
      </c>
      <c r="W123" s="854">
        <v>0</v>
      </c>
    </row>
    <row r="124" spans="1:23">
      <c r="A124" s="1096">
        <f t="shared" si="55"/>
        <v>9.2699999999999942</v>
      </c>
      <c r="B124" s="854" t="s">
        <v>1117</v>
      </c>
      <c r="C124" s="1066">
        <f t="shared" si="53"/>
        <v>235154.21999999997</v>
      </c>
      <c r="D124" s="1066">
        <f t="shared" si="49"/>
        <v>254514.33000000002</v>
      </c>
      <c r="E124" s="1066"/>
      <c r="F124" s="1066"/>
      <c r="G124" s="1066">
        <f t="shared" si="50"/>
        <v>244834</v>
      </c>
      <c r="H124" s="1066"/>
      <c r="I124" s="1066">
        <f t="shared" si="54"/>
        <v>208.00500000000011</v>
      </c>
      <c r="J124" s="1066">
        <f t="shared" si="51"/>
        <v>16750.334999999999</v>
      </c>
      <c r="K124" s="1066">
        <f t="shared" si="52"/>
        <v>106189.44</v>
      </c>
      <c r="L124" s="1066"/>
      <c r="M124" s="854">
        <v>-2870.49</v>
      </c>
      <c r="N124" s="854">
        <v>122209.92</v>
      </c>
      <c r="O124" s="854">
        <v>16532.669999999998</v>
      </c>
      <c r="P124" s="854">
        <v>99282.12</v>
      </c>
      <c r="Q124" s="854">
        <v>0</v>
      </c>
      <c r="R124" s="1066"/>
      <c r="S124" s="854">
        <v>3286.5</v>
      </c>
      <c r="T124" s="854">
        <v>121163.07</v>
      </c>
      <c r="U124" s="854">
        <v>16968</v>
      </c>
      <c r="V124" s="854">
        <v>113096.76</v>
      </c>
      <c r="W124" s="854">
        <v>0</v>
      </c>
    </row>
    <row r="125" spans="1:23">
      <c r="A125" s="1096">
        <f t="shared" si="55"/>
        <v>9.279999999999994</v>
      </c>
      <c r="B125" s="854" t="s">
        <v>1118</v>
      </c>
      <c r="C125" s="1066">
        <f t="shared" si="53"/>
        <v>1361561.66</v>
      </c>
      <c r="D125" s="1066">
        <f t="shared" si="49"/>
        <v>-1294440.01</v>
      </c>
      <c r="E125" s="1066"/>
      <c r="F125" s="1066"/>
      <c r="G125" s="1066">
        <f t="shared" si="50"/>
        <v>33561</v>
      </c>
      <c r="H125" s="1066"/>
      <c r="I125" s="1066">
        <f t="shared" si="54"/>
        <v>185943.03000000003</v>
      </c>
      <c r="J125" s="1066">
        <f t="shared" si="51"/>
        <v>31302.075000000001</v>
      </c>
      <c r="K125" s="1066">
        <f t="shared" si="52"/>
        <v>-81640.545000000013</v>
      </c>
      <c r="L125" s="1066"/>
      <c r="M125" s="854">
        <v>456576.96</v>
      </c>
      <c r="N125" s="854">
        <v>484848.62</v>
      </c>
      <c r="O125" s="854">
        <v>120875.16</v>
      </c>
      <c r="P125" s="854">
        <v>299260.92</v>
      </c>
      <c r="Q125" s="854">
        <v>0</v>
      </c>
      <c r="R125" s="1066"/>
      <c r="S125" s="854">
        <v>-84690.9</v>
      </c>
      <c r="T125" s="854">
        <v>-688936.09</v>
      </c>
      <c r="U125" s="854">
        <v>-58271.01</v>
      </c>
      <c r="V125" s="854">
        <v>-462542.01</v>
      </c>
      <c r="W125" s="854">
        <v>0</v>
      </c>
    </row>
    <row r="126" spans="1:23">
      <c r="A126" s="1096">
        <f t="shared" si="55"/>
        <v>9.2899999999999938</v>
      </c>
      <c r="B126" s="854" t="s">
        <v>1119</v>
      </c>
      <c r="C126" s="1066">
        <f t="shared" si="53"/>
        <v>16167.34</v>
      </c>
      <c r="D126" s="1066">
        <f t="shared" si="49"/>
        <v>22805.78</v>
      </c>
      <c r="E126" s="1066"/>
      <c r="F126" s="1066"/>
      <c r="G126" s="1066">
        <f>ROUND(SUM(C126:F126)/2,0)</f>
        <v>19487</v>
      </c>
      <c r="H126" s="1066"/>
      <c r="I126" s="1066">
        <f t="shared" si="54"/>
        <v>0</v>
      </c>
      <c r="J126" s="1066">
        <f t="shared" si="51"/>
        <v>0</v>
      </c>
      <c r="K126" s="1066">
        <f t="shared" si="52"/>
        <v>19486.559999999998</v>
      </c>
      <c r="L126" s="1066"/>
      <c r="M126" s="854">
        <v>0</v>
      </c>
      <c r="N126" s="854">
        <v>0</v>
      </c>
      <c r="O126" s="854">
        <v>0</v>
      </c>
      <c r="P126" s="854">
        <v>16167.34</v>
      </c>
      <c r="Q126" s="854">
        <v>0</v>
      </c>
      <c r="R126" s="1066"/>
      <c r="S126" s="854">
        <v>0</v>
      </c>
      <c r="T126" s="854">
        <v>0</v>
      </c>
      <c r="U126" s="854">
        <v>0</v>
      </c>
      <c r="V126" s="854">
        <v>22805.78</v>
      </c>
      <c r="W126" s="854">
        <v>0</v>
      </c>
    </row>
    <row r="127" spans="1:23">
      <c r="A127" s="1096">
        <f t="shared" si="55"/>
        <v>9.2999999999999936</v>
      </c>
      <c r="B127" s="854" t="s">
        <v>1120</v>
      </c>
      <c r="C127" s="1066">
        <f t="shared" si="53"/>
        <v>0</v>
      </c>
      <c r="D127" s="1066">
        <f t="shared" si="49"/>
        <v>0</v>
      </c>
      <c r="E127" s="1066"/>
      <c r="F127" s="1066"/>
      <c r="G127" s="1066">
        <f t="shared" si="50"/>
        <v>0</v>
      </c>
      <c r="H127" s="1066"/>
      <c r="I127" s="1066">
        <f t="shared" si="54"/>
        <v>0</v>
      </c>
      <c r="J127" s="1066">
        <f t="shared" si="51"/>
        <v>0</v>
      </c>
      <c r="K127" s="1066">
        <f t="shared" si="52"/>
        <v>0</v>
      </c>
      <c r="L127" s="1066"/>
      <c r="M127" s="854">
        <v>0</v>
      </c>
      <c r="N127" s="854">
        <v>0</v>
      </c>
      <c r="O127" s="854">
        <v>0</v>
      </c>
      <c r="P127" s="854">
        <v>0</v>
      </c>
      <c r="Q127" s="854">
        <v>0</v>
      </c>
      <c r="R127" s="1066"/>
      <c r="S127" s="854">
        <v>0</v>
      </c>
      <c r="T127" s="854">
        <v>0</v>
      </c>
      <c r="U127" s="854">
        <v>0</v>
      </c>
      <c r="V127" s="854">
        <v>0</v>
      </c>
      <c r="W127" s="854">
        <v>0</v>
      </c>
    </row>
    <row r="128" spans="1:23">
      <c r="A128" s="1096">
        <f t="shared" si="55"/>
        <v>9.3099999999999934</v>
      </c>
      <c r="B128" s="854" t="s">
        <v>1121</v>
      </c>
      <c r="C128" s="1066">
        <f t="shared" si="53"/>
        <v>-0.01</v>
      </c>
      <c r="D128" s="1066">
        <f t="shared" si="49"/>
        <v>-0.01</v>
      </c>
      <c r="E128" s="1066"/>
      <c r="F128" s="1066"/>
      <c r="G128" s="1066">
        <f t="shared" si="50"/>
        <v>0</v>
      </c>
      <c r="H128" s="1066"/>
      <c r="I128" s="1066">
        <f t="shared" si="54"/>
        <v>-0.01</v>
      </c>
      <c r="J128" s="1066">
        <f t="shared" si="51"/>
        <v>0</v>
      </c>
      <c r="K128" s="1066">
        <f t="shared" si="52"/>
        <v>0</v>
      </c>
      <c r="L128" s="1066"/>
      <c r="M128" s="854">
        <v>-0.01</v>
      </c>
      <c r="N128" s="854">
        <v>0</v>
      </c>
      <c r="O128" s="854">
        <v>0</v>
      </c>
      <c r="P128" s="854">
        <v>0</v>
      </c>
      <c r="Q128" s="854">
        <v>0</v>
      </c>
      <c r="R128" s="1066"/>
      <c r="S128" s="854">
        <v>-0.01</v>
      </c>
      <c r="T128" s="854">
        <v>0</v>
      </c>
      <c r="U128" s="854">
        <v>0</v>
      </c>
      <c r="V128" s="854">
        <v>0</v>
      </c>
      <c r="W128" s="854">
        <v>0</v>
      </c>
    </row>
    <row r="129" spans="1:23">
      <c r="A129" s="1096">
        <f t="shared" si="55"/>
        <v>9.3199999999999932</v>
      </c>
      <c r="B129" s="854" t="s">
        <v>1122</v>
      </c>
      <c r="C129" s="1066">
        <f t="shared" si="53"/>
        <v>0</v>
      </c>
      <c r="D129" s="1066">
        <f t="shared" si="49"/>
        <v>0</v>
      </c>
      <c r="E129" s="1066"/>
      <c r="F129" s="1066"/>
      <c r="G129" s="1066">
        <f t="shared" si="50"/>
        <v>0</v>
      </c>
      <c r="H129" s="1066"/>
      <c r="I129" s="1066">
        <f t="shared" si="54"/>
        <v>0</v>
      </c>
      <c r="J129" s="1066">
        <f t="shared" si="51"/>
        <v>0</v>
      </c>
      <c r="K129" s="1066">
        <f t="shared" si="52"/>
        <v>0</v>
      </c>
      <c r="L129" s="1066"/>
      <c r="M129" s="854">
        <v>0</v>
      </c>
      <c r="N129" s="854">
        <v>0</v>
      </c>
      <c r="O129" s="854">
        <v>0</v>
      </c>
      <c r="P129" s="854">
        <v>0</v>
      </c>
      <c r="Q129" s="854">
        <v>0</v>
      </c>
      <c r="R129" s="1066"/>
      <c r="S129" s="854">
        <v>0</v>
      </c>
      <c r="T129" s="854">
        <v>0</v>
      </c>
      <c r="U129" s="854">
        <v>0</v>
      </c>
      <c r="V129" s="854">
        <v>0</v>
      </c>
      <c r="W129" s="854">
        <v>0</v>
      </c>
    </row>
    <row r="130" spans="1:23">
      <c r="A130" s="1096">
        <f t="shared" si="55"/>
        <v>9.329999999999993</v>
      </c>
      <c r="B130" s="854" t="s">
        <v>1123</v>
      </c>
      <c r="C130" s="1066">
        <f t="shared" si="53"/>
        <v>0</v>
      </c>
      <c r="D130" s="1066">
        <f t="shared" si="49"/>
        <v>0</v>
      </c>
      <c r="E130" s="1066"/>
      <c r="F130" s="1066"/>
      <c r="G130" s="1066">
        <f t="shared" si="50"/>
        <v>0</v>
      </c>
      <c r="H130" s="1066"/>
      <c r="I130" s="1066">
        <f t="shared" si="54"/>
        <v>0</v>
      </c>
      <c r="J130" s="1066">
        <f t="shared" si="51"/>
        <v>0</v>
      </c>
      <c r="K130" s="1066">
        <f t="shared" si="52"/>
        <v>0</v>
      </c>
      <c r="L130" s="1066"/>
      <c r="M130" s="854">
        <v>0</v>
      </c>
      <c r="N130" s="854">
        <v>0</v>
      </c>
      <c r="O130" s="854">
        <v>0</v>
      </c>
      <c r="P130" s="854">
        <v>0</v>
      </c>
      <c r="Q130" s="854">
        <v>0</v>
      </c>
      <c r="R130" s="1066"/>
      <c r="S130" s="854">
        <v>0</v>
      </c>
      <c r="T130" s="854">
        <v>0</v>
      </c>
      <c r="U130" s="854">
        <v>0</v>
      </c>
      <c r="V130" s="854">
        <v>0</v>
      </c>
      <c r="W130" s="854">
        <v>0</v>
      </c>
    </row>
    <row r="131" spans="1:23">
      <c r="A131" s="1096">
        <f t="shared" si="55"/>
        <v>9.3399999999999928</v>
      </c>
      <c r="B131" s="854" t="s">
        <v>1124</v>
      </c>
      <c r="C131" s="1066">
        <f t="shared" si="53"/>
        <v>0</v>
      </c>
      <c r="D131" s="1066">
        <f t="shared" si="49"/>
        <v>0</v>
      </c>
      <c r="E131" s="1066"/>
      <c r="F131" s="1066"/>
      <c r="G131" s="1066">
        <f t="shared" si="50"/>
        <v>0</v>
      </c>
      <c r="H131" s="1066"/>
      <c r="I131" s="1066">
        <f t="shared" si="54"/>
        <v>0</v>
      </c>
      <c r="J131" s="1066">
        <f t="shared" ref="J131:J162" si="62">(O131+U131)/2</f>
        <v>0</v>
      </c>
      <c r="K131" s="1066">
        <f t="shared" ref="K131:K162" si="63">(P131+V131)/2</f>
        <v>0</v>
      </c>
      <c r="L131" s="1066"/>
      <c r="M131" s="854">
        <v>0</v>
      </c>
      <c r="N131" s="854">
        <v>0</v>
      </c>
      <c r="O131" s="854">
        <v>0</v>
      </c>
      <c r="P131" s="854">
        <v>0</v>
      </c>
      <c r="Q131" s="854">
        <v>0</v>
      </c>
      <c r="R131" s="1066"/>
      <c r="S131" s="854">
        <v>0</v>
      </c>
      <c r="T131" s="854">
        <v>0</v>
      </c>
      <c r="U131" s="854">
        <v>0</v>
      </c>
      <c r="V131" s="854">
        <v>0</v>
      </c>
      <c r="W131" s="854">
        <v>0</v>
      </c>
    </row>
    <row r="132" spans="1:23">
      <c r="A132" s="1096">
        <f t="shared" si="55"/>
        <v>9.3499999999999925</v>
      </c>
      <c r="B132" s="854" t="s">
        <v>1125</v>
      </c>
      <c r="C132" s="1066">
        <f t="shared" si="53"/>
        <v>98119.98</v>
      </c>
      <c r="D132" s="1066">
        <f t="shared" si="49"/>
        <v>-0.01</v>
      </c>
      <c r="E132" s="1066"/>
      <c r="F132" s="1066"/>
      <c r="G132" s="1066">
        <f t="shared" si="50"/>
        <v>49060</v>
      </c>
      <c r="H132" s="1066"/>
      <c r="I132" s="1066">
        <f t="shared" si="54"/>
        <v>0</v>
      </c>
      <c r="J132" s="1066">
        <f t="shared" si="62"/>
        <v>0</v>
      </c>
      <c r="K132" s="1066">
        <f t="shared" si="63"/>
        <v>49059.985000000001</v>
      </c>
      <c r="L132" s="1066"/>
      <c r="M132" s="854">
        <v>0</v>
      </c>
      <c r="N132" s="854">
        <v>0</v>
      </c>
      <c r="O132" s="854">
        <v>0</v>
      </c>
      <c r="P132" s="854">
        <v>98119.98</v>
      </c>
      <c r="Q132" s="854">
        <v>0</v>
      </c>
      <c r="R132" s="1066"/>
      <c r="S132" s="854">
        <v>0</v>
      </c>
      <c r="T132" s="854">
        <v>0</v>
      </c>
      <c r="U132" s="854">
        <v>0</v>
      </c>
      <c r="V132" s="854">
        <v>-0.01</v>
      </c>
      <c r="W132" s="854">
        <v>0</v>
      </c>
    </row>
    <row r="133" spans="1:23">
      <c r="A133" s="1096">
        <f t="shared" si="55"/>
        <v>9.3599999999999923</v>
      </c>
      <c r="B133" s="854" t="s">
        <v>1126</v>
      </c>
      <c r="C133" s="1066">
        <f t="shared" si="53"/>
        <v>0</v>
      </c>
      <c r="D133" s="1066">
        <f t="shared" si="49"/>
        <v>0</v>
      </c>
      <c r="E133" s="1066"/>
      <c r="F133" s="1066"/>
      <c r="G133" s="1066">
        <f t="shared" si="50"/>
        <v>0</v>
      </c>
      <c r="H133" s="1066"/>
      <c r="I133" s="1066">
        <f t="shared" si="54"/>
        <v>0</v>
      </c>
      <c r="J133" s="1066">
        <f t="shared" si="62"/>
        <v>0</v>
      </c>
      <c r="K133" s="1066">
        <f t="shared" si="63"/>
        <v>0</v>
      </c>
      <c r="L133" s="1066"/>
      <c r="M133" s="854">
        <v>0</v>
      </c>
      <c r="N133" s="854">
        <v>0</v>
      </c>
      <c r="O133" s="854">
        <v>0</v>
      </c>
      <c r="P133" s="854">
        <v>0</v>
      </c>
      <c r="Q133" s="854">
        <v>0</v>
      </c>
      <c r="R133" s="1066"/>
      <c r="S133" s="854">
        <v>0</v>
      </c>
      <c r="T133" s="854">
        <v>0</v>
      </c>
      <c r="U133" s="854">
        <v>0</v>
      </c>
      <c r="V133" s="854">
        <v>0</v>
      </c>
      <c r="W133" s="854">
        <v>0</v>
      </c>
    </row>
    <row r="134" spans="1:23">
      <c r="A134" s="1096">
        <f t="shared" si="55"/>
        <v>9.3699999999999921</v>
      </c>
      <c r="B134" s="854" t="s">
        <v>1127</v>
      </c>
      <c r="C134" s="1066">
        <f t="shared" si="53"/>
        <v>0</v>
      </c>
      <c r="D134" s="1066">
        <f t="shared" si="49"/>
        <v>0</v>
      </c>
      <c r="E134" s="1066"/>
      <c r="F134" s="1066"/>
      <c r="G134" s="1066">
        <f t="shared" si="50"/>
        <v>0</v>
      </c>
      <c r="H134" s="1066"/>
      <c r="I134" s="1066">
        <f t="shared" si="54"/>
        <v>0</v>
      </c>
      <c r="J134" s="1066">
        <f t="shared" si="62"/>
        <v>0</v>
      </c>
      <c r="K134" s="1066">
        <f t="shared" si="63"/>
        <v>0</v>
      </c>
      <c r="L134" s="1066"/>
      <c r="M134" s="854">
        <v>0</v>
      </c>
      <c r="N134" s="854">
        <v>0</v>
      </c>
      <c r="O134" s="854">
        <v>0</v>
      </c>
      <c r="P134" s="854">
        <v>0</v>
      </c>
      <c r="Q134" s="854">
        <v>0</v>
      </c>
      <c r="R134" s="1066"/>
      <c r="S134" s="854">
        <v>0</v>
      </c>
      <c r="T134" s="854">
        <v>0</v>
      </c>
      <c r="U134" s="854">
        <v>0</v>
      </c>
      <c r="V134" s="854">
        <v>0</v>
      </c>
      <c r="W134" s="854">
        <v>0</v>
      </c>
    </row>
    <row r="135" spans="1:23">
      <c r="A135" s="1096">
        <f t="shared" si="55"/>
        <v>9.3799999999999919</v>
      </c>
      <c r="B135" s="854" t="s">
        <v>1128</v>
      </c>
      <c r="C135" s="1066">
        <f t="shared" si="53"/>
        <v>0</v>
      </c>
      <c r="D135" s="1066">
        <f t="shared" si="49"/>
        <v>0</v>
      </c>
      <c r="E135" s="1066"/>
      <c r="F135" s="1066"/>
      <c r="G135" s="1066">
        <f t="shared" si="50"/>
        <v>0</v>
      </c>
      <c r="H135" s="1066"/>
      <c r="I135" s="1066">
        <f t="shared" si="54"/>
        <v>0</v>
      </c>
      <c r="J135" s="1066">
        <f t="shared" si="62"/>
        <v>0</v>
      </c>
      <c r="K135" s="1066">
        <f t="shared" si="63"/>
        <v>0</v>
      </c>
      <c r="L135" s="1066"/>
      <c r="M135" s="854">
        <v>0</v>
      </c>
      <c r="N135" s="854">
        <v>0</v>
      </c>
      <c r="O135" s="854">
        <v>0</v>
      </c>
      <c r="P135" s="854">
        <v>0</v>
      </c>
      <c r="Q135" s="854">
        <v>0</v>
      </c>
      <c r="R135" s="1066"/>
      <c r="S135" s="854">
        <v>0</v>
      </c>
      <c r="T135" s="854">
        <v>0</v>
      </c>
      <c r="U135" s="854">
        <v>0</v>
      </c>
      <c r="V135" s="854">
        <v>0</v>
      </c>
      <c r="W135" s="854">
        <v>0</v>
      </c>
    </row>
    <row r="136" spans="1:23">
      <c r="A136" s="1096">
        <f t="shared" si="55"/>
        <v>9.3899999999999917</v>
      </c>
      <c r="B136" s="854" t="s">
        <v>1129</v>
      </c>
      <c r="C136" s="1066">
        <f t="shared" si="53"/>
        <v>0</v>
      </c>
      <c r="D136" s="1066">
        <f t="shared" si="49"/>
        <v>0</v>
      </c>
      <c r="E136" s="1066"/>
      <c r="F136" s="1066"/>
      <c r="G136" s="1066">
        <f t="shared" si="50"/>
        <v>0</v>
      </c>
      <c r="H136" s="1066"/>
      <c r="I136" s="1066">
        <f t="shared" si="54"/>
        <v>0</v>
      </c>
      <c r="J136" s="1066">
        <f t="shared" si="62"/>
        <v>0</v>
      </c>
      <c r="K136" s="1066">
        <f t="shared" si="63"/>
        <v>0</v>
      </c>
      <c r="L136" s="1066"/>
      <c r="M136" s="854">
        <v>0</v>
      </c>
      <c r="N136" s="854">
        <v>0</v>
      </c>
      <c r="O136" s="854">
        <v>0</v>
      </c>
      <c r="P136" s="854">
        <v>0</v>
      </c>
      <c r="Q136" s="854">
        <v>0</v>
      </c>
      <c r="R136" s="1066"/>
      <c r="S136" s="854">
        <v>0</v>
      </c>
      <c r="T136" s="854">
        <v>0</v>
      </c>
      <c r="U136" s="854">
        <v>0</v>
      </c>
      <c r="V136" s="854">
        <v>0</v>
      </c>
      <c r="W136" s="854">
        <v>0</v>
      </c>
    </row>
    <row r="137" spans="1:23">
      <c r="A137" s="1096">
        <f t="shared" si="55"/>
        <v>9.3999999999999915</v>
      </c>
      <c r="B137" s="854" t="s">
        <v>1130</v>
      </c>
      <c r="C137" s="1066">
        <f t="shared" si="53"/>
        <v>0.01</v>
      </c>
      <c r="D137" s="1066">
        <f t="shared" si="49"/>
        <v>0.01</v>
      </c>
      <c r="E137" s="1066"/>
      <c r="F137" s="1066"/>
      <c r="G137" s="1066">
        <f t="shared" si="50"/>
        <v>0</v>
      </c>
      <c r="H137" s="1066"/>
      <c r="I137" s="1066">
        <f t="shared" si="54"/>
        <v>0</v>
      </c>
      <c r="J137" s="1066">
        <f t="shared" si="62"/>
        <v>0</v>
      </c>
      <c r="K137" s="1066">
        <f t="shared" si="63"/>
        <v>0.01</v>
      </c>
      <c r="L137" s="1066"/>
      <c r="M137" s="854">
        <v>0</v>
      </c>
      <c r="N137" s="854">
        <v>0</v>
      </c>
      <c r="O137" s="854">
        <v>0</v>
      </c>
      <c r="P137" s="854">
        <v>0.01</v>
      </c>
      <c r="Q137" s="854">
        <v>0</v>
      </c>
      <c r="R137" s="1066"/>
      <c r="S137" s="854">
        <v>0</v>
      </c>
      <c r="T137" s="854">
        <v>0</v>
      </c>
      <c r="U137" s="854">
        <v>0</v>
      </c>
      <c r="V137" s="854">
        <v>0.01</v>
      </c>
      <c r="W137" s="854">
        <v>0</v>
      </c>
    </row>
    <row r="138" spans="1:23">
      <c r="A138" s="1096">
        <f t="shared" si="55"/>
        <v>9.4099999999999913</v>
      </c>
      <c r="B138" s="854" t="s">
        <v>1131</v>
      </c>
      <c r="C138" s="1066">
        <f t="shared" si="53"/>
        <v>54525.34</v>
      </c>
      <c r="D138" s="1066">
        <f t="shared" si="49"/>
        <v>0.01</v>
      </c>
      <c r="E138" s="1066"/>
      <c r="F138" s="1066"/>
      <c r="G138" s="1066">
        <f t="shared" si="50"/>
        <v>27263</v>
      </c>
      <c r="H138" s="1066"/>
      <c r="I138" s="1066">
        <f t="shared" si="54"/>
        <v>0</v>
      </c>
      <c r="J138" s="1066">
        <f t="shared" si="62"/>
        <v>0</v>
      </c>
      <c r="K138" s="1066">
        <f t="shared" si="63"/>
        <v>27262.674999999999</v>
      </c>
      <c r="L138" s="1066"/>
      <c r="M138" s="854">
        <v>0</v>
      </c>
      <c r="N138" s="854">
        <v>0</v>
      </c>
      <c r="O138" s="854">
        <v>0</v>
      </c>
      <c r="P138" s="854">
        <v>54525.34</v>
      </c>
      <c r="Q138" s="854">
        <v>0</v>
      </c>
      <c r="R138" s="1066"/>
      <c r="S138" s="854">
        <v>0</v>
      </c>
      <c r="T138" s="854">
        <v>0</v>
      </c>
      <c r="U138" s="854">
        <v>0</v>
      </c>
      <c r="V138" s="854">
        <v>0.01</v>
      </c>
      <c r="W138" s="854">
        <v>0</v>
      </c>
    </row>
    <row r="139" spans="1:23">
      <c r="A139" s="1096">
        <f t="shared" si="55"/>
        <v>9.419999999999991</v>
      </c>
      <c r="B139" s="854" t="s">
        <v>1132</v>
      </c>
      <c r="C139" s="1066">
        <f t="shared" si="53"/>
        <v>-20088.72</v>
      </c>
      <c r="D139" s="1066">
        <f t="shared" si="49"/>
        <v>0</v>
      </c>
      <c r="E139" s="1066"/>
      <c r="F139" s="1066"/>
      <c r="G139" s="1066">
        <f t="shared" si="50"/>
        <v>-10044</v>
      </c>
      <c r="H139" s="1066"/>
      <c r="I139" s="1066">
        <f t="shared" si="54"/>
        <v>0</v>
      </c>
      <c r="J139" s="1066">
        <f t="shared" si="62"/>
        <v>0</v>
      </c>
      <c r="K139" s="1066">
        <f t="shared" si="63"/>
        <v>-10044.36</v>
      </c>
      <c r="L139" s="1066"/>
      <c r="M139" s="854">
        <v>0</v>
      </c>
      <c r="N139" s="854">
        <v>0</v>
      </c>
      <c r="O139" s="854">
        <v>0</v>
      </c>
      <c r="P139" s="854">
        <v>-20088.72</v>
      </c>
      <c r="Q139" s="854">
        <v>0</v>
      </c>
      <c r="R139" s="1066"/>
      <c r="S139" s="854">
        <v>0</v>
      </c>
      <c r="T139" s="854">
        <v>0</v>
      </c>
      <c r="U139" s="854">
        <v>0</v>
      </c>
      <c r="V139" s="854">
        <v>0</v>
      </c>
      <c r="W139" s="854">
        <v>0</v>
      </c>
    </row>
    <row r="140" spans="1:23">
      <c r="A140" s="1096">
        <f t="shared" si="55"/>
        <v>9.4299999999999908</v>
      </c>
      <c r="B140" s="854" t="s">
        <v>1133</v>
      </c>
      <c r="C140" s="1066">
        <f t="shared" si="53"/>
        <v>25226.76</v>
      </c>
      <c r="D140" s="1066">
        <f t="shared" si="49"/>
        <v>0</v>
      </c>
      <c r="E140" s="1066"/>
      <c r="F140" s="1066"/>
      <c r="G140" s="1066">
        <f t="shared" si="50"/>
        <v>12613</v>
      </c>
      <c r="H140" s="1066"/>
      <c r="I140" s="1066">
        <f t="shared" si="54"/>
        <v>0</v>
      </c>
      <c r="J140" s="1066">
        <f t="shared" si="62"/>
        <v>0</v>
      </c>
      <c r="K140" s="1066">
        <f t="shared" si="63"/>
        <v>12613.38</v>
      </c>
      <c r="L140" s="1066"/>
      <c r="M140" s="854">
        <v>0</v>
      </c>
      <c r="N140" s="854">
        <v>0</v>
      </c>
      <c r="O140" s="854">
        <v>0</v>
      </c>
      <c r="P140" s="854">
        <v>25226.76</v>
      </c>
      <c r="Q140" s="854">
        <v>0</v>
      </c>
      <c r="R140" s="1066"/>
      <c r="S140" s="854">
        <v>0</v>
      </c>
      <c r="T140" s="854">
        <v>0</v>
      </c>
      <c r="U140" s="854">
        <v>0</v>
      </c>
      <c r="V140" s="854">
        <v>0</v>
      </c>
      <c r="W140" s="854">
        <v>0</v>
      </c>
    </row>
    <row r="141" spans="1:23">
      <c r="A141" s="1096">
        <f t="shared" si="55"/>
        <v>9.4399999999999906</v>
      </c>
      <c r="B141" s="854" t="s">
        <v>1134</v>
      </c>
      <c r="C141" s="1066">
        <f t="shared" si="53"/>
        <v>0</v>
      </c>
      <c r="D141" s="1066">
        <f t="shared" si="49"/>
        <v>0</v>
      </c>
      <c r="E141" s="1066"/>
      <c r="F141" s="1066"/>
      <c r="G141" s="1066">
        <f t="shared" si="50"/>
        <v>0</v>
      </c>
      <c r="H141" s="1066"/>
      <c r="I141" s="1066">
        <f t="shared" si="54"/>
        <v>0</v>
      </c>
      <c r="J141" s="1066">
        <f t="shared" si="62"/>
        <v>0</v>
      </c>
      <c r="K141" s="1066">
        <f t="shared" si="63"/>
        <v>0</v>
      </c>
      <c r="L141" s="1066"/>
      <c r="M141" s="854">
        <v>0</v>
      </c>
      <c r="N141" s="854">
        <v>0</v>
      </c>
      <c r="O141" s="854">
        <v>0</v>
      </c>
      <c r="P141" s="854">
        <v>0</v>
      </c>
      <c r="Q141" s="854">
        <v>0</v>
      </c>
      <c r="R141" s="1066"/>
      <c r="S141" s="854">
        <v>0</v>
      </c>
      <c r="T141" s="854">
        <v>0</v>
      </c>
      <c r="U141" s="854">
        <v>0</v>
      </c>
      <c r="V141" s="854">
        <v>0</v>
      </c>
      <c r="W141" s="854">
        <v>0</v>
      </c>
    </row>
    <row r="142" spans="1:23">
      <c r="A142" s="1096">
        <f t="shared" si="55"/>
        <v>9.4499999999999904</v>
      </c>
      <c r="B142" s="854" t="s">
        <v>1135</v>
      </c>
      <c r="C142" s="1066">
        <f t="shared" si="53"/>
        <v>-0.01</v>
      </c>
      <c r="D142" s="1066">
        <f t="shared" si="49"/>
        <v>-0.01</v>
      </c>
      <c r="E142" s="1066"/>
      <c r="F142" s="1066"/>
      <c r="G142" s="1066">
        <f t="shared" si="50"/>
        <v>0</v>
      </c>
      <c r="H142" s="1066"/>
      <c r="I142" s="1066">
        <f t="shared" si="54"/>
        <v>0</v>
      </c>
      <c r="J142" s="1066">
        <f t="shared" si="62"/>
        <v>0</v>
      </c>
      <c r="K142" s="1066">
        <f t="shared" si="63"/>
        <v>-0.01</v>
      </c>
      <c r="L142" s="1066"/>
      <c r="M142" s="854">
        <v>0</v>
      </c>
      <c r="N142" s="854">
        <v>0</v>
      </c>
      <c r="O142" s="854">
        <v>0</v>
      </c>
      <c r="P142" s="854">
        <v>-0.01</v>
      </c>
      <c r="Q142" s="854">
        <v>0</v>
      </c>
      <c r="R142" s="1066"/>
      <c r="S142" s="854">
        <v>0</v>
      </c>
      <c r="T142" s="854">
        <v>0</v>
      </c>
      <c r="U142" s="854">
        <v>0</v>
      </c>
      <c r="V142" s="854">
        <v>-0.01</v>
      </c>
      <c r="W142" s="854">
        <v>0</v>
      </c>
    </row>
    <row r="143" spans="1:23">
      <c r="A143" s="1096">
        <f t="shared" si="55"/>
        <v>9.4599999999999902</v>
      </c>
      <c r="B143" s="854" t="s">
        <v>1136</v>
      </c>
      <c r="C143" s="1066">
        <f t="shared" si="53"/>
        <v>0</v>
      </c>
      <c r="D143" s="1066">
        <f t="shared" si="49"/>
        <v>0</v>
      </c>
      <c r="E143" s="1066"/>
      <c r="F143" s="1066"/>
      <c r="G143" s="1066">
        <f t="shared" si="50"/>
        <v>0</v>
      </c>
      <c r="H143" s="1066"/>
      <c r="I143" s="1066">
        <f t="shared" si="54"/>
        <v>0</v>
      </c>
      <c r="J143" s="1066">
        <f t="shared" si="62"/>
        <v>0</v>
      </c>
      <c r="K143" s="1066">
        <f t="shared" si="63"/>
        <v>0</v>
      </c>
      <c r="L143" s="1066"/>
      <c r="M143" s="854">
        <v>0</v>
      </c>
      <c r="N143" s="854">
        <v>0</v>
      </c>
      <c r="O143" s="854">
        <v>0</v>
      </c>
      <c r="P143" s="854">
        <v>0</v>
      </c>
      <c r="Q143" s="854">
        <v>0</v>
      </c>
      <c r="R143" s="1066"/>
      <c r="S143" s="854">
        <v>0</v>
      </c>
      <c r="T143" s="854">
        <v>0</v>
      </c>
      <c r="U143" s="854">
        <v>0</v>
      </c>
      <c r="V143" s="854">
        <v>0</v>
      </c>
      <c r="W143" s="854">
        <v>0</v>
      </c>
    </row>
    <row r="144" spans="1:23">
      <c r="A144" s="1096">
        <f t="shared" si="55"/>
        <v>9.46999999999999</v>
      </c>
      <c r="B144" s="854" t="s">
        <v>1137</v>
      </c>
      <c r="C144" s="1066">
        <f t="shared" si="53"/>
        <v>0.01</v>
      </c>
      <c r="D144" s="1066">
        <f t="shared" si="49"/>
        <v>0.01</v>
      </c>
      <c r="E144" s="1066"/>
      <c r="F144" s="1066"/>
      <c r="G144" s="1066">
        <f t="shared" si="50"/>
        <v>0</v>
      </c>
      <c r="H144" s="1066"/>
      <c r="I144" s="1066">
        <f t="shared" si="54"/>
        <v>0</v>
      </c>
      <c r="J144" s="1066">
        <f t="shared" si="62"/>
        <v>0</v>
      </c>
      <c r="K144" s="1066">
        <f t="shared" si="63"/>
        <v>0.01</v>
      </c>
      <c r="L144" s="1066"/>
      <c r="M144" s="854">
        <v>0</v>
      </c>
      <c r="N144" s="854">
        <v>0</v>
      </c>
      <c r="O144" s="854">
        <v>0</v>
      </c>
      <c r="P144" s="854">
        <v>0.01</v>
      </c>
      <c r="Q144" s="854">
        <v>0</v>
      </c>
      <c r="R144" s="1066"/>
      <c r="S144" s="854">
        <v>0</v>
      </c>
      <c r="T144" s="854">
        <v>0</v>
      </c>
      <c r="U144" s="854">
        <v>0</v>
      </c>
      <c r="V144" s="854">
        <v>0.01</v>
      </c>
      <c r="W144" s="854">
        <v>0</v>
      </c>
    </row>
    <row r="145" spans="1:23">
      <c r="A145" s="1096">
        <f t="shared" si="55"/>
        <v>9.4799999999999898</v>
      </c>
      <c r="B145" s="854" t="s">
        <v>1138</v>
      </c>
      <c r="C145" s="1066">
        <f t="shared" si="53"/>
        <v>3129414.01</v>
      </c>
      <c r="D145" s="1066">
        <f t="shared" si="49"/>
        <v>2789156.07</v>
      </c>
      <c r="E145" s="1066"/>
      <c r="F145" s="1066"/>
      <c r="G145" s="1066">
        <f t="shared" si="50"/>
        <v>2959285</v>
      </c>
      <c r="H145" s="1066"/>
      <c r="I145" s="1066">
        <f t="shared" si="54"/>
        <v>0</v>
      </c>
      <c r="J145" s="1066">
        <f t="shared" si="62"/>
        <v>0</v>
      </c>
      <c r="K145" s="1066">
        <f t="shared" si="63"/>
        <v>2959285.04</v>
      </c>
      <c r="L145" s="1066"/>
      <c r="M145" s="854">
        <v>0</v>
      </c>
      <c r="N145" s="854">
        <v>0</v>
      </c>
      <c r="O145" s="854">
        <v>0</v>
      </c>
      <c r="P145" s="854">
        <v>3129414.01</v>
      </c>
      <c r="Q145" s="854">
        <v>0</v>
      </c>
      <c r="R145" s="1066"/>
      <c r="S145" s="854">
        <v>0</v>
      </c>
      <c r="T145" s="854">
        <v>0</v>
      </c>
      <c r="U145" s="854">
        <v>0</v>
      </c>
      <c r="V145" s="854">
        <v>2789156.07</v>
      </c>
      <c r="W145" s="854">
        <v>0</v>
      </c>
    </row>
    <row r="146" spans="1:23">
      <c r="A146" s="1096">
        <f t="shared" si="55"/>
        <v>9.4899999999999896</v>
      </c>
      <c r="B146" s="854" t="s">
        <v>1139</v>
      </c>
      <c r="C146" s="1066">
        <f t="shared" si="53"/>
        <v>-2920785.18</v>
      </c>
      <c r="D146" s="1066">
        <f t="shared" si="49"/>
        <v>-2491252.31</v>
      </c>
      <c r="E146" s="1066"/>
      <c r="F146" s="1066"/>
      <c r="G146" s="1066">
        <f t="shared" si="50"/>
        <v>-2706019</v>
      </c>
      <c r="H146" s="1066"/>
      <c r="I146" s="1066">
        <f t="shared" si="54"/>
        <v>0</v>
      </c>
      <c r="J146" s="1066">
        <f t="shared" si="62"/>
        <v>0</v>
      </c>
      <c r="K146" s="1066">
        <f t="shared" si="63"/>
        <v>-2706018.7450000001</v>
      </c>
      <c r="L146" s="1066"/>
      <c r="M146" s="854">
        <v>0</v>
      </c>
      <c r="N146" s="854">
        <v>0</v>
      </c>
      <c r="O146" s="854">
        <v>0</v>
      </c>
      <c r="P146" s="854">
        <v>-2920785.18</v>
      </c>
      <c r="Q146" s="854">
        <v>0</v>
      </c>
      <c r="R146" s="1066"/>
      <c r="S146" s="854">
        <v>0</v>
      </c>
      <c r="T146" s="854">
        <v>0</v>
      </c>
      <c r="U146" s="854">
        <v>0</v>
      </c>
      <c r="V146" s="854">
        <v>-2491252.31</v>
      </c>
      <c r="W146" s="854">
        <v>0</v>
      </c>
    </row>
    <row r="147" spans="1:23">
      <c r="A147" s="1096">
        <f t="shared" si="55"/>
        <v>9.4999999999999893</v>
      </c>
      <c r="B147" s="854" t="s">
        <v>1140</v>
      </c>
      <c r="C147" s="1066">
        <f t="shared" si="53"/>
        <v>0</v>
      </c>
      <c r="D147" s="1066">
        <f t="shared" si="49"/>
        <v>0.03</v>
      </c>
      <c r="E147" s="1066"/>
      <c r="F147" s="1066"/>
      <c r="G147" s="1066">
        <f t="shared" si="50"/>
        <v>0</v>
      </c>
      <c r="H147" s="1066"/>
      <c r="I147" s="1066">
        <f t="shared" si="54"/>
        <v>0</v>
      </c>
      <c r="J147" s="1066">
        <f t="shared" si="62"/>
        <v>1.4999999999999999E-2</v>
      </c>
      <c r="K147" s="1066">
        <f t="shared" si="63"/>
        <v>0</v>
      </c>
      <c r="L147" s="1066"/>
      <c r="M147" s="854">
        <v>0</v>
      </c>
      <c r="N147" s="854">
        <v>0</v>
      </c>
      <c r="O147" s="854">
        <v>0</v>
      </c>
      <c r="P147" s="854">
        <v>0</v>
      </c>
      <c r="Q147" s="854">
        <v>0</v>
      </c>
      <c r="R147" s="1066"/>
      <c r="S147" s="854">
        <v>0</v>
      </c>
      <c r="T147" s="854">
        <v>0</v>
      </c>
      <c r="U147" s="854">
        <v>0.03</v>
      </c>
      <c r="V147" s="854">
        <v>0</v>
      </c>
      <c r="W147" s="854">
        <v>0</v>
      </c>
    </row>
    <row r="148" spans="1:23">
      <c r="A148" s="1096">
        <f t="shared" si="55"/>
        <v>9.5099999999999891</v>
      </c>
      <c r="B148" s="854" t="s">
        <v>1141</v>
      </c>
      <c r="C148" s="1066">
        <f t="shared" si="53"/>
        <v>0</v>
      </c>
      <c r="D148" s="1066">
        <f t="shared" si="49"/>
        <v>0.08</v>
      </c>
      <c r="E148" s="1066"/>
      <c r="F148" s="1066"/>
      <c r="G148" s="1066">
        <f t="shared" si="50"/>
        <v>0</v>
      </c>
      <c r="H148" s="1066"/>
      <c r="I148" s="1066">
        <f t="shared" si="54"/>
        <v>0</v>
      </c>
      <c r="J148" s="1066">
        <f t="shared" si="62"/>
        <v>0.04</v>
      </c>
      <c r="K148" s="1066">
        <f t="shared" si="63"/>
        <v>0</v>
      </c>
      <c r="L148" s="1066"/>
      <c r="M148" s="854">
        <v>0</v>
      </c>
      <c r="N148" s="854">
        <v>0</v>
      </c>
      <c r="O148" s="854">
        <v>0</v>
      </c>
      <c r="P148" s="854">
        <v>0</v>
      </c>
      <c r="Q148" s="854">
        <v>0</v>
      </c>
      <c r="R148" s="1066"/>
      <c r="S148" s="854">
        <v>0</v>
      </c>
      <c r="T148" s="854">
        <v>0</v>
      </c>
      <c r="U148" s="854">
        <v>0.08</v>
      </c>
      <c r="V148" s="854">
        <v>0</v>
      </c>
      <c r="W148" s="854">
        <v>0</v>
      </c>
    </row>
    <row r="149" spans="1:23">
      <c r="A149" s="1096">
        <f t="shared" si="55"/>
        <v>9.5199999999999889</v>
      </c>
      <c r="B149" s="854" t="s">
        <v>1142</v>
      </c>
      <c r="C149" s="1066">
        <f t="shared" si="53"/>
        <v>447855.84</v>
      </c>
      <c r="D149" s="1066">
        <f t="shared" si="49"/>
        <v>267713.84000000003</v>
      </c>
      <c r="E149" s="1066"/>
      <c r="F149" s="1066"/>
      <c r="G149" s="1066">
        <f t="shared" si="50"/>
        <v>357785</v>
      </c>
      <c r="H149" s="1066"/>
      <c r="I149" s="1066">
        <f t="shared" si="54"/>
        <v>0</v>
      </c>
      <c r="J149" s="1066">
        <f t="shared" si="62"/>
        <v>0</v>
      </c>
      <c r="K149" s="1066">
        <f t="shared" si="63"/>
        <v>0</v>
      </c>
      <c r="L149" s="1066"/>
      <c r="M149" s="854">
        <v>0</v>
      </c>
      <c r="N149" s="854">
        <v>447855.84</v>
      </c>
      <c r="O149" s="854">
        <v>0</v>
      </c>
      <c r="P149" s="854">
        <v>0</v>
      </c>
      <c r="Q149" s="854">
        <v>0</v>
      </c>
      <c r="R149" s="1066"/>
      <c r="S149" s="854">
        <v>0</v>
      </c>
      <c r="T149" s="854">
        <v>267713.84000000003</v>
      </c>
      <c r="U149" s="854">
        <v>0</v>
      </c>
      <c r="V149" s="854">
        <v>0</v>
      </c>
      <c r="W149" s="854">
        <v>0</v>
      </c>
    </row>
    <row r="150" spans="1:23">
      <c r="A150" s="1096">
        <f t="shared" si="55"/>
        <v>9.5299999999999887</v>
      </c>
      <c r="B150" s="854" t="s">
        <v>1143</v>
      </c>
      <c r="C150" s="1066">
        <f t="shared" si="53"/>
        <v>-275740.56</v>
      </c>
      <c r="D150" s="1066">
        <f t="shared" si="49"/>
        <v>-162195.03</v>
      </c>
      <c r="E150" s="1066"/>
      <c r="F150" s="1066"/>
      <c r="G150" s="1066">
        <f t="shared" si="50"/>
        <v>-218968</v>
      </c>
      <c r="H150" s="1066"/>
      <c r="I150" s="1066">
        <f t="shared" si="54"/>
        <v>0</v>
      </c>
      <c r="J150" s="1066">
        <f t="shared" si="62"/>
        <v>0</v>
      </c>
      <c r="K150" s="1066">
        <f t="shared" si="63"/>
        <v>0</v>
      </c>
      <c r="L150" s="1066"/>
      <c r="M150" s="854">
        <v>0</v>
      </c>
      <c r="N150" s="854">
        <v>-275740.56</v>
      </c>
      <c r="O150" s="854">
        <v>0</v>
      </c>
      <c r="P150" s="854">
        <v>0</v>
      </c>
      <c r="Q150" s="854">
        <v>0</v>
      </c>
      <c r="R150" s="1066"/>
      <c r="S150" s="854">
        <v>0</v>
      </c>
      <c r="T150" s="854">
        <v>-162195.03</v>
      </c>
      <c r="U150" s="854">
        <v>0</v>
      </c>
      <c r="V150" s="854">
        <v>0</v>
      </c>
      <c r="W150" s="854">
        <v>0</v>
      </c>
    </row>
    <row r="151" spans="1:23">
      <c r="A151" s="1096">
        <f t="shared" si="55"/>
        <v>9.5399999999999885</v>
      </c>
      <c r="B151" s="854" t="s">
        <v>1144</v>
      </c>
      <c r="C151" s="1066">
        <f t="shared" si="53"/>
        <v>736482.03</v>
      </c>
      <c r="D151" s="1066">
        <f t="shared" si="49"/>
        <v>437612.98</v>
      </c>
      <c r="E151" s="1066"/>
      <c r="F151" s="1066"/>
      <c r="G151" s="1066">
        <f t="shared" si="50"/>
        <v>587048</v>
      </c>
      <c r="H151" s="1066"/>
      <c r="I151" s="1066">
        <f t="shared" si="54"/>
        <v>0</v>
      </c>
      <c r="J151" s="1066">
        <f t="shared" si="62"/>
        <v>0</v>
      </c>
      <c r="K151" s="1066">
        <f t="shared" si="63"/>
        <v>0</v>
      </c>
      <c r="L151" s="1066"/>
      <c r="M151" s="854">
        <v>0</v>
      </c>
      <c r="N151" s="854">
        <v>736482.03</v>
      </c>
      <c r="O151" s="854">
        <v>0</v>
      </c>
      <c r="P151" s="854">
        <v>0</v>
      </c>
      <c r="Q151" s="854">
        <v>0</v>
      </c>
      <c r="R151" s="1066"/>
      <c r="S151" s="854">
        <v>0</v>
      </c>
      <c r="T151" s="854">
        <v>437612.98</v>
      </c>
      <c r="U151" s="854">
        <v>0</v>
      </c>
      <c r="V151" s="854">
        <v>0</v>
      </c>
      <c r="W151" s="854">
        <v>0</v>
      </c>
    </row>
    <row r="152" spans="1:23">
      <c r="A152" s="1096">
        <f t="shared" si="55"/>
        <v>9.5499999999999883</v>
      </c>
      <c r="B152" s="854" t="s">
        <v>1145</v>
      </c>
      <c r="C152" s="1066">
        <f t="shared" si="53"/>
        <v>0</v>
      </c>
      <c r="D152" s="1066">
        <f t="shared" si="49"/>
        <v>0</v>
      </c>
      <c r="E152" s="1066"/>
      <c r="F152" s="1066"/>
      <c r="G152" s="1066">
        <f t="shared" si="50"/>
        <v>0</v>
      </c>
      <c r="H152" s="1066"/>
      <c r="I152" s="1066">
        <f t="shared" si="54"/>
        <v>0</v>
      </c>
      <c r="J152" s="1066">
        <f t="shared" si="62"/>
        <v>0</v>
      </c>
      <c r="K152" s="1066">
        <f t="shared" si="63"/>
        <v>0</v>
      </c>
      <c r="L152" s="1066"/>
      <c r="M152" s="854">
        <v>0</v>
      </c>
      <c r="N152" s="854">
        <v>0</v>
      </c>
      <c r="O152" s="854">
        <v>0</v>
      </c>
      <c r="P152" s="854">
        <v>0</v>
      </c>
      <c r="Q152" s="854">
        <v>0</v>
      </c>
      <c r="R152" s="1066"/>
      <c r="S152" s="854">
        <v>0</v>
      </c>
      <c r="T152" s="854">
        <v>0</v>
      </c>
      <c r="U152" s="854">
        <v>0</v>
      </c>
      <c r="V152" s="854">
        <v>0</v>
      </c>
      <c r="W152" s="854">
        <v>0</v>
      </c>
    </row>
    <row r="153" spans="1:23">
      <c r="A153" s="1096">
        <f t="shared" si="55"/>
        <v>9.5599999999999881</v>
      </c>
      <c r="B153" s="854" t="s">
        <v>1146</v>
      </c>
      <c r="C153" s="1066">
        <f t="shared" si="53"/>
        <v>0</v>
      </c>
      <c r="D153" s="1066">
        <f t="shared" si="49"/>
        <v>0</v>
      </c>
      <c r="E153" s="1066"/>
      <c r="F153" s="1066"/>
      <c r="G153" s="1066">
        <f t="shared" si="50"/>
        <v>0</v>
      </c>
      <c r="H153" s="1066"/>
      <c r="I153" s="1066">
        <f t="shared" si="54"/>
        <v>0</v>
      </c>
      <c r="J153" s="1066">
        <f t="shared" si="62"/>
        <v>0</v>
      </c>
      <c r="K153" s="1066">
        <f t="shared" si="63"/>
        <v>0</v>
      </c>
      <c r="L153" s="1066"/>
      <c r="M153" s="854">
        <v>0</v>
      </c>
      <c r="N153" s="854">
        <v>0</v>
      </c>
      <c r="O153" s="854">
        <v>0</v>
      </c>
      <c r="P153" s="854">
        <v>0</v>
      </c>
      <c r="Q153" s="854">
        <v>0</v>
      </c>
      <c r="R153" s="1066"/>
      <c r="S153" s="854">
        <v>0</v>
      </c>
      <c r="T153" s="854">
        <v>0</v>
      </c>
      <c r="U153" s="854">
        <v>0</v>
      </c>
      <c r="V153" s="854">
        <v>0</v>
      </c>
      <c r="W153" s="854">
        <v>0</v>
      </c>
    </row>
    <row r="154" spans="1:23">
      <c r="A154" s="1096">
        <f t="shared" si="55"/>
        <v>9.5699999999999878</v>
      </c>
      <c r="B154" s="854" t="s">
        <v>1147</v>
      </c>
      <c r="C154" s="1066">
        <f t="shared" si="53"/>
        <v>-0.01</v>
      </c>
      <c r="D154" s="1066">
        <f t="shared" si="49"/>
        <v>-949124.87</v>
      </c>
      <c r="E154" s="1066"/>
      <c r="F154" s="1066"/>
      <c r="G154" s="1066">
        <f>ROUND(SUM(C154:F154)/2,0)</f>
        <v>-474562</v>
      </c>
      <c r="H154" s="1066"/>
      <c r="I154" s="1066">
        <f t="shared" si="54"/>
        <v>-474562.44</v>
      </c>
      <c r="J154" s="1066">
        <f t="shared" si="62"/>
        <v>0</v>
      </c>
      <c r="K154" s="1066">
        <f t="shared" si="63"/>
        <v>0</v>
      </c>
      <c r="L154" s="1066"/>
      <c r="M154" s="854">
        <v>-0.01</v>
      </c>
      <c r="N154" s="854">
        <v>0</v>
      </c>
      <c r="O154" s="854">
        <v>0</v>
      </c>
      <c r="P154" s="854">
        <v>0</v>
      </c>
      <c r="Q154" s="854">
        <v>0</v>
      </c>
      <c r="R154" s="1066"/>
      <c r="S154" s="854">
        <v>-949124.87</v>
      </c>
      <c r="T154" s="854">
        <v>0</v>
      </c>
      <c r="U154" s="854">
        <v>0</v>
      </c>
      <c r="V154" s="854">
        <v>0</v>
      </c>
      <c r="W154" s="854">
        <v>0</v>
      </c>
    </row>
    <row r="155" spans="1:23">
      <c r="A155" s="1096">
        <f t="shared" si="55"/>
        <v>9.5799999999999876</v>
      </c>
      <c r="B155" s="854" t="s">
        <v>1148</v>
      </c>
      <c r="C155" s="1066">
        <f t="shared" si="53"/>
        <v>0</v>
      </c>
      <c r="D155" s="1066">
        <f t="shared" si="49"/>
        <v>-480524.28</v>
      </c>
      <c r="E155" s="1066"/>
      <c r="F155" s="1066"/>
      <c r="G155" s="1066">
        <f>ROUND(SUM(C155:F155)/2,0)</f>
        <v>-240262</v>
      </c>
      <c r="H155" s="1066"/>
      <c r="I155" s="1066">
        <f t="shared" si="54"/>
        <v>-240262.14</v>
      </c>
      <c r="J155" s="1066">
        <f t="shared" si="62"/>
        <v>0</v>
      </c>
      <c r="K155" s="1066">
        <f t="shared" si="63"/>
        <v>0</v>
      </c>
      <c r="L155" s="1066"/>
      <c r="M155" s="854">
        <v>0</v>
      </c>
      <c r="N155" s="854">
        <v>0</v>
      </c>
      <c r="O155" s="854">
        <v>0</v>
      </c>
      <c r="P155" s="854">
        <v>0</v>
      </c>
      <c r="Q155" s="854">
        <v>0</v>
      </c>
      <c r="R155" s="1066"/>
      <c r="S155" s="854">
        <v>-480524.28</v>
      </c>
      <c r="T155" s="854">
        <v>0</v>
      </c>
      <c r="U155" s="854">
        <v>0</v>
      </c>
      <c r="V155" s="854">
        <v>0</v>
      </c>
      <c r="W155" s="854">
        <v>0</v>
      </c>
    </row>
    <row r="156" spans="1:23">
      <c r="A156" s="1096">
        <f t="shared" si="55"/>
        <v>9.5899999999999874</v>
      </c>
      <c r="B156" s="854" t="s">
        <v>1149</v>
      </c>
      <c r="C156" s="1066">
        <f t="shared" si="53"/>
        <v>0</v>
      </c>
      <c r="D156" s="1066">
        <f t="shared" si="49"/>
        <v>-12905.26</v>
      </c>
      <c r="E156" s="1066"/>
      <c r="F156" s="1066"/>
      <c r="G156" s="1066">
        <f>ROUND(SUM(C156:F156)/2,0)</f>
        <v>-6453</v>
      </c>
      <c r="H156" s="1066"/>
      <c r="I156" s="1066">
        <f t="shared" si="54"/>
        <v>-6452.63</v>
      </c>
      <c r="J156" s="1066">
        <f t="shared" si="62"/>
        <v>0</v>
      </c>
      <c r="K156" s="1066">
        <f t="shared" si="63"/>
        <v>0</v>
      </c>
      <c r="L156" s="1066"/>
      <c r="M156" s="854">
        <v>0</v>
      </c>
      <c r="N156" s="854">
        <v>0</v>
      </c>
      <c r="O156" s="854">
        <v>0</v>
      </c>
      <c r="P156" s="854">
        <v>0</v>
      </c>
      <c r="Q156" s="854">
        <v>0</v>
      </c>
      <c r="R156" s="1066"/>
      <c r="S156" s="854">
        <v>-12905.26</v>
      </c>
      <c r="T156" s="854">
        <v>0</v>
      </c>
      <c r="U156" s="854">
        <v>0</v>
      </c>
      <c r="V156" s="854">
        <v>0</v>
      </c>
      <c r="W156" s="854">
        <v>0</v>
      </c>
    </row>
    <row r="157" spans="1:23">
      <c r="A157" s="1096">
        <f t="shared" si="55"/>
        <v>9.5999999999999872</v>
      </c>
      <c r="B157" s="854" t="s">
        <v>1150</v>
      </c>
      <c r="C157" s="1066">
        <f t="shared" si="53"/>
        <v>1207243.24</v>
      </c>
      <c r="D157" s="1066">
        <f t="shared" si="49"/>
        <v>1144256.6499999999</v>
      </c>
      <c r="E157" s="1066"/>
      <c r="F157" s="1066"/>
      <c r="G157" s="1066">
        <f t="shared" ref="G157:G192" si="64">ROUND(SUM(C157:F157)/2,0)</f>
        <v>1175750</v>
      </c>
      <c r="H157" s="1066"/>
      <c r="I157" s="1066">
        <f t="shared" si="54"/>
        <v>0</v>
      </c>
      <c r="J157" s="1066">
        <f t="shared" si="62"/>
        <v>0</v>
      </c>
      <c r="K157" s="1066">
        <f t="shared" si="63"/>
        <v>0</v>
      </c>
      <c r="L157" s="1066"/>
      <c r="M157" s="854">
        <v>0</v>
      </c>
      <c r="N157" s="854">
        <v>1207243.24</v>
      </c>
      <c r="O157" s="854">
        <v>0</v>
      </c>
      <c r="P157" s="854">
        <v>0</v>
      </c>
      <c r="Q157" s="854">
        <v>0</v>
      </c>
      <c r="R157" s="1066"/>
      <c r="S157" s="854">
        <v>0</v>
      </c>
      <c r="T157" s="854">
        <v>1144256.6499999999</v>
      </c>
      <c r="U157" s="854">
        <v>0</v>
      </c>
      <c r="V157" s="854">
        <v>0</v>
      </c>
      <c r="W157" s="854">
        <v>0</v>
      </c>
    </row>
    <row r="158" spans="1:23">
      <c r="A158" s="1096">
        <f t="shared" si="55"/>
        <v>9.609999999999987</v>
      </c>
      <c r="B158" s="854" t="s">
        <v>1151</v>
      </c>
      <c r="C158" s="1066">
        <f t="shared" si="53"/>
        <v>539995.68999999994</v>
      </c>
      <c r="D158" s="1066">
        <f t="shared" si="49"/>
        <v>504915.4</v>
      </c>
      <c r="E158" s="1066"/>
      <c r="F158" s="1066"/>
      <c r="G158" s="1066">
        <f t="shared" si="64"/>
        <v>522456</v>
      </c>
      <c r="H158" s="1066"/>
      <c r="I158" s="1066">
        <f t="shared" si="54"/>
        <v>0</v>
      </c>
      <c r="J158" s="1066">
        <f t="shared" si="62"/>
        <v>0</v>
      </c>
      <c r="K158" s="1066">
        <f t="shared" si="63"/>
        <v>0</v>
      </c>
      <c r="L158" s="1066"/>
      <c r="M158" s="854">
        <v>0</v>
      </c>
      <c r="N158" s="854">
        <v>539995.68999999994</v>
      </c>
      <c r="O158" s="854">
        <v>0</v>
      </c>
      <c r="P158" s="854">
        <v>0</v>
      </c>
      <c r="Q158" s="854">
        <v>0</v>
      </c>
      <c r="R158" s="1066"/>
      <c r="S158" s="854">
        <v>0</v>
      </c>
      <c r="T158" s="854">
        <v>504915.4</v>
      </c>
      <c r="U158" s="854">
        <v>0</v>
      </c>
      <c r="V158" s="854">
        <v>0</v>
      </c>
      <c r="W158" s="854">
        <v>0</v>
      </c>
    </row>
    <row r="159" spans="1:23">
      <c r="A159" s="1096">
        <f t="shared" si="55"/>
        <v>9.6199999999999868</v>
      </c>
      <c r="B159" s="854" t="s">
        <v>1152</v>
      </c>
      <c r="C159" s="1066">
        <f t="shared" si="53"/>
        <v>4048677.47</v>
      </c>
      <c r="D159" s="1066">
        <f t="shared" si="49"/>
        <v>3794589.65</v>
      </c>
      <c r="E159" s="1066"/>
      <c r="F159" s="1066"/>
      <c r="G159" s="1066">
        <f t="shared" si="64"/>
        <v>3921634</v>
      </c>
      <c r="H159" s="1066"/>
      <c r="I159" s="1066">
        <f t="shared" si="54"/>
        <v>0</v>
      </c>
      <c r="J159" s="1066">
        <f t="shared" si="62"/>
        <v>0</v>
      </c>
      <c r="K159" s="1066">
        <f t="shared" si="63"/>
        <v>0</v>
      </c>
      <c r="L159" s="1066"/>
      <c r="M159" s="854">
        <v>0</v>
      </c>
      <c r="N159" s="854">
        <v>4048677.47</v>
      </c>
      <c r="O159" s="854">
        <v>0</v>
      </c>
      <c r="P159" s="854">
        <v>0</v>
      </c>
      <c r="Q159" s="854">
        <v>0</v>
      </c>
      <c r="R159" s="1066"/>
      <c r="S159" s="854">
        <v>0</v>
      </c>
      <c r="T159" s="854">
        <v>3794589.65</v>
      </c>
      <c r="U159" s="854">
        <v>0</v>
      </c>
      <c r="V159" s="854">
        <v>0</v>
      </c>
      <c r="W159" s="854">
        <v>0</v>
      </c>
    </row>
    <row r="160" spans="1:23">
      <c r="A160" s="1096">
        <f t="shared" si="55"/>
        <v>9.6299999999999866</v>
      </c>
      <c r="B160" s="854" t="s">
        <v>1153</v>
      </c>
      <c r="C160" s="1066">
        <f t="shared" si="53"/>
        <v>-1489698.19</v>
      </c>
      <c r="D160" s="1066">
        <f t="shared" si="49"/>
        <v>-1393165.81</v>
      </c>
      <c r="E160" s="1066"/>
      <c r="F160" s="1066"/>
      <c r="G160" s="1066">
        <f t="shared" si="64"/>
        <v>-1441432</v>
      </c>
      <c r="H160" s="1066"/>
      <c r="I160" s="1066">
        <f t="shared" ref="I160:I180" si="65">(M160+S160)/2</f>
        <v>0</v>
      </c>
      <c r="J160" s="1066">
        <f t="shared" si="62"/>
        <v>0</v>
      </c>
      <c r="K160" s="1066">
        <f t="shared" si="63"/>
        <v>0</v>
      </c>
      <c r="L160" s="1066"/>
      <c r="M160" s="854">
        <v>0</v>
      </c>
      <c r="N160" s="854">
        <v>-1489698.19</v>
      </c>
      <c r="O160" s="854">
        <v>0</v>
      </c>
      <c r="P160" s="854">
        <v>0</v>
      </c>
      <c r="Q160" s="854">
        <v>0</v>
      </c>
      <c r="R160" s="1066"/>
      <c r="S160" s="854">
        <v>0</v>
      </c>
      <c r="T160" s="854">
        <v>-1393165.81</v>
      </c>
      <c r="U160" s="854">
        <v>0</v>
      </c>
      <c r="V160" s="854">
        <v>0</v>
      </c>
      <c r="W160" s="854">
        <v>0</v>
      </c>
    </row>
    <row r="161" spans="1:23">
      <c r="A161" s="1096">
        <f t="shared" si="55"/>
        <v>9.6399999999999864</v>
      </c>
      <c r="B161" s="854" t="s">
        <v>1154</v>
      </c>
      <c r="C161" s="1066">
        <f t="shared" si="53"/>
        <v>-1257561.8500000001</v>
      </c>
      <c r="D161" s="1066">
        <f t="shared" si="49"/>
        <v>-1191489.72</v>
      </c>
      <c r="E161" s="1066"/>
      <c r="F161" s="1066"/>
      <c r="G161" s="1066">
        <f t="shared" si="64"/>
        <v>-1224526</v>
      </c>
      <c r="H161" s="1066"/>
      <c r="I161" s="1066">
        <f t="shared" si="65"/>
        <v>0</v>
      </c>
      <c r="J161" s="1066">
        <f t="shared" si="62"/>
        <v>0</v>
      </c>
      <c r="K161" s="1066">
        <f t="shared" si="63"/>
        <v>0</v>
      </c>
      <c r="L161" s="1066"/>
      <c r="M161" s="854">
        <v>0</v>
      </c>
      <c r="N161" s="854">
        <v>-1257561.8500000001</v>
      </c>
      <c r="O161" s="854">
        <v>0</v>
      </c>
      <c r="P161" s="854">
        <v>0</v>
      </c>
      <c r="Q161" s="854">
        <v>0</v>
      </c>
      <c r="R161" s="1066"/>
      <c r="S161" s="854">
        <v>0</v>
      </c>
      <c r="T161" s="854">
        <v>-1191489.72</v>
      </c>
      <c r="U161" s="854">
        <v>0</v>
      </c>
      <c r="V161" s="854">
        <v>0</v>
      </c>
      <c r="W161" s="854">
        <v>0</v>
      </c>
    </row>
    <row r="162" spans="1:23">
      <c r="A162" s="1096">
        <f t="shared" si="55"/>
        <v>9.6499999999999861</v>
      </c>
      <c r="B162" s="854" t="s">
        <v>1155</v>
      </c>
      <c r="C162" s="1066">
        <f t="shared" si="53"/>
        <v>3660895.43</v>
      </c>
      <c r="D162" s="1066">
        <f t="shared" si="49"/>
        <v>3468552.47</v>
      </c>
      <c r="E162" s="1066"/>
      <c r="F162" s="1066"/>
      <c r="G162" s="1066">
        <f t="shared" si="64"/>
        <v>3564724</v>
      </c>
      <c r="H162" s="1066"/>
      <c r="I162" s="1066">
        <f t="shared" si="65"/>
        <v>0</v>
      </c>
      <c r="J162" s="1066">
        <f t="shared" si="62"/>
        <v>0</v>
      </c>
      <c r="K162" s="1066">
        <f t="shared" si="63"/>
        <v>0</v>
      </c>
      <c r="L162" s="1066"/>
      <c r="M162" s="854">
        <v>0</v>
      </c>
      <c r="N162" s="854">
        <v>3660895.43</v>
      </c>
      <c r="O162" s="854">
        <v>0</v>
      </c>
      <c r="P162" s="854">
        <v>0</v>
      </c>
      <c r="Q162" s="854">
        <v>0</v>
      </c>
      <c r="R162" s="1066"/>
      <c r="S162" s="854">
        <v>0</v>
      </c>
      <c r="T162" s="854">
        <v>3468552.47</v>
      </c>
      <c r="U162" s="854">
        <v>0</v>
      </c>
      <c r="V162" s="854">
        <v>0</v>
      </c>
      <c r="W162" s="854">
        <v>0</v>
      </c>
    </row>
    <row r="163" spans="1:23">
      <c r="A163" s="1096">
        <f>A162+0.01</f>
        <v>9.6599999999999859</v>
      </c>
      <c r="B163" s="854" t="s">
        <v>1156</v>
      </c>
      <c r="C163" s="1066">
        <f t="shared" si="53"/>
        <v>67574.98</v>
      </c>
      <c r="D163" s="1066">
        <f t="shared" ref="D163:D192" si="66">SUM(S163:V163)</f>
        <v>57580.66</v>
      </c>
      <c r="E163" s="1066"/>
      <c r="F163" s="1066"/>
      <c r="G163" s="1066">
        <f t="shared" si="64"/>
        <v>62578</v>
      </c>
      <c r="H163" s="1066"/>
      <c r="I163" s="1066">
        <f t="shared" si="65"/>
        <v>62577.82</v>
      </c>
      <c r="J163" s="1066">
        <f t="shared" ref="J163:J192" si="67">(O163+U163)/2</f>
        <v>0</v>
      </c>
      <c r="K163" s="1066">
        <f t="shared" ref="K163:K192" si="68">(P163+V163)/2</f>
        <v>0</v>
      </c>
      <c r="L163" s="1066"/>
      <c r="M163" s="854">
        <v>67574.98</v>
      </c>
      <c r="N163" s="854">
        <v>0</v>
      </c>
      <c r="O163" s="854">
        <v>0</v>
      </c>
      <c r="P163" s="854">
        <v>0</v>
      </c>
      <c r="Q163" s="854">
        <v>0</v>
      </c>
      <c r="R163" s="1066"/>
      <c r="S163" s="854">
        <v>57580.66</v>
      </c>
      <c r="T163" s="854">
        <v>0</v>
      </c>
      <c r="U163" s="854">
        <v>0</v>
      </c>
      <c r="V163" s="854">
        <v>0</v>
      </c>
      <c r="W163" s="854">
        <v>0</v>
      </c>
    </row>
    <row r="164" spans="1:23">
      <c r="A164" s="1096">
        <f t="shared" si="55"/>
        <v>9.6699999999999857</v>
      </c>
      <c r="B164" s="854" t="s">
        <v>1157</v>
      </c>
      <c r="C164" s="1066">
        <f t="shared" ref="C164:C192" si="69">SUM(M164:P164)</f>
        <v>976036.05</v>
      </c>
      <c r="D164" s="1066">
        <f t="shared" si="66"/>
        <v>860219.37</v>
      </c>
      <c r="E164" s="1066"/>
      <c r="F164" s="1066"/>
      <c r="G164" s="1066">
        <f t="shared" si="64"/>
        <v>918128</v>
      </c>
      <c r="H164" s="1066"/>
      <c r="I164" s="1066">
        <f t="shared" si="65"/>
        <v>918127.71</v>
      </c>
      <c r="J164" s="1066">
        <f t="shared" si="67"/>
        <v>0</v>
      </c>
      <c r="K164" s="1066">
        <f t="shared" si="68"/>
        <v>0</v>
      </c>
      <c r="L164" s="1066"/>
      <c r="M164" s="854">
        <v>976036.05</v>
      </c>
      <c r="N164" s="854">
        <v>0</v>
      </c>
      <c r="O164" s="854">
        <v>0</v>
      </c>
      <c r="P164" s="854">
        <v>0</v>
      </c>
      <c r="Q164" s="854">
        <v>0</v>
      </c>
      <c r="R164" s="1066"/>
      <c r="S164" s="854">
        <v>860219.37</v>
      </c>
      <c r="T164" s="854">
        <v>0</v>
      </c>
      <c r="U164" s="854">
        <v>0</v>
      </c>
      <c r="V164" s="854">
        <v>0</v>
      </c>
      <c r="W164" s="854">
        <v>0</v>
      </c>
    </row>
    <row r="165" spans="1:23">
      <c r="A165" s="1096">
        <f t="shared" ref="A165:A227" si="70">A164+0.01</f>
        <v>9.6799999999999855</v>
      </c>
      <c r="B165" s="854" t="s">
        <v>1158</v>
      </c>
      <c r="C165" s="1066">
        <f t="shared" si="69"/>
        <v>0</v>
      </c>
      <c r="D165" s="1066">
        <f t="shared" si="66"/>
        <v>0</v>
      </c>
      <c r="E165" s="1066"/>
      <c r="F165" s="1066"/>
      <c r="G165" s="1066">
        <f t="shared" si="64"/>
        <v>0</v>
      </c>
      <c r="H165" s="1066"/>
      <c r="I165" s="1066">
        <f t="shared" si="65"/>
        <v>0</v>
      </c>
      <c r="J165" s="1066">
        <f t="shared" si="67"/>
        <v>0</v>
      </c>
      <c r="K165" s="1066">
        <f t="shared" si="68"/>
        <v>0</v>
      </c>
      <c r="L165" s="1066"/>
      <c r="M165" s="854">
        <v>0</v>
      </c>
      <c r="N165" s="854">
        <v>0</v>
      </c>
      <c r="O165" s="854">
        <v>0</v>
      </c>
      <c r="P165" s="854">
        <v>0</v>
      </c>
      <c r="Q165" s="854">
        <v>0</v>
      </c>
      <c r="R165" s="1066"/>
      <c r="S165" s="854">
        <v>0</v>
      </c>
      <c r="T165" s="854">
        <v>0</v>
      </c>
      <c r="U165" s="854">
        <v>0</v>
      </c>
      <c r="V165" s="854">
        <v>0</v>
      </c>
      <c r="W165" s="854">
        <v>0</v>
      </c>
    </row>
    <row r="166" spans="1:23">
      <c r="A166" s="1096">
        <f t="shared" si="70"/>
        <v>9.6899999999999853</v>
      </c>
      <c r="B166" s="854" t="s">
        <v>1159</v>
      </c>
      <c r="C166" s="1066">
        <f t="shared" si="69"/>
        <v>0</v>
      </c>
      <c r="D166" s="1066">
        <f t="shared" si="66"/>
        <v>0</v>
      </c>
      <c r="E166" s="1066"/>
      <c r="F166" s="1066"/>
      <c r="G166" s="1066">
        <f t="shared" si="64"/>
        <v>0</v>
      </c>
      <c r="H166" s="1066"/>
      <c r="I166" s="1066">
        <f t="shared" si="65"/>
        <v>0</v>
      </c>
      <c r="J166" s="1066">
        <f t="shared" si="67"/>
        <v>0</v>
      </c>
      <c r="K166" s="1066">
        <f t="shared" si="68"/>
        <v>0</v>
      </c>
      <c r="L166" s="1066"/>
      <c r="M166" s="854">
        <v>0</v>
      </c>
      <c r="N166" s="854">
        <v>0</v>
      </c>
      <c r="O166" s="854">
        <v>0</v>
      </c>
      <c r="P166" s="854">
        <v>0</v>
      </c>
      <c r="Q166" s="854">
        <v>0</v>
      </c>
      <c r="R166" s="1066"/>
      <c r="S166" s="854">
        <v>0</v>
      </c>
      <c r="T166" s="854">
        <v>0</v>
      </c>
      <c r="U166" s="854">
        <v>0</v>
      </c>
      <c r="V166" s="854">
        <v>0</v>
      </c>
      <c r="W166" s="854">
        <v>0</v>
      </c>
    </row>
    <row r="167" spans="1:23">
      <c r="A167" s="1096">
        <f t="shared" si="70"/>
        <v>9.6999999999999851</v>
      </c>
      <c r="B167" s="854" t="s">
        <v>1160</v>
      </c>
      <c r="C167" s="1066">
        <f t="shared" si="69"/>
        <v>0</v>
      </c>
      <c r="D167" s="1066">
        <f t="shared" si="66"/>
        <v>0</v>
      </c>
      <c r="E167" s="1066"/>
      <c r="F167" s="1066"/>
      <c r="G167" s="1066">
        <f t="shared" si="64"/>
        <v>0</v>
      </c>
      <c r="H167" s="1066"/>
      <c r="I167" s="1066">
        <f t="shared" si="65"/>
        <v>0</v>
      </c>
      <c r="J167" s="1066">
        <f t="shared" si="67"/>
        <v>0</v>
      </c>
      <c r="K167" s="1066">
        <f t="shared" si="68"/>
        <v>0</v>
      </c>
      <c r="L167" s="1066"/>
      <c r="M167" s="854">
        <v>0</v>
      </c>
      <c r="N167" s="854">
        <v>0</v>
      </c>
      <c r="O167" s="854">
        <v>0</v>
      </c>
      <c r="P167" s="854">
        <v>0</v>
      </c>
      <c r="Q167" s="854">
        <v>0</v>
      </c>
      <c r="R167" s="1066"/>
      <c r="S167" s="854">
        <v>0</v>
      </c>
      <c r="T167" s="854">
        <v>0</v>
      </c>
      <c r="U167" s="854">
        <v>0</v>
      </c>
      <c r="V167" s="854">
        <v>0</v>
      </c>
      <c r="W167" s="854">
        <v>0</v>
      </c>
    </row>
    <row r="168" spans="1:23">
      <c r="A168" s="1096">
        <f t="shared" si="70"/>
        <v>9.7099999999999849</v>
      </c>
      <c r="B168" s="854" t="s">
        <v>1161</v>
      </c>
      <c r="C168" s="1066">
        <f>SUM(M168:P168)</f>
        <v>0</v>
      </c>
      <c r="D168" s="1066">
        <f t="shared" si="66"/>
        <v>0</v>
      </c>
      <c r="E168" s="1066"/>
      <c r="F168" s="1066"/>
      <c r="G168" s="1066">
        <f t="shared" si="64"/>
        <v>0</v>
      </c>
      <c r="H168" s="1066"/>
      <c r="I168" s="1066">
        <f t="shared" si="65"/>
        <v>0</v>
      </c>
      <c r="J168" s="1066">
        <f t="shared" si="67"/>
        <v>0</v>
      </c>
      <c r="K168" s="1066">
        <f t="shared" si="68"/>
        <v>0</v>
      </c>
      <c r="L168" s="1066"/>
      <c r="M168" s="854">
        <v>0</v>
      </c>
      <c r="N168" s="854">
        <v>0</v>
      </c>
      <c r="O168" s="854">
        <v>0</v>
      </c>
      <c r="P168" s="854">
        <v>0</v>
      </c>
      <c r="Q168" s="854">
        <v>0</v>
      </c>
      <c r="R168" s="1066"/>
      <c r="S168" s="854">
        <v>0</v>
      </c>
      <c r="T168" s="854">
        <v>0</v>
      </c>
      <c r="U168" s="854">
        <v>0</v>
      </c>
      <c r="V168" s="854">
        <v>0</v>
      </c>
      <c r="W168" s="854">
        <v>0</v>
      </c>
    </row>
    <row r="169" spans="1:23">
      <c r="A169" s="1096">
        <f t="shared" si="70"/>
        <v>9.7199999999999847</v>
      </c>
      <c r="B169" s="854" t="s">
        <v>1162</v>
      </c>
      <c r="C169" s="1066">
        <f t="shared" si="69"/>
        <v>170610.38</v>
      </c>
      <c r="D169" s="1066">
        <f t="shared" si="66"/>
        <v>-0.01</v>
      </c>
      <c r="E169" s="1066"/>
      <c r="F169" s="1066"/>
      <c r="G169" s="1066">
        <f t="shared" si="64"/>
        <v>85305</v>
      </c>
      <c r="H169" s="1066"/>
      <c r="I169" s="1066">
        <f t="shared" si="65"/>
        <v>85305.184999999998</v>
      </c>
      <c r="J169" s="1066">
        <f t="shared" si="67"/>
        <v>0</v>
      </c>
      <c r="K169" s="1066">
        <f t="shared" si="68"/>
        <v>0</v>
      </c>
      <c r="L169" s="1066"/>
      <c r="M169" s="854">
        <v>170610.38</v>
      </c>
      <c r="N169" s="854">
        <v>0</v>
      </c>
      <c r="O169" s="854">
        <v>0</v>
      </c>
      <c r="P169" s="854">
        <v>0</v>
      </c>
      <c r="Q169" s="854">
        <v>0</v>
      </c>
      <c r="R169" s="1066"/>
      <c r="S169" s="854">
        <v>-0.01</v>
      </c>
      <c r="T169" s="854">
        <v>0</v>
      </c>
      <c r="U169" s="854">
        <v>0</v>
      </c>
      <c r="V169" s="854">
        <v>0</v>
      </c>
      <c r="W169" s="854">
        <v>0</v>
      </c>
    </row>
    <row r="170" spans="1:23">
      <c r="A170" s="1096">
        <f t="shared" si="70"/>
        <v>9.7299999999999844</v>
      </c>
      <c r="B170" s="854" t="s">
        <v>1163</v>
      </c>
      <c r="C170" s="1066">
        <f>SUM(M170:P170)</f>
        <v>0</v>
      </c>
      <c r="D170" s="1066">
        <f t="shared" si="66"/>
        <v>0</v>
      </c>
      <c r="E170" s="1066"/>
      <c r="F170" s="1066"/>
      <c r="G170" s="1066">
        <f t="shared" si="64"/>
        <v>0</v>
      </c>
      <c r="H170" s="1066"/>
      <c r="I170" s="1066">
        <f t="shared" si="65"/>
        <v>0</v>
      </c>
      <c r="J170" s="1066">
        <f t="shared" si="67"/>
        <v>0</v>
      </c>
      <c r="K170" s="1066">
        <f t="shared" si="68"/>
        <v>0</v>
      </c>
      <c r="L170" s="1066"/>
      <c r="M170" s="854">
        <v>0</v>
      </c>
      <c r="N170" s="854">
        <v>0</v>
      </c>
      <c r="O170" s="854">
        <v>0</v>
      </c>
      <c r="P170" s="854">
        <v>0</v>
      </c>
      <c r="Q170" s="854">
        <v>0</v>
      </c>
      <c r="R170" s="1066"/>
      <c r="S170" s="854">
        <v>0</v>
      </c>
      <c r="T170" s="854">
        <v>0</v>
      </c>
      <c r="U170" s="854">
        <v>0</v>
      </c>
      <c r="V170" s="854">
        <v>0</v>
      </c>
      <c r="W170" s="854">
        <v>0</v>
      </c>
    </row>
    <row r="171" spans="1:23">
      <c r="A171" s="1096">
        <f t="shared" si="70"/>
        <v>9.7399999999999842</v>
      </c>
      <c r="B171" s="854" t="s">
        <v>1164</v>
      </c>
      <c r="C171" s="1066">
        <f>SUM(M171:P171)</f>
        <v>0</v>
      </c>
      <c r="D171" s="1066">
        <f t="shared" si="66"/>
        <v>0</v>
      </c>
      <c r="E171" s="1066"/>
      <c r="F171" s="1066"/>
      <c r="G171" s="1066">
        <f t="shared" si="64"/>
        <v>0</v>
      </c>
      <c r="H171" s="1066"/>
      <c r="I171" s="1066">
        <f t="shared" si="65"/>
        <v>0</v>
      </c>
      <c r="J171" s="1066">
        <f t="shared" si="67"/>
        <v>0</v>
      </c>
      <c r="K171" s="1066">
        <f t="shared" si="68"/>
        <v>0</v>
      </c>
      <c r="L171" s="1066"/>
      <c r="M171" s="854">
        <v>0</v>
      </c>
      <c r="N171" s="854">
        <v>0</v>
      </c>
      <c r="O171" s="854">
        <v>0</v>
      </c>
      <c r="P171" s="854">
        <v>0</v>
      </c>
      <c r="Q171" s="854">
        <v>0</v>
      </c>
      <c r="R171" s="1066"/>
      <c r="S171" s="854">
        <v>0</v>
      </c>
      <c r="T171" s="854">
        <v>0</v>
      </c>
      <c r="U171" s="854">
        <v>0</v>
      </c>
      <c r="V171" s="854">
        <v>0</v>
      </c>
      <c r="W171" s="854">
        <v>0</v>
      </c>
    </row>
    <row r="172" spans="1:23">
      <c r="A172" s="1096">
        <f t="shared" si="70"/>
        <v>9.749999999999984</v>
      </c>
      <c r="B172" s="854" t="s">
        <v>1165</v>
      </c>
      <c r="C172" s="1066">
        <f>SUM(M172:P172)</f>
        <v>0</v>
      </c>
      <c r="D172" s="1066">
        <f t="shared" si="66"/>
        <v>0</v>
      </c>
      <c r="E172" s="1066"/>
      <c r="F172" s="1066"/>
      <c r="G172" s="1066">
        <f t="shared" si="64"/>
        <v>0</v>
      </c>
      <c r="H172" s="1066"/>
      <c r="I172" s="1066">
        <f t="shared" si="65"/>
        <v>0</v>
      </c>
      <c r="J172" s="1066">
        <f t="shared" si="67"/>
        <v>0</v>
      </c>
      <c r="K172" s="1066">
        <f t="shared" si="68"/>
        <v>0</v>
      </c>
      <c r="L172" s="1066"/>
      <c r="M172" s="854">
        <v>0</v>
      </c>
      <c r="N172" s="854">
        <v>0</v>
      </c>
      <c r="O172" s="854">
        <v>0</v>
      </c>
      <c r="P172" s="854">
        <v>0</v>
      </c>
      <c r="Q172" s="854">
        <v>0</v>
      </c>
      <c r="R172" s="1066"/>
      <c r="S172" s="854">
        <v>0</v>
      </c>
      <c r="T172" s="854">
        <v>0</v>
      </c>
      <c r="U172" s="854">
        <v>0</v>
      </c>
      <c r="V172" s="854">
        <v>0</v>
      </c>
      <c r="W172" s="854">
        <v>0</v>
      </c>
    </row>
    <row r="173" spans="1:23">
      <c r="A173" s="1096">
        <f t="shared" si="70"/>
        <v>9.7599999999999838</v>
      </c>
      <c r="B173" s="854" t="s">
        <v>1166</v>
      </c>
      <c r="C173" s="1066">
        <f>SUM(M173:P173)</f>
        <v>9820.59</v>
      </c>
      <c r="D173" s="1066">
        <f t="shared" si="66"/>
        <v>0.01</v>
      </c>
      <c r="E173" s="1066"/>
      <c r="F173" s="1066"/>
      <c r="G173" s="1066">
        <f t="shared" si="64"/>
        <v>4910</v>
      </c>
      <c r="H173" s="1066"/>
      <c r="I173" s="1066">
        <f t="shared" si="65"/>
        <v>4910.3</v>
      </c>
      <c r="J173" s="1066">
        <f t="shared" si="67"/>
        <v>0</v>
      </c>
      <c r="K173" s="1066">
        <f t="shared" si="68"/>
        <v>0</v>
      </c>
      <c r="L173" s="1066"/>
      <c r="M173" s="854">
        <v>9820.59</v>
      </c>
      <c r="N173" s="854">
        <v>0</v>
      </c>
      <c r="O173" s="854">
        <v>0</v>
      </c>
      <c r="P173" s="854">
        <v>0</v>
      </c>
      <c r="Q173" s="854">
        <v>0</v>
      </c>
      <c r="R173" s="1066"/>
      <c r="S173" s="854">
        <v>0.01</v>
      </c>
      <c r="T173" s="854">
        <v>0</v>
      </c>
      <c r="U173" s="854">
        <v>0</v>
      </c>
      <c r="V173" s="854">
        <v>0</v>
      </c>
      <c r="W173" s="854">
        <v>0</v>
      </c>
    </row>
    <row r="174" spans="1:23">
      <c r="A174" s="1096">
        <f t="shared" si="70"/>
        <v>9.7699999999999836</v>
      </c>
      <c r="B174" s="854" t="s">
        <v>1167</v>
      </c>
      <c r="C174" s="1071">
        <f t="shared" si="69"/>
        <v>-5686617.8600000003</v>
      </c>
      <c r="D174" s="1071">
        <f t="shared" si="66"/>
        <v>-5686617.8600000003</v>
      </c>
      <c r="E174" s="1071"/>
      <c r="F174" s="1071"/>
      <c r="G174" s="1071">
        <f t="shared" si="64"/>
        <v>-5686618</v>
      </c>
      <c r="H174" s="1071"/>
      <c r="I174" s="1071">
        <f t="shared" si="65"/>
        <v>-5686617.8600000003</v>
      </c>
      <c r="J174" s="1071">
        <f t="shared" si="67"/>
        <v>0</v>
      </c>
      <c r="K174" s="1071">
        <f t="shared" si="68"/>
        <v>0</v>
      </c>
      <c r="L174" s="1071"/>
      <c r="M174" s="854">
        <v>-5686617.8600000003</v>
      </c>
      <c r="N174" s="854">
        <v>0</v>
      </c>
      <c r="O174" s="854">
        <v>0</v>
      </c>
      <c r="P174" s="854">
        <v>0</v>
      </c>
      <c r="Q174" s="854">
        <v>0</v>
      </c>
      <c r="R174" s="1071"/>
      <c r="S174" s="854">
        <v>-5686617.8600000003</v>
      </c>
      <c r="T174" s="854">
        <v>0</v>
      </c>
      <c r="U174" s="854">
        <v>0</v>
      </c>
      <c r="V174" s="854">
        <v>0</v>
      </c>
      <c r="W174" s="854">
        <v>0</v>
      </c>
    </row>
    <row r="175" spans="1:23">
      <c r="A175" s="1096">
        <f t="shared" si="70"/>
        <v>9.7799999999999834</v>
      </c>
      <c r="B175" s="854" t="s">
        <v>1168</v>
      </c>
      <c r="C175" s="1066">
        <f t="shared" si="69"/>
        <v>-4272.2299999999996</v>
      </c>
      <c r="D175" s="1066">
        <f t="shared" si="66"/>
        <v>0</v>
      </c>
      <c r="E175" s="1066"/>
      <c r="F175" s="1066"/>
      <c r="G175" s="1066">
        <f t="shared" si="64"/>
        <v>-2136</v>
      </c>
      <c r="H175" s="1066"/>
      <c r="I175" s="1066">
        <f t="shared" si="65"/>
        <v>0</v>
      </c>
      <c r="J175" s="1066">
        <f t="shared" si="67"/>
        <v>0</v>
      </c>
      <c r="K175" s="1066">
        <f t="shared" si="68"/>
        <v>0</v>
      </c>
      <c r="L175" s="1066"/>
      <c r="M175" s="854">
        <v>0</v>
      </c>
      <c r="N175" s="854">
        <v>-4272.2299999999996</v>
      </c>
      <c r="O175" s="854">
        <v>0</v>
      </c>
      <c r="P175" s="854">
        <v>0</v>
      </c>
      <c r="Q175" s="854">
        <v>0</v>
      </c>
      <c r="R175" s="1066"/>
      <c r="S175" s="854">
        <v>0</v>
      </c>
      <c r="T175" s="854">
        <v>0</v>
      </c>
      <c r="U175" s="854">
        <v>0</v>
      </c>
      <c r="V175" s="854">
        <v>0</v>
      </c>
      <c r="W175" s="854">
        <v>0</v>
      </c>
    </row>
    <row r="176" spans="1:23">
      <c r="A176" s="1096">
        <f t="shared" si="70"/>
        <v>9.7899999999999832</v>
      </c>
      <c r="B176" s="854" t="s">
        <v>1169</v>
      </c>
      <c r="C176" s="1066">
        <f t="shared" si="69"/>
        <v>-941230.49</v>
      </c>
      <c r="D176" s="1066">
        <f t="shared" si="66"/>
        <v>0</v>
      </c>
      <c r="E176" s="1066"/>
      <c r="F176" s="1066"/>
      <c r="G176" s="1066">
        <f t="shared" si="64"/>
        <v>-470615</v>
      </c>
      <c r="H176" s="1066"/>
      <c r="I176" s="1066">
        <f t="shared" si="65"/>
        <v>0</v>
      </c>
      <c r="J176" s="1066">
        <f t="shared" si="67"/>
        <v>0</v>
      </c>
      <c r="K176" s="1066">
        <f t="shared" si="68"/>
        <v>0</v>
      </c>
      <c r="L176" s="1066"/>
      <c r="M176" s="854">
        <v>0</v>
      </c>
      <c r="N176" s="854">
        <v>-941230.49</v>
      </c>
      <c r="O176" s="854">
        <v>0</v>
      </c>
      <c r="P176" s="854">
        <v>0</v>
      </c>
      <c r="Q176" s="854">
        <v>0</v>
      </c>
      <c r="R176" s="1066"/>
      <c r="S176" s="854">
        <v>0</v>
      </c>
      <c r="T176" s="854">
        <v>0</v>
      </c>
      <c r="U176" s="854">
        <v>0</v>
      </c>
      <c r="V176" s="854">
        <v>0</v>
      </c>
      <c r="W176" s="854">
        <v>0</v>
      </c>
    </row>
    <row r="177" spans="1:23">
      <c r="A177" s="1096">
        <f t="shared" si="70"/>
        <v>9.7999999999999829</v>
      </c>
      <c r="B177" s="854" t="s">
        <v>1170</v>
      </c>
      <c r="C177" s="1066">
        <f t="shared" si="69"/>
        <v>287629.37</v>
      </c>
      <c r="D177" s="1066">
        <f t="shared" si="66"/>
        <v>267469.37</v>
      </c>
      <c r="E177" s="1066"/>
      <c r="F177" s="1066"/>
      <c r="G177" s="1066">
        <f t="shared" si="64"/>
        <v>277549</v>
      </c>
      <c r="H177" s="1066"/>
      <c r="I177" s="1066">
        <f t="shared" si="65"/>
        <v>0</v>
      </c>
      <c r="J177" s="1066">
        <f t="shared" si="67"/>
        <v>0</v>
      </c>
      <c r="K177" s="1066">
        <f t="shared" si="68"/>
        <v>0</v>
      </c>
      <c r="L177" s="1066"/>
      <c r="M177" s="854">
        <v>0</v>
      </c>
      <c r="N177" s="854">
        <v>287629.37</v>
      </c>
      <c r="O177" s="854">
        <v>0</v>
      </c>
      <c r="P177" s="854">
        <v>0</v>
      </c>
      <c r="Q177" s="854">
        <v>0</v>
      </c>
      <c r="R177" s="1066"/>
      <c r="S177" s="854">
        <v>0</v>
      </c>
      <c r="T177" s="854">
        <v>267469.37</v>
      </c>
      <c r="U177" s="854">
        <v>0</v>
      </c>
      <c r="V177" s="854">
        <v>0</v>
      </c>
      <c r="W177" s="854">
        <v>0</v>
      </c>
    </row>
    <row r="178" spans="1:23">
      <c r="A178" s="1096">
        <f t="shared" si="70"/>
        <v>9.8099999999999827</v>
      </c>
      <c r="B178" s="854" t="s">
        <v>1171</v>
      </c>
      <c r="C178" s="1066">
        <f t="shared" si="69"/>
        <v>77971.39</v>
      </c>
      <c r="D178" s="1066">
        <f t="shared" si="66"/>
        <v>0</v>
      </c>
      <c r="E178" s="1066"/>
      <c r="F178" s="1066"/>
      <c r="G178" s="1066">
        <f t="shared" si="64"/>
        <v>38986</v>
      </c>
      <c r="H178" s="1066"/>
      <c r="I178" s="1066">
        <f t="shared" si="65"/>
        <v>0</v>
      </c>
      <c r="J178" s="1066">
        <f t="shared" si="67"/>
        <v>0</v>
      </c>
      <c r="K178" s="1066">
        <f t="shared" si="68"/>
        <v>0</v>
      </c>
      <c r="L178" s="1066"/>
      <c r="M178" s="854">
        <v>0</v>
      </c>
      <c r="N178" s="854">
        <v>77971.39</v>
      </c>
      <c r="O178" s="854">
        <v>0</v>
      </c>
      <c r="P178" s="854">
        <v>0</v>
      </c>
      <c r="Q178" s="854">
        <v>0</v>
      </c>
      <c r="R178" s="1066"/>
      <c r="S178" s="854">
        <v>0</v>
      </c>
      <c r="T178" s="854">
        <v>0</v>
      </c>
      <c r="U178" s="854">
        <v>0</v>
      </c>
      <c r="V178" s="854">
        <v>0</v>
      </c>
      <c r="W178" s="854">
        <v>0</v>
      </c>
    </row>
    <row r="179" spans="1:23">
      <c r="A179" s="1096">
        <f t="shared" si="70"/>
        <v>9.8199999999999825</v>
      </c>
      <c r="B179" s="854" t="s">
        <v>1172</v>
      </c>
      <c r="C179" s="1066">
        <f t="shared" si="69"/>
        <v>915124.52</v>
      </c>
      <c r="D179" s="1066">
        <f t="shared" si="66"/>
        <v>0</v>
      </c>
      <c r="E179" s="1066"/>
      <c r="F179" s="1066"/>
      <c r="G179" s="1066">
        <f t="shared" si="64"/>
        <v>457562</v>
      </c>
      <c r="H179" s="1066"/>
      <c r="I179" s="1066">
        <f t="shared" si="65"/>
        <v>0</v>
      </c>
      <c r="J179" s="1066">
        <f t="shared" si="67"/>
        <v>0</v>
      </c>
      <c r="K179" s="1066">
        <f t="shared" si="68"/>
        <v>0</v>
      </c>
      <c r="L179" s="1066"/>
      <c r="M179" s="854">
        <v>0</v>
      </c>
      <c r="N179" s="854">
        <v>915124.52</v>
      </c>
      <c r="O179" s="854">
        <v>0</v>
      </c>
      <c r="P179" s="854">
        <v>0</v>
      </c>
      <c r="Q179" s="854">
        <v>0</v>
      </c>
      <c r="R179" s="1066"/>
      <c r="S179" s="854">
        <v>0</v>
      </c>
      <c r="T179" s="854">
        <v>0</v>
      </c>
      <c r="U179" s="854">
        <v>0</v>
      </c>
      <c r="V179" s="854">
        <v>0</v>
      </c>
      <c r="W179" s="854">
        <v>0</v>
      </c>
    </row>
    <row r="180" spans="1:23">
      <c r="A180" s="1096">
        <f t="shared" si="70"/>
        <v>9.8299999999999823</v>
      </c>
      <c r="B180" s="854" t="s">
        <v>1173</v>
      </c>
      <c r="C180" s="1066">
        <f t="shared" si="69"/>
        <v>-0.01</v>
      </c>
      <c r="D180" s="1066">
        <f t="shared" si="66"/>
        <v>-0.01</v>
      </c>
      <c r="E180" s="1066"/>
      <c r="F180" s="1066"/>
      <c r="G180" s="1066">
        <f t="shared" si="64"/>
        <v>0</v>
      </c>
      <c r="H180" s="1066"/>
      <c r="I180" s="1066">
        <f t="shared" si="65"/>
        <v>-0.01</v>
      </c>
      <c r="J180" s="1066">
        <f t="shared" si="67"/>
        <v>0</v>
      </c>
      <c r="K180" s="1066">
        <f t="shared" si="68"/>
        <v>0</v>
      </c>
      <c r="L180" s="1066"/>
      <c r="M180" s="854">
        <v>-0.01</v>
      </c>
      <c r="N180" s="854">
        <v>0</v>
      </c>
      <c r="O180" s="854">
        <v>0</v>
      </c>
      <c r="P180" s="854">
        <v>0</v>
      </c>
      <c r="Q180" s="854">
        <v>0</v>
      </c>
      <c r="R180" s="1066"/>
      <c r="S180" s="854">
        <v>-0.01</v>
      </c>
      <c r="T180" s="854">
        <v>0</v>
      </c>
      <c r="U180" s="854">
        <v>0</v>
      </c>
      <c r="V180" s="854">
        <v>0</v>
      </c>
      <c r="W180" s="854">
        <v>0</v>
      </c>
    </row>
    <row r="181" spans="1:23">
      <c r="A181" s="1096">
        <f t="shared" si="70"/>
        <v>9.8399999999999821</v>
      </c>
      <c r="B181" s="854" t="s">
        <v>1174</v>
      </c>
      <c r="C181" s="1066">
        <f>SUM(M181:P181)</f>
        <v>0</v>
      </c>
      <c r="D181" s="1066">
        <f t="shared" si="66"/>
        <v>0</v>
      </c>
      <c r="E181" s="1066"/>
      <c r="F181" s="1066"/>
      <c r="G181" s="1066">
        <f t="shared" si="64"/>
        <v>0</v>
      </c>
      <c r="H181" s="1066"/>
      <c r="I181" s="1066">
        <f t="shared" ref="I181:I192" si="71">(M181+S181)/2</f>
        <v>0</v>
      </c>
      <c r="J181" s="1066">
        <f t="shared" si="67"/>
        <v>0</v>
      </c>
      <c r="K181" s="1066">
        <f t="shared" si="68"/>
        <v>0</v>
      </c>
      <c r="L181" s="1066"/>
      <c r="M181" s="854">
        <v>0</v>
      </c>
      <c r="N181" s="854">
        <v>0</v>
      </c>
      <c r="O181" s="854">
        <v>0</v>
      </c>
      <c r="P181" s="854">
        <v>0</v>
      </c>
      <c r="Q181" s="854">
        <v>0</v>
      </c>
      <c r="R181" s="1066"/>
      <c r="S181" s="854">
        <v>0</v>
      </c>
      <c r="T181" s="854">
        <v>0</v>
      </c>
      <c r="U181" s="854">
        <v>0</v>
      </c>
      <c r="V181" s="854">
        <v>0</v>
      </c>
      <c r="W181" s="854">
        <v>0</v>
      </c>
    </row>
    <row r="182" spans="1:23">
      <c r="A182" s="1096">
        <f t="shared" si="70"/>
        <v>9.8499999999999819</v>
      </c>
      <c r="B182" s="854" t="s">
        <v>1347</v>
      </c>
      <c r="C182" s="1066">
        <f t="shared" ref="C182:C183" si="72">SUM(M182:P182)</f>
        <v>0</v>
      </c>
      <c r="D182" s="1066">
        <f t="shared" ref="D182:D183" si="73">SUM(S182:V182)</f>
        <v>259137.27</v>
      </c>
      <c r="E182" s="1066"/>
      <c r="F182" s="1066"/>
      <c r="G182" s="1066">
        <f t="shared" ref="G182:G183" si="74">ROUND(SUM(C182:F182)/2,0)</f>
        <v>129569</v>
      </c>
      <c r="H182" s="1066"/>
      <c r="I182" s="1066">
        <f t="shared" ref="I182:I183" si="75">(M182+S182)/2</f>
        <v>129568.63499999999</v>
      </c>
      <c r="J182" s="1066">
        <f t="shared" ref="J182:J183" si="76">(O182+U182)/2</f>
        <v>0</v>
      </c>
      <c r="K182" s="1066">
        <f t="shared" ref="K182:K183" si="77">(P182+V182)/2</f>
        <v>0</v>
      </c>
      <c r="L182" s="1066"/>
      <c r="M182" s="854">
        <v>0</v>
      </c>
      <c r="N182" s="854"/>
      <c r="O182" s="854"/>
      <c r="P182" s="854"/>
      <c r="Q182" s="854"/>
      <c r="R182" s="1066"/>
      <c r="S182" s="854">
        <v>259137.27</v>
      </c>
      <c r="T182" s="854"/>
      <c r="U182" s="854"/>
      <c r="V182" s="854"/>
      <c r="W182" s="854"/>
    </row>
    <row r="183" spans="1:23">
      <c r="A183" s="1096">
        <f t="shared" si="70"/>
        <v>9.8599999999999817</v>
      </c>
      <c r="B183" s="854" t="s">
        <v>1175</v>
      </c>
      <c r="C183" s="1066">
        <f t="shared" si="72"/>
        <v>0</v>
      </c>
      <c r="D183" s="1066">
        <f t="shared" si="73"/>
        <v>0</v>
      </c>
      <c r="E183" s="1066"/>
      <c r="F183" s="1066"/>
      <c r="G183" s="1066">
        <f t="shared" si="74"/>
        <v>0</v>
      </c>
      <c r="H183" s="1066"/>
      <c r="I183" s="1066">
        <f t="shared" si="75"/>
        <v>0</v>
      </c>
      <c r="J183" s="1066">
        <f t="shared" si="76"/>
        <v>0</v>
      </c>
      <c r="K183" s="1066">
        <f t="shared" si="77"/>
        <v>0</v>
      </c>
      <c r="L183" s="1066"/>
      <c r="M183" s="854">
        <v>0</v>
      </c>
      <c r="N183" s="854">
        <v>0</v>
      </c>
      <c r="O183" s="854">
        <v>0</v>
      </c>
      <c r="P183" s="854">
        <v>0</v>
      </c>
      <c r="Q183" s="854">
        <v>0</v>
      </c>
      <c r="R183" s="1066"/>
      <c r="S183" s="854">
        <v>0</v>
      </c>
      <c r="T183" s="854">
        <v>0</v>
      </c>
      <c r="U183" s="854">
        <v>0</v>
      </c>
      <c r="V183" s="854">
        <v>0</v>
      </c>
      <c r="W183" s="854">
        <v>0</v>
      </c>
    </row>
    <row r="184" spans="1:23">
      <c r="A184" s="1096">
        <f t="shared" si="70"/>
        <v>9.8699999999999815</v>
      </c>
      <c r="B184" s="854" t="s">
        <v>1176</v>
      </c>
      <c r="C184" s="1066">
        <f>SUM(M184:P184)</f>
        <v>895980.82</v>
      </c>
      <c r="D184" s="1066">
        <f t="shared" si="66"/>
        <v>802968.45</v>
      </c>
      <c r="E184" s="1066"/>
      <c r="F184" s="1066"/>
      <c r="G184" s="1066">
        <f t="shared" si="64"/>
        <v>849475</v>
      </c>
      <c r="H184" s="1066"/>
      <c r="I184" s="1066">
        <f t="shared" si="71"/>
        <v>849474.63500000001</v>
      </c>
      <c r="J184" s="1066">
        <f t="shared" si="67"/>
        <v>0</v>
      </c>
      <c r="K184" s="1066">
        <f t="shared" si="68"/>
        <v>0</v>
      </c>
      <c r="L184" s="1066"/>
      <c r="M184" s="854">
        <v>895980.82</v>
      </c>
      <c r="N184" s="854">
        <v>0</v>
      </c>
      <c r="O184" s="854">
        <v>0</v>
      </c>
      <c r="P184" s="854">
        <v>0</v>
      </c>
      <c r="Q184" s="854">
        <v>0</v>
      </c>
      <c r="R184" s="1066"/>
      <c r="S184" s="854">
        <v>802968.45</v>
      </c>
      <c r="T184" s="854">
        <v>0</v>
      </c>
      <c r="U184" s="854">
        <v>0</v>
      </c>
      <c r="V184" s="854">
        <v>0</v>
      </c>
      <c r="W184" s="854">
        <v>0</v>
      </c>
    </row>
    <row r="185" spans="1:23">
      <c r="A185" s="1096">
        <f t="shared" si="70"/>
        <v>9.8799999999999812</v>
      </c>
      <c r="B185" s="854" t="s">
        <v>1177</v>
      </c>
      <c r="C185" s="1066">
        <f>SUM(M185:P185)</f>
        <v>0</v>
      </c>
      <c r="D185" s="1066">
        <f t="shared" si="66"/>
        <v>0</v>
      </c>
      <c r="E185" s="1066"/>
      <c r="F185" s="1066"/>
      <c r="G185" s="1066">
        <f t="shared" si="64"/>
        <v>0</v>
      </c>
      <c r="H185" s="1066"/>
      <c r="I185" s="1066">
        <f t="shared" si="71"/>
        <v>0</v>
      </c>
      <c r="J185" s="1066">
        <f t="shared" si="67"/>
        <v>0</v>
      </c>
      <c r="K185" s="1066">
        <f t="shared" si="68"/>
        <v>0</v>
      </c>
      <c r="L185" s="1066"/>
      <c r="M185" s="854">
        <v>0</v>
      </c>
      <c r="N185" s="854">
        <v>0</v>
      </c>
      <c r="O185" s="854">
        <v>0</v>
      </c>
      <c r="P185" s="854">
        <v>0</v>
      </c>
      <c r="Q185" s="854">
        <v>0</v>
      </c>
      <c r="R185" s="1066"/>
      <c r="S185" s="854">
        <v>0</v>
      </c>
      <c r="T185" s="854">
        <v>0</v>
      </c>
      <c r="U185" s="854">
        <v>0</v>
      </c>
      <c r="V185" s="854">
        <v>0</v>
      </c>
      <c r="W185" s="854">
        <v>0</v>
      </c>
    </row>
    <row r="186" spans="1:23">
      <c r="A186" s="1096">
        <f t="shared" si="70"/>
        <v>9.889999999999981</v>
      </c>
      <c r="B186" s="854" t="s">
        <v>1178</v>
      </c>
      <c r="C186" s="1066">
        <f t="shared" si="69"/>
        <v>0</v>
      </c>
      <c r="D186" s="1066">
        <f t="shared" si="66"/>
        <v>0</v>
      </c>
      <c r="E186" s="1066"/>
      <c r="F186" s="1066"/>
      <c r="G186" s="1066">
        <f t="shared" si="64"/>
        <v>0</v>
      </c>
      <c r="H186" s="1066"/>
      <c r="I186" s="1066">
        <f t="shared" si="71"/>
        <v>0</v>
      </c>
      <c r="J186" s="1066">
        <f t="shared" si="67"/>
        <v>0</v>
      </c>
      <c r="K186" s="1066">
        <f t="shared" si="68"/>
        <v>0</v>
      </c>
      <c r="L186" s="1066"/>
      <c r="M186" s="854">
        <v>0</v>
      </c>
      <c r="N186" s="854">
        <v>0</v>
      </c>
      <c r="O186" s="854">
        <v>0</v>
      </c>
      <c r="P186" s="854">
        <v>0</v>
      </c>
      <c r="Q186" s="854">
        <v>0</v>
      </c>
      <c r="R186" s="1066"/>
      <c r="S186" s="854">
        <v>0</v>
      </c>
      <c r="T186" s="854">
        <v>0</v>
      </c>
      <c r="U186" s="854">
        <v>0</v>
      </c>
      <c r="V186" s="854">
        <v>0</v>
      </c>
      <c r="W186" s="854">
        <v>0</v>
      </c>
    </row>
    <row r="187" spans="1:23">
      <c r="A187" s="1096">
        <f t="shared" si="70"/>
        <v>9.8999999999999808</v>
      </c>
      <c r="B187" s="854" t="s">
        <v>1179</v>
      </c>
      <c r="C187" s="1066">
        <f t="shared" si="69"/>
        <v>758538.16</v>
      </c>
      <c r="D187" s="1066">
        <f t="shared" si="66"/>
        <v>675642.76</v>
      </c>
      <c r="E187" s="1066"/>
      <c r="F187" s="1066"/>
      <c r="G187" s="1066">
        <f t="shared" si="64"/>
        <v>717090</v>
      </c>
      <c r="H187" s="1066"/>
      <c r="I187" s="1066">
        <f t="shared" si="71"/>
        <v>717090.46</v>
      </c>
      <c r="J187" s="1066">
        <f t="shared" si="67"/>
        <v>0</v>
      </c>
      <c r="K187" s="1066">
        <f t="shared" si="68"/>
        <v>0</v>
      </c>
      <c r="L187" s="1066"/>
      <c r="M187" s="854">
        <v>758538.16</v>
      </c>
      <c r="N187" s="854">
        <v>0</v>
      </c>
      <c r="O187" s="854">
        <v>0</v>
      </c>
      <c r="P187" s="854">
        <v>0</v>
      </c>
      <c r="Q187" s="854">
        <v>0</v>
      </c>
      <c r="R187" s="1066"/>
      <c r="S187" s="854">
        <v>675642.76</v>
      </c>
      <c r="T187" s="854">
        <v>0</v>
      </c>
      <c r="U187" s="854">
        <v>0</v>
      </c>
      <c r="V187" s="854">
        <v>0</v>
      </c>
      <c r="W187" s="854">
        <v>0</v>
      </c>
    </row>
    <row r="188" spans="1:23">
      <c r="A188" s="1096">
        <f t="shared" si="70"/>
        <v>9.9099999999999806</v>
      </c>
      <c r="B188" s="854" t="s">
        <v>1180</v>
      </c>
      <c r="C188" s="1066">
        <f t="shared" si="69"/>
        <v>-286802.58</v>
      </c>
      <c r="D188" s="1066">
        <f t="shared" si="66"/>
        <v>-254755.74</v>
      </c>
      <c r="E188" s="1066"/>
      <c r="F188" s="1066"/>
      <c r="G188" s="1066">
        <f t="shared" si="64"/>
        <v>-270779</v>
      </c>
      <c r="H188" s="1066"/>
      <c r="I188" s="1066">
        <f t="shared" si="71"/>
        <v>-270779.16000000003</v>
      </c>
      <c r="J188" s="1066">
        <f t="shared" si="67"/>
        <v>0</v>
      </c>
      <c r="K188" s="1066">
        <f t="shared" si="68"/>
        <v>0</v>
      </c>
      <c r="L188" s="1066"/>
      <c r="M188" s="854">
        <v>-286802.58</v>
      </c>
      <c r="N188" s="854">
        <v>0</v>
      </c>
      <c r="O188" s="854">
        <v>0</v>
      </c>
      <c r="P188" s="854">
        <v>0</v>
      </c>
      <c r="Q188" s="854">
        <v>0</v>
      </c>
      <c r="R188" s="1066"/>
      <c r="S188" s="854">
        <v>-254755.74</v>
      </c>
      <c r="T188" s="854">
        <v>0</v>
      </c>
      <c r="U188" s="854">
        <v>0</v>
      </c>
      <c r="V188" s="854">
        <v>0</v>
      </c>
      <c r="W188" s="854">
        <v>0</v>
      </c>
    </row>
    <row r="189" spans="1:23">
      <c r="A189" s="1096">
        <f t="shared" si="70"/>
        <v>9.9199999999999804</v>
      </c>
      <c r="B189" s="854" t="s">
        <v>1181</v>
      </c>
      <c r="C189" s="1066">
        <f t="shared" si="69"/>
        <v>32284.42</v>
      </c>
      <c r="D189" s="1066">
        <f t="shared" si="66"/>
        <v>0</v>
      </c>
      <c r="E189" s="1066"/>
      <c r="F189" s="1066"/>
      <c r="G189" s="1066">
        <f t="shared" si="64"/>
        <v>16142</v>
      </c>
      <c r="H189" s="1066"/>
      <c r="I189" s="1066">
        <f t="shared" si="71"/>
        <v>0</v>
      </c>
      <c r="J189" s="1066">
        <f t="shared" si="67"/>
        <v>0</v>
      </c>
      <c r="K189" s="1066">
        <f t="shared" si="68"/>
        <v>0</v>
      </c>
      <c r="L189" s="1066"/>
      <c r="M189" s="854">
        <v>0</v>
      </c>
      <c r="N189" s="854">
        <v>32284.42</v>
      </c>
      <c r="O189" s="854">
        <v>0</v>
      </c>
      <c r="P189" s="854">
        <v>0</v>
      </c>
      <c r="Q189" s="854">
        <v>0</v>
      </c>
      <c r="R189" s="1066"/>
      <c r="S189" s="854">
        <v>0</v>
      </c>
      <c r="T189" s="854">
        <v>0</v>
      </c>
      <c r="U189" s="854">
        <v>0</v>
      </c>
      <c r="V189" s="854">
        <v>0</v>
      </c>
      <c r="W189" s="854">
        <v>0</v>
      </c>
    </row>
    <row r="190" spans="1:23">
      <c r="A190" s="1096">
        <f t="shared" si="70"/>
        <v>9.9299999999999802</v>
      </c>
      <c r="B190" s="854" t="s">
        <v>1182</v>
      </c>
      <c r="C190" s="1066">
        <f t="shared" si="69"/>
        <v>5144.5600000000004</v>
      </c>
      <c r="D190" s="1066">
        <f t="shared" si="66"/>
        <v>0</v>
      </c>
      <c r="E190" s="1066"/>
      <c r="F190" s="1066"/>
      <c r="G190" s="1066">
        <f>ROUND(SUM(C190:F190)/2,0)</f>
        <v>2572</v>
      </c>
      <c r="H190" s="1066"/>
      <c r="I190" s="1066">
        <f t="shared" si="71"/>
        <v>0</v>
      </c>
      <c r="J190" s="1066">
        <f t="shared" si="67"/>
        <v>0</v>
      </c>
      <c r="K190" s="1066">
        <f t="shared" si="68"/>
        <v>0</v>
      </c>
      <c r="L190" s="1066"/>
      <c r="M190" s="854">
        <v>0</v>
      </c>
      <c r="N190" s="854">
        <v>5144.5600000000004</v>
      </c>
      <c r="O190" s="854">
        <v>0</v>
      </c>
      <c r="P190" s="854">
        <v>0</v>
      </c>
      <c r="Q190" s="854">
        <v>0</v>
      </c>
      <c r="R190" s="1066"/>
      <c r="S190" s="854">
        <v>0</v>
      </c>
      <c r="T190" s="854">
        <v>0</v>
      </c>
      <c r="U190" s="854">
        <v>0</v>
      </c>
      <c r="V190" s="854">
        <v>0</v>
      </c>
      <c r="W190" s="854">
        <v>0</v>
      </c>
    </row>
    <row r="191" spans="1:23">
      <c r="A191" s="1096">
        <f t="shared" si="70"/>
        <v>9.93999999999998</v>
      </c>
      <c r="B191" s="854" t="s">
        <v>1183</v>
      </c>
      <c r="C191" s="1066">
        <f t="shared" si="69"/>
        <v>-2172.9699999999998</v>
      </c>
      <c r="D191" s="1066">
        <f t="shared" si="66"/>
        <v>0</v>
      </c>
      <c r="E191" s="1066"/>
      <c r="F191" s="1066"/>
      <c r="G191" s="1066">
        <f t="shared" si="64"/>
        <v>-1086</v>
      </c>
      <c r="H191" s="1066"/>
      <c r="I191" s="1066">
        <f t="shared" si="71"/>
        <v>0</v>
      </c>
      <c r="J191" s="1066">
        <f t="shared" si="67"/>
        <v>0</v>
      </c>
      <c r="K191" s="1066">
        <f t="shared" si="68"/>
        <v>0</v>
      </c>
      <c r="L191" s="1066"/>
      <c r="M191" s="854">
        <v>0</v>
      </c>
      <c r="N191" s="854">
        <v>-2172.9699999999998</v>
      </c>
      <c r="O191" s="854">
        <v>0</v>
      </c>
      <c r="P191" s="854">
        <v>0</v>
      </c>
      <c r="Q191" s="854">
        <v>0</v>
      </c>
      <c r="R191" s="1066"/>
      <c r="S191" s="854">
        <v>0</v>
      </c>
      <c r="T191" s="854">
        <v>0</v>
      </c>
      <c r="U191" s="854">
        <v>0</v>
      </c>
      <c r="V191" s="854">
        <v>0</v>
      </c>
      <c r="W191" s="854">
        <v>0</v>
      </c>
    </row>
    <row r="192" spans="1:23">
      <c r="A192" s="1096">
        <f t="shared" si="70"/>
        <v>9.9499999999999797</v>
      </c>
      <c r="B192" s="854" t="s">
        <v>1184</v>
      </c>
      <c r="C192" s="1066">
        <f t="shared" si="69"/>
        <v>7348178.6299999999</v>
      </c>
      <c r="D192" s="1066">
        <f t="shared" si="66"/>
        <v>6840496.0499999998</v>
      </c>
      <c r="E192" s="1066"/>
      <c r="F192" s="1066"/>
      <c r="G192" s="1066">
        <f t="shared" si="64"/>
        <v>7094337</v>
      </c>
      <c r="H192" s="1066"/>
      <c r="I192" s="1066">
        <f t="shared" si="71"/>
        <v>0</v>
      </c>
      <c r="J192" s="1066">
        <f t="shared" si="67"/>
        <v>0</v>
      </c>
      <c r="K192" s="1066">
        <f t="shared" si="68"/>
        <v>0</v>
      </c>
      <c r="L192" s="1066"/>
      <c r="M192" s="854">
        <v>0</v>
      </c>
      <c r="N192" s="854">
        <v>7348178.6299999999</v>
      </c>
      <c r="O192" s="854">
        <v>0</v>
      </c>
      <c r="P192" s="854">
        <v>0</v>
      </c>
      <c r="Q192" s="854">
        <v>0</v>
      </c>
      <c r="R192" s="1066"/>
      <c r="S192" s="854">
        <v>0</v>
      </c>
      <c r="T192" s="854">
        <v>6840496.0499999998</v>
      </c>
      <c r="U192" s="854">
        <v>0</v>
      </c>
      <c r="V192" s="854">
        <v>0</v>
      </c>
      <c r="W192" s="854">
        <v>0</v>
      </c>
    </row>
    <row r="193" spans="1:23">
      <c r="A193" s="1096">
        <f t="shared" si="70"/>
        <v>9.9599999999999795</v>
      </c>
      <c r="B193" s="854" t="s">
        <v>1348</v>
      </c>
      <c r="C193" s="1066">
        <f t="shared" ref="C193" si="78">SUM(M193:P193)</f>
        <v>0</v>
      </c>
      <c r="D193" s="1066">
        <f t="shared" ref="D193" si="79">SUM(S193:V193)</f>
        <v>2485.5</v>
      </c>
      <c r="E193" s="1066"/>
      <c r="F193" s="1066"/>
      <c r="G193" s="1066">
        <f t="shared" ref="G193" si="80">ROUND(SUM(C193:F193)/2,0)</f>
        <v>1243</v>
      </c>
      <c r="H193" s="1066"/>
      <c r="I193" s="1066">
        <f t="shared" ref="I193" si="81">(M193+S193)/2</f>
        <v>0</v>
      </c>
      <c r="J193" s="1066">
        <f t="shared" ref="J193" si="82">(O193+U193)/2</f>
        <v>0</v>
      </c>
      <c r="K193" s="1066">
        <f t="shared" ref="K193" si="83">(P193+V193)/2</f>
        <v>0</v>
      </c>
      <c r="L193" s="1066"/>
      <c r="M193" s="854"/>
      <c r="N193" s="854"/>
      <c r="O193" s="854"/>
      <c r="P193" s="854"/>
      <c r="Q193" s="854"/>
      <c r="R193" s="1066"/>
      <c r="S193" s="854"/>
      <c r="T193" s="854">
        <v>2485.5</v>
      </c>
      <c r="U193" s="854"/>
      <c r="V193" s="854"/>
      <c r="W193" s="854"/>
    </row>
    <row r="194" spans="1:23">
      <c r="A194" s="1096">
        <f t="shared" si="70"/>
        <v>9.9699999999999793</v>
      </c>
      <c r="B194" s="854" t="s">
        <v>1185</v>
      </c>
      <c r="C194" s="1066">
        <f t="shared" ref="C194:C214" si="84">SUM(M194:P194)</f>
        <v>14701.44</v>
      </c>
      <c r="D194" s="1066">
        <f t="shared" ref="D194:D214" si="85">SUM(S194:V194)</f>
        <v>9305.69</v>
      </c>
      <c r="E194" s="1066"/>
      <c r="F194" s="1066"/>
      <c r="G194" s="1066">
        <f t="shared" ref="G194:G214" si="86">ROUND(SUM(C194:F194)/2,0)</f>
        <v>12004</v>
      </c>
      <c r="H194" s="1066"/>
      <c r="I194" s="1066">
        <f t="shared" ref="I194:I214" si="87">(M194+S194)/2</f>
        <v>0</v>
      </c>
      <c r="J194" s="1066">
        <f t="shared" ref="J194:J213" si="88">(O194+U194)/2</f>
        <v>0</v>
      </c>
      <c r="K194" s="1066">
        <f t="shared" ref="K194:K213" si="89">(P194+V194)/2</f>
        <v>12003.565000000001</v>
      </c>
      <c r="L194" s="1066"/>
      <c r="M194" s="854">
        <v>0</v>
      </c>
      <c r="N194" s="854">
        <v>0</v>
      </c>
      <c r="O194" s="854">
        <v>0</v>
      </c>
      <c r="P194" s="854">
        <v>14701.44</v>
      </c>
      <c r="Q194" s="854">
        <v>0</v>
      </c>
      <c r="R194" s="1066"/>
      <c r="S194" s="854">
        <v>0</v>
      </c>
      <c r="T194" s="854">
        <v>0</v>
      </c>
      <c r="U194" s="854">
        <v>0</v>
      </c>
      <c r="V194" s="854">
        <v>9305.69</v>
      </c>
      <c r="W194" s="854">
        <v>0</v>
      </c>
    </row>
    <row r="195" spans="1:23">
      <c r="A195" s="1096">
        <f t="shared" si="70"/>
        <v>9.9799999999999791</v>
      </c>
      <c r="B195" s="854" t="s">
        <v>1186</v>
      </c>
      <c r="C195" s="1066">
        <f t="shared" si="84"/>
        <v>702659.46</v>
      </c>
      <c r="D195" s="1066">
        <f t="shared" si="85"/>
        <v>0</v>
      </c>
      <c r="E195" s="1066"/>
      <c r="F195" s="1066"/>
      <c r="G195" s="1066">
        <f t="shared" si="86"/>
        <v>351330</v>
      </c>
      <c r="H195" s="1066"/>
      <c r="I195" s="1066">
        <f t="shared" si="87"/>
        <v>0</v>
      </c>
      <c r="J195" s="1066">
        <f t="shared" si="88"/>
        <v>0</v>
      </c>
      <c r="K195" s="1066">
        <f t="shared" si="89"/>
        <v>351329.73</v>
      </c>
      <c r="L195" s="1066"/>
      <c r="M195" s="854">
        <v>0</v>
      </c>
      <c r="N195" s="854">
        <v>0</v>
      </c>
      <c r="O195" s="854">
        <v>0</v>
      </c>
      <c r="P195" s="854">
        <v>702659.46</v>
      </c>
      <c r="Q195" s="854">
        <v>0</v>
      </c>
      <c r="R195" s="1066"/>
      <c r="S195" s="854">
        <v>0</v>
      </c>
      <c r="T195" s="854">
        <v>0</v>
      </c>
      <c r="U195" s="854">
        <v>0</v>
      </c>
      <c r="V195" s="854">
        <v>0</v>
      </c>
      <c r="W195" s="854">
        <v>0</v>
      </c>
    </row>
    <row r="196" spans="1:23">
      <c r="A196" s="1096">
        <f t="shared" si="70"/>
        <v>9.9899999999999789</v>
      </c>
      <c r="B196" s="854" t="s">
        <v>1187</v>
      </c>
      <c r="C196" s="1066">
        <f t="shared" si="84"/>
        <v>275654.99</v>
      </c>
      <c r="D196" s="1066">
        <f t="shared" si="85"/>
        <v>692450.94</v>
      </c>
      <c r="E196" s="1066"/>
      <c r="F196" s="1066"/>
      <c r="G196" s="1066">
        <f t="shared" si="86"/>
        <v>484053</v>
      </c>
      <c r="H196" s="1066"/>
      <c r="I196" s="1066">
        <f t="shared" si="87"/>
        <v>484052.96499999997</v>
      </c>
      <c r="J196" s="1066">
        <f t="shared" si="88"/>
        <v>0</v>
      </c>
      <c r="K196" s="1066">
        <f t="shared" si="89"/>
        <v>0</v>
      </c>
      <c r="L196" s="1066"/>
      <c r="M196" s="854">
        <v>275654.99</v>
      </c>
      <c r="N196" s="854">
        <v>0</v>
      </c>
      <c r="O196" s="854">
        <v>0</v>
      </c>
      <c r="P196" s="854">
        <v>0</v>
      </c>
      <c r="Q196" s="854">
        <v>0</v>
      </c>
      <c r="R196" s="1066"/>
      <c r="S196" s="854">
        <v>692450.94</v>
      </c>
      <c r="T196" s="854">
        <v>0</v>
      </c>
      <c r="U196" s="854">
        <v>0</v>
      </c>
      <c r="V196" s="854">
        <v>0</v>
      </c>
      <c r="W196" s="854">
        <v>0</v>
      </c>
    </row>
    <row r="197" spans="1:23">
      <c r="A197" s="1096">
        <f t="shared" si="70"/>
        <v>9.9999999999999787</v>
      </c>
      <c r="B197" s="854" t="s">
        <v>1188</v>
      </c>
      <c r="C197" s="1066">
        <f t="shared" si="84"/>
        <v>4217929.59</v>
      </c>
      <c r="D197" s="1066">
        <f t="shared" si="85"/>
        <v>0</v>
      </c>
      <c r="E197" s="1066"/>
      <c r="F197" s="1066"/>
      <c r="G197" s="1066">
        <f t="shared" si="86"/>
        <v>2108965</v>
      </c>
      <c r="H197" s="1066"/>
      <c r="I197" s="1066">
        <f t="shared" si="87"/>
        <v>2108964.7949999999</v>
      </c>
      <c r="J197" s="1066">
        <f t="shared" si="88"/>
        <v>0</v>
      </c>
      <c r="K197" s="1066">
        <f t="shared" si="89"/>
        <v>0</v>
      </c>
      <c r="L197" s="1066"/>
      <c r="M197" s="854">
        <v>4217929.59</v>
      </c>
      <c r="N197" s="854">
        <v>0</v>
      </c>
      <c r="O197" s="854">
        <v>0</v>
      </c>
      <c r="P197" s="854">
        <v>0</v>
      </c>
      <c r="Q197" s="854">
        <v>0</v>
      </c>
      <c r="R197" s="1066"/>
      <c r="S197" s="854">
        <v>0</v>
      </c>
      <c r="T197" s="854">
        <v>0</v>
      </c>
      <c r="U197" s="854">
        <v>0</v>
      </c>
      <c r="V197" s="854">
        <v>0</v>
      </c>
      <c r="W197" s="854">
        <v>0</v>
      </c>
    </row>
    <row r="198" spans="1:23">
      <c r="A198" s="1096">
        <f>A197+0.01</f>
        <v>10.009999999999978</v>
      </c>
      <c r="B198" s="854" t="s">
        <v>1189</v>
      </c>
      <c r="C198" s="1066">
        <f t="shared" si="84"/>
        <v>430.3</v>
      </c>
      <c r="D198" s="1066">
        <f t="shared" si="85"/>
        <v>18517.89</v>
      </c>
      <c r="E198" s="1066"/>
      <c r="F198" s="1066"/>
      <c r="G198" s="1066">
        <f t="shared" si="86"/>
        <v>9474</v>
      </c>
      <c r="H198" s="1066"/>
      <c r="I198" s="1066">
        <f t="shared" si="87"/>
        <v>0</v>
      </c>
      <c r="J198" s="1066">
        <f t="shared" si="88"/>
        <v>0</v>
      </c>
      <c r="K198" s="1066">
        <f t="shared" si="89"/>
        <v>9474.0949999999993</v>
      </c>
      <c r="L198" s="1066"/>
      <c r="M198" s="854">
        <v>0</v>
      </c>
      <c r="N198" s="854">
        <v>0</v>
      </c>
      <c r="O198" s="854">
        <v>0</v>
      </c>
      <c r="P198" s="854">
        <v>430.3</v>
      </c>
      <c r="Q198" s="854">
        <v>0</v>
      </c>
      <c r="R198" s="1066"/>
      <c r="S198" s="854">
        <v>0</v>
      </c>
      <c r="T198" s="854">
        <v>0</v>
      </c>
      <c r="U198" s="854">
        <v>0</v>
      </c>
      <c r="V198" s="854">
        <v>18517.89</v>
      </c>
      <c r="W198" s="854">
        <v>0</v>
      </c>
    </row>
    <row r="199" spans="1:23">
      <c r="A199" s="1096">
        <f t="shared" si="70"/>
        <v>10.019999999999978</v>
      </c>
      <c r="B199" s="854" t="s">
        <v>1190</v>
      </c>
      <c r="C199" s="1066">
        <f t="shared" si="84"/>
        <v>-430.3</v>
      </c>
      <c r="D199" s="1066">
        <f t="shared" si="85"/>
        <v>-18517.89</v>
      </c>
      <c r="E199" s="1066"/>
      <c r="F199" s="1066"/>
      <c r="G199" s="1066">
        <f t="shared" si="86"/>
        <v>-9474</v>
      </c>
      <c r="H199" s="1066"/>
      <c r="I199" s="1066">
        <f t="shared" si="87"/>
        <v>0</v>
      </c>
      <c r="J199" s="1066">
        <f t="shared" si="88"/>
        <v>0</v>
      </c>
      <c r="K199" s="1066">
        <f t="shared" si="89"/>
        <v>-9474.0949999999993</v>
      </c>
      <c r="L199" s="1066"/>
      <c r="M199" s="854">
        <v>0</v>
      </c>
      <c r="N199" s="854">
        <v>0</v>
      </c>
      <c r="O199" s="854">
        <v>0</v>
      </c>
      <c r="P199" s="854">
        <v>-430.3</v>
      </c>
      <c r="Q199" s="854">
        <v>0</v>
      </c>
      <c r="R199" s="1066"/>
      <c r="S199" s="854">
        <v>0</v>
      </c>
      <c r="T199" s="854">
        <v>0</v>
      </c>
      <c r="U199" s="854">
        <v>0</v>
      </c>
      <c r="V199" s="854">
        <v>-18517.89</v>
      </c>
      <c r="W199" s="854">
        <v>0</v>
      </c>
    </row>
    <row r="200" spans="1:23">
      <c r="A200" s="1096">
        <f t="shared" si="70"/>
        <v>10.029999999999978</v>
      </c>
      <c r="B200" s="854" t="s">
        <v>1191</v>
      </c>
      <c r="C200" s="1066">
        <f t="shared" si="84"/>
        <v>19590.990000000002</v>
      </c>
      <c r="D200" s="1066">
        <f t="shared" si="85"/>
        <v>-235192.43</v>
      </c>
      <c r="E200" s="1066"/>
      <c r="F200" s="1066"/>
      <c r="G200" s="1066">
        <f t="shared" si="86"/>
        <v>-107801</v>
      </c>
      <c r="H200" s="1066"/>
      <c r="I200" s="1066">
        <f t="shared" si="87"/>
        <v>-107800.72</v>
      </c>
      <c r="J200" s="1066">
        <f t="shared" si="88"/>
        <v>0</v>
      </c>
      <c r="K200" s="1066">
        <f t="shared" si="89"/>
        <v>0</v>
      </c>
      <c r="L200" s="1066"/>
      <c r="M200" s="854">
        <v>19590.990000000002</v>
      </c>
      <c r="N200" s="854">
        <v>0</v>
      </c>
      <c r="O200" s="854">
        <v>0</v>
      </c>
      <c r="P200" s="854">
        <v>0</v>
      </c>
      <c r="Q200" s="854">
        <v>0</v>
      </c>
      <c r="R200" s="1066"/>
      <c r="S200" s="854">
        <v>-235192.43</v>
      </c>
      <c r="T200" s="854">
        <v>0</v>
      </c>
      <c r="U200" s="854">
        <v>0</v>
      </c>
      <c r="V200" s="854">
        <v>0</v>
      </c>
      <c r="W200" s="854">
        <v>0</v>
      </c>
    </row>
    <row r="201" spans="1:23">
      <c r="A201" s="1096">
        <f t="shared" si="70"/>
        <v>10.039999999999978</v>
      </c>
      <c r="B201" s="854" t="s">
        <v>1192</v>
      </c>
      <c r="C201" s="1066">
        <f t="shared" si="84"/>
        <v>4831092.6900000004</v>
      </c>
      <c r="D201" s="1066">
        <f t="shared" si="85"/>
        <v>4286148.78</v>
      </c>
      <c r="E201" s="1066"/>
      <c r="F201" s="1066"/>
      <c r="G201" s="1066">
        <f t="shared" si="86"/>
        <v>4558621</v>
      </c>
      <c r="H201" s="1066"/>
      <c r="I201" s="1066">
        <f t="shared" si="87"/>
        <v>3127318.74</v>
      </c>
      <c r="J201" s="1066">
        <f t="shared" si="88"/>
        <v>434391.08999999997</v>
      </c>
      <c r="K201" s="1066">
        <f t="shared" si="89"/>
        <v>603780.61499999999</v>
      </c>
      <c r="L201" s="1066"/>
      <c r="M201" s="854">
        <v>3139801.14</v>
      </c>
      <c r="N201" s="854">
        <v>394663.71</v>
      </c>
      <c r="O201" s="854">
        <v>514373.79</v>
      </c>
      <c r="P201" s="854">
        <v>782254.05</v>
      </c>
      <c r="Q201" s="854">
        <v>0</v>
      </c>
      <c r="R201" s="1066"/>
      <c r="S201" s="854">
        <v>3114836.34</v>
      </c>
      <c r="T201" s="854">
        <v>391596.87</v>
      </c>
      <c r="U201" s="854">
        <v>354408.39</v>
      </c>
      <c r="V201" s="854">
        <v>425307.18</v>
      </c>
      <c r="W201" s="854">
        <v>0</v>
      </c>
    </row>
    <row r="202" spans="1:23">
      <c r="A202" s="1096">
        <f t="shared" si="70"/>
        <v>10.049999999999978</v>
      </c>
      <c r="B202" s="854" t="s">
        <v>1193</v>
      </c>
      <c r="C202" s="1066">
        <f t="shared" si="84"/>
        <v>21212798.339999996</v>
      </c>
      <c r="D202" s="1066">
        <f t="shared" si="85"/>
        <v>25093067.590000004</v>
      </c>
      <c r="E202" s="1066"/>
      <c r="F202" s="1066"/>
      <c r="G202" s="1066">
        <f t="shared" si="86"/>
        <v>23152933</v>
      </c>
      <c r="H202" s="1066"/>
      <c r="I202" s="1066">
        <f t="shared" si="87"/>
        <v>2682483.12</v>
      </c>
      <c r="J202" s="1066">
        <f t="shared" si="88"/>
        <v>2138582.835</v>
      </c>
      <c r="K202" s="1066">
        <f t="shared" si="89"/>
        <v>6450155.1050000004</v>
      </c>
      <c r="L202" s="1066"/>
      <c r="M202" s="854">
        <v>2523009.54</v>
      </c>
      <c r="N202" s="854">
        <v>11001322.5</v>
      </c>
      <c r="O202" s="854">
        <v>2014873.03</v>
      </c>
      <c r="P202" s="854">
        <v>5673593.2699999996</v>
      </c>
      <c r="Q202" s="854">
        <v>0</v>
      </c>
      <c r="R202" s="1066"/>
      <c r="S202" s="854">
        <v>2841956.7</v>
      </c>
      <c r="T202" s="854">
        <v>12762101.310000001</v>
      </c>
      <c r="U202" s="854">
        <v>2262292.64</v>
      </c>
      <c r="V202" s="854">
        <v>7226716.9400000004</v>
      </c>
      <c r="W202" s="854">
        <v>0</v>
      </c>
    </row>
    <row r="203" spans="1:23">
      <c r="A203" s="1096">
        <f t="shared" si="70"/>
        <v>10.059999999999977</v>
      </c>
      <c r="B203" s="854" t="s">
        <v>1194</v>
      </c>
      <c r="C203" s="1066">
        <f t="shared" si="84"/>
        <v>140310563.81999999</v>
      </c>
      <c r="D203" s="1066">
        <f t="shared" si="85"/>
        <v>134484323.81999999</v>
      </c>
      <c r="E203" s="1066"/>
      <c r="F203" s="1066"/>
      <c r="G203" s="1066">
        <f t="shared" si="86"/>
        <v>137397444</v>
      </c>
      <c r="H203" s="1066"/>
      <c r="I203" s="1066">
        <f t="shared" si="87"/>
        <v>0</v>
      </c>
      <c r="J203" s="1066">
        <f t="shared" si="88"/>
        <v>0</v>
      </c>
      <c r="K203" s="1066">
        <f t="shared" si="89"/>
        <v>0</v>
      </c>
      <c r="L203" s="1066"/>
      <c r="M203" s="854">
        <v>0</v>
      </c>
      <c r="N203" s="854">
        <v>140310563.81999999</v>
      </c>
      <c r="O203" s="854">
        <v>0</v>
      </c>
      <c r="P203" s="854">
        <v>0</v>
      </c>
      <c r="Q203" s="854">
        <v>0</v>
      </c>
      <c r="R203" s="1066"/>
      <c r="S203" s="854">
        <v>0</v>
      </c>
      <c r="T203" s="854">
        <v>134484323.81999999</v>
      </c>
      <c r="U203" s="854">
        <v>0</v>
      </c>
      <c r="V203" s="854">
        <v>0</v>
      </c>
      <c r="W203" s="854">
        <v>0</v>
      </c>
    </row>
    <row r="204" spans="1:23">
      <c r="A204" s="1096">
        <f t="shared" si="70"/>
        <v>10.069999999999977</v>
      </c>
      <c r="B204" s="854" t="s">
        <v>1195</v>
      </c>
      <c r="C204" s="1066">
        <f t="shared" si="84"/>
        <v>-144125492.40000001</v>
      </c>
      <c r="D204" s="1066">
        <f t="shared" si="85"/>
        <v>-152727240.97999999</v>
      </c>
      <c r="E204" s="1066"/>
      <c r="F204" s="1066"/>
      <c r="G204" s="1066">
        <f t="shared" si="86"/>
        <v>-148426367</v>
      </c>
      <c r="H204" s="1066"/>
      <c r="I204" s="1066">
        <f t="shared" si="87"/>
        <v>0</v>
      </c>
      <c r="J204" s="1066">
        <f t="shared" si="88"/>
        <v>0</v>
      </c>
      <c r="K204" s="1066">
        <f t="shared" si="89"/>
        <v>0</v>
      </c>
      <c r="L204" s="1066"/>
      <c r="M204" s="854">
        <v>0</v>
      </c>
      <c r="N204" s="854">
        <v>-144125492.40000001</v>
      </c>
      <c r="O204" s="854">
        <v>0</v>
      </c>
      <c r="P204" s="854">
        <v>0</v>
      </c>
      <c r="Q204" s="854">
        <v>0</v>
      </c>
      <c r="R204" s="1066"/>
      <c r="S204" s="854">
        <v>0</v>
      </c>
      <c r="T204" s="854">
        <v>-152727240.97999999</v>
      </c>
      <c r="U204" s="854">
        <v>0</v>
      </c>
      <c r="V204" s="854">
        <v>0</v>
      </c>
      <c r="W204" s="854">
        <v>0</v>
      </c>
    </row>
    <row r="205" spans="1:23">
      <c r="A205" s="1096">
        <f t="shared" si="70"/>
        <v>10.079999999999977</v>
      </c>
      <c r="B205" s="854" t="s">
        <v>1196</v>
      </c>
      <c r="C205" s="1066">
        <f t="shared" si="84"/>
        <v>151027277.81999999</v>
      </c>
      <c r="D205" s="1066">
        <f t="shared" si="85"/>
        <v>140350037.81999999</v>
      </c>
      <c r="E205" s="1066"/>
      <c r="F205" s="1066"/>
      <c r="G205" s="1066">
        <f t="shared" si="86"/>
        <v>145688658</v>
      </c>
      <c r="H205" s="1066"/>
      <c r="I205" s="1066">
        <f t="shared" si="87"/>
        <v>0</v>
      </c>
      <c r="J205" s="1066">
        <f t="shared" si="88"/>
        <v>0</v>
      </c>
      <c r="K205" s="1066">
        <f t="shared" si="89"/>
        <v>0</v>
      </c>
      <c r="L205" s="1066"/>
      <c r="M205" s="854">
        <v>0</v>
      </c>
      <c r="N205" s="854">
        <v>151027277.81999999</v>
      </c>
      <c r="O205" s="854">
        <v>0</v>
      </c>
      <c r="P205" s="854">
        <v>0</v>
      </c>
      <c r="Q205" s="854">
        <v>0</v>
      </c>
      <c r="R205" s="1066"/>
      <c r="S205" s="854">
        <v>0</v>
      </c>
      <c r="T205" s="854">
        <v>140350037.81999999</v>
      </c>
      <c r="U205" s="854">
        <v>0</v>
      </c>
      <c r="V205" s="854">
        <v>0</v>
      </c>
      <c r="W205" s="854">
        <v>0</v>
      </c>
    </row>
    <row r="206" spans="1:23">
      <c r="A206" s="1096">
        <f t="shared" si="70"/>
        <v>10.089999999999977</v>
      </c>
      <c r="B206" s="854" t="s">
        <v>1197</v>
      </c>
      <c r="C206" s="1066">
        <f t="shared" si="84"/>
        <v>-151718610.34999999</v>
      </c>
      <c r="D206" s="1066">
        <f t="shared" si="85"/>
        <v>-161822079.59</v>
      </c>
      <c r="E206" s="1066"/>
      <c r="F206" s="1066"/>
      <c r="G206" s="1066">
        <f t="shared" si="86"/>
        <v>-156770345</v>
      </c>
      <c r="H206" s="1066"/>
      <c r="I206" s="1066">
        <f t="shared" si="87"/>
        <v>0</v>
      </c>
      <c r="J206" s="1066">
        <f t="shared" si="88"/>
        <v>0</v>
      </c>
      <c r="K206" s="1066">
        <f t="shared" si="89"/>
        <v>0</v>
      </c>
      <c r="L206" s="1066"/>
      <c r="M206" s="854">
        <v>0</v>
      </c>
      <c r="N206" s="854">
        <v>-151718610.34999999</v>
      </c>
      <c r="O206" s="854">
        <v>0</v>
      </c>
      <c r="P206" s="854">
        <v>0</v>
      </c>
      <c r="Q206" s="854">
        <v>0</v>
      </c>
      <c r="R206" s="1066"/>
      <c r="S206" s="854">
        <v>0</v>
      </c>
      <c r="T206" s="854">
        <v>-161822079.59</v>
      </c>
      <c r="U206" s="854">
        <v>0</v>
      </c>
      <c r="V206" s="854">
        <v>0</v>
      </c>
      <c r="W206" s="854">
        <v>0</v>
      </c>
    </row>
    <row r="207" spans="1:23">
      <c r="A207" s="1096">
        <f t="shared" si="70"/>
        <v>10.099999999999977</v>
      </c>
      <c r="B207" s="854" t="s">
        <v>1198</v>
      </c>
      <c r="C207" s="1071">
        <f t="shared" si="84"/>
        <v>453406608.68000001</v>
      </c>
      <c r="D207" s="1071">
        <f t="shared" si="85"/>
        <v>557108900.45000005</v>
      </c>
      <c r="E207" s="1071"/>
      <c r="F207" s="1071"/>
      <c r="G207" s="1071">
        <f t="shared" si="86"/>
        <v>505257755</v>
      </c>
      <c r="H207" s="1071"/>
      <c r="I207" s="1071">
        <f t="shared" si="87"/>
        <v>0</v>
      </c>
      <c r="J207" s="1071">
        <f t="shared" si="88"/>
        <v>0</v>
      </c>
      <c r="K207" s="1071">
        <f t="shared" si="89"/>
        <v>0</v>
      </c>
      <c r="L207" s="1071"/>
      <c r="M207" s="854">
        <v>0</v>
      </c>
      <c r="N207" s="854">
        <v>453406608.68000001</v>
      </c>
      <c r="O207" s="854">
        <v>0</v>
      </c>
      <c r="P207" s="854">
        <v>0</v>
      </c>
      <c r="Q207" s="854">
        <v>0</v>
      </c>
      <c r="R207" s="1071"/>
      <c r="S207" s="854">
        <v>0</v>
      </c>
      <c r="T207" s="854">
        <v>557108900.45000005</v>
      </c>
      <c r="U207" s="854">
        <v>0</v>
      </c>
      <c r="V207" s="854">
        <v>0</v>
      </c>
      <c r="W207" s="854">
        <v>0</v>
      </c>
    </row>
    <row r="208" spans="1:23">
      <c r="A208" s="1096">
        <f t="shared" si="70"/>
        <v>10.109999999999976</v>
      </c>
      <c r="B208" s="854" t="s">
        <v>1199</v>
      </c>
      <c r="C208" s="1066">
        <f t="shared" si="84"/>
        <v>2809546.82</v>
      </c>
      <c r="D208" s="1066">
        <f t="shared" si="85"/>
        <v>5122724.8499999996</v>
      </c>
      <c r="E208" s="1066"/>
      <c r="F208" s="1066"/>
      <c r="G208" s="1066">
        <f t="shared" si="86"/>
        <v>3966136</v>
      </c>
      <c r="H208" s="1066"/>
      <c r="I208" s="1066">
        <f t="shared" si="87"/>
        <v>0</v>
      </c>
      <c r="J208" s="1066">
        <f t="shared" si="88"/>
        <v>0</v>
      </c>
      <c r="K208" s="1066">
        <f t="shared" si="89"/>
        <v>0</v>
      </c>
      <c r="L208" s="1066"/>
      <c r="M208" s="854">
        <v>0</v>
      </c>
      <c r="N208" s="854">
        <v>2809546.82</v>
      </c>
      <c r="O208" s="854">
        <v>0</v>
      </c>
      <c r="P208" s="854">
        <v>0</v>
      </c>
      <c r="Q208" s="854">
        <v>0</v>
      </c>
      <c r="R208" s="1066"/>
      <c r="S208" s="854">
        <v>0</v>
      </c>
      <c r="T208" s="854">
        <v>5122724.8499999996</v>
      </c>
      <c r="U208" s="854">
        <v>0</v>
      </c>
      <c r="V208" s="854">
        <v>0</v>
      </c>
      <c r="W208" s="854">
        <v>0</v>
      </c>
    </row>
    <row r="209" spans="1:23">
      <c r="A209" s="1096">
        <f t="shared" si="70"/>
        <v>10.119999999999976</v>
      </c>
      <c r="B209" s="854" t="s">
        <v>1200</v>
      </c>
      <c r="C209" s="1066">
        <f t="shared" si="84"/>
        <v>5060262.16</v>
      </c>
      <c r="D209" s="1066">
        <f t="shared" si="85"/>
        <v>8282777.6699999999</v>
      </c>
      <c r="E209" s="1066"/>
      <c r="F209" s="1066"/>
      <c r="G209" s="1066">
        <f t="shared" si="86"/>
        <v>6671520</v>
      </c>
      <c r="H209" s="1066"/>
      <c r="I209" s="1066">
        <f t="shared" si="87"/>
        <v>0</v>
      </c>
      <c r="J209" s="1066">
        <f t="shared" si="88"/>
        <v>0</v>
      </c>
      <c r="K209" s="1066">
        <f t="shared" si="89"/>
        <v>0</v>
      </c>
      <c r="L209" s="1066"/>
      <c r="M209" s="854">
        <v>0</v>
      </c>
      <c r="N209" s="854">
        <v>5060262.16</v>
      </c>
      <c r="O209" s="854">
        <v>0</v>
      </c>
      <c r="P209" s="854">
        <v>0</v>
      </c>
      <c r="Q209" s="854">
        <v>0</v>
      </c>
      <c r="R209" s="1066"/>
      <c r="S209" s="854">
        <v>0</v>
      </c>
      <c r="T209" s="854">
        <v>8282777.6699999999</v>
      </c>
      <c r="U209" s="854">
        <v>0</v>
      </c>
      <c r="V209" s="854">
        <v>0</v>
      </c>
      <c r="W209" s="854">
        <v>0</v>
      </c>
    </row>
    <row r="210" spans="1:23">
      <c r="A210" s="1096">
        <f t="shared" si="70"/>
        <v>10.129999999999976</v>
      </c>
      <c r="B210" s="854" t="s">
        <v>1201</v>
      </c>
      <c r="C210" s="1066">
        <f t="shared" si="84"/>
        <v>0</v>
      </c>
      <c r="D210" s="1066">
        <f t="shared" si="85"/>
        <v>0</v>
      </c>
      <c r="E210" s="1066"/>
      <c r="F210" s="1066"/>
      <c r="G210" s="1066">
        <f t="shared" si="86"/>
        <v>0</v>
      </c>
      <c r="H210" s="1066"/>
      <c r="I210" s="1066">
        <f t="shared" si="87"/>
        <v>0</v>
      </c>
      <c r="J210" s="1066">
        <f t="shared" si="88"/>
        <v>0</v>
      </c>
      <c r="K210" s="1066">
        <f t="shared" si="89"/>
        <v>0</v>
      </c>
      <c r="L210" s="1066"/>
      <c r="M210" s="854">
        <v>0</v>
      </c>
      <c r="N210" s="854">
        <v>0</v>
      </c>
      <c r="O210" s="854">
        <v>0</v>
      </c>
      <c r="P210" s="854">
        <v>0</v>
      </c>
      <c r="Q210" s="854">
        <v>0</v>
      </c>
      <c r="R210" s="1066"/>
      <c r="S210" s="854">
        <v>0</v>
      </c>
      <c r="T210" s="854">
        <v>0</v>
      </c>
      <c r="U210" s="854">
        <v>0</v>
      </c>
      <c r="V210" s="854">
        <v>0</v>
      </c>
      <c r="W210" s="854">
        <v>0</v>
      </c>
    </row>
    <row r="211" spans="1:23">
      <c r="A211" s="1096">
        <f t="shared" si="70"/>
        <v>10.139999999999976</v>
      </c>
      <c r="B211" s="854" t="s">
        <v>1202</v>
      </c>
      <c r="C211" s="1066">
        <f t="shared" si="84"/>
        <v>3737789.5700000003</v>
      </c>
      <c r="D211" s="1066">
        <f t="shared" si="85"/>
        <v>3455605.99</v>
      </c>
      <c r="E211" s="1066"/>
      <c r="F211" s="1066"/>
      <c r="G211" s="1066">
        <f t="shared" si="86"/>
        <v>3596698</v>
      </c>
      <c r="H211" s="1066"/>
      <c r="I211" s="1066">
        <f t="shared" si="87"/>
        <v>231484.77500000002</v>
      </c>
      <c r="J211" s="1066">
        <f t="shared" si="88"/>
        <v>703742.9</v>
      </c>
      <c r="K211" s="1066">
        <f t="shared" si="89"/>
        <v>807559.69</v>
      </c>
      <c r="L211" s="1066"/>
      <c r="M211" s="854">
        <v>262811.15000000002</v>
      </c>
      <c r="N211" s="854">
        <v>1914051.16</v>
      </c>
      <c r="O211" s="854">
        <v>727052.41</v>
      </c>
      <c r="P211" s="854">
        <v>833874.85</v>
      </c>
      <c r="Q211" s="854">
        <v>0</v>
      </c>
      <c r="R211" s="1066"/>
      <c r="S211" s="854">
        <v>200158.4</v>
      </c>
      <c r="T211" s="854">
        <v>1793769.67</v>
      </c>
      <c r="U211" s="854">
        <v>680433.39</v>
      </c>
      <c r="V211" s="854">
        <v>781244.53</v>
      </c>
      <c r="W211" s="854">
        <v>0</v>
      </c>
    </row>
    <row r="212" spans="1:23">
      <c r="A212" s="1096">
        <f t="shared" si="70"/>
        <v>10.149999999999975</v>
      </c>
      <c r="B212" s="854" t="s">
        <v>1203</v>
      </c>
      <c r="C212" s="1066">
        <f t="shared" si="84"/>
        <v>173840.45</v>
      </c>
      <c r="D212" s="1066">
        <f t="shared" si="85"/>
        <v>130380.23</v>
      </c>
      <c r="E212" s="1066"/>
      <c r="F212" s="1066"/>
      <c r="G212" s="1066">
        <f t="shared" si="86"/>
        <v>152110</v>
      </c>
      <c r="H212" s="1066"/>
      <c r="I212" s="1066">
        <f t="shared" si="87"/>
        <v>152110.34</v>
      </c>
      <c r="J212" s="1066">
        <f t="shared" si="88"/>
        <v>0</v>
      </c>
      <c r="K212" s="1066">
        <f t="shared" si="89"/>
        <v>0</v>
      </c>
      <c r="L212" s="1066"/>
      <c r="M212" s="854">
        <v>173840.45</v>
      </c>
      <c r="N212" s="854">
        <v>0</v>
      </c>
      <c r="O212" s="854">
        <v>0</v>
      </c>
      <c r="P212" s="854">
        <v>0</v>
      </c>
      <c r="Q212" s="854">
        <v>0</v>
      </c>
      <c r="R212" s="1066"/>
      <c r="S212" s="854">
        <v>130380.23</v>
      </c>
      <c r="T212" s="854">
        <v>0</v>
      </c>
      <c r="U212" s="854">
        <v>0</v>
      </c>
      <c r="V212" s="854">
        <v>0</v>
      </c>
      <c r="W212" s="854">
        <v>0</v>
      </c>
    </row>
    <row r="213" spans="1:23">
      <c r="A213" s="1096">
        <f t="shared" si="70"/>
        <v>10.159999999999975</v>
      </c>
      <c r="B213" s="854" t="s">
        <v>1204</v>
      </c>
      <c r="C213" s="1066">
        <f t="shared" si="84"/>
        <v>0</v>
      </c>
      <c r="D213" s="1066">
        <f t="shared" si="85"/>
        <v>0</v>
      </c>
      <c r="E213" s="1066"/>
      <c r="F213" s="1066"/>
      <c r="G213" s="1066">
        <f t="shared" si="86"/>
        <v>0</v>
      </c>
      <c r="H213" s="1066"/>
      <c r="I213" s="1066">
        <f t="shared" si="87"/>
        <v>0</v>
      </c>
      <c r="J213" s="1066">
        <f t="shared" si="88"/>
        <v>0</v>
      </c>
      <c r="K213" s="1066">
        <f t="shared" si="89"/>
        <v>0</v>
      </c>
      <c r="L213" s="1066"/>
      <c r="M213" s="854">
        <v>0</v>
      </c>
      <c r="N213" s="854">
        <v>0</v>
      </c>
      <c r="O213" s="854">
        <v>0</v>
      </c>
      <c r="P213" s="854">
        <v>0</v>
      </c>
      <c r="Q213" s="854">
        <v>0</v>
      </c>
      <c r="R213" s="1066"/>
      <c r="S213" s="854">
        <v>0</v>
      </c>
      <c r="T213" s="854">
        <v>0</v>
      </c>
      <c r="U213" s="854">
        <v>0</v>
      </c>
      <c r="V213" s="854">
        <v>0</v>
      </c>
      <c r="W213" s="854">
        <v>0</v>
      </c>
    </row>
    <row r="214" spans="1:23">
      <c r="A214" s="1096">
        <f t="shared" si="70"/>
        <v>10.169999999999975</v>
      </c>
      <c r="B214" s="854" t="s">
        <v>1205</v>
      </c>
      <c r="C214" s="1066">
        <f t="shared" si="84"/>
        <v>0</v>
      </c>
      <c r="D214" s="1066">
        <f t="shared" si="85"/>
        <v>0</v>
      </c>
      <c r="E214" s="1066"/>
      <c r="F214" s="1066"/>
      <c r="G214" s="1066">
        <f t="shared" si="86"/>
        <v>0</v>
      </c>
      <c r="H214" s="1066"/>
      <c r="I214" s="1066">
        <f t="shared" si="87"/>
        <v>0</v>
      </c>
      <c r="J214" s="1066">
        <f>(O214+U214)/2</f>
        <v>0</v>
      </c>
      <c r="K214" s="1066">
        <f>(P214+V214)/2</f>
        <v>0</v>
      </c>
      <c r="L214" s="1066"/>
      <c r="M214" s="854">
        <v>0</v>
      </c>
      <c r="N214" s="854">
        <v>0</v>
      </c>
      <c r="O214" s="854">
        <v>0</v>
      </c>
      <c r="P214" s="854">
        <v>0</v>
      </c>
      <c r="Q214" s="854">
        <v>0</v>
      </c>
      <c r="R214" s="1066"/>
      <c r="S214" s="854">
        <v>0</v>
      </c>
      <c r="T214" s="854">
        <v>0</v>
      </c>
      <c r="U214" s="854">
        <v>0</v>
      </c>
      <c r="V214" s="854">
        <v>0</v>
      </c>
      <c r="W214" s="854">
        <v>0</v>
      </c>
    </row>
    <row r="215" spans="1:23">
      <c r="A215" s="1096">
        <f t="shared" si="70"/>
        <v>10.179999999999975</v>
      </c>
      <c r="B215" s="854" t="s">
        <v>1206</v>
      </c>
      <c r="C215" s="1066">
        <f t="shared" ref="C215:C222" si="90">SUM(M215:P215)</f>
        <v>0.01</v>
      </c>
      <c r="D215" s="1066">
        <f t="shared" ref="D215:D222" si="91">SUM(S215:V215)</f>
        <v>0.01</v>
      </c>
      <c r="E215" s="1066"/>
      <c r="F215" s="1066"/>
      <c r="G215" s="1066">
        <f t="shared" ref="G215:G227" si="92">ROUND(SUM(C215:F215)/2,0)</f>
        <v>0</v>
      </c>
      <c r="H215" s="1066"/>
      <c r="I215" s="1066">
        <f t="shared" ref="I215:I222" si="93">(M215+S215)/2</f>
        <v>0</v>
      </c>
      <c r="J215" s="1066">
        <f t="shared" ref="J215:J222" si="94">(O215+U215)/2</f>
        <v>0.01</v>
      </c>
      <c r="K215" s="1066">
        <f t="shared" ref="K215:K222" si="95">(P215+V215)/2</f>
        <v>0</v>
      </c>
      <c r="L215" s="1066"/>
      <c r="M215" s="854">
        <v>0</v>
      </c>
      <c r="N215" s="854">
        <v>0</v>
      </c>
      <c r="O215" s="854">
        <v>0.01</v>
      </c>
      <c r="P215" s="854">
        <v>0</v>
      </c>
      <c r="Q215" s="854">
        <v>0</v>
      </c>
      <c r="R215" s="1066"/>
      <c r="S215" s="854">
        <v>0</v>
      </c>
      <c r="T215" s="854">
        <v>0</v>
      </c>
      <c r="U215" s="854">
        <v>0.01</v>
      </c>
      <c r="V215" s="854">
        <v>0</v>
      </c>
      <c r="W215" s="854">
        <v>0</v>
      </c>
    </row>
    <row r="216" spans="1:23">
      <c r="A216" s="1096">
        <f t="shared" si="70"/>
        <v>10.189999999999975</v>
      </c>
      <c r="B216" s="854" t="s">
        <v>1207</v>
      </c>
      <c r="C216" s="1066">
        <f t="shared" si="90"/>
        <v>-6319291.8399999999</v>
      </c>
      <c r="D216" s="1066">
        <f t="shared" si="91"/>
        <v>-6319291.8399999999</v>
      </c>
      <c r="E216" s="1066"/>
      <c r="F216" s="1066"/>
      <c r="G216" s="1066">
        <f t="shared" si="92"/>
        <v>-6319292</v>
      </c>
      <c r="H216" s="1066"/>
      <c r="I216" s="1066">
        <f t="shared" si="93"/>
        <v>-1311992.6399999999</v>
      </c>
      <c r="J216" s="1066">
        <f t="shared" si="94"/>
        <v>-313837.02</v>
      </c>
      <c r="K216" s="1066">
        <f t="shared" si="95"/>
        <v>-1870793.17</v>
      </c>
      <c r="L216" s="1066"/>
      <c r="M216" s="854">
        <v>-1311992.6399999999</v>
      </c>
      <c r="N216" s="854">
        <v>-2822669.01</v>
      </c>
      <c r="O216" s="854">
        <v>-313837.02</v>
      </c>
      <c r="P216" s="854">
        <v>-1870793.17</v>
      </c>
      <c r="Q216" s="854">
        <v>0</v>
      </c>
      <c r="R216" s="1066"/>
      <c r="S216" s="854">
        <v>-1311992.6399999999</v>
      </c>
      <c r="T216" s="854">
        <v>-2822669.01</v>
      </c>
      <c r="U216" s="854">
        <v>-313837.02</v>
      </c>
      <c r="V216" s="854">
        <v>-1870793.17</v>
      </c>
      <c r="W216" s="854">
        <v>0</v>
      </c>
    </row>
    <row r="217" spans="1:23">
      <c r="A217" s="1096">
        <f t="shared" si="70"/>
        <v>10.199999999999974</v>
      </c>
      <c r="B217" s="854" t="s">
        <v>1208</v>
      </c>
      <c r="C217" s="1066">
        <f t="shared" si="90"/>
        <v>1285369.78</v>
      </c>
      <c r="D217" s="1066">
        <f t="shared" si="91"/>
        <v>1071141.54</v>
      </c>
      <c r="E217" s="1066"/>
      <c r="F217" s="1066"/>
      <c r="G217" s="1066">
        <f t="shared" si="92"/>
        <v>1178256</v>
      </c>
      <c r="H217" s="1066"/>
      <c r="I217" s="1066">
        <f t="shared" si="93"/>
        <v>237101.53999999998</v>
      </c>
      <c r="J217" s="1066">
        <f t="shared" si="94"/>
        <v>81593.095000000001</v>
      </c>
      <c r="K217" s="1066">
        <f t="shared" si="95"/>
        <v>436527.97</v>
      </c>
      <c r="L217" s="1066"/>
      <c r="M217" s="854">
        <v>258656.22</v>
      </c>
      <c r="N217" s="854">
        <v>461490.61</v>
      </c>
      <c r="O217" s="854">
        <v>89010.61</v>
      </c>
      <c r="P217" s="854">
        <v>476212.34</v>
      </c>
      <c r="Q217" s="854">
        <v>0</v>
      </c>
      <c r="R217" s="1066"/>
      <c r="S217" s="854">
        <v>215546.86</v>
      </c>
      <c r="T217" s="854">
        <v>384575.5</v>
      </c>
      <c r="U217" s="854">
        <v>74175.58</v>
      </c>
      <c r="V217" s="854">
        <v>396843.6</v>
      </c>
      <c r="W217" s="854">
        <v>0</v>
      </c>
    </row>
    <row r="218" spans="1:23">
      <c r="A218" s="1096">
        <f t="shared" si="70"/>
        <v>10.209999999999974</v>
      </c>
      <c r="B218" s="854" t="s">
        <v>1209</v>
      </c>
      <c r="C218" s="1066">
        <f t="shared" si="90"/>
        <v>0</v>
      </c>
      <c r="D218" s="1066">
        <f t="shared" si="91"/>
        <v>0</v>
      </c>
      <c r="E218" s="1066"/>
      <c r="F218" s="1066"/>
      <c r="G218" s="1066">
        <f t="shared" si="92"/>
        <v>0</v>
      </c>
      <c r="H218" s="1066"/>
      <c r="I218" s="1066">
        <f t="shared" si="93"/>
        <v>0</v>
      </c>
      <c r="J218" s="1066">
        <f t="shared" si="94"/>
        <v>0</v>
      </c>
      <c r="K218" s="1066">
        <f t="shared" si="95"/>
        <v>0</v>
      </c>
      <c r="L218" s="1066"/>
      <c r="M218" s="854">
        <v>0</v>
      </c>
      <c r="N218" s="854">
        <v>0</v>
      </c>
      <c r="O218" s="854">
        <v>0</v>
      </c>
      <c r="P218" s="854">
        <v>0</v>
      </c>
      <c r="Q218" s="854">
        <v>0</v>
      </c>
      <c r="R218" s="1066"/>
      <c r="S218" s="854">
        <v>0</v>
      </c>
      <c r="T218" s="854">
        <v>0</v>
      </c>
      <c r="U218" s="854">
        <v>0</v>
      </c>
      <c r="V218" s="854">
        <v>0</v>
      </c>
      <c r="W218" s="854">
        <v>0</v>
      </c>
    </row>
    <row r="219" spans="1:23">
      <c r="A219" s="1096">
        <f t="shared" si="70"/>
        <v>10.219999999999974</v>
      </c>
      <c r="B219" s="854" t="s">
        <v>1210</v>
      </c>
      <c r="C219" s="1066">
        <f t="shared" si="90"/>
        <v>0</v>
      </c>
      <c r="D219" s="1066">
        <f t="shared" si="91"/>
        <v>0</v>
      </c>
      <c r="E219" s="1066"/>
      <c r="F219" s="1066"/>
      <c r="G219" s="1066">
        <f t="shared" si="92"/>
        <v>0</v>
      </c>
      <c r="H219" s="1066"/>
      <c r="I219" s="1066">
        <f t="shared" si="93"/>
        <v>0</v>
      </c>
      <c r="J219" s="1066">
        <f t="shared" si="94"/>
        <v>0</v>
      </c>
      <c r="K219" s="1066">
        <f t="shared" si="95"/>
        <v>0</v>
      </c>
      <c r="L219" s="1066"/>
      <c r="M219" s="854">
        <v>0</v>
      </c>
      <c r="N219" s="854">
        <v>0</v>
      </c>
      <c r="O219" s="854">
        <v>0</v>
      </c>
      <c r="P219" s="854">
        <v>0</v>
      </c>
      <c r="Q219" s="854">
        <v>0</v>
      </c>
      <c r="R219" s="1066"/>
      <c r="S219" s="854">
        <v>0</v>
      </c>
      <c r="T219" s="854">
        <v>0</v>
      </c>
      <c r="U219" s="854">
        <v>0</v>
      </c>
      <c r="V219" s="854">
        <v>0</v>
      </c>
      <c r="W219" s="854">
        <v>0</v>
      </c>
    </row>
    <row r="220" spans="1:23">
      <c r="A220" s="1096">
        <f t="shared" si="70"/>
        <v>10.229999999999974</v>
      </c>
      <c r="B220" s="854" t="s">
        <v>1211</v>
      </c>
      <c r="C220" s="1066">
        <f t="shared" si="90"/>
        <v>851695.55</v>
      </c>
      <c r="D220" s="1066">
        <f t="shared" si="91"/>
        <v>871523.54</v>
      </c>
      <c r="E220" s="1066"/>
      <c r="F220" s="1066"/>
      <c r="G220" s="1066">
        <f t="shared" si="92"/>
        <v>861610</v>
      </c>
      <c r="H220" s="1066"/>
      <c r="I220" s="1066">
        <f t="shared" si="93"/>
        <v>162321.98000000001</v>
      </c>
      <c r="J220" s="1066">
        <f t="shared" si="94"/>
        <v>71195.91</v>
      </c>
      <c r="K220" s="1066">
        <f t="shared" si="95"/>
        <v>176511.45499999999</v>
      </c>
      <c r="L220" s="1066"/>
      <c r="M220" s="854">
        <v>201741.29</v>
      </c>
      <c r="N220" s="854">
        <v>361128.37</v>
      </c>
      <c r="O220" s="854">
        <v>77138.28</v>
      </c>
      <c r="P220" s="854">
        <v>211687.61</v>
      </c>
      <c r="Q220" s="854">
        <v>0</v>
      </c>
      <c r="R220" s="1066"/>
      <c r="S220" s="854">
        <v>122902.67</v>
      </c>
      <c r="T220" s="854">
        <v>542032.03</v>
      </c>
      <c r="U220" s="854">
        <v>65253.54</v>
      </c>
      <c r="V220" s="854">
        <v>141335.29999999999</v>
      </c>
      <c r="W220" s="854">
        <v>0</v>
      </c>
    </row>
    <row r="221" spans="1:23">
      <c r="A221" s="1096">
        <f t="shared" si="70"/>
        <v>10.239999999999974</v>
      </c>
      <c r="B221" s="854" t="s">
        <v>1212</v>
      </c>
      <c r="C221" s="1066">
        <f t="shared" si="90"/>
        <v>106530.48</v>
      </c>
      <c r="D221" s="1066">
        <f t="shared" si="91"/>
        <v>106530.48</v>
      </c>
      <c r="E221" s="1066"/>
      <c r="F221" s="1066"/>
      <c r="G221" s="1066">
        <f t="shared" si="92"/>
        <v>106530</v>
      </c>
      <c r="H221" s="1066"/>
      <c r="I221" s="1066">
        <f t="shared" si="93"/>
        <v>106530.48</v>
      </c>
      <c r="J221" s="1066">
        <f t="shared" si="94"/>
        <v>0</v>
      </c>
      <c r="K221" s="1066">
        <f t="shared" si="95"/>
        <v>0</v>
      </c>
      <c r="L221" s="1066"/>
      <c r="M221" s="854">
        <v>106530.48</v>
      </c>
      <c r="N221" s="854">
        <v>0</v>
      </c>
      <c r="O221" s="854">
        <v>0</v>
      </c>
      <c r="P221" s="854">
        <v>0</v>
      </c>
      <c r="Q221" s="854">
        <v>0</v>
      </c>
      <c r="R221" s="1066"/>
      <c r="S221" s="854">
        <v>106530.48</v>
      </c>
      <c r="T221" s="854">
        <v>0</v>
      </c>
      <c r="U221" s="854">
        <v>0</v>
      </c>
      <c r="V221" s="854">
        <v>0</v>
      </c>
      <c r="W221" s="854">
        <v>0</v>
      </c>
    </row>
    <row r="222" spans="1:23">
      <c r="A222" s="1096">
        <f t="shared" si="70"/>
        <v>10.249999999999973</v>
      </c>
      <c r="B222" s="854" t="s">
        <v>1087</v>
      </c>
      <c r="C222" s="1066">
        <f t="shared" si="90"/>
        <v>1876626.5699999996</v>
      </c>
      <c r="D222" s="1066">
        <f t="shared" si="91"/>
        <v>-1988061.0799999996</v>
      </c>
      <c r="E222" s="1066"/>
      <c r="F222" s="1066"/>
      <c r="G222" s="1066">
        <f t="shared" si="92"/>
        <v>-55717</v>
      </c>
      <c r="H222" s="1066"/>
      <c r="I222" s="1066">
        <f t="shared" si="93"/>
        <v>5990927.5950000007</v>
      </c>
      <c r="J222" s="1066">
        <f t="shared" si="94"/>
        <v>-4033404.16</v>
      </c>
      <c r="K222" s="1066">
        <f t="shared" si="95"/>
        <v>-1041611.2300000001</v>
      </c>
      <c r="L222" s="1066"/>
      <c r="M222" s="854">
        <v>6424648.79</v>
      </c>
      <c r="N222" s="854">
        <v>787538.12999999989</v>
      </c>
      <c r="O222" s="854">
        <v>-4687795.99</v>
      </c>
      <c r="P222" s="854">
        <v>-647764.3600000001</v>
      </c>
      <c r="Q222" s="854">
        <v>0</v>
      </c>
      <c r="R222" s="1066"/>
      <c r="S222" s="854">
        <v>5557206.4000000004</v>
      </c>
      <c r="T222" s="854">
        <v>-2730797.05</v>
      </c>
      <c r="U222" s="854">
        <v>-3379012.33</v>
      </c>
      <c r="V222" s="854">
        <v>-1435458.1</v>
      </c>
      <c r="W222" s="854">
        <v>0</v>
      </c>
    </row>
    <row r="223" spans="1:23">
      <c r="A223" s="1096">
        <f t="shared" si="70"/>
        <v>10.259999999999973</v>
      </c>
      <c r="B223" s="854" t="s">
        <v>1030</v>
      </c>
      <c r="C223" s="854">
        <f>-E223</f>
        <v>1066093</v>
      </c>
      <c r="D223" s="854">
        <f>-F223</f>
        <v>1066093</v>
      </c>
      <c r="E223" s="1066">
        <v>-1066093</v>
      </c>
      <c r="F223" s="1066">
        <v>-1066093</v>
      </c>
      <c r="G223" s="1066">
        <f t="shared" si="92"/>
        <v>0</v>
      </c>
      <c r="H223" s="1066"/>
      <c r="I223" s="1066"/>
      <c r="J223" s="1066"/>
      <c r="K223" s="1066"/>
      <c r="L223" s="1066"/>
      <c r="M223" s="1066"/>
      <c r="N223" s="1066"/>
      <c r="O223" s="1066"/>
      <c r="P223" s="1066"/>
      <c r="Q223" s="1066"/>
      <c r="R223" s="1066"/>
      <c r="S223" s="1066"/>
      <c r="T223" s="1066"/>
      <c r="U223" s="1066"/>
      <c r="V223" s="1066"/>
      <c r="W223" s="1066"/>
    </row>
    <row r="224" spans="1:23">
      <c r="A224" s="1096">
        <f t="shared" si="70"/>
        <v>10.269999999999973</v>
      </c>
      <c r="B224" s="854" t="s">
        <v>1213</v>
      </c>
      <c r="C224" s="854">
        <f t="shared" ref="C224:C227" si="96">-E224</f>
        <v>60748011</v>
      </c>
      <c r="D224" s="854">
        <f t="shared" ref="D224:D227" si="97">-F224</f>
        <v>60748011</v>
      </c>
      <c r="E224" s="1066">
        <v>-60748011</v>
      </c>
      <c r="F224" s="1066">
        <v>-60748011</v>
      </c>
      <c r="G224" s="1066">
        <f t="shared" si="92"/>
        <v>0</v>
      </c>
      <c r="H224" s="1066"/>
      <c r="I224" s="1066"/>
      <c r="J224" s="1066"/>
      <c r="K224" s="1066"/>
      <c r="L224" s="1066"/>
      <c r="M224" s="1066"/>
      <c r="N224" s="1066"/>
      <c r="O224" s="1066"/>
      <c r="P224" s="1066"/>
      <c r="Q224" s="1066"/>
      <c r="R224" s="1066"/>
      <c r="S224" s="1066"/>
      <c r="T224" s="1066"/>
      <c r="U224" s="1066"/>
      <c r="V224" s="1066"/>
      <c r="W224" s="1066"/>
    </row>
    <row r="225" spans="1:23">
      <c r="A225" s="1096">
        <f t="shared" si="70"/>
        <v>10.279999999999973</v>
      </c>
      <c r="B225" s="854" t="s">
        <v>1214</v>
      </c>
      <c r="C225" s="854">
        <f t="shared" si="96"/>
        <v>-46082952</v>
      </c>
      <c r="D225" s="854">
        <f t="shared" si="97"/>
        <v>-46082952</v>
      </c>
      <c r="E225" s="1066">
        <v>46082952</v>
      </c>
      <c r="F225" s="1066">
        <v>46082952</v>
      </c>
      <c r="G225" s="1066">
        <f t="shared" si="92"/>
        <v>0</v>
      </c>
      <c r="H225" s="1066"/>
      <c r="I225" s="1066"/>
      <c r="J225" s="1066"/>
      <c r="K225" s="1066"/>
      <c r="L225" s="1066"/>
      <c r="M225" s="1066"/>
      <c r="N225" s="1066"/>
      <c r="O225" s="1066"/>
      <c r="P225" s="1066"/>
      <c r="Q225" s="1066"/>
      <c r="R225" s="1066"/>
      <c r="S225" s="1066"/>
      <c r="T225" s="1066"/>
      <c r="U225" s="1066"/>
      <c r="V225" s="1066"/>
      <c r="W225" s="1066"/>
    </row>
    <row r="226" spans="1:23">
      <c r="A226" s="1096">
        <f t="shared" si="70"/>
        <v>10.289999999999973</v>
      </c>
      <c r="B226" s="854" t="s">
        <v>1215</v>
      </c>
      <c r="C226" s="854">
        <f t="shared" si="96"/>
        <v>0</v>
      </c>
      <c r="D226" s="854">
        <f t="shared" si="97"/>
        <v>0</v>
      </c>
      <c r="E226" s="1066">
        <v>0</v>
      </c>
      <c r="F226" s="1066">
        <v>0</v>
      </c>
      <c r="G226" s="1066">
        <f t="shared" si="92"/>
        <v>0</v>
      </c>
      <c r="H226" s="1066"/>
      <c r="I226" s="1066"/>
      <c r="J226" s="1066"/>
      <c r="K226" s="1066"/>
      <c r="L226" s="1066"/>
      <c r="M226" s="1066"/>
      <c r="N226" s="1066"/>
      <c r="O226" s="1066"/>
      <c r="P226" s="1066"/>
      <c r="Q226" s="1066"/>
      <c r="R226" s="1066"/>
      <c r="S226" s="1066"/>
      <c r="T226" s="1066"/>
      <c r="U226" s="1066"/>
      <c r="V226" s="1066"/>
      <c r="W226" s="1066"/>
    </row>
    <row r="227" spans="1:23">
      <c r="A227" s="1096">
        <f t="shared" si="70"/>
        <v>10.299999999999972</v>
      </c>
      <c r="B227" s="854" t="s">
        <v>1216</v>
      </c>
      <c r="C227" s="854">
        <f t="shared" si="96"/>
        <v>0</v>
      </c>
      <c r="D227" s="854">
        <f t="shared" si="97"/>
        <v>0</v>
      </c>
      <c r="E227" s="1066">
        <v>0</v>
      </c>
      <c r="F227" s="1066">
        <v>0</v>
      </c>
      <c r="G227" s="1066">
        <f t="shared" si="92"/>
        <v>0</v>
      </c>
      <c r="H227" s="1066"/>
      <c r="I227" s="1066"/>
      <c r="J227" s="1066"/>
      <c r="K227" s="1066"/>
      <c r="L227" s="1066"/>
      <c r="M227" s="1066"/>
      <c r="N227" s="1066"/>
      <c r="O227" s="1066"/>
      <c r="P227" s="1066"/>
      <c r="Q227" s="1066"/>
      <c r="R227" s="1066"/>
      <c r="S227" s="1066"/>
      <c r="T227" s="1066"/>
      <c r="U227" s="1066"/>
      <c r="V227" s="1066"/>
      <c r="W227" s="1066"/>
    </row>
    <row r="228" spans="1:23">
      <c r="A228" s="1077"/>
      <c r="B228" s="1057"/>
      <c r="C228" s="1066"/>
      <c r="D228" s="1066"/>
      <c r="E228" s="1066"/>
      <c r="F228" s="1066"/>
      <c r="G228" s="1066"/>
      <c r="H228" s="1066"/>
      <c r="I228" s="1066"/>
      <c r="J228" s="1066"/>
      <c r="K228" s="1066"/>
      <c r="L228" s="1066"/>
      <c r="M228" s="1066"/>
      <c r="N228" s="1066"/>
      <c r="O228" s="1066"/>
      <c r="P228" s="1066"/>
      <c r="Q228" s="1066"/>
      <c r="R228" s="1066"/>
      <c r="S228" s="1066"/>
      <c r="T228" s="1066"/>
      <c r="U228" s="1066"/>
      <c r="V228" s="1066"/>
      <c r="W228" s="1066"/>
    </row>
    <row r="229" spans="1:23">
      <c r="A229" s="1077"/>
      <c r="B229" s="1057"/>
      <c r="C229" s="1066"/>
      <c r="D229" s="1066"/>
      <c r="E229" s="1066"/>
      <c r="F229" s="1066"/>
      <c r="G229" s="1066"/>
      <c r="H229" s="1066"/>
      <c r="I229" s="1066"/>
      <c r="J229" s="1066"/>
      <c r="K229" s="1066"/>
      <c r="L229" s="1066"/>
      <c r="M229" s="1066"/>
      <c r="N229" s="1066"/>
      <c r="O229" s="1066"/>
      <c r="P229" s="1066"/>
      <c r="Q229" s="1066"/>
      <c r="R229" s="1066"/>
      <c r="S229" s="1066"/>
      <c r="T229" s="1066"/>
      <c r="U229" s="1066"/>
      <c r="V229" s="1066"/>
      <c r="W229" s="1066"/>
    </row>
    <row r="230" spans="1:23" ht="13" thickBot="1">
      <c r="A230" s="1077">
        <v>10</v>
      </c>
      <c r="B230" s="1058"/>
      <c r="C230" s="1069">
        <f>SUM(C98:C229)</f>
        <v>543889354.62</v>
      </c>
      <c r="D230" s="1069">
        <f>SUM(D98:D229)</f>
        <v>604693840.04999995</v>
      </c>
      <c r="E230" s="1069">
        <f>SUM(E98:E229)</f>
        <v>-15731152</v>
      </c>
      <c r="F230" s="1069">
        <f>SUM(F98:F229)</f>
        <v>-15731152</v>
      </c>
      <c r="G230" s="1069">
        <f>SUM(G98:G229)</f>
        <v>558560449</v>
      </c>
      <c r="H230" s="1073"/>
      <c r="I230" s="1069">
        <f>SUM(I98:I229)</f>
        <v>17303431.365000002</v>
      </c>
      <c r="J230" s="1069">
        <f>SUM(J98:J229)</f>
        <v>1084954.4999999991</v>
      </c>
      <c r="K230" s="1069">
        <f>SUM(K98:K229)</f>
        <v>16044418.960000001</v>
      </c>
      <c r="L230" s="1073"/>
      <c r="M230" s="1069">
        <f>SUM(M98:M229)</f>
        <v>21545888.580000002</v>
      </c>
      <c r="N230" s="1069">
        <f>SUM(N98:N229)</f>
        <v>489034816.56000006</v>
      </c>
      <c r="O230" s="1069">
        <f>SUM(O98:O229)</f>
        <v>524553.01999999955</v>
      </c>
      <c r="P230" s="1069">
        <f>SUM(P98:P229)</f>
        <v>17052944.459999997</v>
      </c>
      <c r="Q230" s="1069">
        <f>SUM(Q98:Q229)</f>
        <v>0</v>
      </c>
      <c r="R230" s="1073"/>
      <c r="S230" s="1069">
        <f>SUM(S98:S229)</f>
        <v>13060974.150000002</v>
      </c>
      <c r="T230" s="1069">
        <f>SUM(T98:T229)</f>
        <v>559220464.46000004</v>
      </c>
      <c r="U230" s="1069">
        <f>SUM(U98:U229)</f>
        <v>1645355.9799999995</v>
      </c>
      <c r="V230" s="1069">
        <f>SUM(V98:V229)</f>
        <v>15035893.459999999</v>
      </c>
      <c r="W230" s="1069">
        <f>SUM(W98:W229)</f>
        <v>0</v>
      </c>
    </row>
    <row r="231" spans="1:23" ht="13" thickTop="1">
      <c r="A231" s="1077"/>
      <c r="B231" s="1057"/>
      <c r="C231" s="1070"/>
      <c r="D231" s="1070"/>
      <c r="E231" s="1070"/>
      <c r="F231" s="1070"/>
      <c r="G231" s="1070"/>
      <c r="H231" s="1066"/>
      <c r="I231" s="1070"/>
      <c r="J231" s="1070"/>
      <c r="K231" s="1070"/>
      <c r="L231" s="1066"/>
      <c r="M231" s="1070"/>
      <c r="N231" s="1070"/>
      <c r="O231" s="1070"/>
      <c r="P231" s="1070"/>
      <c r="Q231" s="1070"/>
      <c r="R231" s="1066"/>
      <c r="S231" s="1070"/>
      <c r="T231" s="1070"/>
      <c r="U231" s="1070"/>
      <c r="V231" s="1070"/>
      <c r="W231" s="1070"/>
    </row>
    <row r="232" spans="1:23">
      <c r="A232" s="1077"/>
      <c r="B232" s="1057"/>
      <c r="C232" s="1066"/>
      <c r="D232" s="1066"/>
      <c r="E232" s="1066"/>
      <c r="F232" s="1066"/>
      <c r="G232" s="1066"/>
      <c r="H232" s="1066"/>
      <c r="I232" s="1066"/>
      <c r="J232" s="1066"/>
      <c r="K232" s="1066"/>
      <c r="L232" s="1066"/>
      <c r="M232" s="1066"/>
      <c r="N232" s="1066"/>
      <c r="O232" s="1066"/>
      <c r="P232" s="1066"/>
      <c r="Q232" s="1066"/>
      <c r="R232" s="1066"/>
      <c r="S232" s="1066"/>
      <c r="T232" s="1066"/>
      <c r="U232" s="1066"/>
      <c r="V232" s="1066"/>
      <c r="W232" s="1066"/>
    </row>
    <row r="233" spans="1:23">
      <c r="A233" s="1077">
        <f>+A230+1</f>
        <v>11</v>
      </c>
      <c r="B233" s="247" t="s">
        <v>735</v>
      </c>
      <c r="C233" s="1066">
        <f>SUM(M233:P233)</f>
        <v>0</v>
      </c>
      <c r="D233" s="1066">
        <f>SUM(S233:V233)</f>
        <v>0</v>
      </c>
      <c r="E233" s="1066"/>
      <c r="F233" s="1066"/>
      <c r="G233" s="1066">
        <f>ROUND(SUM(C233:F233)/2,0)</f>
        <v>0</v>
      </c>
      <c r="H233" s="1066"/>
      <c r="I233" s="1066">
        <f>(M233+S233)/2</f>
        <v>0</v>
      </c>
      <c r="J233" s="1066">
        <f>(O233+U233)/2</f>
        <v>0</v>
      </c>
      <c r="K233" s="1066">
        <f>(P233+V233)/2</f>
        <v>0</v>
      </c>
      <c r="L233" s="1066"/>
      <c r="M233" s="854"/>
      <c r="N233" s="854"/>
      <c r="O233" s="854"/>
      <c r="P233" s="854"/>
      <c r="Q233" s="854"/>
      <c r="R233" s="1066"/>
      <c r="S233" s="854"/>
      <c r="T233" s="854"/>
      <c r="U233" s="854"/>
      <c r="V233" s="854"/>
      <c r="W233" s="854"/>
    </row>
    <row r="234" spans="1:23">
      <c r="A234" s="1096">
        <f>A233+0.01</f>
        <v>11.01</v>
      </c>
      <c r="B234" s="854" t="s">
        <v>1217</v>
      </c>
      <c r="C234" s="854">
        <f>-E234</f>
        <v>184508898</v>
      </c>
      <c r="D234" s="854">
        <f>-F234</f>
        <v>184508898</v>
      </c>
      <c r="E234" s="1066">
        <v>-184508898</v>
      </c>
      <c r="F234" s="1066">
        <v>-184508898</v>
      </c>
      <c r="G234" s="1066">
        <f>ROUND(SUM(C234:F234)/2,0)</f>
        <v>0</v>
      </c>
      <c r="H234" s="1066"/>
      <c r="I234" s="1066"/>
      <c r="J234" s="1066"/>
      <c r="K234" s="1066"/>
      <c r="L234" s="1066"/>
      <c r="M234" s="1066"/>
      <c r="N234" s="1066"/>
      <c r="O234" s="1066"/>
      <c r="P234" s="1066"/>
      <c r="Q234" s="1066"/>
      <c r="R234" s="1066"/>
      <c r="S234" s="1066"/>
      <c r="T234" s="1066"/>
      <c r="U234" s="1066"/>
      <c r="V234" s="1066"/>
      <c r="W234" s="1066"/>
    </row>
    <row r="235" spans="1:23">
      <c r="A235" s="1077"/>
      <c r="B235" s="1057"/>
      <c r="C235" s="1066"/>
      <c r="D235" s="1066"/>
      <c r="E235" s="1066"/>
      <c r="F235" s="1066"/>
      <c r="G235" s="1066"/>
      <c r="H235" s="1066"/>
      <c r="I235" s="1066"/>
      <c r="J235" s="1066"/>
      <c r="K235" s="1066"/>
      <c r="L235" s="1066"/>
      <c r="M235" s="1066"/>
      <c r="N235" s="1066"/>
      <c r="O235" s="1066"/>
      <c r="P235" s="1066"/>
      <c r="Q235" s="1066"/>
      <c r="R235" s="1066"/>
      <c r="S235" s="1066"/>
      <c r="T235" s="1066"/>
      <c r="U235" s="1066"/>
      <c r="V235" s="1066"/>
      <c r="W235" s="1066"/>
    </row>
    <row r="236" spans="1:23" ht="13" thickBot="1">
      <c r="A236" s="1077">
        <f>+A233+1</f>
        <v>12</v>
      </c>
      <c r="B236" s="975" t="s">
        <v>736</v>
      </c>
      <c r="C236" s="1069">
        <f>SUM(C230:C235)</f>
        <v>728398252.62</v>
      </c>
      <c r="D236" s="1069">
        <f>SUM(D230:D235)</f>
        <v>789202738.04999995</v>
      </c>
      <c r="E236" s="1069">
        <f>SUM(E230:E235)</f>
        <v>-200240050</v>
      </c>
      <c r="F236" s="1069">
        <f>SUM(F230:F235)</f>
        <v>-200240050</v>
      </c>
      <c r="G236" s="1069">
        <f>SUM(G230:G235)</f>
        <v>558560449</v>
      </c>
      <c r="H236" s="1066"/>
      <c r="I236" s="1069">
        <f>SUM(I230:I235)</f>
        <v>17303431.365000002</v>
      </c>
      <c r="J236" s="1069">
        <f>SUM(J230:J235)</f>
        <v>1084954.4999999991</v>
      </c>
      <c r="K236" s="1069">
        <f>SUM(K230:K235)</f>
        <v>16044418.960000001</v>
      </c>
      <c r="L236" s="1066"/>
      <c r="M236" s="1074">
        <f>SUM(M230:M235)</f>
        <v>21545888.580000002</v>
      </c>
      <c r="N236" s="1074">
        <f t="shared" ref="N236:Q236" si="98">SUM(N230:N235)</f>
        <v>489034816.56000006</v>
      </c>
      <c r="O236" s="1074">
        <f t="shared" si="98"/>
        <v>524553.01999999955</v>
      </c>
      <c r="P236" s="1074">
        <f t="shared" si="98"/>
        <v>17052944.459999997</v>
      </c>
      <c r="Q236" s="1074">
        <f t="shared" si="98"/>
        <v>0</v>
      </c>
      <c r="R236" s="1066"/>
      <c r="S236" s="1069">
        <f>SUM(S230:S235)</f>
        <v>13060974.150000002</v>
      </c>
      <c r="T236" s="1069">
        <f t="shared" ref="T236:W236" si="99">SUM(T230:T235)</f>
        <v>559220464.46000004</v>
      </c>
      <c r="U236" s="1069">
        <f t="shared" si="99"/>
        <v>1645355.9799999995</v>
      </c>
      <c r="V236" s="1069">
        <f t="shared" si="99"/>
        <v>15035893.459999999</v>
      </c>
      <c r="W236" s="1069">
        <f t="shared" si="99"/>
        <v>0</v>
      </c>
    </row>
    <row r="237" spans="1:23" ht="13" thickTop="1">
      <c r="A237" s="1077">
        <f>A236+1</f>
        <v>13</v>
      </c>
      <c r="B237" s="1136" t="s">
        <v>747</v>
      </c>
      <c r="C237" s="1070">
        <f>C120+C174+C207</f>
        <v>447748773.80000001</v>
      </c>
      <c r="D237" s="1070">
        <f>D120+D174+D207</f>
        <v>551427583.71000004</v>
      </c>
      <c r="E237" s="1070">
        <f>E120+E174+E207</f>
        <v>0</v>
      </c>
      <c r="F237" s="1070">
        <f>F120+F174+F207</f>
        <v>0</v>
      </c>
      <c r="G237" s="1070">
        <f>G120+G174+G207</f>
        <v>499588179</v>
      </c>
      <c r="H237" s="1066"/>
      <c r="I237" s="1070">
        <f>I120+I174+I207</f>
        <v>-5669575.1800000006</v>
      </c>
      <c r="J237" s="1070">
        <f>J120+J174+J207</f>
        <v>0</v>
      </c>
      <c r="K237" s="1070">
        <f>K120+K174+K207</f>
        <v>-0.63</v>
      </c>
      <c r="L237" s="1066"/>
      <c r="M237" s="1070">
        <f>M120+M174+M207</f>
        <v>-5657834.8799999999</v>
      </c>
      <c r="N237" s="1070">
        <f>N120+N174+N207</f>
        <v>453406608.68000001</v>
      </c>
      <c r="O237" s="1070">
        <f>O120+O174+O207</f>
        <v>0</v>
      </c>
      <c r="P237" s="1070">
        <f>P120+P174+P207</f>
        <v>0</v>
      </c>
      <c r="Q237" s="1070">
        <f>Q120+Q174+Q207</f>
        <v>0</v>
      </c>
      <c r="R237" s="1066"/>
      <c r="S237" s="1070">
        <f>S120+S174+S207</f>
        <v>-5681315.4800000004</v>
      </c>
      <c r="T237" s="1070">
        <f>T120+T174+T207</f>
        <v>557108900.45000005</v>
      </c>
      <c r="U237" s="1070">
        <f>U120+U174+U207</f>
        <v>0</v>
      </c>
      <c r="V237" s="1070">
        <f>V120+V174+V207</f>
        <v>-1.26</v>
      </c>
      <c r="W237" s="1070">
        <f>W120+W174+W207</f>
        <v>0</v>
      </c>
    </row>
    <row r="238" spans="1:23">
      <c r="A238" s="1077"/>
      <c r="B238" s="1057"/>
      <c r="C238" s="1072"/>
      <c r="D238" s="1072"/>
      <c r="E238" s="1066"/>
      <c r="F238" s="1066"/>
      <c r="G238" s="1066"/>
      <c r="H238" s="1066"/>
      <c r="I238" s="1066"/>
      <c r="J238" s="1066"/>
      <c r="K238" s="1066"/>
      <c r="L238" s="1066"/>
      <c r="M238" s="1066"/>
      <c r="N238" s="1066"/>
      <c r="O238" s="1066"/>
      <c r="P238" s="1066"/>
      <c r="Q238" s="1066"/>
      <c r="R238" s="1066"/>
      <c r="S238" s="1066"/>
      <c r="T238" s="1066"/>
      <c r="U238" s="1066"/>
      <c r="V238" s="1066"/>
      <c r="W238" s="1066"/>
    </row>
    <row r="239" spans="1:23">
      <c r="A239" s="1077">
        <f>+A237+1</f>
        <v>14</v>
      </c>
      <c r="B239" s="1058" t="s">
        <v>737</v>
      </c>
      <c r="C239" s="1066"/>
      <c r="D239" s="1066"/>
      <c r="E239" s="1066"/>
      <c r="F239" s="1066"/>
      <c r="G239" s="1066"/>
      <c r="H239" s="1066"/>
      <c r="I239" s="1066"/>
      <c r="J239" s="1066"/>
      <c r="K239" s="1066"/>
      <c r="L239" s="1066"/>
      <c r="M239" s="1066"/>
      <c r="N239" s="1066"/>
      <c r="O239" s="1066"/>
      <c r="P239" s="1066"/>
      <c r="Q239" s="1066"/>
      <c r="R239" s="1066"/>
      <c r="S239" s="1066"/>
      <c r="T239" s="1066"/>
      <c r="U239" s="1066"/>
      <c r="V239" s="1066"/>
      <c r="W239" s="1066"/>
    </row>
    <row r="240" spans="1:23">
      <c r="A240" s="1077"/>
      <c r="B240" s="1057"/>
      <c r="C240" s="1066"/>
      <c r="D240" s="1066"/>
      <c r="E240" s="1066"/>
      <c r="F240" s="1066"/>
      <c r="G240" s="1066"/>
      <c r="H240" s="1066"/>
      <c r="I240" s="1066"/>
      <c r="J240" s="1066"/>
      <c r="K240" s="1066"/>
      <c r="L240" s="1066"/>
      <c r="M240" s="1066"/>
      <c r="N240" s="1066"/>
      <c r="O240" s="1066"/>
      <c r="P240" s="1066"/>
      <c r="Q240" s="1066"/>
      <c r="R240" s="1066"/>
      <c r="S240" s="1066"/>
      <c r="T240" s="1066"/>
      <c r="U240" s="1066"/>
      <c r="V240" s="1066"/>
      <c r="W240" s="1066"/>
    </row>
    <row r="241" spans="1:23">
      <c r="A241" s="1077">
        <f>+A239+1</f>
        <v>15</v>
      </c>
      <c r="B241" s="1058" t="s">
        <v>738</v>
      </c>
      <c r="C241" s="1066"/>
      <c r="D241" s="1066"/>
      <c r="E241" s="1066"/>
      <c r="F241" s="1066"/>
      <c r="G241" s="1066"/>
      <c r="H241" s="1066"/>
      <c r="I241" s="1066"/>
      <c r="J241" s="1066"/>
      <c r="K241" s="1066"/>
      <c r="L241" s="1066"/>
      <c r="M241" s="1066"/>
      <c r="N241" s="1066"/>
      <c r="O241" s="1066"/>
      <c r="P241" s="1066"/>
      <c r="Q241" s="1066"/>
      <c r="R241" s="1066"/>
      <c r="S241" s="1066"/>
      <c r="T241" s="1066"/>
      <c r="U241" s="1066"/>
      <c r="V241" s="1066"/>
      <c r="W241" s="1066"/>
    </row>
    <row r="242" spans="1:23">
      <c r="A242" s="1077"/>
      <c r="B242" s="1057"/>
      <c r="C242" s="1066"/>
      <c r="D242" s="1075"/>
      <c r="E242" s="1075"/>
      <c r="F242" s="1075"/>
      <c r="G242" s="1075"/>
      <c r="H242" s="1075"/>
      <c r="I242" s="1075"/>
      <c r="J242" s="1075"/>
      <c r="K242" s="1075"/>
      <c r="L242" s="1075"/>
      <c r="M242" s="1066"/>
      <c r="N242" s="1066"/>
      <c r="O242" s="1066"/>
      <c r="P242" s="1066"/>
      <c r="Q242" s="1066"/>
      <c r="R242" s="1066"/>
      <c r="S242" s="1066"/>
      <c r="T242" s="1066"/>
      <c r="U242" s="1066"/>
      <c r="V242" s="1066"/>
      <c r="W242" s="1066"/>
    </row>
    <row r="243" spans="1:23">
      <c r="A243" s="1077">
        <f>+A241+1</f>
        <v>16</v>
      </c>
      <c r="B243" s="1058" t="s">
        <v>739</v>
      </c>
      <c r="C243" s="1066"/>
      <c r="D243" s="1075"/>
      <c r="E243" s="1075"/>
      <c r="F243" s="1075"/>
      <c r="G243" s="1075"/>
      <c r="H243" s="1075"/>
      <c r="I243" s="1075"/>
      <c r="J243" s="1075"/>
      <c r="K243" s="1075"/>
      <c r="L243" s="1075"/>
      <c r="M243" s="1066"/>
      <c r="N243" s="1066"/>
      <c r="O243" s="1066"/>
      <c r="P243" s="1066"/>
      <c r="Q243" s="1066"/>
      <c r="R243" s="1066"/>
      <c r="S243" s="1066"/>
      <c r="T243" s="1066"/>
      <c r="U243" s="1066"/>
      <c r="V243" s="1066"/>
      <c r="W243" s="1066"/>
    </row>
    <row r="244" spans="1:23">
      <c r="A244" s="1077"/>
      <c r="B244" s="1057"/>
      <c r="C244" s="1066"/>
      <c r="D244" s="1066"/>
      <c r="E244" s="1066"/>
      <c r="F244" s="1066"/>
      <c r="G244" s="1066"/>
      <c r="H244" s="1066"/>
      <c r="I244" s="1066"/>
      <c r="J244" s="1066"/>
      <c r="K244" s="1066"/>
      <c r="L244" s="1066"/>
      <c r="M244" s="1066"/>
      <c r="N244" s="1066"/>
      <c r="O244" s="1066"/>
      <c r="P244" s="1066"/>
      <c r="Q244" s="1066"/>
      <c r="R244" s="1066"/>
      <c r="S244" s="1066"/>
      <c r="T244" s="1066"/>
      <c r="U244" s="1066"/>
      <c r="V244" s="1066"/>
      <c r="W244" s="1066"/>
    </row>
    <row r="245" spans="1:23">
      <c r="A245" s="1077">
        <f>+A243+1</f>
        <v>17</v>
      </c>
      <c r="B245" s="247" t="s">
        <v>740</v>
      </c>
      <c r="C245" s="1066"/>
      <c r="D245" s="1066"/>
      <c r="E245" s="1066"/>
      <c r="F245" s="1066"/>
      <c r="G245" s="1066"/>
      <c r="H245" s="1066"/>
      <c r="I245" s="1066"/>
      <c r="J245" s="1066"/>
      <c r="K245" s="1066"/>
      <c r="L245" s="1066"/>
      <c r="M245" s="1066"/>
      <c r="N245" s="1066"/>
      <c r="O245" s="1066"/>
      <c r="P245" s="1066"/>
      <c r="Q245" s="1066"/>
      <c r="R245" s="1066"/>
      <c r="S245" s="1066"/>
      <c r="T245" s="1066"/>
      <c r="U245" s="1066"/>
      <c r="V245" s="1066"/>
      <c r="W245" s="1066"/>
    </row>
    <row r="246" spans="1:23">
      <c r="A246" s="1077">
        <f>A245+1</f>
        <v>18</v>
      </c>
      <c r="B246" s="247" t="s">
        <v>741</v>
      </c>
      <c r="C246" s="1066"/>
      <c r="D246" s="1066"/>
      <c r="E246" s="1066"/>
      <c r="F246" s="1066"/>
      <c r="G246" s="1066"/>
      <c r="H246" s="1066"/>
      <c r="I246" s="1066"/>
      <c r="J246" s="1066"/>
      <c r="K246" s="1066"/>
      <c r="L246" s="1066"/>
      <c r="M246" s="1066"/>
      <c r="N246" s="1066"/>
      <c r="O246" s="1066"/>
      <c r="P246" s="1066"/>
      <c r="Q246" s="1066"/>
      <c r="R246" s="1066"/>
      <c r="S246" s="1066"/>
      <c r="T246" s="1066"/>
      <c r="U246" s="1066"/>
      <c r="V246" s="1066"/>
      <c r="W246" s="1066"/>
    </row>
    <row r="247" spans="1:23">
      <c r="A247" s="1096"/>
      <c r="B247" s="854"/>
      <c r="C247" s="1066"/>
      <c r="D247" s="1066"/>
      <c r="E247" s="1066"/>
      <c r="F247" s="1066"/>
      <c r="G247" s="1066"/>
      <c r="H247" s="1066"/>
      <c r="I247" s="1066"/>
      <c r="J247" s="1066"/>
      <c r="K247" s="1066"/>
      <c r="L247" s="1066"/>
      <c r="M247" s="854"/>
      <c r="N247" s="854"/>
      <c r="O247" s="854"/>
      <c r="P247" s="854"/>
      <c r="Q247" s="854"/>
      <c r="R247" s="1066"/>
      <c r="S247" s="854"/>
      <c r="T247" s="854"/>
      <c r="U247" s="854"/>
      <c r="V247" s="854"/>
      <c r="W247" s="854"/>
    </row>
    <row r="248" spans="1:23">
      <c r="A248" s="1096"/>
      <c r="B248" s="854"/>
      <c r="C248" s="1066"/>
      <c r="D248" s="1066"/>
      <c r="E248" s="1066"/>
      <c r="F248" s="1066"/>
      <c r="G248" s="1066"/>
      <c r="H248" s="1066"/>
      <c r="I248" s="1066"/>
      <c r="J248" s="1066"/>
      <c r="K248" s="1066"/>
      <c r="L248" s="1066"/>
      <c r="M248" s="854"/>
      <c r="N248" s="854"/>
      <c r="O248" s="854"/>
      <c r="P248" s="854"/>
      <c r="Q248" s="854"/>
      <c r="R248" s="1066"/>
      <c r="S248" s="854"/>
      <c r="T248" s="854"/>
      <c r="U248" s="854"/>
      <c r="V248" s="854"/>
      <c r="W248" s="854"/>
    </row>
    <row r="249" spans="1:23">
      <c r="A249" s="1096"/>
      <c r="B249" s="854"/>
      <c r="C249" s="1066"/>
      <c r="D249" s="1066"/>
      <c r="E249" s="1066"/>
      <c r="F249" s="1066"/>
      <c r="G249" s="1066"/>
      <c r="H249" s="1066"/>
      <c r="I249" s="1066"/>
      <c r="J249" s="1066"/>
      <c r="K249" s="1066"/>
      <c r="L249" s="1066"/>
      <c r="M249" s="854"/>
      <c r="N249" s="854"/>
      <c r="O249" s="854"/>
      <c r="P249" s="854"/>
      <c r="Q249" s="854"/>
      <c r="R249" s="1066"/>
      <c r="S249" s="854"/>
      <c r="T249" s="854"/>
      <c r="U249" s="854"/>
      <c r="V249" s="854"/>
      <c r="W249" s="854"/>
    </row>
    <row r="250" spans="1:23">
      <c r="A250" s="1096"/>
      <c r="B250" s="854"/>
      <c r="C250" s="1066"/>
      <c r="D250" s="1066"/>
      <c r="E250" s="1066"/>
      <c r="F250" s="1066"/>
      <c r="G250" s="1066"/>
      <c r="H250" s="1066"/>
      <c r="I250" s="1066"/>
      <c r="J250" s="1066"/>
      <c r="K250" s="1066"/>
      <c r="L250" s="1066"/>
      <c r="M250" s="854"/>
      <c r="N250" s="854"/>
      <c r="O250" s="854"/>
      <c r="P250" s="854"/>
      <c r="Q250" s="854"/>
      <c r="R250" s="1066"/>
      <c r="S250" s="854"/>
      <c r="T250" s="854"/>
      <c r="U250" s="854"/>
      <c r="V250" s="854"/>
      <c r="W250" s="854"/>
    </row>
    <row r="251" spans="1:23">
      <c r="A251" s="1096"/>
      <c r="B251" s="854"/>
      <c r="C251" s="1066"/>
      <c r="D251" s="1066"/>
      <c r="E251" s="1066"/>
      <c r="F251" s="1066"/>
      <c r="G251" s="1066"/>
      <c r="H251" s="1066"/>
      <c r="I251" s="1066"/>
      <c r="J251" s="1066"/>
      <c r="K251" s="1066"/>
      <c r="L251" s="1066"/>
      <c r="M251" s="854"/>
      <c r="N251" s="854"/>
      <c r="O251" s="854"/>
      <c r="P251" s="854"/>
      <c r="Q251" s="854"/>
      <c r="R251" s="1066"/>
      <c r="S251" s="854"/>
      <c r="T251" s="854"/>
      <c r="U251" s="854"/>
      <c r="V251" s="854"/>
      <c r="W251" s="854"/>
    </row>
    <row r="252" spans="1:23">
      <c r="A252" s="1077">
        <f>INT(A251)+1</f>
        <v>1</v>
      </c>
      <c r="B252" s="1058"/>
      <c r="C252" s="1066"/>
      <c r="D252" s="1066"/>
      <c r="E252" s="1066"/>
      <c r="F252" s="1066"/>
      <c r="G252" s="1066"/>
      <c r="H252" s="1066"/>
      <c r="I252" s="1066"/>
      <c r="J252" s="1066"/>
      <c r="K252" s="1066"/>
      <c r="L252" s="1066"/>
      <c r="M252" s="1066"/>
      <c r="N252" s="1066"/>
      <c r="O252" s="1066"/>
      <c r="P252" s="1066"/>
      <c r="Q252" s="1066"/>
      <c r="R252" s="1066"/>
      <c r="S252" s="1066"/>
      <c r="T252" s="1066"/>
      <c r="U252" s="1066"/>
      <c r="V252" s="1066"/>
      <c r="W252" s="1066"/>
    </row>
    <row r="253" spans="1:23">
      <c r="A253" s="1077">
        <f>A252+1</f>
        <v>2</v>
      </c>
      <c r="B253" s="247" t="s">
        <v>742</v>
      </c>
      <c r="C253" s="1069">
        <f>SUM(C247:C252)</f>
        <v>0</v>
      </c>
      <c r="D253" s="1069">
        <f>SUM(D247:D252)</f>
        <v>0</v>
      </c>
      <c r="E253" s="1069">
        <f>SUM(E247:E252)</f>
        <v>0</v>
      </c>
      <c r="F253" s="1069">
        <f>SUM(F247:F252)</f>
        <v>0</v>
      </c>
      <c r="G253" s="1069">
        <f>SUM(G247:G252)</f>
        <v>0</v>
      </c>
      <c r="H253" s="1066"/>
      <c r="I253" s="1069">
        <f>SUM(I247:I252)</f>
        <v>0</v>
      </c>
      <c r="J253" s="1069">
        <f>SUM(J247:J252)</f>
        <v>0</v>
      </c>
      <c r="K253" s="1069">
        <f>SUM(K247:K252)</f>
        <v>0</v>
      </c>
      <c r="L253" s="1066"/>
      <c r="M253" s="1069">
        <f>SUM(M247:M252)</f>
        <v>0</v>
      </c>
      <c r="N253" s="1069">
        <f t="shared" ref="N253:Q253" si="100">SUM(N247:N252)</f>
        <v>0</v>
      </c>
      <c r="O253" s="1069">
        <f t="shared" si="100"/>
        <v>0</v>
      </c>
      <c r="P253" s="1069">
        <f t="shared" si="100"/>
        <v>0</v>
      </c>
      <c r="Q253" s="1069">
        <f t="shared" si="100"/>
        <v>0</v>
      </c>
      <c r="R253" s="1066"/>
      <c r="S253" s="1069">
        <f>SUM(S247:S252)</f>
        <v>0</v>
      </c>
      <c r="T253" s="1069">
        <f t="shared" ref="T253:W253" si="101">SUM(T247:T252)</f>
        <v>0</v>
      </c>
      <c r="U253" s="1069">
        <f t="shared" si="101"/>
        <v>0</v>
      </c>
      <c r="V253" s="1069">
        <f t="shared" si="101"/>
        <v>0</v>
      </c>
      <c r="W253" s="1069">
        <f t="shared" si="101"/>
        <v>0</v>
      </c>
    </row>
  </sheetData>
  <pageMargins left="0.7" right="0.7" top="0.75" bottom="0.75" header="0.3" footer="0.3"/>
  <pageSetup scale="28" orientation="landscape" r:id="rId1"/>
  <rowBreaks count="2" manualBreakCount="2">
    <brk id="91" max="16383" man="1"/>
    <brk id="2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42"/>
  <sheetViews>
    <sheetView view="pageBreakPreview" zoomScale="85" zoomScaleNormal="100" zoomScaleSheetLayoutView="85" workbookViewId="0">
      <selection activeCell="B104" sqref="B104"/>
    </sheetView>
  </sheetViews>
  <sheetFormatPr defaultRowHeight="12.5"/>
  <cols>
    <col min="1" max="1" width="7" bestFit="1" customWidth="1"/>
    <col min="2" max="2" width="54.54296875" bestFit="1" customWidth="1"/>
    <col min="3" max="3" width="13.453125" bestFit="1" customWidth="1"/>
    <col min="4" max="4" width="12.81640625" bestFit="1" customWidth="1"/>
    <col min="5" max="6" width="17" customWidth="1"/>
    <col min="7" max="7" width="15.453125" bestFit="1" customWidth="1"/>
    <col min="8" max="8" width="3" customWidth="1"/>
    <col min="9" max="9" width="13.1796875" bestFit="1" customWidth="1"/>
    <col min="10" max="10" width="13.1796875" customWidth="1"/>
    <col min="11" max="11" width="15" bestFit="1" customWidth="1"/>
    <col min="12" max="12" width="13.54296875" bestFit="1" customWidth="1"/>
    <col min="13" max="13" width="13.54296875" customWidth="1"/>
    <col min="14" max="14" width="3.453125" customWidth="1"/>
    <col min="15" max="15" width="13.1796875" bestFit="1" customWidth="1"/>
    <col min="16" max="16" width="13.1796875" customWidth="1"/>
    <col min="17" max="17" width="15" bestFit="1" customWidth="1"/>
    <col min="18" max="18" width="13.54296875" bestFit="1" customWidth="1"/>
    <col min="19" max="19" width="13.54296875" customWidth="1"/>
    <col min="20" max="20" width="3.453125" customWidth="1"/>
    <col min="21" max="21" width="13.1796875" bestFit="1" customWidth="1"/>
    <col min="22" max="22" width="13.1796875" customWidth="1"/>
    <col min="23" max="23" width="15" bestFit="1" customWidth="1"/>
    <col min="24" max="24" width="13.54296875" bestFit="1" customWidth="1"/>
    <col min="25" max="25" width="13.54296875" customWidth="1"/>
  </cols>
  <sheetData>
    <row r="1" spans="1:25" ht="13">
      <c r="A1" s="1078"/>
      <c r="B1" s="1135" t="str">
        <f>TCOS!F9</f>
        <v xml:space="preserve">Indiana Michigan Power Company </v>
      </c>
      <c r="C1" s="1079"/>
      <c r="D1" s="1079"/>
      <c r="E1" s="1079"/>
      <c r="F1" s="1057"/>
      <c r="G1" s="247"/>
      <c r="H1" s="247"/>
      <c r="I1" s="247"/>
      <c r="J1" s="247"/>
      <c r="K1" s="247"/>
      <c r="L1" s="247"/>
      <c r="M1" s="247"/>
      <c r="N1" s="247"/>
      <c r="O1" s="1057"/>
      <c r="P1" s="1057"/>
      <c r="Q1" s="1057"/>
      <c r="R1" s="247"/>
      <c r="S1" s="247"/>
      <c r="T1" s="1057"/>
      <c r="U1" s="1057"/>
      <c r="V1" s="1057"/>
      <c r="W1" s="1057"/>
      <c r="X1" s="247"/>
      <c r="Y1" s="247"/>
    </row>
    <row r="2" spans="1:25" ht="13">
      <c r="A2" s="1078"/>
      <c r="B2" s="1056" t="s">
        <v>832</v>
      </c>
      <c r="C2" s="1079"/>
      <c r="D2" s="1079"/>
      <c r="E2" s="1079"/>
      <c r="F2" s="1079"/>
      <c r="G2" s="1080"/>
      <c r="H2" s="1080"/>
      <c r="I2" s="1080"/>
      <c r="J2" s="1080"/>
      <c r="K2" s="1080"/>
      <c r="L2" s="1080"/>
      <c r="M2" s="1080"/>
      <c r="N2" s="1080"/>
      <c r="O2" s="1057"/>
      <c r="P2" s="1057"/>
      <c r="Q2" s="1057"/>
      <c r="R2" s="1080"/>
      <c r="S2" s="1080"/>
      <c r="T2" s="1057"/>
      <c r="U2" s="1057"/>
      <c r="V2" s="1057"/>
      <c r="W2" s="1057"/>
      <c r="X2" s="1080"/>
      <c r="Y2" s="1080"/>
    </row>
    <row r="3" spans="1:25" ht="13">
      <c r="A3" s="1078"/>
      <c r="B3" s="1056" t="str">
        <f>"PERIOD ENDED DECEMBER 31, "&amp;TCOS!L4</f>
        <v>PERIOD ENDED DECEMBER 31, 2019</v>
      </c>
      <c r="C3" s="1079"/>
      <c r="D3" s="1079"/>
      <c r="E3" s="1079"/>
      <c r="F3" s="1079"/>
      <c r="G3" s="1079"/>
      <c r="H3" s="1079"/>
      <c r="I3" s="1079"/>
      <c r="J3" s="1079"/>
      <c r="K3" s="1079"/>
      <c r="L3" s="1079"/>
      <c r="M3" s="1079"/>
      <c r="N3" s="1079"/>
      <c r="O3" s="1057"/>
      <c r="P3" s="1057"/>
      <c r="Q3" s="1057"/>
      <c r="R3" s="1057"/>
      <c r="S3" s="1057"/>
      <c r="T3" s="1057"/>
      <c r="U3" s="1057"/>
      <c r="V3" s="1057"/>
      <c r="W3" s="1057"/>
      <c r="X3" s="1057"/>
      <c r="Y3" s="1057"/>
    </row>
    <row r="4" spans="1:25">
      <c r="A4" s="1078"/>
      <c r="B4" s="1065"/>
      <c r="C4" s="1079"/>
      <c r="D4" s="1079"/>
      <c r="E4" s="1079"/>
      <c r="F4" s="1079"/>
      <c r="G4" s="1" t="s">
        <v>743</v>
      </c>
      <c r="H4" s="1079"/>
      <c r="I4" s="1079"/>
      <c r="J4" s="1079"/>
      <c r="K4" s="1079"/>
      <c r="L4" s="1079"/>
      <c r="M4" s="1079"/>
      <c r="N4" s="1079"/>
      <c r="O4" s="1057"/>
      <c r="P4" s="1057"/>
      <c r="Q4" s="1057"/>
      <c r="R4" s="1057"/>
      <c r="S4" s="1057"/>
      <c r="T4" s="1057"/>
      <c r="U4" s="1057"/>
      <c r="V4" s="1057"/>
      <c r="W4" s="1057"/>
      <c r="X4" s="1057"/>
      <c r="Y4" s="1057"/>
    </row>
    <row r="5" spans="1:25">
      <c r="A5" s="1078"/>
      <c r="B5" s="1059"/>
      <c r="C5" s="1079"/>
      <c r="D5" s="1079"/>
      <c r="E5" s="1079"/>
      <c r="F5" s="1079"/>
      <c r="G5" s="1079"/>
      <c r="H5" s="1079"/>
      <c r="I5" s="1079"/>
      <c r="J5" s="1079"/>
      <c r="K5" s="1079"/>
      <c r="L5" s="1079"/>
      <c r="M5" s="1079"/>
      <c r="N5" s="1079"/>
      <c r="O5" s="1057"/>
      <c r="P5" s="1057"/>
      <c r="Q5" s="1057"/>
      <c r="R5" s="1057"/>
      <c r="S5" s="1057"/>
      <c r="T5" s="1057"/>
      <c r="U5" s="1057"/>
      <c r="V5" s="1057"/>
      <c r="W5" s="1057"/>
      <c r="X5" s="1057"/>
      <c r="Y5" s="1057"/>
    </row>
    <row r="6" spans="1:25">
      <c r="A6" s="1078"/>
      <c r="B6" s="1057"/>
      <c r="C6" s="1079"/>
      <c r="D6" s="1079"/>
      <c r="E6" s="1079"/>
      <c r="F6" s="1079"/>
      <c r="G6" s="1079"/>
      <c r="H6" s="1"/>
      <c r="I6" s="1"/>
      <c r="J6" s="1334"/>
      <c r="K6" s="1"/>
      <c r="L6" s="1"/>
      <c r="M6" s="1334"/>
      <c r="N6" s="1"/>
      <c r="O6" s="1057"/>
      <c r="P6" s="1057"/>
      <c r="Q6" s="1057"/>
      <c r="R6" s="1057"/>
      <c r="S6" s="1057"/>
      <c r="T6" s="1057"/>
      <c r="U6" s="1057"/>
      <c r="V6" s="1057"/>
      <c r="W6" s="1057"/>
      <c r="X6" s="1057"/>
      <c r="Y6" s="1057"/>
    </row>
    <row r="7" spans="1:25">
      <c r="A7" s="1078"/>
      <c r="B7" s="1057"/>
      <c r="C7" s="1079"/>
      <c r="D7" s="1079"/>
      <c r="E7" s="1079"/>
      <c r="F7" s="1079"/>
      <c r="G7" s="1079"/>
      <c r="H7" s="1079"/>
      <c r="I7" s="1079"/>
      <c r="J7" s="1079"/>
      <c r="K7" s="1079"/>
      <c r="L7" s="1079"/>
      <c r="M7" s="1079"/>
      <c r="N7" s="1079"/>
      <c r="O7" s="1057"/>
      <c r="P7" s="1057"/>
      <c r="Q7" s="1057"/>
      <c r="R7" s="1057"/>
      <c r="S7" s="1057"/>
      <c r="T7" s="1057"/>
      <c r="U7" s="1057"/>
      <c r="V7" s="1057"/>
      <c r="W7" s="1057"/>
      <c r="X7" s="1057"/>
      <c r="Y7" s="1057"/>
    </row>
    <row r="8" spans="1:25">
      <c r="A8" s="1078"/>
      <c r="B8" s="1060" t="s">
        <v>703</v>
      </c>
      <c r="C8" s="1081" t="s">
        <v>704</v>
      </c>
      <c r="D8" s="1081" t="s">
        <v>705</v>
      </c>
      <c r="E8" s="1081" t="s">
        <v>706</v>
      </c>
      <c r="F8" s="1081" t="s">
        <v>707</v>
      </c>
      <c r="G8" s="1081" t="s">
        <v>708</v>
      </c>
      <c r="H8" s="1081"/>
      <c r="I8" s="1081" t="s">
        <v>709</v>
      </c>
      <c r="J8" s="1081" t="s">
        <v>710</v>
      </c>
      <c r="K8" s="1081" t="s">
        <v>711</v>
      </c>
      <c r="L8" s="1081" t="s">
        <v>712</v>
      </c>
      <c r="M8" s="1081" t="s">
        <v>713</v>
      </c>
      <c r="N8" s="1081"/>
      <c r="O8" s="1060" t="s">
        <v>714</v>
      </c>
      <c r="P8" s="1060" t="s">
        <v>715</v>
      </c>
      <c r="Q8" s="1060" t="s">
        <v>716</v>
      </c>
      <c r="R8" s="1060" t="s">
        <v>717</v>
      </c>
      <c r="S8" s="1060" t="s">
        <v>1337</v>
      </c>
      <c r="T8" s="1057"/>
      <c r="U8" s="1060" t="s">
        <v>1338</v>
      </c>
      <c r="V8" s="1060" t="s">
        <v>1339</v>
      </c>
      <c r="W8" s="1060" t="s">
        <v>1340</v>
      </c>
      <c r="X8" s="1060" t="s">
        <v>1341</v>
      </c>
      <c r="Y8" s="1060" t="s">
        <v>1342</v>
      </c>
    </row>
    <row r="9" spans="1:25">
      <c r="A9" s="1078"/>
      <c r="B9" s="1057"/>
      <c r="C9" s="1079"/>
      <c r="D9" s="1079"/>
      <c r="E9" s="1079"/>
      <c r="F9" s="1079"/>
      <c r="G9" s="1079"/>
      <c r="H9" s="1079"/>
      <c r="I9" s="1079"/>
      <c r="J9" s="1079"/>
      <c r="K9" s="1079"/>
      <c r="L9" s="1079"/>
      <c r="M9" s="1079"/>
      <c r="N9" s="1079"/>
      <c r="O9" s="1057"/>
      <c r="P9" s="1057"/>
      <c r="Q9" s="1057"/>
      <c r="R9" s="1057"/>
      <c r="S9" s="1057"/>
      <c r="T9" s="1057"/>
      <c r="U9" s="1057"/>
      <c r="V9" s="1057"/>
      <c r="W9" s="1057"/>
      <c r="X9" s="1057"/>
      <c r="Y9" s="1057"/>
    </row>
    <row r="10" spans="1:25">
      <c r="A10" s="1078"/>
      <c r="B10" s="1057"/>
      <c r="C10" s="1082" t="s">
        <v>718</v>
      </c>
      <c r="D10" s="1082"/>
      <c r="E10" s="1083" t="s">
        <v>719</v>
      </c>
      <c r="F10" s="1082"/>
      <c r="G10" s="1084" t="s">
        <v>720</v>
      </c>
      <c r="H10" s="1084"/>
      <c r="I10" s="1513" t="s">
        <v>721</v>
      </c>
      <c r="J10" s="1513"/>
      <c r="K10" s="1513"/>
      <c r="L10" s="1513"/>
      <c r="M10" s="1513"/>
      <c r="N10" s="1084"/>
      <c r="O10" s="1514" t="str">
        <f>"FUNCTIONALIZATION 12/31/"&amp;TCOS!L4-1</f>
        <v>FUNCTIONALIZATION 12/31/2018</v>
      </c>
      <c r="P10" s="1514"/>
      <c r="Q10" s="1514"/>
      <c r="R10" s="1514"/>
      <c r="S10" s="1514"/>
      <c r="T10" s="1057"/>
      <c r="U10" s="1514" t="str">
        <f>"FUNCTIONALIZATION 12/31/"&amp;TCOS!L4</f>
        <v>FUNCTIONALIZATION 12/31/2019</v>
      </c>
      <c r="V10" s="1514"/>
      <c r="W10" s="1514"/>
      <c r="X10" s="1514"/>
      <c r="Y10" s="1514"/>
    </row>
    <row r="11" spans="1:25">
      <c r="A11" s="1078"/>
      <c r="B11" s="1057"/>
      <c r="C11" s="1085"/>
      <c r="D11" s="1085"/>
      <c r="E11" s="1079"/>
      <c r="F11" s="1079"/>
      <c r="G11" s="1084" t="s">
        <v>722</v>
      </c>
      <c r="H11" s="1084"/>
      <c r="I11" s="1335"/>
      <c r="J11" s="1335"/>
      <c r="K11" s="1335"/>
      <c r="L11" s="1335"/>
      <c r="M11" s="1335"/>
      <c r="N11" s="1084"/>
      <c r="O11" s="1333"/>
      <c r="P11" s="1333"/>
      <c r="Q11" s="1333"/>
      <c r="R11" s="1333"/>
      <c r="S11" s="1333"/>
      <c r="T11" s="1057"/>
      <c r="U11" s="1333"/>
      <c r="V11" s="1333"/>
      <c r="W11" s="1333"/>
      <c r="X11" s="1333"/>
      <c r="Y11" s="1333"/>
    </row>
    <row r="12" spans="1:25">
      <c r="A12" s="1078"/>
      <c r="B12" s="1057"/>
      <c r="C12" s="1084" t="s">
        <v>723</v>
      </c>
      <c r="D12" s="1084" t="s">
        <v>723</v>
      </c>
      <c r="E12" s="1084" t="s">
        <v>723</v>
      </c>
      <c r="F12" s="1084" t="s">
        <v>723</v>
      </c>
      <c r="G12" s="1084" t="s">
        <v>724</v>
      </c>
      <c r="H12" s="1084"/>
      <c r="I12" s="1079"/>
      <c r="J12" s="1079"/>
      <c r="K12" s="1079"/>
      <c r="L12" s="1079"/>
      <c r="M12" s="1079"/>
      <c r="N12" s="1084"/>
      <c r="O12" s="1057"/>
      <c r="P12" s="1057"/>
      <c r="Q12" s="1057"/>
      <c r="R12" s="1057"/>
      <c r="S12" s="1057"/>
      <c r="T12" s="1057"/>
      <c r="U12" s="1057"/>
      <c r="V12" s="1057"/>
      <c r="W12" s="1057"/>
      <c r="X12" s="1057"/>
      <c r="Y12" s="1057"/>
    </row>
    <row r="13" spans="1:25">
      <c r="A13" s="1078"/>
      <c r="B13" s="1060" t="s">
        <v>725</v>
      </c>
      <c r="C13" s="1081" t="str">
        <f>"OF 12-31-"&amp;TCOS!L4-1</f>
        <v>OF 12-31-2018</v>
      </c>
      <c r="D13" s="1081" t="str">
        <f>"OF 12-31-"&amp;TCOS!L4</f>
        <v>OF 12-31-2019</v>
      </c>
      <c r="E13" s="1081" t="str">
        <f>"OF 12-31-"&amp;TCOS!L4-1</f>
        <v>OF 12-31-2018</v>
      </c>
      <c r="F13" s="1081" t="str">
        <f>"OF 12-31-"&amp;TCOS!L4</f>
        <v>OF 12-31-2019</v>
      </c>
      <c r="G13" s="1081" t="s">
        <v>726</v>
      </c>
      <c r="H13" s="1081"/>
      <c r="I13" s="1081" t="s">
        <v>727</v>
      </c>
      <c r="J13" s="1081" t="s">
        <v>1090</v>
      </c>
      <c r="K13" s="1081" t="s">
        <v>728</v>
      </c>
      <c r="L13" s="1081" t="s">
        <v>729</v>
      </c>
      <c r="M13" s="1081" t="s">
        <v>1091</v>
      </c>
      <c r="N13" s="1081"/>
      <c r="O13" s="1081" t="s">
        <v>727</v>
      </c>
      <c r="P13" s="1081" t="s">
        <v>1090</v>
      </c>
      <c r="Q13" s="1081" t="s">
        <v>728</v>
      </c>
      <c r="R13" s="1081" t="s">
        <v>729</v>
      </c>
      <c r="S13" s="1081" t="s">
        <v>1091</v>
      </c>
      <c r="T13" s="1057"/>
      <c r="U13" s="1081" t="s">
        <v>727</v>
      </c>
      <c r="V13" s="1081" t="s">
        <v>1090</v>
      </c>
      <c r="W13" s="1081" t="s">
        <v>728</v>
      </c>
      <c r="X13" s="1081" t="s">
        <v>729</v>
      </c>
      <c r="Y13" s="1081" t="s">
        <v>1091</v>
      </c>
    </row>
    <row r="14" spans="1:25">
      <c r="A14" s="1078"/>
      <c r="B14" s="1057"/>
      <c r="C14" s="1079"/>
      <c r="D14" s="1079"/>
      <c r="E14" s="1079"/>
      <c r="F14" s="1079"/>
      <c r="G14" s="1079"/>
      <c r="H14" s="1079"/>
      <c r="I14" s="1079"/>
      <c r="J14" s="1079"/>
      <c r="K14" s="1079"/>
      <c r="L14" s="1079"/>
      <c r="M14" s="1079"/>
      <c r="N14" s="1079"/>
      <c r="O14" s="1057"/>
      <c r="P14" s="1057"/>
      <c r="Q14" s="1057"/>
      <c r="R14" s="1057"/>
      <c r="S14" s="1057"/>
      <c r="T14" s="1057"/>
      <c r="U14" s="1057"/>
      <c r="V14" s="1057"/>
      <c r="W14" s="1057"/>
      <c r="X14" s="1057"/>
      <c r="Y14" s="1057"/>
    </row>
    <row r="15" spans="1:25">
      <c r="A15" s="1086">
        <v>1</v>
      </c>
      <c r="B15" s="1072" t="s">
        <v>744</v>
      </c>
      <c r="C15" s="1066"/>
      <c r="D15" s="1066"/>
      <c r="E15" s="1066"/>
      <c r="F15" s="1067"/>
      <c r="G15" s="1066"/>
      <c r="H15" s="1066"/>
      <c r="I15" s="1066"/>
      <c r="J15" s="1066"/>
      <c r="K15" s="1066"/>
      <c r="L15" s="1066"/>
      <c r="M15" s="1066"/>
      <c r="N15" s="1066"/>
      <c r="O15" s="1066"/>
      <c r="P15" s="1066"/>
      <c r="Q15" s="1066"/>
      <c r="R15" s="1066"/>
      <c r="S15" s="1066"/>
      <c r="T15" s="1066"/>
      <c r="U15" s="1066"/>
      <c r="V15" s="1066"/>
      <c r="W15" s="1066"/>
      <c r="X15" s="1066"/>
      <c r="Y15" s="1066"/>
    </row>
    <row r="16" spans="1:25">
      <c r="A16" s="1086"/>
      <c r="B16" s="1066"/>
      <c r="C16" s="1066"/>
      <c r="D16" s="1066"/>
      <c r="E16" s="1066"/>
      <c r="F16" s="1066"/>
      <c r="G16" s="1066"/>
      <c r="H16" s="1066"/>
      <c r="I16" s="1066"/>
      <c r="J16" s="1066"/>
      <c r="K16" s="1066"/>
      <c r="L16" s="1066"/>
      <c r="M16" s="1066"/>
      <c r="N16" s="1066"/>
      <c r="O16" s="1066"/>
      <c r="P16" s="1066"/>
      <c r="Q16" s="1066"/>
      <c r="R16" s="1066"/>
      <c r="S16" s="1066"/>
      <c r="T16" s="1066"/>
      <c r="U16" s="1066"/>
      <c r="V16" s="1066"/>
      <c r="W16" s="1066"/>
      <c r="X16" s="1066"/>
      <c r="Y16" s="1066"/>
    </row>
    <row r="17" spans="1:25">
      <c r="A17" s="1096">
        <v>2.0099999999999998</v>
      </c>
      <c r="B17" s="854" t="s">
        <v>1218</v>
      </c>
      <c r="C17" s="1066">
        <f t="shared" ref="C17:C80" si="0">SUM(O17:R17)</f>
        <v>860000</v>
      </c>
      <c r="D17" s="1066">
        <f t="shared" ref="D17:D80" si="1">SUM(U17:X17)</f>
        <v>13558125.559999999</v>
      </c>
      <c r="E17" s="1066"/>
      <c r="F17" s="1066"/>
      <c r="G17" s="1066">
        <f t="shared" ref="G17:G80" si="2">ROUND(SUM(C17:F17)/2,0)</f>
        <v>7209063</v>
      </c>
      <c r="H17" s="1066"/>
      <c r="I17" s="1066">
        <f t="shared" ref="I17:I48" si="3">(O17+U17)/2</f>
        <v>4456498.7549999999</v>
      </c>
      <c r="J17" s="1066">
        <f t="shared" ref="J17:J48" si="4">(P17+V17)/2</f>
        <v>2702727.3449999997</v>
      </c>
      <c r="K17" s="1066">
        <f t="shared" ref="K17:K48" si="5">(Q17+W17)/2</f>
        <v>49836.68</v>
      </c>
      <c r="L17" s="1066">
        <f t="shared" ref="L17:L48" si="6">(R17+X17)/2</f>
        <v>0</v>
      </c>
      <c r="M17" s="1066">
        <f t="shared" ref="M17:M48" si="7">(S17+Y17)/2</f>
        <v>0</v>
      </c>
      <c r="N17" s="1066"/>
      <c r="O17" s="854">
        <v>0</v>
      </c>
      <c r="P17" s="854">
        <v>860000</v>
      </c>
      <c r="Q17" s="854">
        <v>0</v>
      </c>
      <c r="R17" s="854">
        <v>0</v>
      </c>
      <c r="S17" s="854">
        <v>0</v>
      </c>
      <c r="T17" s="1066"/>
      <c r="U17" s="854">
        <v>8912997.5099999998</v>
      </c>
      <c r="V17" s="854">
        <v>4545454.6899999995</v>
      </c>
      <c r="W17" s="854">
        <v>99673.36</v>
      </c>
      <c r="X17" s="854">
        <v>0</v>
      </c>
      <c r="Y17" s="854">
        <v>0</v>
      </c>
    </row>
    <row r="18" spans="1:25">
      <c r="A18" s="1096">
        <f>A17+0.01</f>
        <v>2.0199999999999996</v>
      </c>
      <c r="B18" s="854" t="s">
        <v>1219</v>
      </c>
      <c r="C18" s="1066">
        <f t="shared" si="0"/>
        <v>32027135</v>
      </c>
      <c r="D18" s="1066">
        <f t="shared" si="1"/>
        <v>33981680.75</v>
      </c>
      <c r="E18" s="1066"/>
      <c r="F18" s="1066"/>
      <c r="G18" s="1066">
        <f t="shared" si="2"/>
        <v>33004408</v>
      </c>
      <c r="H18" s="1066"/>
      <c r="I18" s="1066">
        <f t="shared" si="3"/>
        <v>6286676.4950000001</v>
      </c>
      <c r="J18" s="1066">
        <f t="shared" si="4"/>
        <v>17137391.810000002</v>
      </c>
      <c r="K18" s="1066">
        <f t="shared" si="5"/>
        <v>4735636.8449999997</v>
      </c>
      <c r="L18" s="1066">
        <f t="shared" si="6"/>
        <v>4844702.7249999996</v>
      </c>
      <c r="M18" s="1066">
        <f t="shared" si="7"/>
        <v>0</v>
      </c>
      <c r="N18" s="1066"/>
      <c r="O18" s="854">
        <v>6123156</v>
      </c>
      <c r="P18" s="854">
        <v>16704122</v>
      </c>
      <c r="Q18" s="854">
        <v>4617573</v>
      </c>
      <c r="R18" s="854">
        <v>4582284</v>
      </c>
      <c r="S18" s="854">
        <v>0</v>
      </c>
      <c r="T18" s="1066"/>
      <c r="U18" s="854">
        <v>6450196.9900000002</v>
      </c>
      <c r="V18" s="854">
        <v>17570661.620000001</v>
      </c>
      <c r="W18" s="854">
        <v>4853700.6899999995</v>
      </c>
      <c r="X18" s="854">
        <v>5107121.4499999993</v>
      </c>
      <c r="Y18" s="854">
        <v>0</v>
      </c>
    </row>
    <row r="19" spans="1:25">
      <c r="A19" s="1096">
        <f t="shared" ref="A19:A82" si="8">A18+0.01</f>
        <v>2.0299999999999994</v>
      </c>
      <c r="B19" s="854" t="s">
        <v>1220</v>
      </c>
      <c r="C19" s="1066">
        <f t="shared" si="0"/>
        <v>0</v>
      </c>
      <c r="D19" s="1066">
        <f t="shared" si="1"/>
        <v>0</v>
      </c>
      <c r="E19" s="1066"/>
      <c r="F19" s="1066"/>
      <c r="G19" s="1066">
        <f t="shared" si="2"/>
        <v>0</v>
      </c>
      <c r="H19" s="1066"/>
      <c r="I19" s="1066">
        <f t="shared" si="3"/>
        <v>0</v>
      </c>
      <c r="J19" s="1066">
        <f t="shared" si="4"/>
        <v>0</v>
      </c>
      <c r="K19" s="1066">
        <f t="shared" si="5"/>
        <v>0</v>
      </c>
      <c r="L19" s="1066">
        <f t="shared" si="6"/>
        <v>0</v>
      </c>
      <c r="M19" s="1066">
        <f t="shared" si="7"/>
        <v>0</v>
      </c>
      <c r="N19" s="1066"/>
      <c r="O19" s="854">
        <v>0</v>
      </c>
      <c r="P19" s="854">
        <v>0</v>
      </c>
      <c r="Q19" s="854">
        <v>0</v>
      </c>
      <c r="R19" s="854">
        <v>0</v>
      </c>
      <c r="S19" s="854">
        <v>0</v>
      </c>
      <c r="T19" s="1066"/>
      <c r="U19" s="854">
        <v>0</v>
      </c>
      <c r="V19" s="854">
        <v>0</v>
      </c>
      <c r="W19" s="854">
        <v>0</v>
      </c>
      <c r="X19" s="854">
        <v>0</v>
      </c>
      <c r="Y19" s="854">
        <v>0</v>
      </c>
    </row>
    <row r="20" spans="1:25">
      <c r="A20" s="1096">
        <f t="shared" si="8"/>
        <v>2.0399999999999991</v>
      </c>
      <c r="B20" s="854" t="s">
        <v>1221</v>
      </c>
      <c r="C20" s="1066">
        <f t="shared" si="0"/>
        <v>0</v>
      </c>
      <c r="D20" s="1066">
        <f t="shared" si="1"/>
        <v>0</v>
      </c>
      <c r="E20" s="1066"/>
      <c r="F20" s="1066"/>
      <c r="G20" s="1066">
        <f t="shared" si="2"/>
        <v>0</v>
      </c>
      <c r="H20" s="1066"/>
      <c r="I20" s="1066">
        <f t="shared" si="3"/>
        <v>0</v>
      </c>
      <c r="J20" s="1066">
        <f t="shared" si="4"/>
        <v>0</v>
      </c>
      <c r="K20" s="1066">
        <f t="shared" si="5"/>
        <v>0</v>
      </c>
      <c r="L20" s="1066">
        <f t="shared" si="6"/>
        <v>0</v>
      </c>
      <c r="M20" s="1066">
        <f t="shared" si="7"/>
        <v>0</v>
      </c>
      <c r="N20" s="1066"/>
      <c r="O20" s="854">
        <v>0</v>
      </c>
      <c r="P20" s="854">
        <v>0</v>
      </c>
      <c r="Q20" s="854">
        <v>0</v>
      </c>
      <c r="R20" s="854">
        <v>0</v>
      </c>
      <c r="S20" s="854">
        <v>0</v>
      </c>
      <c r="T20" s="1066"/>
      <c r="U20" s="854">
        <v>0</v>
      </c>
      <c r="V20" s="854">
        <v>0</v>
      </c>
      <c r="W20" s="854">
        <v>0</v>
      </c>
      <c r="X20" s="854">
        <v>0</v>
      </c>
      <c r="Y20" s="854">
        <v>0</v>
      </c>
    </row>
    <row r="21" spans="1:25">
      <c r="A21" s="1096">
        <f t="shared" si="8"/>
        <v>2.0499999999999989</v>
      </c>
      <c r="B21" s="854" t="s">
        <v>1222</v>
      </c>
      <c r="C21" s="1066">
        <f t="shared" si="0"/>
        <v>0</v>
      </c>
      <c r="D21" s="1066">
        <f t="shared" si="1"/>
        <v>0</v>
      </c>
      <c r="E21" s="1066"/>
      <c r="F21" s="1066"/>
      <c r="G21" s="1066">
        <f t="shared" si="2"/>
        <v>0</v>
      </c>
      <c r="H21" s="1066"/>
      <c r="I21" s="1066">
        <f t="shared" si="3"/>
        <v>0</v>
      </c>
      <c r="J21" s="1066">
        <f t="shared" si="4"/>
        <v>0</v>
      </c>
      <c r="K21" s="1066">
        <f t="shared" si="5"/>
        <v>0</v>
      </c>
      <c r="L21" s="1066">
        <f t="shared" si="6"/>
        <v>0</v>
      </c>
      <c r="M21" s="1066">
        <f t="shared" si="7"/>
        <v>0</v>
      </c>
      <c r="N21" s="1066"/>
      <c r="O21" s="854">
        <v>0</v>
      </c>
      <c r="P21" s="854">
        <v>0</v>
      </c>
      <c r="Q21" s="854">
        <v>0</v>
      </c>
      <c r="R21" s="854">
        <v>0</v>
      </c>
      <c r="S21" s="854">
        <v>0</v>
      </c>
      <c r="T21" s="1066"/>
      <c r="U21" s="854">
        <v>0</v>
      </c>
      <c r="V21" s="854">
        <v>0</v>
      </c>
      <c r="W21" s="854">
        <v>0</v>
      </c>
      <c r="X21" s="854">
        <v>0</v>
      </c>
      <c r="Y21" s="854">
        <v>0</v>
      </c>
    </row>
    <row r="22" spans="1:25">
      <c r="A22" s="1096">
        <f t="shared" si="8"/>
        <v>2.0599999999999987</v>
      </c>
      <c r="B22" s="854" t="s">
        <v>1223</v>
      </c>
      <c r="C22" s="1066">
        <f t="shared" si="0"/>
        <v>2521188</v>
      </c>
      <c r="D22" s="1066">
        <f t="shared" si="1"/>
        <v>3410411.1</v>
      </c>
      <c r="E22" s="1066"/>
      <c r="F22" s="1066"/>
      <c r="G22" s="1066">
        <f t="shared" si="2"/>
        <v>2965800</v>
      </c>
      <c r="H22" s="1066"/>
      <c r="I22" s="1066">
        <f t="shared" si="3"/>
        <v>0</v>
      </c>
      <c r="J22" s="1066">
        <f t="shared" si="4"/>
        <v>0</v>
      </c>
      <c r="K22" s="1066">
        <f t="shared" si="5"/>
        <v>683388.77</v>
      </c>
      <c r="L22" s="1066">
        <f t="shared" si="6"/>
        <v>2282410.7800000003</v>
      </c>
      <c r="M22" s="1066">
        <f t="shared" si="7"/>
        <v>0</v>
      </c>
      <c r="N22" s="1066"/>
      <c r="O22" s="854">
        <v>0</v>
      </c>
      <c r="P22" s="854">
        <v>0</v>
      </c>
      <c r="Q22" s="854">
        <v>641914</v>
      </c>
      <c r="R22" s="854">
        <v>1879274</v>
      </c>
      <c r="S22" s="854">
        <v>0</v>
      </c>
      <c r="T22" s="1066"/>
      <c r="U22" s="854">
        <v>0</v>
      </c>
      <c r="V22" s="854">
        <v>0</v>
      </c>
      <c r="W22" s="854">
        <v>724863.54</v>
      </c>
      <c r="X22" s="854">
        <v>2685547.56</v>
      </c>
      <c r="Y22" s="854">
        <v>0</v>
      </c>
    </row>
    <row r="23" spans="1:25">
      <c r="A23" s="1096">
        <f t="shared" si="8"/>
        <v>2.0699999999999985</v>
      </c>
      <c r="B23" s="854" t="s">
        <v>1224</v>
      </c>
      <c r="C23" s="1066">
        <f t="shared" si="0"/>
        <v>-1</v>
      </c>
      <c r="D23" s="1066">
        <f t="shared" si="1"/>
        <v>-0.55000000000000004</v>
      </c>
      <c r="E23" s="1066"/>
      <c r="F23" s="1066"/>
      <c r="G23" s="1066">
        <f t="shared" si="2"/>
        <v>-1</v>
      </c>
      <c r="H23" s="1066"/>
      <c r="I23" s="1066">
        <f t="shared" si="3"/>
        <v>0</v>
      </c>
      <c r="J23" s="1066">
        <f t="shared" si="4"/>
        <v>0</v>
      </c>
      <c r="K23" s="1066">
        <f t="shared" si="5"/>
        <v>0</v>
      </c>
      <c r="L23" s="1066">
        <f t="shared" si="6"/>
        <v>-0.77500000000000002</v>
      </c>
      <c r="M23" s="1066">
        <f t="shared" si="7"/>
        <v>0</v>
      </c>
      <c r="N23" s="1066"/>
      <c r="O23" s="854">
        <v>0</v>
      </c>
      <c r="P23" s="854">
        <v>0</v>
      </c>
      <c r="Q23" s="854">
        <v>0</v>
      </c>
      <c r="R23" s="854">
        <v>-1</v>
      </c>
      <c r="S23" s="854">
        <v>0</v>
      </c>
      <c r="T23" s="1066"/>
      <c r="U23" s="854">
        <v>0</v>
      </c>
      <c r="V23" s="854">
        <v>0</v>
      </c>
      <c r="W23" s="854">
        <v>0</v>
      </c>
      <c r="X23" s="854">
        <v>-0.55000000000000004</v>
      </c>
      <c r="Y23" s="854">
        <v>0</v>
      </c>
    </row>
    <row r="24" spans="1:25">
      <c r="A24" s="1096">
        <f t="shared" si="8"/>
        <v>2.0799999999999983</v>
      </c>
      <c r="B24" s="854" t="s">
        <v>1225</v>
      </c>
      <c r="C24" s="1066">
        <f t="shared" si="0"/>
        <v>1674543</v>
      </c>
      <c r="D24" s="1066">
        <f t="shared" si="1"/>
        <v>1704601.67</v>
      </c>
      <c r="E24" s="1066"/>
      <c r="F24" s="1066"/>
      <c r="G24" s="1066">
        <f t="shared" si="2"/>
        <v>1689572</v>
      </c>
      <c r="H24" s="1066"/>
      <c r="I24" s="1066">
        <f t="shared" si="3"/>
        <v>-164364.29</v>
      </c>
      <c r="J24" s="1066">
        <f t="shared" si="4"/>
        <v>0</v>
      </c>
      <c r="K24" s="1066">
        <f t="shared" si="5"/>
        <v>705503.125</v>
      </c>
      <c r="L24" s="1066">
        <f t="shared" si="6"/>
        <v>1148433.5</v>
      </c>
      <c r="M24" s="1066">
        <f t="shared" si="7"/>
        <v>0</v>
      </c>
      <c r="N24" s="1066"/>
      <c r="O24" s="854">
        <v>-207144</v>
      </c>
      <c r="P24" s="854">
        <v>0</v>
      </c>
      <c r="Q24" s="854">
        <v>706479</v>
      </c>
      <c r="R24" s="854">
        <v>1175208</v>
      </c>
      <c r="S24" s="854">
        <v>0</v>
      </c>
      <c r="T24" s="1066"/>
      <c r="U24" s="854">
        <v>-121584.58</v>
      </c>
      <c r="V24" s="854">
        <v>0</v>
      </c>
      <c r="W24" s="854">
        <v>704527.25</v>
      </c>
      <c r="X24" s="854">
        <v>1121659</v>
      </c>
      <c r="Y24" s="854">
        <v>0</v>
      </c>
    </row>
    <row r="25" spans="1:25">
      <c r="A25" s="1096">
        <f t="shared" si="8"/>
        <v>2.0899999999999981</v>
      </c>
      <c r="B25" s="854" t="s">
        <v>1226</v>
      </c>
      <c r="C25" s="1066">
        <f t="shared" si="0"/>
        <v>-182179</v>
      </c>
      <c r="D25" s="1066">
        <f t="shared" si="1"/>
        <v>-68173.400000000023</v>
      </c>
      <c r="E25" s="1066"/>
      <c r="F25" s="1066"/>
      <c r="G25" s="1066">
        <f t="shared" si="2"/>
        <v>-125176</v>
      </c>
      <c r="H25" s="1066"/>
      <c r="I25" s="1066">
        <f t="shared" si="3"/>
        <v>0</v>
      </c>
      <c r="J25" s="1066">
        <f t="shared" si="4"/>
        <v>0</v>
      </c>
      <c r="K25" s="1066">
        <f t="shared" si="5"/>
        <v>-486695.2</v>
      </c>
      <c r="L25" s="1066">
        <f t="shared" si="6"/>
        <v>361519</v>
      </c>
      <c r="M25" s="1066">
        <f t="shared" si="7"/>
        <v>0</v>
      </c>
      <c r="N25" s="1066"/>
      <c r="O25" s="854">
        <v>0</v>
      </c>
      <c r="P25" s="854">
        <v>0</v>
      </c>
      <c r="Q25" s="854">
        <v>-543698</v>
      </c>
      <c r="R25" s="854">
        <v>361519</v>
      </c>
      <c r="S25" s="854">
        <v>0</v>
      </c>
      <c r="T25" s="1066"/>
      <c r="U25" s="854">
        <v>0</v>
      </c>
      <c r="V25" s="854">
        <v>0</v>
      </c>
      <c r="W25" s="854">
        <v>-429692.4</v>
      </c>
      <c r="X25" s="854">
        <v>361519</v>
      </c>
      <c r="Y25" s="854">
        <v>0</v>
      </c>
    </row>
    <row r="26" spans="1:25">
      <c r="A26" s="1096">
        <f t="shared" si="8"/>
        <v>2.0999999999999979</v>
      </c>
      <c r="B26" s="854" t="s">
        <v>1227</v>
      </c>
      <c r="C26" s="1066">
        <f t="shared" si="0"/>
        <v>-390000</v>
      </c>
      <c r="D26" s="1066">
        <f t="shared" si="1"/>
        <v>-390000</v>
      </c>
      <c r="E26" s="1066"/>
      <c r="F26" s="1066"/>
      <c r="G26" s="1066">
        <f t="shared" si="2"/>
        <v>-390000</v>
      </c>
      <c r="H26" s="1066"/>
      <c r="I26" s="1066">
        <f t="shared" si="3"/>
        <v>0</v>
      </c>
      <c r="J26" s="1066">
        <f t="shared" si="4"/>
        <v>0</v>
      </c>
      <c r="K26" s="1066">
        <f t="shared" si="5"/>
        <v>-390000</v>
      </c>
      <c r="L26" s="1066">
        <f t="shared" si="6"/>
        <v>0</v>
      </c>
      <c r="M26" s="1066">
        <f t="shared" si="7"/>
        <v>0</v>
      </c>
      <c r="N26" s="1066"/>
      <c r="O26" s="854">
        <v>0</v>
      </c>
      <c r="P26" s="854">
        <v>0</v>
      </c>
      <c r="Q26" s="854">
        <v>-390000</v>
      </c>
      <c r="R26" s="854">
        <v>0</v>
      </c>
      <c r="S26" s="854">
        <v>0</v>
      </c>
      <c r="T26" s="1066"/>
      <c r="U26" s="854">
        <v>0</v>
      </c>
      <c r="V26" s="854">
        <v>0</v>
      </c>
      <c r="W26" s="854">
        <v>-390000</v>
      </c>
      <c r="X26" s="854">
        <v>0</v>
      </c>
      <c r="Y26" s="854">
        <v>0</v>
      </c>
    </row>
    <row r="27" spans="1:25">
      <c r="A27" s="1096">
        <f t="shared" si="8"/>
        <v>2.1099999999999977</v>
      </c>
      <c r="B27" s="854" t="s">
        <v>1228</v>
      </c>
      <c r="C27" s="1066">
        <f t="shared" si="0"/>
        <v>390001</v>
      </c>
      <c r="D27" s="1066">
        <f t="shared" si="1"/>
        <v>390000.6</v>
      </c>
      <c r="E27" s="1066"/>
      <c r="F27" s="1066"/>
      <c r="G27" s="1066">
        <f t="shared" si="2"/>
        <v>390001</v>
      </c>
      <c r="H27" s="1066"/>
      <c r="I27" s="1066">
        <f t="shared" si="3"/>
        <v>0</v>
      </c>
      <c r="J27" s="1066">
        <f t="shared" si="4"/>
        <v>0</v>
      </c>
      <c r="K27" s="1066">
        <f t="shared" si="5"/>
        <v>390000.8</v>
      </c>
      <c r="L27" s="1066">
        <f t="shared" si="6"/>
        <v>0</v>
      </c>
      <c r="M27" s="1066">
        <f t="shared" si="7"/>
        <v>0</v>
      </c>
      <c r="N27" s="1066"/>
      <c r="O27" s="854">
        <v>0</v>
      </c>
      <c r="P27" s="854">
        <v>0</v>
      </c>
      <c r="Q27" s="854">
        <v>390001</v>
      </c>
      <c r="R27" s="854">
        <v>0</v>
      </c>
      <c r="S27" s="854">
        <v>0</v>
      </c>
      <c r="T27" s="1066"/>
      <c r="U27" s="854">
        <v>0</v>
      </c>
      <c r="V27" s="854">
        <v>0</v>
      </c>
      <c r="W27" s="854">
        <v>390000.6</v>
      </c>
      <c r="X27" s="854">
        <v>0</v>
      </c>
      <c r="Y27" s="854">
        <v>0</v>
      </c>
    </row>
    <row r="28" spans="1:25">
      <c r="A28" s="1096">
        <f t="shared" si="8"/>
        <v>2.1199999999999974</v>
      </c>
      <c r="B28" s="854" t="s">
        <v>1229</v>
      </c>
      <c r="C28" s="1066">
        <f t="shared" si="0"/>
        <v>3515730</v>
      </c>
      <c r="D28" s="1066">
        <f t="shared" si="1"/>
        <v>797215.49</v>
      </c>
      <c r="E28" s="1066"/>
      <c r="F28" s="1066"/>
      <c r="G28" s="1066">
        <f t="shared" si="2"/>
        <v>2156473</v>
      </c>
      <c r="H28" s="1066"/>
      <c r="I28" s="1066">
        <f t="shared" si="3"/>
        <v>1533720.82</v>
      </c>
      <c r="J28" s="1066">
        <f t="shared" si="4"/>
        <v>0</v>
      </c>
      <c r="K28" s="1066">
        <f t="shared" si="5"/>
        <v>622751.92500000005</v>
      </c>
      <c r="L28" s="1066">
        <f t="shared" si="6"/>
        <v>0</v>
      </c>
      <c r="M28" s="1066">
        <f t="shared" si="7"/>
        <v>0</v>
      </c>
      <c r="N28" s="1066"/>
      <c r="O28" s="854">
        <v>2892978</v>
      </c>
      <c r="P28" s="854">
        <v>0</v>
      </c>
      <c r="Q28" s="854">
        <v>622752</v>
      </c>
      <c r="R28" s="854">
        <v>0</v>
      </c>
      <c r="S28" s="854">
        <v>0</v>
      </c>
      <c r="T28" s="1066"/>
      <c r="U28" s="854">
        <v>174463.64</v>
      </c>
      <c r="V28" s="854">
        <v>0</v>
      </c>
      <c r="W28" s="854">
        <v>622751.85</v>
      </c>
      <c r="X28" s="854">
        <v>0</v>
      </c>
      <c r="Y28" s="854">
        <v>0</v>
      </c>
    </row>
    <row r="29" spans="1:25">
      <c r="A29" s="1096">
        <f t="shared" si="8"/>
        <v>2.1299999999999972</v>
      </c>
      <c r="B29" s="854" t="s">
        <v>1230</v>
      </c>
      <c r="C29" s="1066">
        <f t="shared" si="0"/>
        <v>656220</v>
      </c>
      <c r="D29" s="1066">
        <f t="shared" si="1"/>
        <v>691518.74</v>
      </c>
      <c r="E29" s="1066"/>
      <c r="F29" s="1066"/>
      <c r="G29" s="1066">
        <f t="shared" si="2"/>
        <v>673869</v>
      </c>
      <c r="H29" s="1066"/>
      <c r="I29" s="1066">
        <f t="shared" si="3"/>
        <v>673869.37</v>
      </c>
      <c r="J29" s="1066">
        <f t="shared" si="4"/>
        <v>0</v>
      </c>
      <c r="K29" s="1066">
        <f t="shared" si="5"/>
        <v>0</v>
      </c>
      <c r="L29" s="1066">
        <f t="shared" si="6"/>
        <v>0</v>
      </c>
      <c r="M29" s="1066">
        <f t="shared" si="7"/>
        <v>0</v>
      </c>
      <c r="N29" s="1066"/>
      <c r="O29" s="854">
        <v>656220</v>
      </c>
      <c r="P29" s="854">
        <v>0</v>
      </c>
      <c r="Q29" s="854">
        <v>0</v>
      </c>
      <c r="R29" s="854">
        <v>0</v>
      </c>
      <c r="S29" s="854">
        <v>0</v>
      </c>
      <c r="T29" s="1066"/>
      <c r="U29" s="854">
        <v>691518.74</v>
      </c>
      <c r="V29" s="854">
        <v>0</v>
      </c>
      <c r="W29" s="854">
        <v>0</v>
      </c>
      <c r="X29" s="854">
        <v>0</v>
      </c>
      <c r="Y29" s="854">
        <v>0</v>
      </c>
    </row>
    <row r="30" spans="1:25">
      <c r="A30" s="1096">
        <f t="shared" si="8"/>
        <v>2.139999999999997</v>
      </c>
      <c r="B30" s="854" t="s">
        <v>1231</v>
      </c>
      <c r="C30" s="1066">
        <f t="shared" si="0"/>
        <v>3061354</v>
      </c>
      <c r="D30" s="1066">
        <f t="shared" si="1"/>
        <v>18.77</v>
      </c>
      <c r="E30" s="1066"/>
      <c r="F30" s="1066"/>
      <c r="G30" s="1066">
        <f t="shared" si="2"/>
        <v>1530686</v>
      </c>
      <c r="H30" s="1066"/>
      <c r="I30" s="1066">
        <f t="shared" si="3"/>
        <v>1530686.385</v>
      </c>
      <c r="J30" s="1066">
        <f t="shared" si="4"/>
        <v>0</v>
      </c>
      <c r="K30" s="1066">
        <f t="shared" si="5"/>
        <v>0</v>
      </c>
      <c r="L30" s="1066">
        <f t="shared" si="6"/>
        <v>0</v>
      </c>
      <c r="M30" s="1066">
        <f t="shared" si="7"/>
        <v>0</v>
      </c>
      <c r="N30" s="1066"/>
      <c r="O30" s="854">
        <v>3061354</v>
      </c>
      <c r="P30" s="854">
        <v>0</v>
      </c>
      <c r="Q30" s="854">
        <v>0</v>
      </c>
      <c r="R30" s="854">
        <v>0</v>
      </c>
      <c r="S30" s="854">
        <v>0</v>
      </c>
      <c r="T30" s="1066"/>
      <c r="U30" s="854">
        <v>18.77</v>
      </c>
      <c r="V30" s="854">
        <v>0</v>
      </c>
      <c r="W30" s="854">
        <v>0</v>
      </c>
      <c r="X30" s="854">
        <v>0</v>
      </c>
      <c r="Y30" s="854">
        <v>0</v>
      </c>
    </row>
    <row r="31" spans="1:25">
      <c r="A31" s="1096">
        <f t="shared" si="8"/>
        <v>2.1499999999999968</v>
      </c>
      <c r="B31" s="854" t="s">
        <v>1232</v>
      </c>
      <c r="C31" s="1066">
        <f t="shared" si="0"/>
        <v>-66332</v>
      </c>
      <c r="D31" s="1066">
        <f t="shared" si="1"/>
        <v>-66331.649999999994</v>
      </c>
      <c r="E31" s="1066"/>
      <c r="F31" s="1066"/>
      <c r="G31" s="1066">
        <f t="shared" si="2"/>
        <v>-66332</v>
      </c>
      <c r="H31" s="1066"/>
      <c r="I31" s="1066">
        <f t="shared" si="3"/>
        <v>-66331.824999999997</v>
      </c>
      <c r="J31" s="1066">
        <f t="shared" si="4"/>
        <v>0</v>
      </c>
      <c r="K31" s="1066">
        <f t="shared" si="5"/>
        <v>0</v>
      </c>
      <c r="L31" s="1066">
        <f t="shared" si="6"/>
        <v>0</v>
      </c>
      <c r="M31" s="1066">
        <f t="shared" si="7"/>
        <v>0</v>
      </c>
      <c r="N31" s="1066"/>
      <c r="O31" s="854">
        <v>-66332</v>
      </c>
      <c r="P31" s="854">
        <v>0</v>
      </c>
      <c r="Q31" s="854">
        <v>0</v>
      </c>
      <c r="R31" s="854">
        <v>0</v>
      </c>
      <c r="S31" s="854">
        <v>0</v>
      </c>
      <c r="T31" s="1066"/>
      <c r="U31" s="854">
        <v>-66331.649999999994</v>
      </c>
      <c r="V31" s="854">
        <v>0</v>
      </c>
      <c r="W31" s="854">
        <v>0</v>
      </c>
      <c r="X31" s="854">
        <v>0</v>
      </c>
      <c r="Y31" s="854">
        <v>0</v>
      </c>
    </row>
    <row r="32" spans="1:25">
      <c r="A32" s="1096">
        <f t="shared" si="8"/>
        <v>2.1599999999999966</v>
      </c>
      <c r="B32" s="854" t="s">
        <v>1233</v>
      </c>
      <c r="C32" s="1066">
        <f t="shared" si="0"/>
        <v>146938</v>
      </c>
      <c r="D32" s="1066">
        <f t="shared" si="1"/>
        <v>168484.08</v>
      </c>
      <c r="E32" s="1066"/>
      <c r="F32" s="1066"/>
      <c r="G32" s="1066">
        <f t="shared" si="2"/>
        <v>157711</v>
      </c>
      <c r="H32" s="1066"/>
      <c r="I32" s="1066">
        <f t="shared" si="3"/>
        <v>96454.39499999999</v>
      </c>
      <c r="J32" s="1066">
        <f t="shared" si="4"/>
        <v>-2944.02</v>
      </c>
      <c r="K32" s="1066">
        <f t="shared" si="5"/>
        <v>24417.599999999999</v>
      </c>
      <c r="L32" s="1066">
        <f t="shared" si="6"/>
        <v>39783.065000000002</v>
      </c>
      <c r="M32" s="1066">
        <f t="shared" si="7"/>
        <v>0</v>
      </c>
      <c r="N32" s="1066"/>
      <c r="O32" s="854">
        <v>93524</v>
      </c>
      <c r="P32" s="854">
        <v>412</v>
      </c>
      <c r="Q32" s="854">
        <v>27025</v>
      </c>
      <c r="R32" s="854">
        <v>25977</v>
      </c>
      <c r="S32" s="854">
        <v>0</v>
      </c>
      <c r="T32" s="1066"/>
      <c r="U32" s="854">
        <v>99384.79</v>
      </c>
      <c r="V32" s="854">
        <v>-6300.04</v>
      </c>
      <c r="W32" s="854">
        <v>21810.2</v>
      </c>
      <c r="X32" s="854">
        <v>53589.13</v>
      </c>
      <c r="Y32" s="854">
        <v>0</v>
      </c>
    </row>
    <row r="33" spans="1:25">
      <c r="A33" s="1096">
        <f t="shared" si="8"/>
        <v>2.1699999999999964</v>
      </c>
      <c r="B33" s="854" t="s">
        <v>1234</v>
      </c>
      <c r="C33" s="1066">
        <f t="shared" si="0"/>
        <v>0</v>
      </c>
      <c r="D33" s="1066">
        <f t="shared" si="1"/>
        <v>0</v>
      </c>
      <c r="E33" s="1066"/>
      <c r="F33" s="1066"/>
      <c r="G33" s="1066">
        <f t="shared" si="2"/>
        <v>0</v>
      </c>
      <c r="H33" s="1066"/>
      <c r="I33" s="1066">
        <f t="shared" si="3"/>
        <v>0</v>
      </c>
      <c r="J33" s="1066">
        <f t="shared" si="4"/>
        <v>0</v>
      </c>
      <c r="K33" s="1066">
        <f t="shared" si="5"/>
        <v>0</v>
      </c>
      <c r="L33" s="1066">
        <f t="shared" si="6"/>
        <v>0</v>
      </c>
      <c r="M33" s="1066">
        <f t="shared" si="7"/>
        <v>0</v>
      </c>
      <c r="N33" s="1066"/>
      <c r="O33" s="854">
        <v>0</v>
      </c>
      <c r="P33" s="854">
        <v>0</v>
      </c>
      <c r="Q33" s="854">
        <v>0</v>
      </c>
      <c r="R33" s="854">
        <v>0</v>
      </c>
      <c r="S33" s="854">
        <v>0</v>
      </c>
      <c r="T33" s="1066"/>
      <c r="U33" s="854">
        <v>0</v>
      </c>
      <c r="V33" s="854">
        <v>0</v>
      </c>
      <c r="W33" s="854">
        <v>0</v>
      </c>
      <c r="X33" s="854">
        <v>0</v>
      </c>
      <c r="Y33" s="854">
        <v>0</v>
      </c>
    </row>
    <row r="34" spans="1:25">
      <c r="A34" s="1096">
        <f t="shared" si="8"/>
        <v>2.1799999999999962</v>
      </c>
      <c r="B34" s="854" t="s">
        <v>1235</v>
      </c>
      <c r="C34" s="1066">
        <f t="shared" si="0"/>
        <v>-16983230</v>
      </c>
      <c r="D34" s="1066">
        <f t="shared" si="1"/>
        <v>-15636352.489999998</v>
      </c>
      <c r="E34" s="1066"/>
      <c r="F34" s="1066"/>
      <c r="G34" s="1066">
        <f t="shared" si="2"/>
        <v>-16309791</v>
      </c>
      <c r="H34" s="1066"/>
      <c r="I34" s="1066">
        <f t="shared" si="3"/>
        <v>-3968279.5049999999</v>
      </c>
      <c r="J34" s="1066">
        <f t="shared" si="4"/>
        <v>-3653553.4</v>
      </c>
      <c r="K34" s="1066">
        <f t="shared" si="5"/>
        <v>-803100.86</v>
      </c>
      <c r="L34" s="1066">
        <f t="shared" si="6"/>
        <v>-7884857.4800000004</v>
      </c>
      <c r="M34" s="1066">
        <f t="shared" si="7"/>
        <v>0</v>
      </c>
      <c r="N34" s="1066"/>
      <c r="O34" s="854">
        <v>-3940923</v>
      </c>
      <c r="P34" s="854">
        <v>-4184286</v>
      </c>
      <c r="Q34" s="854">
        <v>-858177</v>
      </c>
      <c r="R34" s="854">
        <v>-7999844</v>
      </c>
      <c r="S34" s="854">
        <v>0</v>
      </c>
      <c r="T34" s="1066"/>
      <c r="U34" s="854">
        <v>-3995636.01</v>
      </c>
      <c r="V34" s="854">
        <v>-3122820.8</v>
      </c>
      <c r="W34" s="854">
        <v>-748024.72</v>
      </c>
      <c r="X34" s="854">
        <v>-7769870.96</v>
      </c>
      <c r="Y34" s="854">
        <v>0</v>
      </c>
    </row>
    <row r="35" spans="1:25">
      <c r="A35" s="1096">
        <f t="shared" si="8"/>
        <v>2.1899999999999959</v>
      </c>
      <c r="B35" s="854" t="s">
        <v>1236</v>
      </c>
      <c r="C35" s="1066">
        <f t="shared" si="0"/>
        <v>16232028</v>
      </c>
      <c r="D35" s="1066">
        <f t="shared" si="1"/>
        <v>15207773.07</v>
      </c>
      <c r="E35" s="1066"/>
      <c r="F35" s="1066"/>
      <c r="G35" s="1066">
        <f t="shared" si="2"/>
        <v>15719901</v>
      </c>
      <c r="H35" s="1066"/>
      <c r="I35" s="1066">
        <f t="shared" si="3"/>
        <v>1244705.99</v>
      </c>
      <c r="J35" s="1066">
        <f t="shared" si="4"/>
        <v>4414557.32</v>
      </c>
      <c r="K35" s="1066">
        <f t="shared" si="5"/>
        <v>1919551.9950000001</v>
      </c>
      <c r="L35" s="1066">
        <f t="shared" si="6"/>
        <v>8141085.2300000004</v>
      </c>
      <c r="M35" s="1066">
        <f t="shared" si="7"/>
        <v>0</v>
      </c>
      <c r="N35" s="1066"/>
      <c r="O35" s="854">
        <v>1639744</v>
      </c>
      <c r="P35" s="854">
        <v>4182721</v>
      </c>
      <c r="Q35" s="854">
        <v>1896159</v>
      </c>
      <c r="R35" s="854">
        <v>8513404</v>
      </c>
      <c r="S35" s="854">
        <v>0</v>
      </c>
      <c r="T35" s="1066"/>
      <c r="U35" s="854">
        <v>849667.98</v>
      </c>
      <c r="V35" s="854">
        <v>4646393.6399999997</v>
      </c>
      <c r="W35" s="854">
        <v>1942944.99</v>
      </c>
      <c r="X35" s="854">
        <v>7768766.46</v>
      </c>
      <c r="Y35" s="854">
        <v>0</v>
      </c>
    </row>
    <row r="36" spans="1:25">
      <c r="A36" s="1096">
        <f t="shared" si="8"/>
        <v>2.1999999999999957</v>
      </c>
      <c r="B36" s="854" t="s">
        <v>1237</v>
      </c>
      <c r="C36" s="1066">
        <f t="shared" si="0"/>
        <v>28786</v>
      </c>
      <c r="D36" s="1066">
        <f t="shared" si="1"/>
        <v>61377.51999999999</v>
      </c>
      <c r="E36" s="1066"/>
      <c r="F36" s="1066"/>
      <c r="G36" s="1066">
        <f t="shared" si="2"/>
        <v>45082</v>
      </c>
      <c r="H36" s="1066"/>
      <c r="I36" s="1066">
        <f t="shared" si="3"/>
        <v>5284.5749999999998</v>
      </c>
      <c r="J36" s="1066">
        <f t="shared" si="4"/>
        <v>66663.364999999991</v>
      </c>
      <c r="K36" s="1066">
        <f t="shared" si="5"/>
        <v>10718.39</v>
      </c>
      <c r="L36" s="1066">
        <f t="shared" si="6"/>
        <v>-37584.57</v>
      </c>
      <c r="M36" s="1066">
        <f t="shared" si="7"/>
        <v>0</v>
      </c>
      <c r="N36" s="1066"/>
      <c r="O36" s="854">
        <v>5056</v>
      </c>
      <c r="P36" s="854">
        <v>54770</v>
      </c>
      <c r="Q36" s="854">
        <v>11244</v>
      </c>
      <c r="R36" s="854">
        <v>-42284</v>
      </c>
      <c r="S36" s="854">
        <v>0</v>
      </c>
      <c r="T36" s="1066"/>
      <c r="U36" s="854">
        <v>5513.15</v>
      </c>
      <c r="V36" s="854">
        <v>78556.73</v>
      </c>
      <c r="W36" s="854">
        <v>10192.780000000001</v>
      </c>
      <c r="X36" s="854">
        <v>-32885.14</v>
      </c>
      <c r="Y36" s="854">
        <v>0</v>
      </c>
    </row>
    <row r="37" spans="1:25">
      <c r="A37" s="1096">
        <f t="shared" si="8"/>
        <v>2.2099999999999955</v>
      </c>
      <c r="B37" s="854" t="s">
        <v>1238</v>
      </c>
      <c r="C37" s="1066">
        <f t="shared" si="0"/>
        <v>235155</v>
      </c>
      <c r="D37" s="1066">
        <f t="shared" si="1"/>
        <v>254514.33000000002</v>
      </c>
      <c r="E37" s="1066"/>
      <c r="F37" s="1066"/>
      <c r="G37" s="1066">
        <f t="shared" si="2"/>
        <v>244835</v>
      </c>
      <c r="H37" s="1066"/>
      <c r="I37" s="1066">
        <f t="shared" si="3"/>
        <v>208.25</v>
      </c>
      <c r="J37" s="1066">
        <f t="shared" si="4"/>
        <v>121686.535</v>
      </c>
      <c r="K37" s="1066">
        <f t="shared" si="5"/>
        <v>16750.5</v>
      </c>
      <c r="L37" s="1066">
        <f t="shared" si="6"/>
        <v>106189.38</v>
      </c>
      <c r="M37" s="1066">
        <f t="shared" si="7"/>
        <v>0</v>
      </c>
      <c r="N37" s="1066"/>
      <c r="O37" s="854">
        <v>-2870</v>
      </c>
      <c r="P37" s="854">
        <v>122210</v>
      </c>
      <c r="Q37" s="854">
        <v>16533</v>
      </c>
      <c r="R37" s="854">
        <v>99282</v>
      </c>
      <c r="S37" s="854">
        <v>0</v>
      </c>
      <c r="T37" s="1066"/>
      <c r="U37" s="854">
        <v>3286.5</v>
      </c>
      <c r="V37" s="854">
        <v>121163.07</v>
      </c>
      <c r="W37" s="854">
        <v>16968</v>
      </c>
      <c r="X37" s="854">
        <v>113096.76</v>
      </c>
      <c r="Y37" s="854">
        <v>0</v>
      </c>
    </row>
    <row r="38" spans="1:25">
      <c r="A38" s="1096">
        <f t="shared" si="8"/>
        <v>2.2199999999999953</v>
      </c>
      <c r="B38" s="854" t="s">
        <v>1239</v>
      </c>
      <c r="C38" s="1066">
        <f t="shared" si="0"/>
        <v>291690</v>
      </c>
      <c r="D38" s="1066">
        <f t="shared" si="1"/>
        <v>402130.06999999995</v>
      </c>
      <c r="E38" s="1066"/>
      <c r="F38" s="1066"/>
      <c r="G38" s="1066">
        <f t="shared" si="2"/>
        <v>346910</v>
      </c>
      <c r="H38" s="1066"/>
      <c r="I38" s="1066">
        <f t="shared" si="3"/>
        <v>718.49</v>
      </c>
      <c r="J38" s="1066">
        <f t="shared" si="4"/>
        <v>299599.935</v>
      </c>
      <c r="K38" s="1066">
        <f t="shared" si="5"/>
        <v>0</v>
      </c>
      <c r="L38" s="1066">
        <f t="shared" si="6"/>
        <v>46591.61</v>
      </c>
      <c r="M38" s="1066">
        <f t="shared" si="7"/>
        <v>0</v>
      </c>
      <c r="N38" s="1066"/>
      <c r="O38" s="854">
        <v>1</v>
      </c>
      <c r="P38" s="854">
        <v>251161</v>
      </c>
      <c r="Q38" s="854">
        <v>0</v>
      </c>
      <c r="R38" s="854">
        <v>40528</v>
      </c>
      <c r="S38" s="854">
        <v>0</v>
      </c>
      <c r="T38" s="1066"/>
      <c r="U38" s="854">
        <v>1435.98</v>
      </c>
      <c r="V38" s="854">
        <v>348038.87</v>
      </c>
      <c r="W38" s="854">
        <v>0</v>
      </c>
      <c r="X38" s="854">
        <v>52655.22</v>
      </c>
      <c r="Y38" s="854">
        <v>0</v>
      </c>
    </row>
    <row r="39" spans="1:25">
      <c r="A39" s="1096">
        <f t="shared" si="8"/>
        <v>2.2299999999999951</v>
      </c>
      <c r="B39" s="854" t="s">
        <v>1240</v>
      </c>
      <c r="C39" s="1066">
        <f t="shared" si="0"/>
        <v>0</v>
      </c>
      <c r="D39" s="1066">
        <f t="shared" si="1"/>
        <v>0</v>
      </c>
      <c r="E39" s="1066"/>
      <c r="F39" s="1066"/>
      <c r="G39" s="1066">
        <f t="shared" si="2"/>
        <v>0</v>
      </c>
      <c r="H39" s="1066"/>
      <c r="I39" s="1066">
        <f t="shared" si="3"/>
        <v>0</v>
      </c>
      <c r="J39" s="1066">
        <f t="shared" si="4"/>
        <v>0</v>
      </c>
      <c r="K39" s="1066">
        <f t="shared" si="5"/>
        <v>0</v>
      </c>
      <c r="L39" s="1066">
        <f t="shared" si="6"/>
        <v>0</v>
      </c>
      <c r="M39" s="1066">
        <f t="shared" si="7"/>
        <v>0</v>
      </c>
      <c r="N39" s="1066"/>
      <c r="O39" s="854">
        <v>0</v>
      </c>
      <c r="P39" s="854">
        <v>0</v>
      </c>
      <c r="Q39" s="854">
        <v>0</v>
      </c>
      <c r="R39" s="854">
        <v>0</v>
      </c>
      <c r="S39" s="854">
        <v>0</v>
      </c>
      <c r="T39" s="1066"/>
      <c r="U39" s="854">
        <v>0</v>
      </c>
      <c r="V39" s="854">
        <v>0</v>
      </c>
      <c r="W39" s="854">
        <v>0</v>
      </c>
      <c r="X39" s="854">
        <v>0</v>
      </c>
      <c r="Y39" s="854">
        <v>0</v>
      </c>
    </row>
    <row r="40" spans="1:25">
      <c r="A40" s="1096">
        <f t="shared" si="8"/>
        <v>2.2399999999999949</v>
      </c>
      <c r="B40" s="854" t="s">
        <v>1241</v>
      </c>
      <c r="C40" s="1066">
        <f t="shared" si="0"/>
        <v>0</v>
      </c>
      <c r="D40" s="1066">
        <f t="shared" si="1"/>
        <v>0</v>
      </c>
      <c r="E40" s="1066"/>
      <c r="F40" s="1066"/>
      <c r="G40" s="1066">
        <f t="shared" si="2"/>
        <v>0</v>
      </c>
      <c r="H40" s="1066"/>
      <c r="I40" s="1066">
        <f t="shared" si="3"/>
        <v>0</v>
      </c>
      <c r="J40" s="1066">
        <f t="shared" si="4"/>
        <v>0</v>
      </c>
      <c r="K40" s="1066">
        <f t="shared" si="5"/>
        <v>0</v>
      </c>
      <c r="L40" s="1066">
        <f t="shared" si="6"/>
        <v>0</v>
      </c>
      <c r="M40" s="1066">
        <f t="shared" si="7"/>
        <v>0</v>
      </c>
      <c r="N40" s="1066"/>
      <c r="O40" s="854">
        <v>0</v>
      </c>
      <c r="P40" s="854">
        <v>0</v>
      </c>
      <c r="Q40" s="854">
        <v>0</v>
      </c>
      <c r="R40" s="854">
        <v>0</v>
      </c>
      <c r="S40" s="854">
        <v>0</v>
      </c>
      <c r="T40" s="1066"/>
      <c r="U40" s="854">
        <v>0</v>
      </c>
      <c r="V40" s="854">
        <v>0</v>
      </c>
      <c r="W40" s="854">
        <v>0</v>
      </c>
      <c r="X40" s="854">
        <v>0</v>
      </c>
      <c r="Y40" s="854">
        <v>0</v>
      </c>
    </row>
    <row r="41" spans="1:25">
      <c r="A41" s="1096">
        <f t="shared" si="8"/>
        <v>2.2499999999999947</v>
      </c>
      <c r="B41" s="854" t="s">
        <v>1242</v>
      </c>
      <c r="C41" s="1066">
        <f t="shared" si="0"/>
        <v>972882</v>
      </c>
      <c r="D41" s="1066">
        <f t="shared" si="1"/>
        <v>0.72</v>
      </c>
      <c r="E41" s="1066"/>
      <c r="F41" s="1066"/>
      <c r="G41" s="1066">
        <f t="shared" si="2"/>
        <v>486441</v>
      </c>
      <c r="H41" s="1066"/>
      <c r="I41" s="1066">
        <f t="shared" si="3"/>
        <v>10828.285</v>
      </c>
      <c r="J41" s="1066">
        <f t="shared" si="4"/>
        <v>381431.35</v>
      </c>
      <c r="K41" s="1066">
        <f t="shared" si="5"/>
        <v>945</v>
      </c>
      <c r="L41" s="1066">
        <f t="shared" si="6"/>
        <v>93236.725000000006</v>
      </c>
      <c r="M41" s="1066">
        <f t="shared" si="7"/>
        <v>0</v>
      </c>
      <c r="N41" s="1066"/>
      <c r="O41" s="854">
        <v>21656</v>
      </c>
      <c r="P41" s="854">
        <v>762863</v>
      </c>
      <c r="Q41" s="854">
        <v>1890</v>
      </c>
      <c r="R41" s="854">
        <v>186473</v>
      </c>
      <c r="S41" s="854">
        <v>0</v>
      </c>
      <c r="T41" s="1066"/>
      <c r="U41" s="854">
        <v>0.56999999999999995</v>
      </c>
      <c r="V41" s="854">
        <v>-0.3</v>
      </c>
      <c r="W41" s="854">
        <v>0</v>
      </c>
      <c r="X41" s="854">
        <v>0.45</v>
      </c>
      <c r="Y41" s="854">
        <v>0</v>
      </c>
    </row>
    <row r="42" spans="1:25">
      <c r="A42" s="1096">
        <f t="shared" si="8"/>
        <v>2.2599999999999945</v>
      </c>
      <c r="B42" s="854" t="s">
        <v>1243</v>
      </c>
      <c r="C42" s="1066">
        <f t="shared" si="0"/>
        <v>260206</v>
      </c>
      <c r="D42" s="1066">
        <f t="shared" si="1"/>
        <v>260206.26</v>
      </c>
      <c r="E42" s="1066"/>
      <c r="F42" s="1066"/>
      <c r="G42" s="1066">
        <f t="shared" si="2"/>
        <v>260206</v>
      </c>
      <c r="H42" s="1066"/>
      <c r="I42" s="1066">
        <f t="shared" si="3"/>
        <v>0</v>
      </c>
      <c r="J42" s="1066">
        <f t="shared" si="4"/>
        <v>186647.16</v>
      </c>
      <c r="K42" s="1066">
        <f t="shared" si="5"/>
        <v>-0.03</v>
      </c>
      <c r="L42" s="1066">
        <f t="shared" si="6"/>
        <v>73559</v>
      </c>
      <c r="M42" s="1066">
        <f t="shared" si="7"/>
        <v>0</v>
      </c>
      <c r="N42" s="1066"/>
      <c r="O42" s="854">
        <v>0</v>
      </c>
      <c r="P42" s="854">
        <v>186647</v>
      </c>
      <c r="Q42" s="854">
        <v>0</v>
      </c>
      <c r="R42" s="854">
        <v>73559</v>
      </c>
      <c r="S42" s="854">
        <v>0</v>
      </c>
      <c r="T42" s="1066"/>
      <c r="U42" s="854">
        <v>0</v>
      </c>
      <c r="V42" s="854">
        <v>186647.32</v>
      </c>
      <c r="W42" s="854">
        <v>-0.06</v>
      </c>
      <c r="X42" s="854">
        <v>73559</v>
      </c>
      <c r="Y42" s="854">
        <v>0</v>
      </c>
    </row>
    <row r="43" spans="1:25">
      <c r="A43" s="1096">
        <f t="shared" si="8"/>
        <v>2.2699999999999942</v>
      </c>
      <c r="B43" s="854" t="s">
        <v>1244</v>
      </c>
      <c r="C43" s="1066">
        <f t="shared" si="0"/>
        <v>0</v>
      </c>
      <c r="D43" s="1066">
        <f t="shared" si="1"/>
        <v>0</v>
      </c>
      <c r="E43" s="1066"/>
      <c r="F43" s="1066"/>
      <c r="G43" s="1066">
        <f t="shared" si="2"/>
        <v>0</v>
      </c>
      <c r="H43" s="1066"/>
      <c r="I43" s="1066">
        <f t="shared" si="3"/>
        <v>0</v>
      </c>
      <c r="J43" s="1066">
        <f t="shared" si="4"/>
        <v>0</v>
      </c>
      <c r="K43" s="1066">
        <f t="shared" si="5"/>
        <v>0</v>
      </c>
      <c r="L43" s="1066">
        <f t="shared" si="6"/>
        <v>0</v>
      </c>
      <c r="M43" s="1066">
        <f t="shared" si="7"/>
        <v>0</v>
      </c>
      <c r="N43" s="1066"/>
      <c r="O43" s="854">
        <v>0</v>
      </c>
      <c r="P43" s="854">
        <v>0</v>
      </c>
      <c r="Q43" s="854">
        <v>0</v>
      </c>
      <c r="R43" s="854">
        <v>0</v>
      </c>
      <c r="S43" s="854">
        <v>0</v>
      </c>
      <c r="T43" s="1066"/>
      <c r="U43" s="854">
        <v>0</v>
      </c>
      <c r="V43" s="854">
        <v>0</v>
      </c>
      <c r="W43" s="854">
        <v>0</v>
      </c>
      <c r="X43" s="854">
        <v>0</v>
      </c>
      <c r="Y43" s="854">
        <v>0</v>
      </c>
    </row>
    <row r="44" spans="1:25">
      <c r="A44" s="1096">
        <f t="shared" si="8"/>
        <v>2.279999999999994</v>
      </c>
      <c r="B44" s="854" t="s">
        <v>1245</v>
      </c>
      <c r="C44" s="1066">
        <f t="shared" si="0"/>
        <v>65356</v>
      </c>
      <c r="D44" s="1066">
        <f t="shared" si="1"/>
        <v>75874.87</v>
      </c>
      <c r="E44" s="1066"/>
      <c r="F44" s="1066"/>
      <c r="G44" s="1066">
        <f t="shared" si="2"/>
        <v>70615</v>
      </c>
      <c r="H44" s="1066"/>
      <c r="I44" s="1066">
        <f t="shared" si="3"/>
        <v>0</v>
      </c>
      <c r="J44" s="1066">
        <f t="shared" si="4"/>
        <v>70615.434999999998</v>
      </c>
      <c r="K44" s="1066">
        <f t="shared" si="5"/>
        <v>0</v>
      </c>
      <c r="L44" s="1066">
        <f t="shared" si="6"/>
        <v>0</v>
      </c>
      <c r="M44" s="1066">
        <f t="shared" si="7"/>
        <v>0</v>
      </c>
      <c r="N44" s="1066"/>
      <c r="O44" s="854">
        <v>0</v>
      </c>
      <c r="P44" s="854">
        <v>65356</v>
      </c>
      <c r="Q44" s="854">
        <v>0</v>
      </c>
      <c r="R44" s="854">
        <v>0</v>
      </c>
      <c r="S44" s="854">
        <v>0</v>
      </c>
      <c r="T44" s="1066"/>
      <c r="U44" s="854">
        <v>0</v>
      </c>
      <c r="V44" s="854">
        <v>75874.87</v>
      </c>
      <c r="W44" s="854">
        <v>0</v>
      </c>
      <c r="X44" s="854">
        <v>0</v>
      </c>
      <c r="Y44" s="854">
        <v>0</v>
      </c>
    </row>
    <row r="45" spans="1:25">
      <c r="A45" s="1096">
        <f t="shared" si="8"/>
        <v>2.2899999999999938</v>
      </c>
      <c r="B45" s="854" t="s">
        <v>1246</v>
      </c>
      <c r="C45" s="1066">
        <f t="shared" si="0"/>
        <v>77746</v>
      </c>
      <c r="D45" s="1066">
        <f t="shared" si="1"/>
        <v>190679.48</v>
      </c>
      <c r="E45" s="1066"/>
      <c r="F45" s="1066"/>
      <c r="G45" s="1066">
        <f t="shared" si="2"/>
        <v>134213</v>
      </c>
      <c r="H45" s="1066"/>
      <c r="I45" s="1066">
        <f t="shared" si="3"/>
        <v>0</v>
      </c>
      <c r="J45" s="1066">
        <f t="shared" si="4"/>
        <v>134212.74</v>
      </c>
      <c r="K45" s="1066">
        <f t="shared" si="5"/>
        <v>0</v>
      </c>
      <c r="L45" s="1066">
        <f t="shared" si="6"/>
        <v>0</v>
      </c>
      <c r="M45" s="1066">
        <f t="shared" si="7"/>
        <v>0</v>
      </c>
      <c r="N45" s="1066"/>
      <c r="O45" s="854">
        <v>0</v>
      </c>
      <c r="P45" s="854">
        <v>77746</v>
      </c>
      <c r="Q45" s="854">
        <v>0</v>
      </c>
      <c r="R45" s="854">
        <v>0</v>
      </c>
      <c r="S45" s="854">
        <v>0</v>
      </c>
      <c r="T45" s="1066"/>
      <c r="U45" s="854">
        <v>0</v>
      </c>
      <c r="V45" s="854">
        <v>190679.48</v>
      </c>
      <c r="W45" s="854">
        <v>0</v>
      </c>
      <c r="X45" s="854">
        <v>0</v>
      </c>
      <c r="Y45" s="854">
        <v>0</v>
      </c>
    </row>
    <row r="46" spans="1:25">
      <c r="A46" s="1096">
        <f t="shared" si="8"/>
        <v>2.2999999999999936</v>
      </c>
      <c r="B46" s="854" t="s">
        <v>1247</v>
      </c>
      <c r="C46" s="1066">
        <f t="shared" si="0"/>
        <v>20292</v>
      </c>
      <c r="D46" s="1066">
        <f t="shared" si="1"/>
        <v>123648.04</v>
      </c>
      <c r="E46" s="1066"/>
      <c r="F46" s="1066"/>
      <c r="G46" s="1066">
        <f t="shared" si="2"/>
        <v>71970</v>
      </c>
      <c r="H46" s="1066"/>
      <c r="I46" s="1066">
        <f t="shared" si="3"/>
        <v>147.19</v>
      </c>
      <c r="J46" s="1066">
        <f t="shared" si="4"/>
        <v>0</v>
      </c>
      <c r="K46" s="1066">
        <f t="shared" si="5"/>
        <v>714.81500000000005</v>
      </c>
      <c r="L46" s="1066">
        <f t="shared" si="6"/>
        <v>71108.014999999999</v>
      </c>
      <c r="M46" s="1066">
        <f t="shared" si="7"/>
        <v>0</v>
      </c>
      <c r="N46" s="1066"/>
      <c r="O46" s="854">
        <v>0</v>
      </c>
      <c r="P46" s="854">
        <v>0</v>
      </c>
      <c r="Q46" s="854">
        <v>715</v>
      </c>
      <c r="R46" s="854">
        <v>19577</v>
      </c>
      <c r="S46" s="854">
        <v>0</v>
      </c>
      <c r="T46" s="1066"/>
      <c r="U46" s="854">
        <v>294.38</v>
      </c>
      <c r="V46" s="854">
        <v>0</v>
      </c>
      <c r="W46" s="854">
        <v>714.63</v>
      </c>
      <c r="X46" s="854">
        <v>122639.03</v>
      </c>
      <c r="Y46" s="854">
        <v>0</v>
      </c>
    </row>
    <row r="47" spans="1:25">
      <c r="A47" s="1096">
        <f t="shared" si="8"/>
        <v>2.3099999999999934</v>
      </c>
      <c r="B47" s="854" t="s">
        <v>1248</v>
      </c>
      <c r="C47" s="1066">
        <f t="shared" si="0"/>
        <v>0</v>
      </c>
      <c r="D47" s="1066">
        <f t="shared" si="1"/>
        <v>0</v>
      </c>
      <c r="E47" s="1066"/>
      <c r="F47" s="1066"/>
      <c r="G47" s="1066">
        <f t="shared" si="2"/>
        <v>0</v>
      </c>
      <c r="H47" s="1066"/>
      <c r="I47" s="1066">
        <f t="shared" si="3"/>
        <v>0</v>
      </c>
      <c r="J47" s="1066">
        <f t="shared" si="4"/>
        <v>0</v>
      </c>
      <c r="K47" s="1066">
        <f t="shared" si="5"/>
        <v>0</v>
      </c>
      <c r="L47" s="1066">
        <f t="shared" si="6"/>
        <v>0</v>
      </c>
      <c r="M47" s="1066">
        <f t="shared" si="7"/>
        <v>0</v>
      </c>
      <c r="N47" s="1066"/>
      <c r="O47" s="854">
        <v>0</v>
      </c>
      <c r="P47" s="854">
        <v>0</v>
      </c>
      <c r="Q47" s="854">
        <v>0</v>
      </c>
      <c r="R47" s="854">
        <v>0</v>
      </c>
      <c r="S47" s="854">
        <v>0</v>
      </c>
      <c r="T47" s="1066"/>
      <c r="U47" s="854">
        <v>0</v>
      </c>
      <c r="V47" s="854">
        <v>0</v>
      </c>
      <c r="W47" s="854">
        <v>0</v>
      </c>
      <c r="X47" s="854">
        <v>0</v>
      </c>
      <c r="Y47" s="854">
        <v>0</v>
      </c>
    </row>
    <row r="48" spans="1:25">
      <c r="A48" s="1096">
        <f t="shared" si="8"/>
        <v>2.3199999999999932</v>
      </c>
      <c r="B48" s="854" t="s">
        <v>1249</v>
      </c>
      <c r="C48" s="1066">
        <f t="shared" si="0"/>
        <v>1116</v>
      </c>
      <c r="D48" s="1066">
        <f t="shared" si="1"/>
        <v>7826.28</v>
      </c>
      <c r="E48" s="1066"/>
      <c r="F48" s="1066"/>
      <c r="G48" s="1066">
        <f t="shared" si="2"/>
        <v>4471</v>
      </c>
      <c r="H48" s="1066"/>
      <c r="I48" s="1066">
        <f t="shared" si="3"/>
        <v>4471.1399999999994</v>
      </c>
      <c r="J48" s="1066">
        <f t="shared" si="4"/>
        <v>0</v>
      </c>
      <c r="K48" s="1066">
        <f t="shared" si="5"/>
        <v>0</v>
      </c>
      <c r="L48" s="1066">
        <f t="shared" si="6"/>
        <v>0</v>
      </c>
      <c r="M48" s="1066">
        <f t="shared" si="7"/>
        <v>0</v>
      </c>
      <c r="N48" s="1066"/>
      <c r="O48" s="854">
        <v>1116</v>
      </c>
      <c r="P48" s="854">
        <v>0</v>
      </c>
      <c r="Q48" s="854">
        <v>0</v>
      </c>
      <c r="R48" s="854">
        <v>0</v>
      </c>
      <c r="S48" s="854">
        <v>0</v>
      </c>
      <c r="T48" s="1066"/>
      <c r="U48" s="854">
        <v>7826.28</v>
      </c>
      <c r="V48" s="854">
        <v>0</v>
      </c>
      <c r="W48" s="854">
        <v>0</v>
      </c>
      <c r="X48" s="854">
        <v>0</v>
      </c>
      <c r="Y48" s="854">
        <v>0</v>
      </c>
    </row>
    <row r="49" spans="1:25">
      <c r="A49" s="1096">
        <f t="shared" si="8"/>
        <v>2.329999999999993</v>
      </c>
      <c r="B49" s="854" t="s">
        <v>1250</v>
      </c>
      <c r="C49" s="1066">
        <f t="shared" si="0"/>
        <v>0</v>
      </c>
      <c r="D49" s="1066">
        <f t="shared" si="1"/>
        <v>0</v>
      </c>
      <c r="E49" s="1066"/>
      <c r="F49" s="1066"/>
      <c r="G49" s="1066">
        <f t="shared" si="2"/>
        <v>0</v>
      </c>
      <c r="H49" s="1066"/>
      <c r="I49" s="1066">
        <f t="shared" ref="I49:I80" si="9">(O49+U49)/2</f>
        <v>0</v>
      </c>
      <c r="J49" s="1066">
        <f t="shared" ref="J49:J80" si="10">(P49+V49)/2</f>
        <v>0</v>
      </c>
      <c r="K49" s="1066">
        <f t="shared" ref="K49:K80" si="11">(Q49+W49)/2</f>
        <v>0</v>
      </c>
      <c r="L49" s="1066">
        <f t="shared" ref="L49:L80" si="12">(R49+X49)/2</f>
        <v>0</v>
      </c>
      <c r="M49" s="1066">
        <f t="shared" ref="M49:M80" si="13">(S49+Y49)/2</f>
        <v>0</v>
      </c>
      <c r="N49" s="1066"/>
      <c r="O49" s="854">
        <v>0</v>
      </c>
      <c r="P49" s="854">
        <v>0</v>
      </c>
      <c r="Q49" s="854">
        <v>0</v>
      </c>
      <c r="R49" s="854">
        <v>0</v>
      </c>
      <c r="S49" s="854">
        <v>0</v>
      </c>
      <c r="T49" s="1066"/>
      <c r="U49" s="854">
        <v>0</v>
      </c>
      <c r="V49" s="854">
        <v>0</v>
      </c>
      <c r="W49" s="854">
        <v>0</v>
      </c>
      <c r="X49" s="854">
        <v>0</v>
      </c>
      <c r="Y49" s="854">
        <v>0</v>
      </c>
    </row>
    <row r="50" spans="1:25">
      <c r="A50" s="1096">
        <f t="shared" si="8"/>
        <v>2.3399999999999928</v>
      </c>
      <c r="B50" s="854" t="s">
        <v>1251</v>
      </c>
      <c r="C50" s="1066">
        <f t="shared" si="0"/>
        <v>0</v>
      </c>
      <c r="D50" s="1066">
        <f t="shared" si="1"/>
        <v>0</v>
      </c>
      <c r="E50" s="1066"/>
      <c r="F50" s="1066"/>
      <c r="G50" s="1066">
        <f t="shared" si="2"/>
        <v>0</v>
      </c>
      <c r="H50" s="1066"/>
      <c r="I50" s="1066">
        <f t="shared" si="9"/>
        <v>0</v>
      </c>
      <c r="J50" s="1066">
        <f t="shared" si="10"/>
        <v>0</v>
      </c>
      <c r="K50" s="1066">
        <f t="shared" si="11"/>
        <v>0</v>
      </c>
      <c r="L50" s="1066">
        <f t="shared" si="12"/>
        <v>0</v>
      </c>
      <c r="M50" s="1066">
        <f t="shared" si="13"/>
        <v>0</v>
      </c>
      <c r="N50" s="1066"/>
      <c r="O50" s="854">
        <v>0</v>
      </c>
      <c r="P50" s="854">
        <v>0</v>
      </c>
      <c r="Q50" s="854">
        <v>0</v>
      </c>
      <c r="R50" s="854">
        <v>0</v>
      </c>
      <c r="S50" s="854">
        <v>0</v>
      </c>
      <c r="T50" s="1066"/>
      <c r="U50" s="854">
        <v>0</v>
      </c>
      <c r="V50" s="854">
        <v>0</v>
      </c>
      <c r="W50" s="854">
        <v>0</v>
      </c>
      <c r="X50" s="854">
        <v>0</v>
      </c>
      <c r="Y50" s="854">
        <v>0</v>
      </c>
    </row>
    <row r="51" spans="1:25">
      <c r="A51" s="1096">
        <f t="shared" si="8"/>
        <v>2.3499999999999925</v>
      </c>
      <c r="B51" s="854" t="s">
        <v>1252</v>
      </c>
      <c r="C51" s="1066">
        <f t="shared" si="0"/>
        <v>0</v>
      </c>
      <c r="D51" s="1066">
        <f t="shared" si="1"/>
        <v>0</v>
      </c>
      <c r="E51" s="1066"/>
      <c r="F51" s="1066"/>
      <c r="G51" s="1066">
        <f t="shared" si="2"/>
        <v>0</v>
      </c>
      <c r="H51" s="1066"/>
      <c r="I51" s="1066">
        <f t="shared" si="9"/>
        <v>0</v>
      </c>
      <c r="J51" s="1066">
        <f t="shared" si="10"/>
        <v>0</v>
      </c>
      <c r="K51" s="1066">
        <f t="shared" si="11"/>
        <v>0</v>
      </c>
      <c r="L51" s="1066">
        <f t="shared" si="12"/>
        <v>0</v>
      </c>
      <c r="M51" s="1066">
        <f t="shared" si="13"/>
        <v>0</v>
      </c>
      <c r="N51" s="1066"/>
      <c r="O51" s="854">
        <v>0</v>
      </c>
      <c r="P51" s="854">
        <v>0</v>
      </c>
      <c r="Q51" s="854">
        <v>0</v>
      </c>
      <c r="R51" s="854">
        <v>0</v>
      </c>
      <c r="S51" s="854">
        <v>0</v>
      </c>
      <c r="T51" s="1066"/>
      <c r="U51" s="854">
        <v>0</v>
      </c>
      <c r="V51" s="854">
        <v>0</v>
      </c>
      <c r="W51" s="854">
        <v>0</v>
      </c>
      <c r="X51" s="854">
        <v>0</v>
      </c>
      <c r="Y51" s="854">
        <v>0</v>
      </c>
    </row>
    <row r="52" spans="1:25">
      <c r="A52" s="1096">
        <f t="shared" si="8"/>
        <v>2.3599999999999923</v>
      </c>
      <c r="B52" s="854" t="s">
        <v>1253</v>
      </c>
      <c r="C52" s="1066">
        <f t="shared" si="0"/>
        <v>7332001</v>
      </c>
      <c r="D52" s="1066">
        <f t="shared" si="1"/>
        <v>8739803.9499999993</v>
      </c>
      <c r="E52" s="1066"/>
      <c r="F52" s="1066"/>
      <c r="G52" s="1066">
        <f t="shared" si="2"/>
        <v>8035902</v>
      </c>
      <c r="H52" s="1066"/>
      <c r="I52" s="1066">
        <f t="shared" si="9"/>
        <v>783772.76</v>
      </c>
      <c r="J52" s="1066">
        <f t="shared" si="10"/>
        <v>5082475.7050000001</v>
      </c>
      <c r="K52" s="1066">
        <f t="shared" si="11"/>
        <v>359079.08499999996</v>
      </c>
      <c r="L52" s="1066">
        <f t="shared" si="12"/>
        <v>1810574.925</v>
      </c>
      <c r="M52" s="1066">
        <f t="shared" si="13"/>
        <v>0</v>
      </c>
      <c r="N52" s="1066"/>
      <c r="O52" s="854">
        <v>871574</v>
      </c>
      <c r="P52" s="854">
        <v>4579475</v>
      </c>
      <c r="Q52" s="854">
        <v>374334</v>
      </c>
      <c r="R52" s="854">
        <v>1506618</v>
      </c>
      <c r="S52" s="854">
        <v>0</v>
      </c>
      <c r="T52" s="1066"/>
      <c r="U52" s="854">
        <v>695971.52</v>
      </c>
      <c r="V52" s="854">
        <v>5585476.4100000001</v>
      </c>
      <c r="W52" s="854">
        <v>343824.17</v>
      </c>
      <c r="X52" s="854">
        <v>2114531.85</v>
      </c>
      <c r="Y52" s="854">
        <v>0</v>
      </c>
    </row>
    <row r="53" spans="1:25">
      <c r="A53" s="1096">
        <f t="shared" si="8"/>
        <v>2.3699999999999921</v>
      </c>
      <c r="B53" s="854" t="s">
        <v>1254</v>
      </c>
      <c r="C53" s="1066">
        <f t="shared" si="0"/>
        <v>0</v>
      </c>
      <c r="D53" s="1066">
        <f t="shared" si="1"/>
        <v>0</v>
      </c>
      <c r="E53" s="1066"/>
      <c r="F53" s="1066"/>
      <c r="G53" s="1066">
        <f t="shared" si="2"/>
        <v>0</v>
      </c>
      <c r="H53" s="1066"/>
      <c r="I53" s="1066">
        <f t="shared" si="9"/>
        <v>0</v>
      </c>
      <c r="J53" s="1066">
        <f t="shared" si="10"/>
        <v>0</v>
      </c>
      <c r="K53" s="1066">
        <f t="shared" si="11"/>
        <v>0</v>
      </c>
      <c r="L53" s="1066">
        <f t="shared" si="12"/>
        <v>0</v>
      </c>
      <c r="M53" s="1066">
        <f t="shared" si="13"/>
        <v>0</v>
      </c>
      <c r="N53" s="1066"/>
      <c r="O53" s="854">
        <v>0</v>
      </c>
      <c r="P53" s="854">
        <v>0</v>
      </c>
      <c r="Q53" s="854">
        <v>0</v>
      </c>
      <c r="R53" s="854">
        <v>0</v>
      </c>
      <c r="S53" s="854">
        <v>0</v>
      </c>
      <c r="T53" s="1066"/>
      <c r="U53" s="854">
        <v>0</v>
      </c>
      <c r="V53" s="854">
        <v>0</v>
      </c>
      <c r="W53" s="854">
        <v>0</v>
      </c>
      <c r="X53" s="854">
        <v>0</v>
      </c>
      <c r="Y53" s="854">
        <v>0</v>
      </c>
    </row>
    <row r="54" spans="1:25">
      <c r="A54" s="1096">
        <f t="shared" si="8"/>
        <v>2.3799999999999919</v>
      </c>
      <c r="B54" s="854" t="s">
        <v>1255</v>
      </c>
      <c r="C54" s="1066">
        <f t="shared" si="0"/>
        <v>2981801</v>
      </c>
      <c r="D54" s="1066">
        <f t="shared" si="1"/>
        <v>3007465.75</v>
      </c>
      <c r="E54" s="1066"/>
      <c r="F54" s="1066"/>
      <c r="G54" s="1066">
        <f t="shared" si="2"/>
        <v>2994633</v>
      </c>
      <c r="H54" s="1066"/>
      <c r="I54" s="1066">
        <f t="shared" si="9"/>
        <v>333727.625</v>
      </c>
      <c r="J54" s="1066">
        <f t="shared" si="10"/>
        <v>1627322.5899999999</v>
      </c>
      <c r="K54" s="1066">
        <f t="shared" si="11"/>
        <v>268623.21499999997</v>
      </c>
      <c r="L54" s="1066">
        <f t="shared" si="12"/>
        <v>764959.94500000007</v>
      </c>
      <c r="M54" s="1066">
        <f t="shared" si="13"/>
        <v>0</v>
      </c>
      <c r="N54" s="1066"/>
      <c r="O54" s="854">
        <v>338375</v>
      </c>
      <c r="P54" s="854">
        <v>1612524</v>
      </c>
      <c r="Q54" s="854">
        <v>259593</v>
      </c>
      <c r="R54" s="854">
        <v>771309</v>
      </c>
      <c r="S54" s="854">
        <v>0</v>
      </c>
      <c r="T54" s="1066"/>
      <c r="U54" s="854">
        <v>329080.25</v>
      </c>
      <c r="V54" s="854">
        <v>1642121.18</v>
      </c>
      <c r="W54" s="854">
        <v>277653.43</v>
      </c>
      <c r="X54" s="854">
        <v>758610.89</v>
      </c>
      <c r="Y54" s="854">
        <v>0</v>
      </c>
    </row>
    <row r="55" spans="1:25">
      <c r="A55" s="1096">
        <f t="shared" si="8"/>
        <v>2.3899999999999917</v>
      </c>
      <c r="B55" s="854" t="s">
        <v>1256</v>
      </c>
      <c r="C55" s="1066">
        <f t="shared" si="0"/>
        <v>0</v>
      </c>
      <c r="D55" s="1066">
        <f t="shared" si="1"/>
        <v>0</v>
      </c>
      <c r="E55" s="1066"/>
      <c r="F55" s="1066"/>
      <c r="G55" s="1066">
        <f t="shared" si="2"/>
        <v>0</v>
      </c>
      <c r="H55" s="1066"/>
      <c r="I55" s="1066">
        <f t="shared" si="9"/>
        <v>0</v>
      </c>
      <c r="J55" s="1066">
        <f t="shared" si="10"/>
        <v>0</v>
      </c>
      <c r="K55" s="1066">
        <f t="shared" si="11"/>
        <v>0</v>
      </c>
      <c r="L55" s="1066">
        <f t="shared" si="12"/>
        <v>0</v>
      </c>
      <c r="M55" s="1066">
        <f t="shared" si="13"/>
        <v>0</v>
      </c>
      <c r="N55" s="1066"/>
      <c r="O55" s="854">
        <v>0</v>
      </c>
      <c r="P55" s="854">
        <v>0</v>
      </c>
      <c r="Q55" s="854">
        <v>0</v>
      </c>
      <c r="R55" s="854">
        <v>0</v>
      </c>
      <c r="S55" s="854">
        <v>0</v>
      </c>
      <c r="T55" s="1066"/>
      <c r="U55" s="854">
        <v>0</v>
      </c>
      <c r="V55" s="854">
        <v>0</v>
      </c>
      <c r="W55" s="854">
        <v>0</v>
      </c>
      <c r="X55" s="854">
        <v>0</v>
      </c>
      <c r="Y55" s="854">
        <v>0</v>
      </c>
    </row>
    <row r="56" spans="1:25">
      <c r="A56" s="1096">
        <f t="shared" si="8"/>
        <v>2.3999999999999915</v>
      </c>
      <c r="B56" s="854" t="s">
        <v>1257</v>
      </c>
      <c r="C56" s="1066">
        <f t="shared" si="0"/>
        <v>0</v>
      </c>
      <c r="D56" s="1066">
        <f t="shared" si="1"/>
        <v>0</v>
      </c>
      <c r="E56" s="1066"/>
      <c r="F56" s="1066"/>
      <c r="G56" s="1066">
        <f t="shared" si="2"/>
        <v>0</v>
      </c>
      <c r="H56" s="1066"/>
      <c r="I56" s="1066">
        <f t="shared" si="9"/>
        <v>0</v>
      </c>
      <c r="J56" s="1066">
        <f t="shared" si="10"/>
        <v>0</v>
      </c>
      <c r="K56" s="1066">
        <f t="shared" si="11"/>
        <v>0</v>
      </c>
      <c r="L56" s="1066">
        <f t="shared" si="12"/>
        <v>0</v>
      </c>
      <c r="M56" s="1066">
        <f t="shared" si="13"/>
        <v>0</v>
      </c>
      <c r="N56" s="1066"/>
      <c r="O56" s="854">
        <v>0</v>
      </c>
      <c r="P56" s="854">
        <v>0</v>
      </c>
      <c r="Q56" s="854">
        <v>0</v>
      </c>
      <c r="R56" s="854">
        <v>0</v>
      </c>
      <c r="S56" s="854">
        <v>0</v>
      </c>
      <c r="T56" s="1066"/>
      <c r="U56" s="854">
        <v>0</v>
      </c>
      <c r="V56" s="854">
        <v>0</v>
      </c>
      <c r="W56" s="854">
        <v>0</v>
      </c>
      <c r="X56" s="854">
        <v>0</v>
      </c>
      <c r="Y56" s="854">
        <v>0</v>
      </c>
    </row>
    <row r="57" spans="1:25">
      <c r="A57" s="1096">
        <f t="shared" si="8"/>
        <v>2.4099999999999913</v>
      </c>
      <c r="B57" s="854" t="s">
        <v>1258</v>
      </c>
      <c r="C57" s="1066">
        <f t="shared" si="0"/>
        <v>146719</v>
      </c>
      <c r="D57" s="1066">
        <f t="shared" si="1"/>
        <v>190411.75</v>
      </c>
      <c r="E57" s="1066"/>
      <c r="F57" s="1066"/>
      <c r="G57" s="1066">
        <f t="shared" si="2"/>
        <v>168565</v>
      </c>
      <c r="H57" s="1066"/>
      <c r="I57" s="1066">
        <f t="shared" si="9"/>
        <v>2147.5749999999998</v>
      </c>
      <c r="J57" s="1066">
        <f t="shared" si="10"/>
        <v>127861.425</v>
      </c>
      <c r="K57" s="1066">
        <f t="shared" si="11"/>
        <v>0</v>
      </c>
      <c r="L57" s="1066">
        <f t="shared" si="12"/>
        <v>38556.375</v>
      </c>
      <c r="M57" s="1066">
        <f t="shared" si="13"/>
        <v>0</v>
      </c>
      <c r="N57" s="1066"/>
      <c r="O57" s="854">
        <v>1237</v>
      </c>
      <c r="P57" s="854">
        <v>127245</v>
      </c>
      <c r="Q57" s="854">
        <v>0</v>
      </c>
      <c r="R57" s="854">
        <v>18237</v>
      </c>
      <c r="S57" s="854">
        <v>0</v>
      </c>
      <c r="T57" s="1066"/>
      <c r="U57" s="854">
        <v>3058.15</v>
      </c>
      <c r="V57" s="854">
        <v>128477.85</v>
      </c>
      <c r="W57" s="854">
        <v>0</v>
      </c>
      <c r="X57" s="854">
        <v>58875.75</v>
      </c>
      <c r="Y57" s="854">
        <v>0</v>
      </c>
    </row>
    <row r="58" spans="1:25">
      <c r="A58" s="1096">
        <f t="shared" si="8"/>
        <v>2.419999999999991</v>
      </c>
      <c r="B58" s="854" t="s">
        <v>1259</v>
      </c>
      <c r="C58" s="1066">
        <f t="shared" si="0"/>
        <v>18560</v>
      </c>
      <c r="D58" s="1066">
        <f t="shared" si="1"/>
        <v>18371.48</v>
      </c>
      <c r="E58" s="1066"/>
      <c r="F58" s="1066"/>
      <c r="G58" s="1066">
        <f t="shared" si="2"/>
        <v>18466</v>
      </c>
      <c r="H58" s="1066"/>
      <c r="I58" s="1066">
        <f t="shared" si="9"/>
        <v>18465.739999999998</v>
      </c>
      <c r="J58" s="1066">
        <f t="shared" si="10"/>
        <v>0</v>
      </c>
      <c r="K58" s="1066">
        <f t="shared" si="11"/>
        <v>0</v>
      </c>
      <c r="L58" s="1066">
        <f t="shared" si="12"/>
        <v>0</v>
      </c>
      <c r="M58" s="1066">
        <f t="shared" si="13"/>
        <v>0</v>
      </c>
      <c r="N58" s="1066"/>
      <c r="O58" s="854">
        <v>18560</v>
      </c>
      <c r="P58" s="854">
        <v>0</v>
      </c>
      <c r="Q58" s="854">
        <v>0</v>
      </c>
      <c r="R58" s="854">
        <v>0</v>
      </c>
      <c r="S58" s="854">
        <v>0</v>
      </c>
      <c r="T58" s="1066"/>
      <c r="U58" s="854">
        <v>18371.48</v>
      </c>
      <c r="V58" s="854">
        <v>0</v>
      </c>
      <c r="W58" s="854">
        <v>0</v>
      </c>
      <c r="X58" s="854">
        <v>0</v>
      </c>
      <c r="Y58" s="854">
        <v>0</v>
      </c>
    </row>
    <row r="59" spans="1:25">
      <c r="A59" s="1096">
        <f t="shared" si="8"/>
        <v>2.4299999999999908</v>
      </c>
      <c r="B59" s="854" t="s">
        <v>1260</v>
      </c>
      <c r="C59" s="1066">
        <f t="shared" si="0"/>
        <v>-1</v>
      </c>
      <c r="D59" s="1066">
        <f t="shared" si="1"/>
        <v>-0.6</v>
      </c>
      <c r="E59" s="1066"/>
      <c r="F59" s="1066"/>
      <c r="G59" s="1066">
        <f t="shared" si="2"/>
        <v>-1</v>
      </c>
      <c r="H59" s="1066"/>
      <c r="I59" s="1066">
        <f t="shared" si="9"/>
        <v>0</v>
      </c>
      <c r="J59" s="1066">
        <f t="shared" si="10"/>
        <v>-0.8</v>
      </c>
      <c r="K59" s="1066">
        <f t="shared" si="11"/>
        <v>0</v>
      </c>
      <c r="L59" s="1066">
        <f t="shared" si="12"/>
        <v>0</v>
      </c>
      <c r="M59" s="1066">
        <f t="shared" si="13"/>
        <v>0</v>
      </c>
      <c r="N59" s="1066"/>
      <c r="O59" s="854">
        <v>0</v>
      </c>
      <c r="P59" s="854">
        <v>-1</v>
      </c>
      <c r="Q59" s="854">
        <v>0</v>
      </c>
      <c r="R59" s="854">
        <v>0</v>
      </c>
      <c r="S59" s="854">
        <v>0</v>
      </c>
      <c r="T59" s="1066"/>
      <c r="U59" s="854">
        <v>0</v>
      </c>
      <c r="V59" s="854">
        <v>-0.6</v>
      </c>
      <c r="W59" s="854">
        <v>0</v>
      </c>
      <c r="X59" s="854">
        <v>0</v>
      </c>
      <c r="Y59" s="854">
        <v>0</v>
      </c>
    </row>
    <row r="60" spans="1:25">
      <c r="A60" s="1096">
        <f t="shared" si="8"/>
        <v>2.4399999999999906</v>
      </c>
      <c r="B60" s="854" t="s">
        <v>1261</v>
      </c>
      <c r="C60" s="1066">
        <f t="shared" si="0"/>
        <v>0</v>
      </c>
      <c r="D60" s="1066">
        <f t="shared" si="1"/>
        <v>44746</v>
      </c>
      <c r="E60" s="1066"/>
      <c r="F60" s="1066"/>
      <c r="G60" s="1066">
        <f t="shared" si="2"/>
        <v>22373</v>
      </c>
      <c r="H60" s="1066"/>
      <c r="I60" s="1066">
        <f t="shared" si="9"/>
        <v>22373</v>
      </c>
      <c r="J60" s="1066">
        <f t="shared" si="10"/>
        <v>0</v>
      </c>
      <c r="K60" s="1066">
        <f t="shared" si="11"/>
        <v>0</v>
      </c>
      <c r="L60" s="1066">
        <f t="shared" si="12"/>
        <v>0</v>
      </c>
      <c r="M60" s="1066">
        <f t="shared" si="13"/>
        <v>0</v>
      </c>
      <c r="N60" s="1066"/>
      <c r="O60" s="854">
        <v>0</v>
      </c>
      <c r="P60" s="854">
        <v>0</v>
      </c>
      <c r="Q60" s="854">
        <v>0</v>
      </c>
      <c r="R60" s="854">
        <v>0</v>
      </c>
      <c r="S60" s="854">
        <v>0</v>
      </c>
      <c r="T60" s="1066"/>
      <c r="U60" s="854">
        <v>44746</v>
      </c>
      <c r="V60" s="854">
        <v>0</v>
      </c>
      <c r="W60" s="854">
        <v>0</v>
      </c>
      <c r="X60" s="854">
        <v>0</v>
      </c>
      <c r="Y60" s="854">
        <v>0</v>
      </c>
    </row>
    <row r="61" spans="1:25">
      <c r="A61" s="1096">
        <f t="shared" si="8"/>
        <v>2.4499999999999904</v>
      </c>
      <c r="B61" s="854" t="s">
        <v>1262</v>
      </c>
      <c r="C61" s="1066">
        <f t="shared" si="0"/>
        <v>488648</v>
      </c>
      <c r="D61" s="1066">
        <f t="shared" si="1"/>
        <v>412957.56</v>
      </c>
      <c r="E61" s="1066"/>
      <c r="F61" s="1066"/>
      <c r="G61" s="1066">
        <f t="shared" si="2"/>
        <v>450803</v>
      </c>
      <c r="H61" s="1066"/>
      <c r="I61" s="1066">
        <f t="shared" si="9"/>
        <v>0</v>
      </c>
      <c r="J61" s="1066">
        <f t="shared" si="10"/>
        <v>0</v>
      </c>
      <c r="K61" s="1066">
        <f t="shared" si="11"/>
        <v>0</v>
      </c>
      <c r="L61" s="1066">
        <f t="shared" si="12"/>
        <v>450802.78</v>
      </c>
      <c r="M61" s="1066">
        <f t="shared" si="13"/>
        <v>0</v>
      </c>
      <c r="N61" s="1066"/>
      <c r="O61" s="854">
        <v>0</v>
      </c>
      <c r="P61" s="854">
        <v>0</v>
      </c>
      <c r="Q61" s="854">
        <v>0</v>
      </c>
      <c r="R61" s="854">
        <v>488648</v>
      </c>
      <c r="S61" s="854">
        <v>0</v>
      </c>
      <c r="T61" s="1066"/>
      <c r="U61" s="854">
        <v>0</v>
      </c>
      <c r="V61" s="854">
        <v>0</v>
      </c>
      <c r="W61" s="854">
        <v>0</v>
      </c>
      <c r="X61" s="854">
        <v>412957.56</v>
      </c>
      <c r="Y61" s="854">
        <v>0</v>
      </c>
    </row>
    <row r="62" spans="1:25">
      <c r="A62" s="1096">
        <f t="shared" si="8"/>
        <v>2.4599999999999902</v>
      </c>
      <c r="B62" s="854" t="s">
        <v>1263</v>
      </c>
      <c r="C62" s="1066">
        <f t="shared" si="0"/>
        <v>1</v>
      </c>
      <c r="D62" s="1066">
        <f t="shared" si="1"/>
        <v>0.74</v>
      </c>
      <c r="E62" s="1066"/>
      <c r="F62" s="1066"/>
      <c r="G62" s="1066">
        <f t="shared" si="2"/>
        <v>1</v>
      </c>
      <c r="H62" s="1066"/>
      <c r="I62" s="1066">
        <f t="shared" si="9"/>
        <v>1</v>
      </c>
      <c r="J62" s="1066">
        <f t="shared" si="10"/>
        <v>0.87</v>
      </c>
      <c r="K62" s="1066">
        <f t="shared" si="11"/>
        <v>0</v>
      </c>
      <c r="L62" s="1066">
        <f t="shared" si="12"/>
        <v>-1</v>
      </c>
      <c r="M62" s="1066">
        <f t="shared" si="13"/>
        <v>0</v>
      </c>
      <c r="N62" s="1066"/>
      <c r="O62" s="854">
        <v>1</v>
      </c>
      <c r="P62" s="854">
        <v>1</v>
      </c>
      <c r="Q62" s="854">
        <v>0</v>
      </c>
      <c r="R62" s="854">
        <v>-1</v>
      </c>
      <c r="S62" s="854">
        <v>0</v>
      </c>
      <c r="T62" s="1066"/>
      <c r="U62" s="854">
        <v>1</v>
      </c>
      <c r="V62" s="854">
        <v>0.74</v>
      </c>
      <c r="W62" s="854">
        <v>0</v>
      </c>
      <c r="X62" s="854">
        <v>-1</v>
      </c>
      <c r="Y62" s="854">
        <v>0</v>
      </c>
    </row>
    <row r="63" spans="1:25">
      <c r="A63" s="1096">
        <f t="shared" si="8"/>
        <v>2.46999999999999</v>
      </c>
      <c r="B63" s="854" t="s">
        <v>1264</v>
      </c>
      <c r="C63" s="1066">
        <f t="shared" si="0"/>
        <v>157915</v>
      </c>
      <c r="D63" s="1066">
        <f t="shared" si="1"/>
        <v>50819.900000000009</v>
      </c>
      <c r="E63" s="1066"/>
      <c r="F63" s="1066"/>
      <c r="G63" s="1066">
        <f t="shared" si="2"/>
        <v>104367</v>
      </c>
      <c r="H63" s="1066"/>
      <c r="I63" s="1066">
        <f t="shared" si="9"/>
        <v>12438</v>
      </c>
      <c r="J63" s="1066">
        <f t="shared" si="10"/>
        <v>19454.5</v>
      </c>
      <c r="K63" s="1066">
        <f t="shared" si="11"/>
        <v>-1279.03</v>
      </c>
      <c r="L63" s="1066">
        <f t="shared" si="12"/>
        <v>73753.98000000001</v>
      </c>
      <c r="M63" s="1066">
        <f t="shared" si="13"/>
        <v>0</v>
      </c>
      <c r="N63" s="1066"/>
      <c r="O63" s="854">
        <v>24876</v>
      </c>
      <c r="P63" s="854">
        <v>38909</v>
      </c>
      <c r="Q63" s="854">
        <v>-2558</v>
      </c>
      <c r="R63" s="854">
        <v>96688</v>
      </c>
      <c r="S63" s="854">
        <v>0</v>
      </c>
      <c r="T63" s="1066"/>
      <c r="U63" s="854">
        <v>0</v>
      </c>
      <c r="V63" s="854">
        <v>0</v>
      </c>
      <c r="W63" s="854">
        <v>-0.06</v>
      </c>
      <c r="X63" s="854">
        <v>50819.960000000006</v>
      </c>
      <c r="Y63" s="854">
        <v>0</v>
      </c>
    </row>
    <row r="64" spans="1:25">
      <c r="A64" s="1096">
        <f t="shared" si="8"/>
        <v>2.4799999999999898</v>
      </c>
      <c r="B64" s="854" t="s">
        <v>1265</v>
      </c>
      <c r="C64" s="1066">
        <f t="shared" si="0"/>
        <v>-6999</v>
      </c>
      <c r="D64" s="1066">
        <f t="shared" si="1"/>
        <v>0</v>
      </c>
      <c r="E64" s="1066"/>
      <c r="F64" s="1066"/>
      <c r="G64" s="1066">
        <f t="shared" si="2"/>
        <v>-3500</v>
      </c>
      <c r="H64" s="1066"/>
      <c r="I64" s="1066">
        <f t="shared" si="9"/>
        <v>-2233</v>
      </c>
      <c r="J64" s="1066">
        <f t="shared" si="10"/>
        <v>-2147</v>
      </c>
      <c r="K64" s="1066">
        <f t="shared" si="11"/>
        <v>148.5</v>
      </c>
      <c r="L64" s="1066">
        <f t="shared" si="12"/>
        <v>732</v>
      </c>
      <c r="M64" s="1066">
        <f t="shared" si="13"/>
        <v>0</v>
      </c>
      <c r="N64" s="1066"/>
      <c r="O64" s="854">
        <v>-4466</v>
      </c>
      <c r="P64" s="854">
        <v>-4294</v>
      </c>
      <c r="Q64" s="854">
        <v>297</v>
      </c>
      <c r="R64" s="854">
        <v>1464</v>
      </c>
      <c r="S64" s="854">
        <v>0</v>
      </c>
      <c r="T64" s="1066"/>
      <c r="U64" s="854">
        <v>0</v>
      </c>
      <c r="V64" s="854">
        <v>0</v>
      </c>
      <c r="W64" s="854">
        <v>0</v>
      </c>
      <c r="X64" s="854">
        <v>0</v>
      </c>
      <c r="Y64" s="854">
        <v>0</v>
      </c>
    </row>
    <row r="65" spans="1:25">
      <c r="A65" s="1096">
        <f t="shared" si="8"/>
        <v>2.4899999999999896</v>
      </c>
      <c r="B65" s="854" t="s">
        <v>1266</v>
      </c>
      <c r="C65" s="1066">
        <f t="shared" si="0"/>
        <v>-16367</v>
      </c>
      <c r="D65" s="1066">
        <f t="shared" si="1"/>
        <v>-16367</v>
      </c>
      <c r="E65" s="1066"/>
      <c r="F65" s="1066"/>
      <c r="G65" s="1066">
        <f t="shared" si="2"/>
        <v>-16367</v>
      </c>
      <c r="H65" s="1066"/>
      <c r="I65" s="1066">
        <f t="shared" si="9"/>
        <v>-16367</v>
      </c>
      <c r="J65" s="1066">
        <f t="shared" si="10"/>
        <v>0</v>
      </c>
      <c r="K65" s="1066">
        <f t="shared" si="11"/>
        <v>0</v>
      </c>
      <c r="L65" s="1066">
        <f t="shared" si="12"/>
        <v>0</v>
      </c>
      <c r="M65" s="1066">
        <f t="shared" si="13"/>
        <v>0</v>
      </c>
      <c r="N65" s="1066"/>
      <c r="O65" s="854">
        <v>-16367</v>
      </c>
      <c r="P65" s="854">
        <v>0</v>
      </c>
      <c r="Q65" s="854">
        <v>0</v>
      </c>
      <c r="R65" s="854">
        <v>0</v>
      </c>
      <c r="S65" s="854">
        <v>0</v>
      </c>
      <c r="T65" s="1066"/>
      <c r="U65" s="854">
        <v>-16367</v>
      </c>
      <c r="V65" s="854">
        <v>0</v>
      </c>
      <c r="W65" s="854">
        <v>0</v>
      </c>
      <c r="X65" s="854">
        <v>0</v>
      </c>
      <c r="Y65" s="854">
        <v>0</v>
      </c>
    </row>
    <row r="66" spans="1:25">
      <c r="A66" s="1096">
        <f t="shared" si="8"/>
        <v>2.4999999999999893</v>
      </c>
      <c r="B66" s="854" t="s">
        <v>1267</v>
      </c>
      <c r="C66" s="1066">
        <f t="shared" si="0"/>
        <v>0</v>
      </c>
      <c r="D66" s="1066">
        <f t="shared" si="1"/>
        <v>0</v>
      </c>
      <c r="E66" s="1066"/>
      <c r="F66" s="1066"/>
      <c r="G66" s="1066">
        <f t="shared" si="2"/>
        <v>0</v>
      </c>
      <c r="H66" s="1066"/>
      <c r="I66" s="1066">
        <f t="shared" si="9"/>
        <v>0</v>
      </c>
      <c r="J66" s="1066">
        <f t="shared" si="10"/>
        <v>0</v>
      </c>
      <c r="K66" s="1066">
        <f t="shared" si="11"/>
        <v>0</v>
      </c>
      <c r="L66" s="1066">
        <f t="shared" si="12"/>
        <v>0</v>
      </c>
      <c r="M66" s="1066">
        <f t="shared" si="13"/>
        <v>0</v>
      </c>
      <c r="N66" s="1066"/>
      <c r="O66" s="854">
        <v>0</v>
      </c>
      <c r="P66" s="854">
        <v>0</v>
      </c>
      <c r="Q66" s="854">
        <v>0</v>
      </c>
      <c r="R66" s="854">
        <v>0</v>
      </c>
      <c r="S66" s="854">
        <v>0</v>
      </c>
      <c r="T66" s="1066"/>
      <c r="U66" s="854">
        <v>0</v>
      </c>
      <c r="V66" s="854">
        <v>0</v>
      </c>
      <c r="W66" s="854">
        <v>0</v>
      </c>
      <c r="X66" s="854">
        <v>0</v>
      </c>
      <c r="Y66" s="854">
        <v>0</v>
      </c>
    </row>
    <row r="67" spans="1:25">
      <c r="A67" s="1096">
        <f t="shared" si="8"/>
        <v>2.5099999999999891</v>
      </c>
      <c r="B67" s="854" t="s">
        <v>1268</v>
      </c>
      <c r="C67" s="1066">
        <f t="shared" si="0"/>
        <v>0</v>
      </c>
      <c r="D67" s="1066">
        <f t="shared" si="1"/>
        <v>0</v>
      </c>
      <c r="E67" s="1066"/>
      <c r="F67" s="1066"/>
      <c r="G67" s="1066">
        <f t="shared" si="2"/>
        <v>0</v>
      </c>
      <c r="H67" s="1066"/>
      <c r="I67" s="1066">
        <f t="shared" si="9"/>
        <v>0</v>
      </c>
      <c r="J67" s="1066">
        <f t="shared" si="10"/>
        <v>0</v>
      </c>
      <c r="K67" s="1066">
        <f t="shared" si="11"/>
        <v>0</v>
      </c>
      <c r="L67" s="1066">
        <f t="shared" si="12"/>
        <v>0</v>
      </c>
      <c r="M67" s="1066">
        <f t="shared" si="13"/>
        <v>0</v>
      </c>
      <c r="N67" s="1066"/>
      <c r="O67" s="854">
        <v>0</v>
      </c>
      <c r="P67" s="854">
        <v>0</v>
      </c>
      <c r="Q67" s="854">
        <v>0</v>
      </c>
      <c r="R67" s="854">
        <v>0</v>
      </c>
      <c r="S67" s="854">
        <v>0</v>
      </c>
      <c r="T67" s="1066"/>
      <c r="U67" s="854">
        <v>0</v>
      </c>
      <c r="V67" s="854">
        <v>0</v>
      </c>
      <c r="W67" s="854">
        <v>0</v>
      </c>
      <c r="X67" s="854">
        <v>0</v>
      </c>
      <c r="Y67" s="854">
        <v>0</v>
      </c>
    </row>
    <row r="68" spans="1:25">
      <c r="A68" s="1096">
        <f t="shared" si="8"/>
        <v>2.5199999999999889</v>
      </c>
      <c r="B68" s="854" t="s">
        <v>1269</v>
      </c>
      <c r="C68" s="1066">
        <f t="shared" si="0"/>
        <v>36750</v>
      </c>
      <c r="D68" s="1066">
        <f t="shared" si="1"/>
        <v>0</v>
      </c>
      <c r="E68" s="1066"/>
      <c r="F68" s="1066"/>
      <c r="G68" s="1066">
        <f t="shared" si="2"/>
        <v>18375</v>
      </c>
      <c r="H68" s="1066"/>
      <c r="I68" s="1066">
        <f t="shared" si="9"/>
        <v>0</v>
      </c>
      <c r="J68" s="1066">
        <f t="shared" si="10"/>
        <v>0</v>
      </c>
      <c r="K68" s="1066">
        <f t="shared" si="11"/>
        <v>0</v>
      </c>
      <c r="L68" s="1066">
        <f t="shared" si="12"/>
        <v>18375</v>
      </c>
      <c r="M68" s="1066">
        <f t="shared" si="13"/>
        <v>0</v>
      </c>
      <c r="N68" s="1066"/>
      <c r="O68" s="854">
        <v>0</v>
      </c>
      <c r="P68" s="854">
        <v>0</v>
      </c>
      <c r="Q68" s="854">
        <v>0</v>
      </c>
      <c r="R68" s="854">
        <v>36750</v>
      </c>
      <c r="S68" s="854">
        <v>0</v>
      </c>
      <c r="T68" s="1066"/>
      <c r="U68" s="854">
        <v>0</v>
      </c>
      <c r="V68" s="854">
        <v>0</v>
      </c>
      <c r="W68" s="854">
        <v>0</v>
      </c>
      <c r="X68" s="854">
        <v>0</v>
      </c>
      <c r="Y68" s="854">
        <v>0</v>
      </c>
    </row>
    <row r="69" spans="1:25">
      <c r="A69" s="1096">
        <f t="shared" si="8"/>
        <v>2.5299999999999887</v>
      </c>
      <c r="B69" s="854" t="s">
        <v>1270</v>
      </c>
      <c r="C69" s="1066">
        <f t="shared" si="0"/>
        <v>582880</v>
      </c>
      <c r="D69" s="1066">
        <f t="shared" si="1"/>
        <v>582879.91</v>
      </c>
      <c r="E69" s="1066"/>
      <c r="F69" s="1066"/>
      <c r="G69" s="1066">
        <f t="shared" si="2"/>
        <v>582880</v>
      </c>
      <c r="H69" s="1066"/>
      <c r="I69" s="1066">
        <f t="shared" si="9"/>
        <v>582879.95500000007</v>
      </c>
      <c r="J69" s="1066">
        <f t="shared" si="10"/>
        <v>0</v>
      </c>
      <c r="K69" s="1066">
        <f t="shared" si="11"/>
        <v>0</v>
      </c>
      <c r="L69" s="1066">
        <f t="shared" si="12"/>
        <v>0</v>
      </c>
      <c r="M69" s="1066">
        <f t="shared" si="13"/>
        <v>0</v>
      </c>
      <c r="N69" s="1066"/>
      <c r="O69" s="854">
        <v>582880</v>
      </c>
      <c r="P69" s="854">
        <v>0</v>
      </c>
      <c r="Q69" s="854">
        <v>0</v>
      </c>
      <c r="R69" s="854">
        <v>0</v>
      </c>
      <c r="S69" s="854">
        <v>0</v>
      </c>
      <c r="T69" s="1066"/>
      <c r="U69" s="854">
        <v>582879.91</v>
      </c>
      <c r="V69" s="854">
        <v>0</v>
      </c>
      <c r="W69" s="854">
        <v>0</v>
      </c>
      <c r="X69" s="854">
        <v>0</v>
      </c>
      <c r="Y69" s="854">
        <v>0</v>
      </c>
    </row>
    <row r="70" spans="1:25">
      <c r="A70" s="1096">
        <f t="shared" si="8"/>
        <v>2.5399999999999885</v>
      </c>
      <c r="B70" s="854" t="s">
        <v>1271</v>
      </c>
      <c r="C70" s="1066">
        <f t="shared" si="0"/>
        <v>5948</v>
      </c>
      <c r="D70" s="1066">
        <f t="shared" si="1"/>
        <v>232365.33</v>
      </c>
      <c r="E70" s="1066"/>
      <c r="F70" s="1066"/>
      <c r="G70" s="1066">
        <f t="shared" si="2"/>
        <v>119157</v>
      </c>
      <c r="H70" s="1066"/>
      <c r="I70" s="1066">
        <f t="shared" si="9"/>
        <v>119156.66499999999</v>
      </c>
      <c r="J70" s="1066">
        <f t="shared" si="10"/>
        <v>0</v>
      </c>
      <c r="K70" s="1066">
        <f t="shared" si="11"/>
        <v>0</v>
      </c>
      <c r="L70" s="1066">
        <f t="shared" si="12"/>
        <v>0</v>
      </c>
      <c r="M70" s="1066">
        <f t="shared" si="13"/>
        <v>0</v>
      </c>
      <c r="N70" s="1066"/>
      <c r="O70" s="854">
        <v>5948</v>
      </c>
      <c r="P70" s="854">
        <v>0</v>
      </c>
      <c r="Q70" s="854">
        <v>0</v>
      </c>
      <c r="R70" s="854">
        <v>0</v>
      </c>
      <c r="S70" s="854">
        <v>0</v>
      </c>
      <c r="T70" s="1066"/>
      <c r="U70" s="854">
        <v>232365.33</v>
      </c>
      <c r="V70" s="854">
        <v>0</v>
      </c>
      <c r="W70" s="854">
        <v>0</v>
      </c>
      <c r="X70" s="854">
        <v>0</v>
      </c>
      <c r="Y70" s="854">
        <v>0</v>
      </c>
    </row>
    <row r="71" spans="1:25">
      <c r="A71" s="1096">
        <f t="shared" si="8"/>
        <v>2.5499999999999883</v>
      </c>
      <c r="B71" s="854" t="s">
        <v>1109</v>
      </c>
      <c r="C71" s="1066">
        <f t="shared" si="0"/>
        <v>0</v>
      </c>
      <c r="D71" s="1066">
        <f t="shared" si="1"/>
        <v>0</v>
      </c>
      <c r="E71" s="1066"/>
      <c r="F71" s="1066"/>
      <c r="G71" s="1066">
        <f t="shared" si="2"/>
        <v>0</v>
      </c>
      <c r="H71" s="1066"/>
      <c r="I71" s="1066">
        <f t="shared" si="9"/>
        <v>0</v>
      </c>
      <c r="J71" s="1066">
        <f t="shared" si="10"/>
        <v>0</v>
      </c>
      <c r="K71" s="1066">
        <f t="shared" si="11"/>
        <v>0</v>
      </c>
      <c r="L71" s="1066">
        <f t="shared" si="12"/>
        <v>0</v>
      </c>
      <c r="M71" s="1066">
        <f t="shared" si="13"/>
        <v>0</v>
      </c>
      <c r="N71" s="1066"/>
      <c r="O71" s="854">
        <v>0</v>
      </c>
      <c r="P71" s="854">
        <v>0</v>
      </c>
      <c r="Q71" s="854">
        <v>0</v>
      </c>
      <c r="R71" s="854">
        <v>0</v>
      </c>
      <c r="S71" s="854">
        <v>0</v>
      </c>
      <c r="T71" s="1066"/>
      <c r="U71" s="854">
        <v>0</v>
      </c>
      <c r="V71" s="854">
        <v>0</v>
      </c>
      <c r="W71" s="854">
        <v>0</v>
      </c>
      <c r="X71" s="854">
        <v>0</v>
      </c>
      <c r="Y71" s="854">
        <v>0</v>
      </c>
    </row>
    <row r="72" spans="1:25">
      <c r="A72" s="1096">
        <f t="shared" si="8"/>
        <v>2.5599999999999881</v>
      </c>
      <c r="B72" s="854" t="s">
        <v>1272</v>
      </c>
      <c r="C72" s="1066">
        <f t="shared" si="0"/>
        <v>103467</v>
      </c>
      <c r="D72" s="1066">
        <f t="shared" si="1"/>
        <v>302460.28000000003</v>
      </c>
      <c r="E72" s="1066"/>
      <c r="F72" s="1066"/>
      <c r="G72" s="1066">
        <f t="shared" si="2"/>
        <v>202964</v>
      </c>
      <c r="H72" s="1066"/>
      <c r="I72" s="1066">
        <f t="shared" si="9"/>
        <v>0</v>
      </c>
      <c r="J72" s="1066">
        <f t="shared" si="10"/>
        <v>0</v>
      </c>
      <c r="K72" s="1066">
        <f t="shared" si="11"/>
        <v>202963.64</v>
      </c>
      <c r="L72" s="1066">
        <f t="shared" si="12"/>
        <v>0</v>
      </c>
      <c r="M72" s="1066">
        <f t="shared" si="13"/>
        <v>0</v>
      </c>
      <c r="N72" s="1066"/>
      <c r="O72" s="854">
        <v>0</v>
      </c>
      <c r="P72" s="854">
        <v>0</v>
      </c>
      <c r="Q72" s="854">
        <v>103467</v>
      </c>
      <c r="R72" s="854">
        <v>0</v>
      </c>
      <c r="S72" s="854">
        <v>0</v>
      </c>
      <c r="T72" s="1066"/>
      <c r="U72" s="854">
        <v>0</v>
      </c>
      <c r="V72" s="854">
        <v>0</v>
      </c>
      <c r="W72" s="854">
        <v>302460.28000000003</v>
      </c>
      <c r="X72" s="854">
        <v>0</v>
      </c>
      <c r="Y72" s="854">
        <v>0</v>
      </c>
    </row>
    <row r="73" spans="1:25">
      <c r="A73" s="1096">
        <f t="shared" si="8"/>
        <v>2.5699999999999878</v>
      </c>
      <c r="B73" s="854" t="s">
        <v>1273</v>
      </c>
      <c r="C73" s="1066">
        <f t="shared" si="0"/>
        <v>0</v>
      </c>
      <c r="D73" s="1066">
        <f t="shared" si="1"/>
        <v>0</v>
      </c>
      <c r="E73" s="1066"/>
      <c r="F73" s="1066"/>
      <c r="G73" s="1066">
        <f t="shared" si="2"/>
        <v>0</v>
      </c>
      <c r="H73" s="1066"/>
      <c r="I73" s="1066">
        <f t="shared" si="9"/>
        <v>0</v>
      </c>
      <c r="J73" s="1066">
        <f t="shared" si="10"/>
        <v>0</v>
      </c>
      <c r="K73" s="1066">
        <f t="shared" si="11"/>
        <v>0</v>
      </c>
      <c r="L73" s="1066">
        <f t="shared" si="12"/>
        <v>0</v>
      </c>
      <c r="M73" s="1066">
        <f t="shared" si="13"/>
        <v>0</v>
      </c>
      <c r="N73" s="1066"/>
      <c r="O73" s="854">
        <v>0</v>
      </c>
      <c r="P73" s="854">
        <v>0</v>
      </c>
      <c r="Q73" s="854">
        <v>0</v>
      </c>
      <c r="R73" s="854">
        <v>0</v>
      </c>
      <c r="S73" s="854">
        <v>0</v>
      </c>
      <c r="T73" s="1066"/>
      <c r="U73" s="854">
        <v>0</v>
      </c>
      <c r="V73" s="854">
        <v>0</v>
      </c>
      <c r="W73" s="854">
        <v>0</v>
      </c>
      <c r="X73" s="854">
        <v>0</v>
      </c>
      <c r="Y73" s="854">
        <v>0</v>
      </c>
    </row>
    <row r="74" spans="1:25">
      <c r="A74" s="1096">
        <f t="shared" si="8"/>
        <v>2.5799999999999876</v>
      </c>
      <c r="B74" s="854" t="s">
        <v>1274</v>
      </c>
      <c r="C74" s="1066">
        <f t="shared" si="0"/>
        <v>0</v>
      </c>
      <c r="D74" s="1066">
        <f t="shared" si="1"/>
        <v>0</v>
      </c>
      <c r="E74" s="1066"/>
      <c r="F74" s="1066"/>
      <c r="G74" s="1066">
        <f t="shared" si="2"/>
        <v>0</v>
      </c>
      <c r="H74" s="1066"/>
      <c r="I74" s="1066">
        <f t="shared" si="9"/>
        <v>0</v>
      </c>
      <c r="J74" s="1066">
        <f t="shared" si="10"/>
        <v>0</v>
      </c>
      <c r="K74" s="1066">
        <f t="shared" si="11"/>
        <v>0</v>
      </c>
      <c r="L74" s="1066">
        <f t="shared" si="12"/>
        <v>0</v>
      </c>
      <c r="M74" s="1066">
        <f t="shared" si="13"/>
        <v>0</v>
      </c>
      <c r="N74" s="1066"/>
      <c r="O74" s="854">
        <v>0</v>
      </c>
      <c r="P74" s="854">
        <v>0</v>
      </c>
      <c r="Q74" s="854">
        <v>0</v>
      </c>
      <c r="R74" s="854">
        <v>0</v>
      </c>
      <c r="S74" s="854">
        <v>0</v>
      </c>
      <c r="T74" s="1066"/>
      <c r="U74" s="854">
        <v>0</v>
      </c>
      <c r="V74" s="854">
        <v>0</v>
      </c>
      <c r="W74" s="854">
        <v>0</v>
      </c>
      <c r="X74" s="854">
        <v>0</v>
      </c>
      <c r="Y74" s="854">
        <v>0</v>
      </c>
    </row>
    <row r="75" spans="1:25">
      <c r="A75" s="1096">
        <f t="shared" si="8"/>
        <v>2.5899999999999874</v>
      </c>
      <c r="B75" s="854" t="s">
        <v>1275</v>
      </c>
      <c r="C75" s="1066">
        <f t="shared" si="0"/>
        <v>7780</v>
      </c>
      <c r="D75" s="1066">
        <f t="shared" si="1"/>
        <v>7780</v>
      </c>
      <c r="E75" s="1066"/>
      <c r="F75" s="1066"/>
      <c r="G75" s="1066">
        <f t="shared" si="2"/>
        <v>7780</v>
      </c>
      <c r="H75" s="1066"/>
      <c r="I75" s="1066">
        <f t="shared" si="9"/>
        <v>7780</v>
      </c>
      <c r="J75" s="1066">
        <f t="shared" si="10"/>
        <v>0</v>
      </c>
      <c r="K75" s="1066">
        <f t="shared" si="11"/>
        <v>0</v>
      </c>
      <c r="L75" s="1066">
        <f t="shared" si="12"/>
        <v>0</v>
      </c>
      <c r="M75" s="1066">
        <f t="shared" si="13"/>
        <v>0</v>
      </c>
      <c r="N75" s="1066"/>
      <c r="O75" s="854">
        <v>7780</v>
      </c>
      <c r="P75" s="854">
        <v>0</v>
      </c>
      <c r="Q75" s="854">
        <v>0</v>
      </c>
      <c r="R75" s="854">
        <v>0</v>
      </c>
      <c r="S75" s="854">
        <v>0</v>
      </c>
      <c r="T75" s="1066"/>
      <c r="U75" s="854">
        <v>7780</v>
      </c>
      <c r="V75" s="854">
        <v>0</v>
      </c>
      <c r="W75" s="854">
        <v>0</v>
      </c>
      <c r="X75" s="854">
        <v>0</v>
      </c>
      <c r="Y75" s="854">
        <v>0</v>
      </c>
    </row>
    <row r="76" spans="1:25">
      <c r="A76" s="1096">
        <f t="shared" si="8"/>
        <v>2.5999999999999872</v>
      </c>
      <c r="B76" s="854" t="s">
        <v>1276</v>
      </c>
      <c r="C76" s="1066">
        <f t="shared" si="0"/>
        <v>2750</v>
      </c>
      <c r="D76" s="1066">
        <f t="shared" si="1"/>
        <v>2750</v>
      </c>
      <c r="E76" s="1066"/>
      <c r="F76" s="1066"/>
      <c r="G76" s="1066">
        <f t="shared" si="2"/>
        <v>2750</v>
      </c>
      <c r="H76" s="1066"/>
      <c r="I76" s="1066">
        <f t="shared" si="9"/>
        <v>2750</v>
      </c>
      <c r="J76" s="1066">
        <f t="shared" si="10"/>
        <v>0</v>
      </c>
      <c r="K76" s="1066">
        <f t="shared" si="11"/>
        <v>0</v>
      </c>
      <c r="L76" s="1066">
        <f t="shared" si="12"/>
        <v>0</v>
      </c>
      <c r="M76" s="1066">
        <f t="shared" si="13"/>
        <v>0</v>
      </c>
      <c r="N76" s="1066"/>
      <c r="O76" s="854">
        <v>2750</v>
      </c>
      <c r="P76" s="854">
        <v>0</v>
      </c>
      <c r="Q76" s="854">
        <v>0</v>
      </c>
      <c r="R76" s="854">
        <v>0</v>
      </c>
      <c r="S76" s="854">
        <v>0</v>
      </c>
      <c r="T76" s="1066"/>
      <c r="U76" s="854">
        <v>2750</v>
      </c>
      <c r="V76" s="854">
        <v>0</v>
      </c>
      <c r="W76" s="854">
        <v>0</v>
      </c>
      <c r="X76" s="854">
        <v>0</v>
      </c>
      <c r="Y76" s="854">
        <v>0</v>
      </c>
    </row>
    <row r="77" spans="1:25">
      <c r="A77" s="1096">
        <f t="shared" si="8"/>
        <v>2.609999999999987</v>
      </c>
      <c r="B77" s="854" t="s">
        <v>1277</v>
      </c>
      <c r="C77" s="1066">
        <f t="shared" si="0"/>
        <v>128960</v>
      </c>
      <c r="D77" s="1066">
        <f t="shared" si="1"/>
        <v>132349.25</v>
      </c>
      <c r="E77" s="1066"/>
      <c r="F77" s="1066"/>
      <c r="G77" s="1066">
        <f t="shared" si="2"/>
        <v>130655</v>
      </c>
      <c r="H77" s="1066"/>
      <c r="I77" s="1066">
        <f t="shared" si="9"/>
        <v>0</v>
      </c>
      <c r="J77" s="1066">
        <f t="shared" si="10"/>
        <v>0</v>
      </c>
      <c r="K77" s="1066">
        <f t="shared" si="11"/>
        <v>0</v>
      </c>
      <c r="L77" s="1066">
        <f t="shared" si="12"/>
        <v>130654.625</v>
      </c>
      <c r="M77" s="1066">
        <f t="shared" si="13"/>
        <v>0</v>
      </c>
      <c r="N77" s="1066"/>
      <c r="O77" s="854">
        <v>0</v>
      </c>
      <c r="P77" s="854">
        <v>0</v>
      </c>
      <c r="Q77" s="854">
        <v>0</v>
      </c>
      <c r="R77" s="854">
        <v>128960</v>
      </c>
      <c r="S77" s="854">
        <v>0</v>
      </c>
      <c r="T77" s="1066"/>
      <c r="U77" s="854">
        <v>0</v>
      </c>
      <c r="V77" s="854">
        <v>0</v>
      </c>
      <c r="W77" s="854">
        <v>0</v>
      </c>
      <c r="X77" s="854">
        <v>132349.25</v>
      </c>
      <c r="Y77" s="854">
        <v>0</v>
      </c>
    </row>
    <row r="78" spans="1:25">
      <c r="A78" s="1096">
        <f t="shared" si="8"/>
        <v>2.6199999999999868</v>
      </c>
      <c r="B78" s="854" t="s">
        <v>1278</v>
      </c>
      <c r="C78" s="1066">
        <f t="shared" si="0"/>
        <v>747471</v>
      </c>
      <c r="D78" s="1066">
        <f t="shared" si="1"/>
        <v>1238605.6399999999</v>
      </c>
      <c r="E78" s="1066"/>
      <c r="F78" s="1066"/>
      <c r="G78" s="1066">
        <f t="shared" si="2"/>
        <v>993038</v>
      </c>
      <c r="H78" s="1066"/>
      <c r="I78" s="1066">
        <f t="shared" si="9"/>
        <v>993038.32</v>
      </c>
      <c r="J78" s="1066">
        <f t="shared" si="10"/>
        <v>0</v>
      </c>
      <c r="K78" s="1066">
        <f t="shared" si="11"/>
        <v>0</v>
      </c>
      <c r="L78" s="1066">
        <f t="shared" si="12"/>
        <v>0</v>
      </c>
      <c r="M78" s="1066">
        <f t="shared" si="13"/>
        <v>0</v>
      </c>
      <c r="N78" s="1066"/>
      <c r="O78" s="854">
        <v>747471</v>
      </c>
      <c r="P78" s="854">
        <v>0</v>
      </c>
      <c r="Q78" s="854">
        <v>0</v>
      </c>
      <c r="R78" s="854">
        <v>0</v>
      </c>
      <c r="S78" s="854">
        <v>0</v>
      </c>
      <c r="T78" s="1066"/>
      <c r="U78" s="854">
        <v>1238605.6399999999</v>
      </c>
      <c r="V78" s="854">
        <v>0</v>
      </c>
      <c r="W78" s="854">
        <v>0</v>
      </c>
      <c r="X78" s="854">
        <v>0</v>
      </c>
      <c r="Y78" s="854">
        <v>0</v>
      </c>
    </row>
    <row r="79" spans="1:25">
      <c r="A79" s="1096">
        <f t="shared" si="8"/>
        <v>2.6299999999999866</v>
      </c>
      <c r="B79" s="854" t="s">
        <v>1279</v>
      </c>
      <c r="C79" s="1066">
        <f t="shared" si="0"/>
        <v>0</v>
      </c>
      <c r="D79" s="1066">
        <f t="shared" si="1"/>
        <v>0</v>
      </c>
      <c r="E79" s="1066"/>
      <c r="F79" s="1066"/>
      <c r="G79" s="1066">
        <f t="shared" si="2"/>
        <v>0</v>
      </c>
      <c r="H79" s="1066"/>
      <c r="I79" s="1066">
        <f t="shared" si="9"/>
        <v>0</v>
      </c>
      <c r="J79" s="1066">
        <f t="shared" si="10"/>
        <v>0</v>
      </c>
      <c r="K79" s="1066">
        <f t="shared" si="11"/>
        <v>0</v>
      </c>
      <c r="L79" s="1066">
        <f t="shared" si="12"/>
        <v>0</v>
      </c>
      <c r="M79" s="1066">
        <f t="shared" si="13"/>
        <v>0</v>
      </c>
      <c r="N79" s="1066"/>
      <c r="O79" s="854">
        <v>0</v>
      </c>
      <c r="P79" s="854">
        <v>0</v>
      </c>
      <c r="Q79" s="854">
        <v>0</v>
      </c>
      <c r="R79" s="854">
        <v>0</v>
      </c>
      <c r="S79" s="854">
        <v>0</v>
      </c>
      <c r="T79" s="1066"/>
      <c r="U79" s="854">
        <v>0</v>
      </c>
      <c r="V79" s="854">
        <v>0</v>
      </c>
      <c r="W79" s="854">
        <v>0</v>
      </c>
      <c r="X79" s="854">
        <v>0</v>
      </c>
      <c r="Y79" s="854">
        <v>0</v>
      </c>
    </row>
    <row r="80" spans="1:25">
      <c r="A80" s="1096">
        <f t="shared" si="8"/>
        <v>2.6399999999999864</v>
      </c>
      <c r="B80" s="854" t="s">
        <v>1280</v>
      </c>
      <c r="C80" s="1071">
        <f t="shared" si="0"/>
        <v>173983177</v>
      </c>
      <c r="D80" s="1071">
        <f t="shared" si="1"/>
        <v>259549718.43000001</v>
      </c>
      <c r="E80" s="1071"/>
      <c r="F80" s="1071"/>
      <c r="G80" s="1071">
        <f t="shared" si="2"/>
        <v>216766448</v>
      </c>
      <c r="H80" s="1071"/>
      <c r="I80" s="1071">
        <f t="shared" si="9"/>
        <v>0</v>
      </c>
      <c r="J80" s="1071">
        <f t="shared" si="10"/>
        <v>216766447.715</v>
      </c>
      <c r="K80" s="1071">
        <f t="shared" si="11"/>
        <v>0</v>
      </c>
      <c r="L80" s="1071">
        <f t="shared" si="12"/>
        <v>0</v>
      </c>
      <c r="M80" s="1071">
        <f t="shared" si="13"/>
        <v>0</v>
      </c>
      <c r="N80" s="1071"/>
      <c r="O80" s="854">
        <v>0</v>
      </c>
      <c r="P80" s="854">
        <v>173983177</v>
      </c>
      <c r="Q80" s="854">
        <v>0</v>
      </c>
      <c r="R80" s="854">
        <v>0</v>
      </c>
      <c r="S80" s="854">
        <v>0</v>
      </c>
      <c r="T80" s="1071"/>
      <c r="U80" s="854">
        <v>0</v>
      </c>
      <c r="V80" s="854">
        <v>259549718.43000001</v>
      </c>
      <c r="W80" s="854">
        <v>0</v>
      </c>
      <c r="X80" s="854">
        <v>0</v>
      </c>
      <c r="Y80" s="854">
        <v>0</v>
      </c>
    </row>
    <row r="81" spans="1:25">
      <c r="A81" s="1096">
        <f t="shared" si="8"/>
        <v>2.6499999999999861</v>
      </c>
      <c r="B81" s="854" t="s">
        <v>1281</v>
      </c>
      <c r="C81" s="1066">
        <f t="shared" ref="C81:C129" si="14">SUM(O81:R81)</f>
        <v>4160</v>
      </c>
      <c r="D81" s="1066">
        <f t="shared" ref="D81:D129" si="15">SUM(U81:X81)</f>
        <v>36607.14</v>
      </c>
      <c r="E81" s="1066"/>
      <c r="F81" s="1066"/>
      <c r="G81" s="1066">
        <f t="shared" ref="G81:G138" si="16">ROUND(SUM(C81:F81)/2,0)</f>
        <v>20384</v>
      </c>
      <c r="H81" s="1066"/>
      <c r="I81" s="1066">
        <f t="shared" ref="I81:I88" si="17">(O81+U81)/2</f>
        <v>-1503.5349999999999</v>
      </c>
      <c r="J81" s="1066">
        <f t="shared" ref="J81:J88" si="18">(P81+V81)/2</f>
        <v>14544.165000000001</v>
      </c>
      <c r="K81" s="1066">
        <f t="shared" ref="K81:K88" si="19">(Q81+W81)/2</f>
        <v>7.085</v>
      </c>
      <c r="L81" s="1066">
        <f t="shared" ref="L81:L88" si="20">(R81+X81)/2</f>
        <v>7335.8549999999996</v>
      </c>
      <c r="M81" s="1066">
        <f t="shared" ref="M81:M88" si="21">(S81+Y81)/2</f>
        <v>0</v>
      </c>
      <c r="N81" s="1066"/>
      <c r="O81" s="854">
        <v>-1299</v>
      </c>
      <c r="P81" s="854">
        <v>2065</v>
      </c>
      <c r="Q81" s="854">
        <v>0</v>
      </c>
      <c r="R81" s="854">
        <v>3394</v>
      </c>
      <c r="S81" s="854">
        <v>0</v>
      </c>
      <c r="T81" s="1066"/>
      <c r="U81" s="854">
        <v>-1708.07</v>
      </c>
      <c r="V81" s="854">
        <v>27023.33</v>
      </c>
      <c r="W81" s="854">
        <v>14.17</v>
      </c>
      <c r="X81" s="854">
        <v>11277.71</v>
      </c>
      <c r="Y81" s="854">
        <v>0</v>
      </c>
    </row>
    <row r="82" spans="1:25">
      <c r="A82" s="1096">
        <f t="shared" si="8"/>
        <v>2.6599999999999859</v>
      </c>
      <c r="B82" s="854" t="s">
        <v>1282</v>
      </c>
      <c r="C82" s="1066">
        <f t="shared" si="14"/>
        <v>0</v>
      </c>
      <c r="D82" s="1066">
        <f t="shared" si="15"/>
        <v>0</v>
      </c>
      <c r="E82" s="1066"/>
      <c r="F82" s="1066"/>
      <c r="G82" s="1066">
        <f t="shared" si="16"/>
        <v>0</v>
      </c>
      <c r="H82" s="1066"/>
      <c r="I82" s="1066">
        <f t="shared" si="17"/>
        <v>0</v>
      </c>
      <c r="J82" s="1066">
        <f t="shared" si="18"/>
        <v>0</v>
      </c>
      <c r="K82" s="1066">
        <f t="shared" si="19"/>
        <v>0</v>
      </c>
      <c r="L82" s="1066">
        <f t="shared" si="20"/>
        <v>0</v>
      </c>
      <c r="M82" s="1066">
        <f t="shared" si="21"/>
        <v>0</v>
      </c>
      <c r="N82" s="1066"/>
      <c r="O82" s="854">
        <v>0</v>
      </c>
      <c r="P82" s="854">
        <v>0</v>
      </c>
      <c r="Q82" s="854">
        <v>0</v>
      </c>
      <c r="R82" s="854">
        <v>0</v>
      </c>
      <c r="S82" s="854">
        <v>0</v>
      </c>
      <c r="T82" s="1066"/>
      <c r="U82" s="854">
        <v>0</v>
      </c>
      <c r="V82" s="854">
        <v>0</v>
      </c>
      <c r="W82" s="854">
        <v>0</v>
      </c>
      <c r="X82" s="854">
        <v>0</v>
      </c>
      <c r="Y82" s="854">
        <v>0</v>
      </c>
    </row>
    <row r="83" spans="1:25">
      <c r="A83" s="1096">
        <f t="shared" ref="A83:A138" si="22">A82+0.01</f>
        <v>2.6699999999999857</v>
      </c>
      <c r="B83" s="854" t="s">
        <v>1283</v>
      </c>
      <c r="C83" s="1066">
        <f t="shared" si="14"/>
        <v>2540629</v>
      </c>
      <c r="D83" s="1066">
        <f t="shared" si="15"/>
        <v>2557664.4900000002</v>
      </c>
      <c r="E83" s="1066"/>
      <c r="F83" s="1066"/>
      <c r="G83" s="1066">
        <f t="shared" si="16"/>
        <v>2549147</v>
      </c>
      <c r="H83" s="1066"/>
      <c r="I83" s="1066">
        <f t="shared" si="17"/>
        <v>0</v>
      </c>
      <c r="J83" s="1066">
        <f t="shared" si="18"/>
        <v>2549146.7450000001</v>
      </c>
      <c r="K83" s="1066">
        <f t="shared" si="19"/>
        <v>0</v>
      </c>
      <c r="L83" s="1066">
        <f t="shared" si="20"/>
        <v>0</v>
      </c>
      <c r="M83" s="1066">
        <f t="shared" si="21"/>
        <v>0</v>
      </c>
      <c r="N83" s="1066"/>
      <c r="O83" s="854">
        <v>0</v>
      </c>
      <c r="P83" s="854">
        <v>2540629</v>
      </c>
      <c r="Q83" s="854">
        <v>0</v>
      </c>
      <c r="R83" s="854">
        <v>0</v>
      </c>
      <c r="S83" s="854">
        <v>0</v>
      </c>
      <c r="T83" s="1066"/>
      <c r="U83" s="854">
        <v>0</v>
      </c>
      <c r="V83" s="854">
        <v>2557664.4900000002</v>
      </c>
      <c r="W83" s="854">
        <v>0</v>
      </c>
      <c r="X83" s="854">
        <v>0</v>
      </c>
      <c r="Y83" s="854">
        <v>0</v>
      </c>
    </row>
    <row r="84" spans="1:25">
      <c r="A84" s="1096">
        <f t="shared" si="22"/>
        <v>2.6799999999999855</v>
      </c>
      <c r="B84" s="854" t="s">
        <v>1284</v>
      </c>
      <c r="C84" s="1066">
        <f t="shared" si="14"/>
        <v>16269630</v>
      </c>
      <c r="D84" s="1066">
        <f t="shared" si="15"/>
        <v>16406363.050000001</v>
      </c>
      <c r="E84" s="1066"/>
      <c r="F84" s="1066"/>
      <c r="G84" s="1066">
        <f t="shared" si="16"/>
        <v>16337997</v>
      </c>
      <c r="H84" s="1066"/>
      <c r="I84" s="1066">
        <f t="shared" si="17"/>
        <v>0</v>
      </c>
      <c r="J84" s="1066">
        <f t="shared" si="18"/>
        <v>16337996.525</v>
      </c>
      <c r="K84" s="1066">
        <f t="shared" si="19"/>
        <v>0</v>
      </c>
      <c r="L84" s="1066">
        <f t="shared" si="20"/>
        <v>0</v>
      </c>
      <c r="M84" s="1066">
        <f t="shared" si="21"/>
        <v>0</v>
      </c>
      <c r="N84" s="1066"/>
      <c r="O84" s="854">
        <v>0</v>
      </c>
      <c r="P84" s="854">
        <v>16269630</v>
      </c>
      <c r="Q84" s="854">
        <v>0</v>
      </c>
      <c r="R84" s="854">
        <v>0</v>
      </c>
      <c r="S84" s="854">
        <v>0</v>
      </c>
      <c r="T84" s="1066"/>
      <c r="U84" s="854">
        <v>0</v>
      </c>
      <c r="V84" s="854">
        <v>16406363.050000001</v>
      </c>
      <c r="W84" s="854">
        <v>0</v>
      </c>
      <c r="X84" s="854">
        <v>0</v>
      </c>
      <c r="Y84" s="854">
        <v>0</v>
      </c>
    </row>
    <row r="85" spans="1:25">
      <c r="A85" s="1096">
        <f t="shared" si="22"/>
        <v>2.6899999999999853</v>
      </c>
      <c r="B85" s="854" t="s">
        <v>1285</v>
      </c>
      <c r="C85" s="1066">
        <f t="shared" si="14"/>
        <v>5399684</v>
      </c>
      <c r="D85" s="1066">
        <f t="shared" si="15"/>
        <v>5421127.7300000004</v>
      </c>
      <c r="E85" s="1066"/>
      <c r="F85" s="1066"/>
      <c r="G85" s="1066">
        <f t="shared" si="16"/>
        <v>5410406</v>
      </c>
      <c r="H85" s="1066"/>
      <c r="I85" s="1066">
        <f t="shared" si="17"/>
        <v>0</v>
      </c>
      <c r="J85" s="1066">
        <f t="shared" si="18"/>
        <v>5410405.8650000002</v>
      </c>
      <c r="K85" s="1066">
        <f t="shared" si="19"/>
        <v>0</v>
      </c>
      <c r="L85" s="1066">
        <f t="shared" si="20"/>
        <v>0</v>
      </c>
      <c r="M85" s="1066">
        <f t="shared" si="21"/>
        <v>0</v>
      </c>
      <c r="N85" s="1066"/>
      <c r="O85" s="854">
        <v>0</v>
      </c>
      <c r="P85" s="854">
        <v>5399684</v>
      </c>
      <c r="Q85" s="854">
        <v>0</v>
      </c>
      <c r="R85" s="854">
        <v>0</v>
      </c>
      <c r="S85" s="854">
        <v>0</v>
      </c>
      <c r="T85" s="1066"/>
      <c r="U85" s="854">
        <v>0</v>
      </c>
      <c r="V85" s="854">
        <v>5421127.7300000004</v>
      </c>
      <c r="W85" s="854">
        <v>0</v>
      </c>
      <c r="X85" s="854">
        <v>0</v>
      </c>
      <c r="Y85" s="854">
        <v>0</v>
      </c>
    </row>
    <row r="86" spans="1:25">
      <c r="A86" s="1096">
        <f t="shared" si="22"/>
        <v>2.6999999999999851</v>
      </c>
      <c r="B86" s="854" t="s">
        <v>1286</v>
      </c>
      <c r="C86" s="1066">
        <f t="shared" si="14"/>
        <v>-14680622</v>
      </c>
      <c r="D86" s="1066">
        <f t="shared" si="15"/>
        <v>-14680621.800000001</v>
      </c>
      <c r="E86" s="1066"/>
      <c r="F86" s="1066"/>
      <c r="G86" s="1066">
        <f t="shared" si="16"/>
        <v>-14680622</v>
      </c>
      <c r="H86" s="1066"/>
      <c r="I86" s="1066">
        <f t="shared" si="17"/>
        <v>0</v>
      </c>
      <c r="J86" s="1066">
        <f t="shared" si="18"/>
        <v>-14680621.9</v>
      </c>
      <c r="K86" s="1066">
        <f t="shared" si="19"/>
        <v>0</v>
      </c>
      <c r="L86" s="1066">
        <f t="shared" si="20"/>
        <v>0</v>
      </c>
      <c r="M86" s="1066">
        <f t="shared" si="21"/>
        <v>0</v>
      </c>
      <c r="N86" s="1066"/>
      <c r="O86" s="854">
        <v>0</v>
      </c>
      <c r="P86" s="854">
        <v>-14680622</v>
      </c>
      <c r="Q86" s="854">
        <v>0</v>
      </c>
      <c r="R86" s="854">
        <v>0</v>
      </c>
      <c r="S86" s="854">
        <v>0</v>
      </c>
      <c r="T86" s="1066"/>
      <c r="U86" s="854">
        <v>0</v>
      </c>
      <c r="V86" s="854">
        <v>-14680621.800000001</v>
      </c>
      <c r="W86" s="854">
        <v>0</v>
      </c>
      <c r="X86" s="854">
        <v>0</v>
      </c>
      <c r="Y86" s="854">
        <v>0</v>
      </c>
    </row>
    <row r="87" spans="1:25">
      <c r="A87" s="1096">
        <f t="shared" si="22"/>
        <v>2.7099999999999849</v>
      </c>
      <c r="B87" s="854" t="s">
        <v>1287</v>
      </c>
      <c r="C87" s="1066">
        <f t="shared" si="14"/>
        <v>0</v>
      </c>
      <c r="D87" s="1066">
        <f t="shared" si="15"/>
        <v>0</v>
      </c>
      <c r="E87" s="1066"/>
      <c r="F87" s="1066"/>
      <c r="G87" s="1066">
        <f t="shared" si="16"/>
        <v>0</v>
      </c>
      <c r="H87" s="1066"/>
      <c r="I87" s="1066">
        <f t="shared" si="17"/>
        <v>0</v>
      </c>
      <c r="J87" s="1066">
        <f t="shared" si="18"/>
        <v>0</v>
      </c>
      <c r="K87" s="1066">
        <f t="shared" si="19"/>
        <v>0</v>
      </c>
      <c r="L87" s="1066">
        <f t="shared" si="20"/>
        <v>0</v>
      </c>
      <c r="M87" s="1066">
        <f t="shared" si="21"/>
        <v>0</v>
      </c>
      <c r="N87" s="1066"/>
      <c r="O87" s="854">
        <v>0</v>
      </c>
      <c r="P87" s="854">
        <v>0</v>
      </c>
      <c r="Q87" s="854">
        <v>0</v>
      </c>
      <c r="R87" s="854">
        <v>0</v>
      </c>
      <c r="S87" s="854">
        <v>0</v>
      </c>
      <c r="T87" s="1066"/>
      <c r="U87" s="854">
        <v>0</v>
      </c>
      <c r="V87" s="854">
        <v>0</v>
      </c>
      <c r="W87" s="854">
        <v>0</v>
      </c>
      <c r="X87" s="854">
        <v>0</v>
      </c>
      <c r="Y87" s="854">
        <v>0</v>
      </c>
    </row>
    <row r="88" spans="1:25">
      <c r="A88" s="1096">
        <f t="shared" si="22"/>
        <v>2.7199999999999847</v>
      </c>
      <c r="B88" s="854" t="s">
        <v>1288</v>
      </c>
      <c r="C88" s="1066">
        <f t="shared" si="14"/>
        <v>8854797</v>
      </c>
      <c r="D88" s="1066">
        <f t="shared" si="15"/>
        <v>8980172.0999999996</v>
      </c>
      <c r="E88" s="1066"/>
      <c r="F88" s="1066"/>
      <c r="G88" s="1066">
        <f t="shared" si="16"/>
        <v>8917485</v>
      </c>
      <c r="H88" s="1066"/>
      <c r="I88" s="1066">
        <f t="shared" si="17"/>
        <v>0</v>
      </c>
      <c r="J88" s="1066">
        <f t="shared" si="18"/>
        <v>8917484.5500000007</v>
      </c>
      <c r="K88" s="1066">
        <f t="shared" si="19"/>
        <v>0</v>
      </c>
      <c r="L88" s="1066">
        <f t="shared" si="20"/>
        <v>0</v>
      </c>
      <c r="M88" s="1066">
        <f t="shared" si="21"/>
        <v>0</v>
      </c>
      <c r="N88" s="1066"/>
      <c r="O88" s="854">
        <v>0</v>
      </c>
      <c r="P88" s="854">
        <v>8854797</v>
      </c>
      <c r="Q88" s="854">
        <v>0</v>
      </c>
      <c r="R88" s="854">
        <v>0</v>
      </c>
      <c r="S88" s="854">
        <v>0</v>
      </c>
      <c r="T88" s="1066"/>
      <c r="U88" s="854">
        <v>0</v>
      </c>
      <c r="V88" s="854">
        <v>8980172.0999999996</v>
      </c>
      <c r="W88" s="854">
        <v>0</v>
      </c>
      <c r="X88" s="854">
        <v>0</v>
      </c>
      <c r="Y88" s="854">
        <v>0</v>
      </c>
    </row>
    <row r="89" spans="1:25">
      <c r="A89" s="1096">
        <f t="shared" si="22"/>
        <v>2.7299999999999844</v>
      </c>
      <c r="B89" s="854" t="s">
        <v>1289</v>
      </c>
      <c r="C89" s="1066">
        <f t="shared" ref="C89:C122" si="23">SUM(O89:R89)</f>
        <v>27251905</v>
      </c>
      <c r="D89" s="1066">
        <f t="shared" ref="D89:D122" si="24">SUM(U89:X89)</f>
        <v>27803375.059999999</v>
      </c>
      <c r="E89" s="1066"/>
      <c r="F89" s="1066"/>
      <c r="G89" s="1066">
        <f t="shared" ref="G89:G122" si="25">ROUND(SUM(C89:F89)/2,0)</f>
        <v>27527640</v>
      </c>
      <c r="H89" s="1066"/>
      <c r="I89" s="1066">
        <f t="shared" ref="I89:J122" si="26">(O89+U89)/2</f>
        <v>0</v>
      </c>
      <c r="J89" s="1066">
        <f t="shared" si="26"/>
        <v>27527640.030000001</v>
      </c>
      <c r="K89" s="1066">
        <f t="shared" ref="K89:K122" si="27">(Q89+W89)/2</f>
        <v>0</v>
      </c>
      <c r="L89" s="1066">
        <f t="shared" ref="L89:M122" si="28">(R89+X89)/2</f>
        <v>0</v>
      </c>
      <c r="M89" s="1066">
        <f t="shared" si="28"/>
        <v>0</v>
      </c>
      <c r="N89" s="1066"/>
      <c r="O89" s="854">
        <v>0</v>
      </c>
      <c r="P89" s="854">
        <v>27251905</v>
      </c>
      <c r="Q89" s="854">
        <v>0</v>
      </c>
      <c r="R89" s="854">
        <v>0</v>
      </c>
      <c r="S89" s="854">
        <v>0</v>
      </c>
      <c r="T89" s="1066"/>
      <c r="U89" s="854">
        <v>0</v>
      </c>
      <c r="V89" s="854">
        <v>27803375.059999999</v>
      </c>
      <c r="W89" s="854">
        <v>0</v>
      </c>
      <c r="X89" s="854">
        <v>0</v>
      </c>
      <c r="Y89" s="854">
        <v>0</v>
      </c>
    </row>
    <row r="90" spans="1:25">
      <c r="A90" s="1096">
        <f t="shared" si="22"/>
        <v>2.7399999999999842</v>
      </c>
      <c r="B90" s="854" t="s">
        <v>1290</v>
      </c>
      <c r="C90" s="1066">
        <f t="shared" si="23"/>
        <v>5149148</v>
      </c>
      <c r="D90" s="1066">
        <f t="shared" si="24"/>
        <v>5264256.7</v>
      </c>
      <c r="E90" s="1066"/>
      <c r="F90" s="1066"/>
      <c r="G90" s="1066">
        <f t="shared" si="25"/>
        <v>5206702</v>
      </c>
      <c r="H90" s="1066"/>
      <c r="I90" s="1066">
        <f t="shared" si="26"/>
        <v>0</v>
      </c>
      <c r="J90" s="1066">
        <f t="shared" si="26"/>
        <v>5206702.3499999996</v>
      </c>
      <c r="K90" s="1066">
        <f t="shared" si="27"/>
        <v>0</v>
      </c>
      <c r="L90" s="1066">
        <f t="shared" si="28"/>
        <v>0</v>
      </c>
      <c r="M90" s="1066">
        <f t="shared" si="28"/>
        <v>0</v>
      </c>
      <c r="N90" s="1066"/>
      <c r="O90" s="854">
        <v>0</v>
      </c>
      <c r="P90" s="854">
        <v>5149148</v>
      </c>
      <c r="Q90" s="854">
        <v>0</v>
      </c>
      <c r="R90" s="854">
        <v>0</v>
      </c>
      <c r="S90" s="854">
        <v>0</v>
      </c>
      <c r="T90" s="1066"/>
      <c r="U90" s="854">
        <v>0</v>
      </c>
      <c r="V90" s="854">
        <v>5264256.7</v>
      </c>
      <c r="W90" s="854">
        <v>0</v>
      </c>
      <c r="X90" s="854">
        <v>0</v>
      </c>
      <c r="Y90" s="854">
        <v>0</v>
      </c>
    </row>
    <row r="91" spans="1:25">
      <c r="A91" s="1096">
        <f t="shared" si="22"/>
        <v>2.749999999999984</v>
      </c>
      <c r="B91" s="854" t="s">
        <v>1291</v>
      </c>
      <c r="C91" s="1066">
        <f t="shared" si="23"/>
        <v>-42776701</v>
      </c>
      <c r="D91" s="1066">
        <f t="shared" si="24"/>
        <v>-44033468.700000003</v>
      </c>
      <c r="E91" s="1066"/>
      <c r="F91" s="1066"/>
      <c r="G91" s="1066">
        <f t="shared" si="25"/>
        <v>-43405085</v>
      </c>
      <c r="H91" s="1066"/>
      <c r="I91" s="1066">
        <f t="shared" si="26"/>
        <v>0</v>
      </c>
      <c r="J91" s="1066">
        <f t="shared" si="26"/>
        <v>-43405084.850000001</v>
      </c>
      <c r="K91" s="1066">
        <f t="shared" si="27"/>
        <v>0</v>
      </c>
      <c r="L91" s="1066">
        <f t="shared" si="28"/>
        <v>0</v>
      </c>
      <c r="M91" s="1066">
        <f t="shared" si="28"/>
        <v>0</v>
      </c>
      <c r="N91" s="1066"/>
      <c r="O91" s="854">
        <v>0</v>
      </c>
      <c r="P91" s="854">
        <v>-42776701</v>
      </c>
      <c r="Q91" s="854">
        <v>0</v>
      </c>
      <c r="R91" s="854">
        <v>0</v>
      </c>
      <c r="S91" s="854">
        <v>0</v>
      </c>
      <c r="T91" s="1066"/>
      <c r="U91" s="854">
        <v>0</v>
      </c>
      <c r="V91" s="854">
        <v>-44033468.700000003</v>
      </c>
      <c r="W91" s="854">
        <v>0</v>
      </c>
      <c r="X91" s="854">
        <v>0</v>
      </c>
      <c r="Y91" s="854">
        <v>0</v>
      </c>
    </row>
    <row r="92" spans="1:25">
      <c r="A92" s="1096">
        <f t="shared" si="22"/>
        <v>2.7599999999999838</v>
      </c>
      <c r="B92" s="854" t="s">
        <v>1292</v>
      </c>
      <c r="C92" s="1066">
        <f t="shared" si="23"/>
        <v>0</v>
      </c>
      <c r="D92" s="1066">
        <f t="shared" si="24"/>
        <v>0</v>
      </c>
      <c r="E92" s="1066"/>
      <c r="F92" s="1066"/>
      <c r="G92" s="1066">
        <f t="shared" si="25"/>
        <v>0</v>
      </c>
      <c r="H92" s="1066"/>
      <c r="I92" s="1066">
        <f t="shared" si="26"/>
        <v>0</v>
      </c>
      <c r="J92" s="1066">
        <f t="shared" si="26"/>
        <v>0</v>
      </c>
      <c r="K92" s="1066">
        <f t="shared" si="27"/>
        <v>0</v>
      </c>
      <c r="L92" s="1066">
        <f t="shared" si="28"/>
        <v>0</v>
      </c>
      <c r="M92" s="1066">
        <f t="shared" si="28"/>
        <v>0</v>
      </c>
      <c r="N92" s="1066"/>
      <c r="O92" s="854">
        <v>0</v>
      </c>
      <c r="P92" s="854">
        <v>0</v>
      </c>
      <c r="Q92" s="854">
        <v>0</v>
      </c>
      <c r="R92" s="854">
        <v>0</v>
      </c>
      <c r="S92" s="854">
        <v>0</v>
      </c>
      <c r="T92" s="1066"/>
      <c r="U92" s="854">
        <v>0</v>
      </c>
      <c r="V92" s="854">
        <v>0</v>
      </c>
      <c r="W92" s="854">
        <v>0</v>
      </c>
      <c r="X92" s="854">
        <v>0</v>
      </c>
      <c r="Y92" s="854">
        <v>0</v>
      </c>
    </row>
    <row r="93" spans="1:25">
      <c r="A93" s="1096">
        <f t="shared" si="22"/>
        <v>2.7699999999999836</v>
      </c>
      <c r="B93" s="854" t="s">
        <v>1293</v>
      </c>
      <c r="C93" s="1066">
        <f t="shared" si="23"/>
        <v>-10909400</v>
      </c>
      <c r="D93" s="1066">
        <f t="shared" si="24"/>
        <v>-10909400.32</v>
      </c>
      <c r="E93" s="1066"/>
      <c r="F93" s="1066"/>
      <c r="G93" s="1066">
        <f t="shared" si="25"/>
        <v>-10909400</v>
      </c>
      <c r="H93" s="1066"/>
      <c r="I93" s="1066">
        <f t="shared" si="26"/>
        <v>0</v>
      </c>
      <c r="J93" s="1066">
        <f t="shared" si="26"/>
        <v>-10909400.16</v>
      </c>
      <c r="K93" s="1066">
        <f t="shared" si="27"/>
        <v>0</v>
      </c>
      <c r="L93" s="1066">
        <f t="shared" si="28"/>
        <v>0</v>
      </c>
      <c r="M93" s="1066">
        <f t="shared" si="28"/>
        <v>0</v>
      </c>
      <c r="N93" s="1066"/>
      <c r="O93" s="854">
        <v>0</v>
      </c>
      <c r="P93" s="854">
        <v>-10909400</v>
      </c>
      <c r="Q93" s="854">
        <v>0</v>
      </c>
      <c r="R93" s="854">
        <v>0</v>
      </c>
      <c r="S93" s="854">
        <v>0</v>
      </c>
      <c r="T93" s="1066"/>
      <c r="U93" s="854">
        <v>0</v>
      </c>
      <c r="V93" s="854">
        <v>-10909400.32</v>
      </c>
      <c r="W93" s="854">
        <v>0</v>
      </c>
      <c r="X93" s="854">
        <v>0</v>
      </c>
      <c r="Y93" s="854">
        <v>0</v>
      </c>
    </row>
    <row r="94" spans="1:25">
      <c r="A94" s="1096">
        <f t="shared" si="22"/>
        <v>2.7799999999999834</v>
      </c>
      <c r="B94" s="854" t="s">
        <v>1294</v>
      </c>
      <c r="C94" s="1066">
        <f t="shared" si="23"/>
        <v>-7756715</v>
      </c>
      <c r="D94" s="1066">
        <f t="shared" si="24"/>
        <v>-7756715.2000000002</v>
      </c>
      <c r="E94" s="1066"/>
      <c r="F94" s="1066"/>
      <c r="G94" s="1066">
        <f t="shared" si="25"/>
        <v>-7756715</v>
      </c>
      <c r="H94" s="1066"/>
      <c r="I94" s="1066">
        <f t="shared" si="26"/>
        <v>0</v>
      </c>
      <c r="J94" s="1066">
        <f t="shared" si="26"/>
        <v>-7756715.0999999996</v>
      </c>
      <c r="K94" s="1066">
        <f t="shared" si="27"/>
        <v>0</v>
      </c>
      <c r="L94" s="1066">
        <f t="shared" si="28"/>
        <v>0</v>
      </c>
      <c r="M94" s="1066">
        <f t="shared" si="28"/>
        <v>0</v>
      </c>
      <c r="N94" s="1066"/>
      <c r="O94" s="854">
        <v>0</v>
      </c>
      <c r="P94" s="854">
        <v>-7756715</v>
      </c>
      <c r="Q94" s="854">
        <v>0</v>
      </c>
      <c r="R94" s="854">
        <v>0</v>
      </c>
      <c r="S94" s="854">
        <v>0</v>
      </c>
      <c r="T94" s="1066"/>
      <c r="U94" s="854">
        <v>0</v>
      </c>
      <c r="V94" s="854">
        <v>-7756715.2000000002</v>
      </c>
      <c r="W94" s="854">
        <v>0</v>
      </c>
      <c r="X94" s="854">
        <v>0</v>
      </c>
      <c r="Y94" s="854">
        <v>0</v>
      </c>
    </row>
    <row r="95" spans="1:25">
      <c r="A95" s="1096">
        <f t="shared" si="22"/>
        <v>2.7899999999999832</v>
      </c>
      <c r="B95" s="854" t="s">
        <v>1295</v>
      </c>
      <c r="C95" s="1066">
        <f t="shared" si="23"/>
        <v>-760316</v>
      </c>
      <c r="D95" s="1066">
        <f t="shared" si="24"/>
        <v>-760316.2</v>
      </c>
      <c r="E95" s="1066"/>
      <c r="F95" s="1066"/>
      <c r="G95" s="1066">
        <f t="shared" si="25"/>
        <v>-760316</v>
      </c>
      <c r="H95" s="1066"/>
      <c r="I95" s="1066">
        <f t="shared" si="26"/>
        <v>0</v>
      </c>
      <c r="J95" s="1066">
        <f t="shared" si="26"/>
        <v>-760316.1</v>
      </c>
      <c r="K95" s="1066">
        <f t="shared" si="27"/>
        <v>0</v>
      </c>
      <c r="L95" s="1066">
        <f t="shared" si="28"/>
        <v>0</v>
      </c>
      <c r="M95" s="1066">
        <f t="shared" si="28"/>
        <v>0</v>
      </c>
      <c r="N95" s="1066"/>
      <c r="O95" s="854">
        <v>0</v>
      </c>
      <c r="P95" s="854">
        <v>-760316</v>
      </c>
      <c r="Q95" s="854">
        <v>0</v>
      </c>
      <c r="R95" s="854">
        <v>0</v>
      </c>
      <c r="S95" s="854">
        <v>0</v>
      </c>
      <c r="T95" s="1066"/>
      <c r="U95" s="854">
        <v>0</v>
      </c>
      <c r="V95" s="854">
        <v>-760316.2</v>
      </c>
      <c r="W95" s="854">
        <v>0</v>
      </c>
      <c r="X95" s="854">
        <v>0</v>
      </c>
      <c r="Y95" s="854">
        <v>0</v>
      </c>
    </row>
    <row r="96" spans="1:25">
      <c r="A96" s="1096">
        <f t="shared" si="22"/>
        <v>2.7999999999999829</v>
      </c>
      <c r="B96" s="854" t="s">
        <v>1296</v>
      </c>
      <c r="C96" s="1066">
        <f t="shared" si="23"/>
        <v>3512729</v>
      </c>
      <c r="D96" s="1066">
        <f t="shared" si="24"/>
        <v>3512729.31</v>
      </c>
      <c r="E96" s="1066"/>
      <c r="F96" s="1066"/>
      <c r="G96" s="1066">
        <f t="shared" si="25"/>
        <v>3512729</v>
      </c>
      <c r="H96" s="1066"/>
      <c r="I96" s="1066">
        <f t="shared" si="26"/>
        <v>0</v>
      </c>
      <c r="J96" s="1066">
        <f t="shared" si="26"/>
        <v>3512729.1550000003</v>
      </c>
      <c r="K96" s="1066">
        <f t="shared" si="27"/>
        <v>0</v>
      </c>
      <c r="L96" s="1066">
        <f t="shared" si="28"/>
        <v>0</v>
      </c>
      <c r="M96" s="1066">
        <f t="shared" si="28"/>
        <v>0</v>
      </c>
      <c r="N96" s="1066"/>
      <c r="O96" s="854">
        <v>0</v>
      </c>
      <c r="P96" s="854">
        <v>3512729</v>
      </c>
      <c r="Q96" s="854">
        <v>0</v>
      </c>
      <c r="R96" s="854">
        <v>0</v>
      </c>
      <c r="S96" s="854">
        <v>0</v>
      </c>
      <c r="T96" s="1066"/>
      <c r="U96" s="854">
        <v>0</v>
      </c>
      <c r="V96" s="854">
        <v>3512729.31</v>
      </c>
      <c r="W96" s="854">
        <v>0</v>
      </c>
      <c r="X96" s="854">
        <v>0</v>
      </c>
      <c r="Y96" s="854">
        <v>0</v>
      </c>
    </row>
    <row r="97" spans="1:25">
      <c r="A97" s="1096">
        <f t="shared" si="22"/>
        <v>2.8099999999999827</v>
      </c>
      <c r="B97" s="854" t="s">
        <v>1297</v>
      </c>
      <c r="C97" s="1066">
        <f t="shared" si="23"/>
        <v>14551672</v>
      </c>
      <c r="D97" s="1066">
        <f t="shared" si="24"/>
        <v>14551671.52</v>
      </c>
      <c r="E97" s="1066"/>
      <c r="F97" s="1066"/>
      <c r="G97" s="1066">
        <f t="shared" si="25"/>
        <v>14551672</v>
      </c>
      <c r="H97" s="1066"/>
      <c r="I97" s="1066">
        <f t="shared" si="26"/>
        <v>0</v>
      </c>
      <c r="J97" s="1066">
        <f t="shared" si="26"/>
        <v>14551671.76</v>
      </c>
      <c r="K97" s="1066">
        <f t="shared" si="27"/>
        <v>0</v>
      </c>
      <c r="L97" s="1066">
        <f t="shared" si="28"/>
        <v>0</v>
      </c>
      <c r="M97" s="1066">
        <f t="shared" si="28"/>
        <v>0</v>
      </c>
      <c r="N97" s="1066"/>
      <c r="O97" s="854">
        <v>0</v>
      </c>
      <c r="P97" s="854">
        <v>14551672</v>
      </c>
      <c r="Q97" s="854">
        <v>0</v>
      </c>
      <c r="R97" s="854">
        <v>0</v>
      </c>
      <c r="S97" s="854">
        <v>0</v>
      </c>
      <c r="T97" s="1066"/>
      <c r="U97" s="854">
        <v>0</v>
      </c>
      <c r="V97" s="854">
        <v>14551671.52</v>
      </c>
      <c r="W97" s="854">
        <v>0</v>
      </c>
      <c r="X97" s="854">
        <v>0</v>
      </c>
      <c r="Y97" s="854">
        <v>0</v>
      </c>
    </row>
    <row r="98" spans="1:25">
      <c r="A98" s="1096">
        <f t="shared" si="22"/>
        <v>2.8199999999999825</v>
      </c>
      <c r="B98" s="854" t="s">
        <v>1298</v>
      </c>
      <c r="C98" s="1066">
        <f t="shared" si="23"/>
        <v>1097580</v>
      </c>
      <c r="D98" s="1066">
        <f t="shared" si="24"/>
        <v>1097580.03</v>
      </c>
      <c r="E98" s="1066"/>
      <c r="F98" s="1066"/>
      <c r="G98" s="1066">
        <f t="shared" si="25"/>
        <v>1097580</v>
      </c>
      <c r="H98" s="1066"/>
      <c r="I98" s="1066">
        <f t="shared" si="26"/>
        <v>0</v>
      </c>
      <c r="J98" s="1066">
        <f t="shared" si="26"/>
        <v>1097580.0150000001</v>
      </c>
      <c r="K98" s="1066">
        <f t="shared" si="27"/>
        <v>0</v>
      </c>
      <c r="L98" s="1066">
        <f t="shared" si="28"/>
        <v>0</v>
      </c>
      <c r="M98" s="1066">
        <f t="shared" si="28"/>
        <v>0</v>
      </c>
      <c r="N98" s="1066"/>
      <c r="O98" s="854">
        <v>0</v>
      </c>
      <c r="P98" s="854">
        <v>1097580</v>
      </c>
      <c r="Q98" s="854">
        <v>0</v>
      </c>
      <c r="R98" s="854">
        <v>0</v>
      </c>
      <c r="S98" s="854">
        <v>0</v>
      </c>
      <c r="T98" s="1066"/>
      <c r="U98" s="854">
        <v>0</v>
      </c>
      <c r="V98" s="854">
        <v>1097580.03</v>
      </c>
      <c r="W98" s="854">
        <v>0</v>
      </c>
      <c r="X98" s="854">
        <v>0</v>
      </c>
      <c r="Y98" s="854">
        <v>0</v>
      </c>
    </row>
    <row r="99" spans="1:25">
      <c r="A99" s="1096">
        <f t="shared" si="22"/>
        <v>2.8299999999999823</v>
      </c>
      <c r="B99" s="854" t="s">
        <v>1299</v>
      </c>
      <c r="C99" s="1066">
        <f t="shared" si="23"/>
        <v>1708</v>
      </c>
      <c r="D99" s="1066">
        <f t="shared" si="24"/>
        <v>1348.17</v>
      </c>
      <c r="E99" s="1066"/>
      <c r="F99" s="1066"/>
      <c r="G99" s="1066">
        <f t="shared" si="25"/>
        <v>1528</v>
      </c>
      <c r="H99" s="1066"/>
      <c r="I99" s="1066">
        <f t="shared" si="26"/>
        <v>49.33</v>
      </c>
      <c r="J99" s="1066">
        <f t="shared" si="26"/>
        <v>813.17000000000007</v>
      </c>
      <c r="K99" s="1066">
        <f t="shared" si="27"/>
        <v>324.88</v>
      </c>
      <c r="L99" s="1066">
        <f t="shared" si="28"/>
        <v>340.70500000000004</v>
      </c>
      <c r="M99" s="1066">
        <f t="shared" si="28"/>
        <v>0</v>
      </c>
      <c r="N99" s="1066"/>
      <c r="O99" s="854">
        <v>55</v>
      </c>
      <c r="P99" s="854">
        <v>909</v>
      </c>
      <c r="Q99" s="854">
        <v>363</v>
      </c>
      <c r="R99" s="854">
        <v>381</v>
      </c>
      <c r="S99" s="854">
        <v>0</v>
      </c>
      <c r="T99" s="1066"/>
      <c r="U99" s="854">
        <v>43.66</v>
      </c>
      <c r="V99" s="854">
        <v>717.34</v>
      </c>
      <c r="W99" s="854">
        <v>286.76</v>
      </c>
      <c r="X99" s="854">
        <v>300.41000000000003</v>
      </c>
      <c r="Y99" s="854">
        <v>0</v>
      </c>
    </row>
    <row r="100" spans="1:25">
      <c r="A100" s="1096">
        <f t="shared" si="22"/>
        <v>2.8399999999999821</v>
      </c>
      <c r="B100" s="854" t="s">
        <v>1300</v>
      </c>
      <c r="C100" s="1066">
        <f t="shared" si="23"/>
        <v>-9309851</v>
      </c>
      <c r="D100" s="1066">
        <f t="shared" si="24"/>
        <v>-11070314.48</v>
      </c>
      <c r="E100" s="1066"/>
      <c r="F100" s="1066"/>
      <c r="G100" s="1066">
        <f t="shared" si="25"/>
        <v>-10190083</v>
      </c>
      <c r="H100" s="1066"/>
      <c r="I100" s="1066">
        <f t="shared" si="26"/>
        <v>-2594786.54</v>
      </c>
      <c r="J100" s="1066">
        <f t="shared" si="26"/>
        <v>-4092995.8849999998</v>
      </c>
      <c r="K100" s="1066">
        <f t="shared" si="27"/>
        <v>-426351.745</v>
      </c>
      <c r="L100" s="1066">
        <f t="shared" si="28"/>
        <v>-3075948.5700000003</v>
      </c>
      <c r="M100" s="1066">
        <f t="shared" si="28"/>
        <v>0</v>
      </c>
      <c r="N100" s="1066"/>
      <c r="O100" s="854">
        <v>-2356543</v>
      </c>
      <c r="P100" s="854">
        <v>-3721031</v>
      </c>
      <c r="Q100" s="854">
        <v>-385133</v>
      </c>
      <c r="R100" s="854">
        <v>-2847144</v>
      </c>
      <c r="S100" s="854">
        <v>0</v>
      </c>
      <c r="T100" s="1066"/>
      <c r="U100" s="854">
        <v>-2833030.08</v>
      </c>
      <c r="V100" s="854">
        <v>-4464960.7699999996</v>
      </c>
      <c r="W100" s="854">
        <v>-467570.49</v>
      </c>
      <c r="X100" s="854">
        <v>-3304753.14</v>
      </c>
      <c r="Y100" s="854">
        <v>0</v>
      </c>
    </row>
    <row r="101" spans="1:25">
      <c r="A101" s="1096">
        <f t="shared" si="22"/>
        <v>2.8499999999999819</v>
      </c>
      <c r="B101" s="854" t="s">
        <v>1301</v>
      </c>
      <c r="C101" s="1066">
        <f t="shared" si="23"/>
        <v>1361562</v>
      </c>
      <c r="D101" s="1066">
        <f t="shared" si="24"/>
        <v>-1294440.05</v>
      </c>
      <c r="E101" s="1066"/>
      <c r="F101" s="1066"/>
      <c r="G101" s="1066">
        <f t="shared" si="25"/>
        <v>33561</v>
      </c>
      <c r="H101" s="1066"/>
      <c r="I101" s="1066">
        <f t="shared" si="26"/>
        <v>185943.05</v>
      </c>
      <c r="J101" s="1066">
        <f t="shared" si="26"/>
        <v>-102043.54499999998</v>
      </c>
      <c r="K101" s="1066">
        <f t="shared" si="27"/>
        <v>31301.974999999999</v>
      </c>
      <c r="L101" s="1066">
        <f t="shared" si="28"/>
        <v>-81640.505000000005</v>
      </c>
      <c r="M101" s="1066">
        <f t="shared" si="28"/>
        <v>0</v>
      </c>
      <c r="N101" s="1066"/>
      <c r="O101" s="854">
        <v>456577</v>
      </c>
      <c r="P101" s="854">
        <v>484849</v>
      </c>
      <c r="Q101" s="854">
        <v>120875</v>
      </c>
      <c r="R101" s="854">
        <v>299261</v>
      </c>
      <c r="S101" s="854">
        <v>0</v>
      </c>
      <c r="T101" s="1066"/>
      <c r="U101" s="854">
        <v>-84690.9</v>
      </c>
      <c r="V101" s="854">
        <v>-688936.09</v>
      </c>
      <c r="W101" s="854">
        <v>-58271.05</v>
      </c>
      <c r="X101" s="854">
        <v>-462542.01</v>
      </c>
      <c r="Y101" s="854">
        <v>0</v>
      </c>
    </row>
    <row r="102" spans="1:25">
      <c r="A102" s="1096">
        <f t="shared" si="22"/>
        <v>2.8599999999999817</v>
      </c>
      <c r="B102" s="854" t="s">
        <v>1302</v>
      </c>
      <c r="C102" s="1066">
        <f t="shared" si="23"/>
        <v>851695</v>
      </c>
      <c r="D102" s="1066">
        <f t="shared" si="24"/>
        <v>871523.54</v>
      </c>
      <c r="E102" s="1066"/>
      <c r="F102" s="1066"/>
      <c r="G102" s="1066">
        <f t="shared" si="25"/>
        <v>861609</v>
      </c>
      <c r="H102" s="1066"/>
      <c r="I102" s="1066">
        <f t="shared" si="26"/>
        <v>162321.83499999999</v>
      </c>
      <c r="J102" s="1066">
        <f t="shared" si="26"/>
        <v>451580.01500000001</v>
      </c>
      <c r="K102" s="1066">
        <f t="shared" si="27"/>
        <v>71195.77</v>
      </c>
      <c r="L102" s="1066">
        <f t="shared" si="28"/>
        <v>176511.65</v>
      </c>
      <c r="M102" s="1066">
        <f t="shared" si="28"/>
        <v>0</v>
      </c>
      <c r="N102" s="1066"/>
      <c r="O102" s="854">
        <v>201741</v>
      </c>
      <c r="P102" s="854">
        <v>361128</v>
      </c>
      <c r="Q102" s="854">
        <v>77138</v>
      </c>
      <c r="R102" s="854">
        <v>211688</v>
      </c>
      <c r="S102" s="854">
        <v>0</v>
      </c>
      <c r="T102" s="1066"/>
      <c r="U102" s="854">
        <v>122902.67</v>
      </c>
      <c r="V102" s="854">
        <v>542032.03</v>
      </c>
      <c r="W102" s="854">
        <v>65253.54</v>
      </c>
      <c r="X102" s="854">
        <v>141335.29999999999</v>
      </c>
      <c r="Y102" s="854">
        <v>0</v>
      </c>
    </row>
    <row r="103" spans="1:25">
      <c r="A103" s="1096">
        <f t="shared" si="22"/>
        <v>2.8699999999999815</v>
      </c>
      <c r="B103" s="854" t="s">
        <v>1303</v>
      </c>
      <c r="C103" s="1066">
        <f t="shared" si="23"/>
        <v>0</v>
      </c>
      <c r="D103" s="1066">
        <f t="shared" si="24"/>
        <v>0</v>
      </c>
      <c r="E103" s="1066"/>
      <c r="F103" s="1066"/>
      <c r="G103" s="1066">
        <f t="shared" si="25"/>
        <v>0</v>
      </c>
      <c r="H103" s="1066"/>
      <c r="I103" s="1066">
        <f t="shared" si="26"/>
        <v>0</v>
      </c>
      <c r="J103" s="1066">
        <f t="shared" si="26"/>
        <v>0</v>
      </c>
      <c r="K103" s="1066">
        <f t="shared" si="27"/>
        <v>0</v>
      </c>
      <c r="L103" s="1066">
        <f t="shared" si="28"/>
        <v>0</v>
      </c>
      <c r="M103" s="1066">
        <f t="shared" si="28"/>
        <v>0</v>
      </c>
      <c r="N103" s="1066"/>
      <c r="O103" s="854">
        <v>0</v>
      </c>
      <c r="P103" s="854">
        <v>0</v>
      </c>
      <c r="Q103" s="854">
        <v>0</v>
      </c>
      <c r="R103" s="854">
        <v>0</v>
      </c>
      <c r="S103" s="854">
        <v>0</v>
      </c>
      <c r="T103" s="1066"/>
      <c r="U103" s="854">
        <v>0</v>
      </c>
      <c r="V103" s="854">
        <v>0</v>
      </c>
      <c r="W103" s="854">
        <v>0</v>
      </c>
      <c r="X103" s="854">
        <v>0</v>
      </c>
      <c r="Y103" s="854">
        <v>0</v>
      </c>
    </row>
    <row r="104" spans="1:25">
      <c r="A104" s="1096">
        <f t="shared" si="22"/>
        <v>2.8799999999999812</v>
      </c>
      <c r="B104" s="854" t="s">
        <v>1304</v>
      </c>
      <c r="C104" s="1071">
        <f t="shared" si="23"/>
        <v>353077228</v>
      </c>
      <c r="D104" s="1071">
        <f t="shared" si="24"/>
        <v>367210985.80000001</v>
      </c>
      <c r="E104" s="1071"/>
      <c r="F104" s="1071"/>
      <c r="G104" s="1071">
        <f t="shared" si="25"/>
        <v>360144107</v>
      </c>
      <c r="H104" s="1071"/>
      <c r="I104" s="1071">
        <f t="shared" si="26"/>
        <v>4143469.835</v>
      </c>
      <c r="J104" s="1071">
        <f t="shared" si="26"/>
        <v>355947163.71500003</v>
      </c>
      <c r="K104" s="1071">
        <f t="shared" si="27"/>
        <v>0</v>
      </c>
      <c r="L104" s="1071">
        <f t="shared" si="28"/>
        <v>53473.35</v>
      </c>
      <c r="M104" s="1071">
        <f t="shared" si="28"/>
        <v>0</v>
      </c>
      <c r="N104" s="1071"/>
      <c r="O104" s="854">
        <v>4049037</v>
      </c>
      <c r="P104" s="854">
        <v>348968955</v>
      </c>
      <c r="Q104" s="854">
        <v>0</v>
      </c>
      <c r="R104" s="854">
        <v>59236</v>
      </c>
      <c r="S104" s="854">
        <v>0</v>
      </c>
      <c r="T104" s="1071"/>
      <c r="U104" s="854">
        <v>4237902.67</v>
      </c>
      <c r="V104" s="854">
        <v>362925372.43000001</v>
      </c>
      <c r="W104" s="854">
        <v>0</v>
      </c>
      <c r="X104" s="854">
        <v>47710.7</v>
      </c>
      <c r="Y104" s="854">
        <v>0</v>
      </c>
    </row>
    <row r="105" spans="1:25">
      <c r="A105" s="1096">
        <f t="shared" si="22"/>
        <v>2.889999999999981</v>
      </c>
      <c r="B105" s="854" t="s">
        <v>1346</v>
      </c>
      <c r="C105" s="1066">
        <f t="shared" ref="C105" si="29">SUM(O105:R105)</f>
        <v>0</v>
      </c>
      <c r="D105" s="1066">
        <f t="shared" ref="D105" si="30">SUM(U105:X105)</f>
        <v>55857573.680000007</v>
      </c>
      <c r="E105" s="1066"/>
      <c r="F105" s="1066"/>
      <c r="G105" s="1066">
        <f t="shared" ref="G105" si="31">ROUND(SUM(C105:F105)/2,0)</f>
        <v>27928787</v>
      </c>
      <c r="H105" s="1066"/>
      <c r="I105" s="1066">
        <f t="shared" ref="I105" si="32">(O105+U105)/2</f>
        <v>26483595.490000002</v>
      </c>
      <c r="J105" s="1066">
        <f t="shared" ref="J105" si="33">(P105+V105)/2</f>
        <v>73265.91</v>
      </c>
      <c r="K105" s="1066">
        <f t="shared" ref="K105" si="34">(Q105+W105)/2</f>
        <v>1371925.44</v>
      </c>
      <c r="L105" s="1066">
        <f t="shared" ref="L105" si="35">(R105+X105)/2</f>
        <v>0</v>
      </c>
      <c r="M105" s="1066">
        <f t="shared" ref="M105" si="36">(S105+Y105)/2</f>
        <v>0</v>
      </c>
      <c r="N105" s="1066"/>
      <c r="O105" s="854"/>
      <c r="P105" s="854"/>
      <c r="Q105" s="854"/>
      <c r="R105" s="854"/>
      <c r="S105" s="854"/>
      <c r="T105" s="1066"/>
      <c r="U105" s="854">
        <f>43933986.93+9033204.05</f>
        <v>52967190.980000004</v>
      </c>
      <c r="V105" s="854">
        <v>146531.82</v>
      </c>
      <c r="W105" s="854">
        <v>2743850.88</v>
      </c>
      <c r="X105" s="854"/>
      <c r="Y105" s="854"/>
    </row>
    <row r="106" spans="1:25">
      <c r="A106" s="1096">
        <f t="shared" si="22"/>
        <v>2.8999999999999808</v>
      </c>
      <c r="B106" s="854" t="s">
        <v>1305</v>
      </c>
      <c r="C106" s="1066">
        <f t="shared" si="23"/>
        <v>50258</v>
      </c>
      <c r="D106" s="1066">
        <f t="shared" si="24"/>
        <v>0</v>
      </c>
      <c r="E106" s="1066"/>
      <c r="F106" s="1066"/>
      <c r="G106" s="1066">
        <f t="shared" si="25"/>
        <v>25129</v>
      </c>
      <c r="H106" s="1066"/>
      <c r="I106" s="1066">
        <f t="shared" si="26"/>
        <v>25129</v>
      </c>
      <c r="J106" s="1066">
        <f t="shared" si="26"/>
        <v>0</v>
      </c>
      <c r="K106" s="1066">
        <f t="shared" si="27"/>
        <v>0</v>
      </c>
      <c r="L106" s="1066">
        <f t="shared" si="28"/>
        <v>0</v>
      </c>
      <c r="M106" s="1066">
        <f t="shared" si="28"/>
        <v>0</v>
      </c>
      <c r="N106" s="1066"/>
      <c r="O106" s="854">
        <v>50258</v>
      </c>
      <c r="P106" s="854">
        <v>0</v>
      </c>
      <c r="Q106" s="854">
        <v>0</v>
      </c>
      <c r="R106" s="854">
        <v>0</v>
      </c>
      <c r="S106" s="854">
        <v>0</v>
      </c>
      <c r="T106" s="1066"/>
      <c r="U106" s="854">
        <v>0</v>
      </c>
      <c r="V106" s="854">
        <v>0</v>
      </c>
      <c r="W106" s="854">
        <v>0</v>
      </c>
      <c r="X106" s="854">
        <v>0</v>
      </c>
      <c r="Y106" s="854">
        <v>0</v>
      </c>
    </row>
    <row r="107" spans="1:25">
      <c r="A107" s="1096">
        <f t="shared" si="22"/>
        <v>2.9099999999999806</v>
      </c>
      <c r="B107" s="854" t="s">
        <v>1306</v>
      </c>
      <c r="C107" s="1066">
        <f t="shared" si="23"/>
        <v>952762</v>
      </c>
      <c r="D107" s="1066">
        <f t="shared" si="24"/>
        <v>952762</v>
      </c>
      <c r="E107" s="1066"/>
      <c r="F107" s="1066"/>
      <c r="G107" s="1066">
        <f t="shared" si="25"/>
        <v>952762</v>
      </c>
      <c r="H107" s="1066"/>
      <c r="I107" s="1066">
        <f t="shared" si="26"/>
        <v>952762</v>
      </c>
      <c r="J107" s="1066">
        <f t="shared" si="26"/>
        <v>0</v>
      </c>
      <c r="K107" s="1066">
        <f t="shared" si="27"/>
        <v>0</v>
      </c>
      <c r="L107" s="1066">
        <f t="shared" si="28"/>
        <v>0</v>
      </c>
      <c r="M107" s="1066">
        <f t="shared" si="28"/>
        <v>0</v>
      </c>
      <c r="N107" s="1066"/>
      <c r="O107" s="854">
        <v>952762</v>
      </c>
      <c r="P107" s="854">
        <v>0</v>
      </c>
      <c r="Q107" s="854">
        <v>0</v>
      </c>
      <c r="R107" s="854">
        <v>0</v>
      </c>
      <c r="S107" s="854">
        <v>0</v>
      </c>
      <c r="T107" s="1066"/>
      <c r="U107" s="854">
        <v>952762</v>
      </c>
      <c r="V107" s="854">
        <v>0</v>
      </c>
      <c r="W107" s="854">
        <v>0</v>
      </c>
      <c r="X107" s="854">
        <v>0</v>
      </c>
      <c r="Y107" s="854">
        <v>0</v>
      </c>
    </row>
    <row r="108" spans="1:25">
      <c r="A108" s="1096">
        <f t="shared" si="22"/>
        <v>2.9199999999999804</v>
      </c>
      <c r="B108" s="854" t="s">
        <v>1307</v>
      </c>
      <c r="C108" s="1066">
        <f t="shared" si="23"/>
        <v>-120609</v>
      </c>
      <c r="D108" s="1066">
        <f t="shared" si="24"/>
        <v>-120608.85</v>
      </c>
      <c r="E108" s="1066"/>
      <c r="F108" s="1066"/>
      <c r="G108" s="1066">
        <f t="shared" si="25"/>
        <v>-120609</v>
      </c>
      <c r="H108" s="1066"/>
      <c r="I108" s="1066">
        <f t="shared" si="26"/>
        <v>-120608.925</v>
      </c>
      <c r="J108" s="1066">
        <f t="shared" si="26"/>
        <v>0</v>
      </c>
      <c r="K108" s="1066">
        <f t="shared" si="27"/>
        <v>0</v>
      </c>
      <c r="L108" s="1066">
        <f t="shared" si="28"/>
        <v>0</v>
      </c>
      <c r="M108" s="1066">
        <f t="shared" si="28"/>
        <v>0</v>
      </c>
      <c r="N108" s="1066"/>
      <c r="O108" s="854">
        <v>-120609</v>
      </c>
      <c r="P108" s="854">
        <v>0</v>
      </c>
      <c r="Q108" s="854">
        <v>0</v>
      </c>
      <c r="R108" s="854">
        <v>0</v>
      </c>
      <c r="S108" s="854">
        <v>0</v>
      </c>
      <c r="T108" s="1066"/>
      <c r="U108" s="854">
        <v>-120608.85</v>
      </c>
      <c r="V108" s="854">
        <v>0</v>
      </c>
      <c r="W108" s="854">
        <v>0</v>
      </c>
      <c r="X108" s="854">
        <v>0</v>
      </c>
      <c r="Y108" s="854">
        <v>0</v>
      </c>
    </row>
    <row r="109" spans="1:25">
      <c r="A109" s="1096">
        <f t="shared" si="22"/>
        <v>2.9299999999999802</v>
      </c>
      <c r="B109" s="854" t="s">
        <v>1308</v>
      </c>
      <c r="C109" s="1066">
        <f t="shared" si="23"/>
        <v>0</v>
      </c>
      <c r="D109" s="1066">
        <f t="shared" si="24"/>
        <v>0</v>
      </c>
      <c r="E109" s="1066"/>
      <c r="F109" s="1066"/>
      <c r="G109" s="1066">
        <f t="shared" si="25"/>
        <v>0</v>
      </c>
      <c r="H109" s="1066"/>
      <c r="I109" s="1066">
        <f t="shared" si="26"/>
        <v>0</v>
      </c>
      <c r="J109" s="1066">
        <f t="shared" si="26"/>
        <v>0</v>
      </c>
      <c r="K109" s="1066">
        <f t="shared" si="27"/>
        <v>0</v>
      </c>
      <c r="L109" s="1066">
        <f t="shared" si="28"/>
        <v>0</v>
      </c>
      <c r="M109" s="1066">
        <f t="shared" si="28"/>
        <v>0</v>
      </c>
      <c r="N109" s="1066"/>
      <c r="O109" s="854">
        <v>0</v>
      </c>
      <c r="P109" s="854">
        <v>0</v>
      </c>
      <c r="Q109" s="854">
        <v>0</v>
      </c>
      <c r="R109" s="854">
        <v>0</v>
      </c>
      <c r="S109" s="854">
        <v>0</v>
      </c>
      <c r="T109" s="1066"/>
      <c r="U109" s="854">
        <v>0</v>
      </c>
      <c r="V109" s="854">
        <v>0</v>
      </c>
      <c r="W109" s="854">
        <v>0</v>
      </c>
      <c r="X109" s="854">
        <v>0</v>
      </c>
      <c r="Y109" s="854">
        <v>0</v>
      </c>
    </row>
    <row r="110" spans="1:25">
      <c r="A110" s="1096">
        <f t="shared" si="22"/>
        <v>2.93999999999998</v>
      </c>
      <c r="B110" s="854" t="s">
        <v>1309</v>
      </c>
      <c r="C110" s="1066">
        <f t="shared" si="23"/>
        <v>1029879</v>
      </c>
      <c r="D110" s="1066">
        <f t="shared" si="24"/>
        <v>6797322.6799999997</v>
      </c>
      <c r="E110" s="1066"/>
      <c r="F110" s="1066"/>
      <c r="G110" s="1066">
        <f t="shared" si="25"/>
        <v>3913601</v>
      </c>
      <c r="H110" s="1066"/>
      <c r="I110" s="1066">
        <f t="shared" si="26"/>
        <v>2302.9650000000001</v>
      </c>
      <c r="J110" s="1066">
        <f t="shared" si="26"/>
        <v>40286.800000000003</v>
      </c>
      <c r="K110" s="1066">
        <f t="shared" si="27"/>
        <v>823.46500000000003</v>
      </c>
      <c r="L110" s="1066">
        <f t="shared" si="28"/>
        <v>3870187.61</v>
      </c>
      <c r="M110" s="1066">
        <f t="shared" si="28"/>
        <v>0</v>
      </c>
      <c r="N110" s="1066"/>
      <c r="O110" s="854">
        <v>4606</v>
      </c>
      <c r="P110" s="854">
        <v>80574</v>
      </c>
      <c r="Q110" s="854">
        <v>1647</v>
      </c>
      <c r="R110" s="854">
        <v>943052</v>
      </c>
      <c r="S110" s="854">
        <v>0</v>
      </c>
      <c r="T110" s="1066"/>
      <c r="U110" s="854">
        <v>-7.0000000000000007E-2</v>
      </c>
      <c r="V110" s="854">
        <v>-0.4</v>
      </c>
      <c r="W110" s="854">
        <v>-7.0000000000000007E-2</v>
      </c>
      <c r="X110" s="854">
        <v>6797323.2199999997</v>
      </c>
      <c r="Y110" s="854">
        <v>0</v>
      </c>
    </row>
    <row r="111" spans="1:25">
      <c r="A111" s="1096">
        <f t="shared" si="22"/>
        <v>2.9499999999999797</v>
      </c>
      <c r="B111" s="854" t="s">
        <v>1310</v>
      </c>
      <c r="C111" s="1066">
        <f t="shared" si="23"/>
        <v>-15164</v>
      </c>
      <c r="D111" s="1066">
        <f t="shared" si="24"/>
        <v>37.799999999999997</v>
      </c>
      <c r="E111" s="1066"/>
      <c r="F111" s="1066"/>
      <c r="G111" s="1066">
        <f t="shared" si="25"/>
        <v>-7563</v>
      </c>
      <c r="H111" s="1066"/>
      <c r="I111" s="1066">
        <f t="shared" si="26"/>
        <v>-6498</v>
      </c>
      <c r="J111" s="1066">
        <f t="shared" si="26"/>
        <v>-7014</v>
      </c>
      <c r="K111" s="1066">
        <f t="shared" si="27"/>
        <v>1019.4</v>
      </c>
      <c r="L111" s="1066">
        <f t="shared" si="28"/>
        <v>4929.5</v>
      </c>
      <c r="M111" s="1066">
        <f t="shared" si="28"/>
        <v>0</v>
      </c>
      <c r="N111" s="1066"/>
      <c r="O111" s="854">
        <v>-12996</v>
      </c>
      <c r="P111" s="854">
        <v>-14028</v>
      </c>
      <c r="Q111" s="854">
        <v>2001</v>
      </c>
      <c r="R111" s="854">
        <v>9859</v>
      </c>
      <c r="S111" s="854">
        <v>0</v>
      </c>
      <c r="T111" s="1066"/>
      <c r="U111" s="854">
        <v>0</v>
      </c>
      <c r="V111" s="854">
        <v>0</v>
      </c>
      <c r="W111" s="854">
        <v>37.799999999999997</v>
      </c>
      <c r="X111" s="854">
        <v>0</v>
      </c>
      <c r="Y111" s="854">
        <v>0</v>
      </c>
    </row>
    <row r="112" spans="1:25">
      <c r="A112" s="1096">
        <f t="shared" si="22"/>
        <v>2.9599999999999795</v>
      </c>
      <c r="B112" s="854" t="s">
        <v>1311</v>
      </c>
      <c r="C112" s="1066">
        <f t="shared" si="23"/>
        <v>0</v>
      </c>
      <c r="D112" s="1066">
        <f t="shared" si="24"/>
        <v>0</v>
      </c>
      <c r="E112" s="1066"/>
      <c r="F112" s="1066"/>
      <c r="G112" s="1066">
        <f t="shared" si="25"/>
        <v>0</v>
      </c>
      <c r="H112" s="1066"/>
      <c r="I112" s="1066">
        <f t="shared" si="26"/>
        <v>0</v>
      </c>
      <c r="J112" s="1066">
        <f t="shared" si="26"/>
        <v>0</v>
      </c>
      <c r="K112" s="1066">
        <f t="shared" si="27"/>
        <v>0</v>
      </c>
      <c r="L112" s="1066">
        <f t="shared" si="28"/>
        <v>0</v>
      </c>
      <c r="M112" s="1066">
        <f t="shared" si="28"/>
        <v>0</v>
      </c>
      <c r="N112" s="1066"/>
      <c r="O112" s="854">
        <v>0</v>
      </c>
      <c r="P112" s="854">
        <v>0</v>
      </c>
      <c r="Q112" s="854">
        <v>0</v>
      </c>
      <c r="R112" s="854">
        <v>0</v>
      </c>
      <c r="S112" s="854">
        <v>0</v>
      </c>
      <c r="T112" s="1066"/>
      <c r="U112" s="854">
        <v>0</v>
      </c>
      <c r="V112" s="854">
        <v>0</v>
      </c>
      <c r="W112" s="854">
        <v>0</v>
      </c>
      <c r="X112" s="854">
        <v>0</v>
      </c>
      <c r="Y112" s="854">
        <v>0</v>
      </c>
    </row>
    <row r="113" spans="1:25">
      <c r="A113" s="1096">
        <f t="shared" si="22"/>
        <v>2.9699999999999793</v>
      </c>
      <c r="B113" s="854" t="s">
        <v>1312</v>
      </c>
      <c r="C113" s="1066">
        <f t="shared" si="23"/>
        <v>0</v>
      </c>
      <c r="D113" s="1066">
        <f t="shared" si="24"/>
        <v>0</v>
      </c>
      <c r="E113" s="1066"/>
      <c r="F113" s="1066"/>
      <c r="G113" s="1066">
        <f t="shared" si="25"/>
        <v>0</v>
      </c>
      <c r="H113" s="1066"/>
      <c r="I113" s="1066">
        <f t="shared" si="26"/>
        <v>0</v>
      </c>
      <c r="J113" s="1066">
        <f t="shared" si="26"/>
        <v>-3.5000000000000003E-2</v>
      </c>
      <c r="K113" s="1066">
        <f t="shared" si="27"/>
        <v>3.5000000000000003E-2</v>
      </c>
      <c r="L113" s="1066">
        <f t="shared" si="28"/>
        <v>0</v>
      </c>
      <c r="M113" s="1066">
        <f t="shared" si="28"/>
        <v>0</v>
      </c>
      <c r="N113" s="1066"/>
      <c r="O113" s="854">
        <v>0</v>
      </c>
      <c r="P113" s="854">
        <v>0</v>
      </c>
      <c r="Q113" s="854">
        <v>0</v>
      </c>
      <c r="R113" s="854">
        <v>0</v>
      </c>
      <c r="S113" s="854">
        <v>0</v>
      </c>
      <c r="T113" s="1066"/>
      <c r="U113" s="854">
        <v>0</v>
      </c>
      <c r="V113" s="854">
        <v>-7.0000000000000007E-2</v>
      </c>
      <c r="W113" s="854">
        <v>7.0000000000000007E-2</v>
      </c>
      <c r="X113" s="854">
        <v>0</v>
      </c>
      <c r="Y113" s="854">
        <v>0</v>
      </c>
    </row>
    <row r="114" spans="1:25">
      <c r="A114" s="1096">
        <f t="shared" si="22"/>
        <v>2.9799999999999791</v>
      </c>
      <c r="B114" s="854" t="s">
        <v>1313</v>
      </c>
      <c r="C114" s="1066">
        <f t="shared" si="23"/>
        <v>0</v>
      </c>
      <c r="D114" s="1066">
        <f t="shared" si="24"/>
        <v>0</v>
      </c>
      <c r="E114" s="1066"/>
      <c r="F114" s="1066"/>
      <c r="G114" s="1066">
        <f t="shared" si="25"/>
        <v>0</v>
      </c>
      <c r="H114" s="1066"/>
      <c r="I114" s="1066">
        <f t="shared" si="26"/>
        <v>0</v>
      </c>
      <c r="J114" s="1066">
        <f t="shared" si="26"/>
        <v>0</v>
      </c>
      <c r="K114" s="1066">
        <f t="shared" si="27"/>
        <v>0</v>
      </c>
      <c r="L114" s="1066">
        <f t="shared" si="28"/>
        <v>0</v>
      </c>
      <c r="M114" s="1066">
        <f t="shared" si="28"/>
        <v>0</v>
      </c>
      <c r="N114" s="1066"/>
      <c r="O114" s="854">
        <v>0</v>
      </c>
      <c r="P114" s="854">
        <v>0</v>
      </c>
      <c r="Q114" s="854">
        <v>0</v>
      </c>
      <c r="R114" s="854">
        <v>0</v>
      </c>
      <c r="S114" s="854">
        <v>0</v>
      </c>
      <c r="T114" s="1066"/>
      <c r="U114" s="854">
        <v>0</v>
      </c>
      <c r="V114" s="854">
        <v>0</v>
      </c>
      <c r="W114" s="854">
        <v>0</v>
      </c>
      <c r="X114" s="854">
        <v>0</v>
      </c>
      <c r="Y114" s="854">
        <v>0</v>
      </c>
    </row>
    <row r="115" spans="1:25">
      <c r="A115" s="1096">
        <f t="shared" si="22"/>
        <v>2.9899999999999789</v>
      </c>
      <c r="B115" s="854" t="s">
        <v>1314</v>
      </c>
      <c r="C115" s="1066">
        <f t="shared" si="23"/>
        <v>0</v>
      </c>
      <c r="D115" s="1066">
        <f t="shared" si="24"/>
        <v>0</v>
      </c>
      <c r="E115" s="1066"/>
      <c r="F115" s="1066"/>
      <c r="G115" s="1066">
        <f t="shared" si="25"/>
        <v>0</v>
      </c>
      <c r="H115" s="1066"/>
      <c r="I115" s="1066">
        <f t="shared" si="26"/>
        <v>0</v>
      </c>
      <c r="J115" s="1066">
        <f t="shared" si="26"/>
        <v>0</v>
      </c>
      <c r="K115" s="1066">
        <f t="shared" si="27"/>
        <v>0</v>
      </c>
      <c r="L115" s="1066">
        <f t="shared" si="28"/>
        <v>0</v>
      </c>
      <c r="M115" s="1066">
        <f t="shared" si="28"/>
        <v>0</v>
      </c>
      <c r="N115" s="1066"/>
      <c r="O115" s="854">
        <v>0</v>
      </c>
      <c r="P115" s="854">
        <v>0</v>
      </c>
      <c r="Q115" s="854">
        <v>0</v>
      </c>
      <c r="R115" s="854">
        <v>0</v>
      </c>
      <c r="S115" s="854">
        <v>0</v>
      </c>
      <c r="T115" s="1066"/>
      <c r="U115" s="854">
        <v>0</v>
      </c>
      <c r="V115" s="854">
        <v>0</v>
      </c>
      <c r="W115" s="854">
        <v>0</v>
      </c>
      <c r="X115" s="854">
        <v>0</v>
      </c>
      <c r="Y115" s="854">
        <v>0</v>
      </c>
    </row>
    <row r="116" spans="1:25">
      <c r="A116" s="1096">
        <f t="shared" si="22"/>
        <v>2.9999999999999787</v>
      </c>
      <c r="B116" s="854" t="s">
        <v>1315</v>
      </c>
      <c r="C116" s="1066">
        <f t="shared" si="23"/>
        <v>0</v>
      </c>
      <c r="D116" s="1066">
        <f t="shared" si="24"/>
        <v>0</v>
      </c>
      <c r="E116" s="1066"/>
      <c r="F116" s="1066"/>
      <c r="G116" s="1066">
        <f t="shared" si="25"/>
        <v>0</v>
      </c>
      <c r="H116" s="1066"/>
      <c r="I116" s="1066">
        <f t="shared" si="26"/>
        <v>0</v>
      </c>
      <c r="J116" s="1066">
        <f t="shared" si="26"/>
        <v>0</v>
      </c>
      <c r="K116" s="1066">
        <f t="shared" si="27"/>
        <v>0</v>
      </c>
      <c r="L116" s="1066">
        <f t="shared" si="28"/>
        <v>0</v>
      </c>
      <c r="M116" s="1066">
        <f t="shared" si="28"/>
        <v>0</v>
      </c>
      <c r="N116" s="1066"/>
      <c r="O116" s="854">
        <v>0</v>
      </c>
      <c r="P116" s="854">
        <v>0</v>
      </c>
      <c r="Q116" s="854">
        <v>0</v>
      </c>
      <c r="R116" s="854">
        <v>0</v>
      </c>
      <c r="S116" s="854">
        <v>0</v>
      </c>
      <c r="T116" s="1066"/>
      <c r="U116" s="854">
        <v>0</v>
      </c>
      <c r="V116" s="854">
        <v>0</v>
      </c>
      <c r="W116" s="854">
        <v>0</v>
      </c>
      <c r="X116" s="854">
        <v>0</v>
      </c>
      <c r="Y116" s="854">
        <v>0</v>
      </c>
    </row>
    <row r="117" spans="1:25">
      <c r="A117" s="1096">
        <f t="shared" si="22"/>
        <v>3.0099999999999785</v>
      </c>
      <c r="B117" s="854" t="s">
        <v>1316</v>
      </c>
      <c r="C117" s="1066">
        <f t="shared" si="23"/>
        <v>0</v>
      </c>
      <c r="D117" s="1066">
        <f t="shared" si="24"/>
        <v>0</v>
      </c>
      <c r="E117" s="1066"/>
      <c r="F117" s="1066"/>
      <c r="G117" s="1066">
        <f t="shared" si="25"/>
        <v>0</v>
      </c>
      <c r="H117" s="1066"/>
      <c r="I117" s="1066">
        <f t="shared" si="26"/>
        <v>0</v>
      </c>
      <c r="J117" s="1066">
        <f t="shared" si="26"/>
        <v>0</v>
      </c>
      <c r="K117" s="1066">
        <f t="shared" si="27"/>
        <v>0</v>
      </c>
      <c r="L117" s="1066">
        <f t="shared" si="28"/>
        <v>0</v>
      </c>
      <c r="M117" s="1066">
        <f t="shared" si="28"/>
        <v>0</v>
      </c>
      <c r="N117" s="1066"/>
      <c r="O117" s="854">
        <v>0</v>
      </c>
      <c r="P117" s="854">
        <v>0</v>
      </c>
      <c r="Q117" s="854">
        <v>0</v>
      </c>
      <c r="R117" s="854">
        <v>0</v>
      </c>
      <c r="S117" s="854">
        <v>0</v>
      </c>
      <c r="T117" s="1066"/>
      <c r="U117" s="854">
        <v>0</v>
      </c>
      <c r="V117" s="854">
        <v>0</v>
      </c>
      <c r="W117" s="854">
        <v>0</v>
      </c>
      <c r="X117" s="854">
        <v>0</v>
      </c>
      <c r="Y117" s="854">
        <v>0</v>
      </c>
    </row>
    <row r="118" spans="1:25">
      <c r="A118" s="1096">
        <f t="shared" si="22"/>
        <v>3.0199999999999783</v>
      </c>
      <c r="B118" s="854" t="s">
        <v>1317</v>
      </c>
      <c r="C118" s="1066">
        <f t="shared" si="23"/>
        <v>-244725</v>
      </c>
      <c r="D118" s="1066">
        <f t="shared" si="24"/>
        <v>-244725</v>
      </c>
      <c r="E118" s="1066"/>
      <c r="F118" s="1066"/>
      <c r="G118" s="1066">
        <f t="shared" si="25"/>
        <v>-244725</v>
      </c>
      <c r="H118" s="1066"/>
      <c r="I118" s="1066">
        <f t="shared" si="26"/>
        <v>0</v>
      </c>
      <c r="J118" s="1066">
        <f t="shared" si="26"/>
        <v>0</v>
      </c>
      <c r="K118" s="1066">
        <f t="shared" si="27"/>
        <v>0</v>
      </c>
      <c r="L118" s="1066">
        <f t="shared" si="28"/>
        <v>-244725</v>
      </c>
      <c r="M118" s="1066">
        <f t="shared" si="28"/>
        <v>0</v>
      </c>
      <c r="N118" s="1066"/>
      <c r="O118" s="854">
        <v>0</v>
      </c>
      <c r="P118" s="854">
        <v>0</v>
      </c>
      <c r="Q118" s="854">
        <v>0</v>
      </c>
      <c r="R118" s="854">
        <v>-244725</v>
      </c>
      <c r="S118" s="854">
        <v>0</v>
      </c>
      <c r="T118" s="1066"/>
      <c r="U118" s="854">
        <v>0</v>
      </c>
      <c r="V118" s="854">
        <v>0</v>
      </c>
      <c r="W118" s="854">
        <v>0</v>
      </c>
      <c r="X118" s="854">
        <v>-244725</v>
      </c>
      <c r="Y118" s="854">
        <v>0</v>
      </c>
    </row>
    <row r="119" spans="1:25">
      <c r="A119" s="1096">
        <f t="shared" si="22"/>
        <v>3.029999999999978</v>
      </c>
      <c r="B119" s="854" t="s">
        <v>1318</v>
      </c>
      <c r="C119" s="1066">
        <f t="shared" si="23"/>
        <v>0</v>
      </c>
      <c r="D119" s="1066">
        <f t="shared" si="24"/>
        <v>0</v>
      </c>
      <c r="E119" s="1066"/>
      <c r="F119" s="1066"/>
      <c r="G119" s="1066">
        <f t="shared" si="25"/>
        <v>0</v>
      </c>
      <c r="H119" s="1066"/>
      <c r="I119" s="1066">
        <f t="shared" si="26"/>
        <v>0</v>
      </c>
      <c r="J119" s="1066">
        <f t="shared" si="26"/>
        <v>0</v>
      </c>
      <c r="K119" s="1066">
        <f t="shared" si="27"/>
        <v>0</v>
      </c>
      <c r="L119" s="1066">
        <f t="shared" si="28"/>
        <v>0</v>
      </c>
      <c r="M119" s="1066">
        <f t="shared" si="28"/>
        <v>0</v>
      </c>
      <c r="N119" s="1066"/>
      <c r="O119" s="854">
        <v>0</v>
      </c>
      <c r="P119" s="854">
        <v>0</v>
      </c>
      <c r="Q119" s="854">
        <v>0</v>
      </c>
      <c r="R119" s="854">
        <v>0</v>
      </c>
      <c r="S119" s="854">
        <v>0</v>
      </c>
      <c r="T119" s="1066"/>
      <c r="U119" s="854">
        <v>0</v>
      </c>
      <c r="V119" s="854">
        <v>0</v>
      </c>
      <c r="W119" s="854">
        <v>0</v>
      </c>
      <c r="X119" s="854">
        <v>0</v>
      </c>
      <c r="Y119" s="854">
        <v>0</v>
      </c>
    </row>
    <row r="120" spans="1:25">
      <c r="A120" s="1096">
        <f t="shared" si="22"/>
        <v>3.0399999999999778</v>
      </c>
      <c r="B120" s="854" t="s">
        <v>1319</v>
      </c>
      <c r="C120" s="1066">
        <f t="shared" si="23"/>
        <v>961471</v>
      </c>
      <c r="D120" s="1066">
        <f t="shared" si="24"/>
        <v>961471</v>
      </c>
      <c r="E120" s="1066"/>
      <c r="F120" s="1066"/>
      <c r="G120" s="1066">
        <f t="shared" si="25"/>
        <v>961471</v>
      </c>
      <c r="H120" s="1066"/>
      <c r="I120" s="1066">
        <f t="shared" si="26"/>
        <v>0</v>
      </c>
      <c r="J120" s="1066">
        <f t="shared" si="26"/>
        <v>0</v>
      </c>
      <c r="K120" s="1066">
        <f t="shared" si="27"/>
        <v>0</v>
      </c>
      <c r="L120" s="1066">
        <f t="shared" si="28"/>
        <v>961471</v>
      </c>
      <c r="M120" s="1066">
        <f t="shared" si="28"/>
        <v>0</v>
      </c>
      <c r="N120" s="1066"/>
      <c r="O120" s="854">
        <v>0</v>
      </c>
      <c r="P120" s="854">
        <v>0</v>
      </c>
      <c r="Q120" s="854">
        <v>0</v>
      </c>
      <c r="R120" s="854">
        <v>961471</v>
      </c>
      <c r="S120" s="854">
        <v>0</v>
      </c>
      <c r="T120" s="1066"/>
      <c r="U120" s="854">
        <v>0</v>
      </c>
      <c r="V120" s="854">
        <v>0</v>
      </c>
      <c r="W120" s="854">
        <v>0</v>
      </c>
      <c r="X120" s="854">
        <v>961471</v>
      </c>
      <c r="Y120" s="854">
        <v>0</v>
      </c>
    </row>
    <row r="121" spans="1:25">
      <c r="A121" s="1096">
        <f t="shared" si="22"/>
        <v>3.0499999999999776</v>
      </c>
      <c r="B121" s="854" t="s">
        <v>1320</v>
      </c>
      <c r="C121" s="1066">
        <f t="shared" si="23"/>
        <v>-8181406</v>
      </c>
      <c r="D121" s="1066">
        <f t="shared" si="24"/>
        <v>-7793051.0999999996</v>
      </c>
      <c r="E121" s="1066"/>
      <c r="F121" s="1066"/>
      <c r="G121" s="1066">
        <f t="shared" si="25"/>
        <v>-7987229</v>
      </c>
      <c r="H121" s="1066"/>
      <c r="I121" s="1066">
        <f t="shared" si="26"/>
        <v>-2505999.7749999999</v>
      </c>
      <c r="J121" s="1066">
        <f t="shared" si="26"/>
        <v>-5523821.375</v>
      </c>
      <c r="K121" s="1066">
        <f t="shared" si="27"/>
        <v>43475.35</v>
      </c>
      <c r="L121" s="1066">
        <f t="shared" si="28"/>
        <v>-882.75</v>
      </c>
      <c r="M121" s="1066">
        <f t="shared" si="28"/>
        <v>0</v>
      </c>
      <c r="N121" s="1066"/>
      <c r="O121" s="854">
        <v>-2669826</v>
      </c>
      <c r="P121" s="854">
        <v>-5542103</v>
      </c>
      <c r="Q121" s="854">
        <v>39586</v>
      </c>
      <c r="R121" s="854">
        <v>-9063</v>
      </c>
      <c r="S121" s="854">
        <v>0</v>
      </c>
      <c r="T121" s="1066"/>
      <c r="U121" s="854">
        <v>-2342173.5499999998</v>
      </c>
      <c r="V121" s="854">
        <v>-5505539.75</v>
      </c>
      <c r="W121" s="854">
        <v>47364.7</v>
      </c>
      <c r="X121" s="854">
        <v>7297.5</v>
      </c>
      <c r="Y121" s="854">
        <v>0</v>
      </c>
    </row>
    <row r="122" spans="1:25">
      <c r="A122" s="1096">
        <f t="shared" si="22"/>
        <v>3.0599999999999774</v>
      </c>
      <c r="B122" s="854" t="s">
        <v>1321</v>
      </c>
      <c r="C122" s="1066">
        <f t="shared" si="23"/>
        <v>0</v>
      </c>
      <c r="D122" s="1066">
        <f t="shared" si="24"/>
        <v>113580.14</v>
      </c>
      <c r="E122" s="1066"/>
      <c r="F122" s="1066"/>
      <c r="G122" s="1066">
        <f t="shared" si="25"/>
        <v>56790</v>
      </c>
      <c r="H122" s="1066"/>
      <c r="I122" s="1066">
        <f t="shared" si="26"/>
        <v>0</v>
      </c>
      <c r="J122" s="1066">
        <f t="shared" si="26"/>
        <v>50540.065000000002</v>
      </c>
      <c r="K122" s="1066">
        <f t="shared" si="27"/>
        <v>0</v>
      </c>
      <c r="L122" s="1066">
        <f t="shared" si="28"/>
        <v>6250.0050000000001</v>
      </c>
      <c r="M122" s="1066">
        <f t="shared" si="28"/>
        <v>0</v>
      </c>
      <c r="N122" s="1066"/>
      <c r="O122" s="854">
        <v>0</v>
      </c>
      <c r="P122" s="854">
        <v>0</v>
      </c>
      <c r="Q122" s="854">
        <v>0</v>
      </c>
      <c r="R122" s="854">
        <v>0</v>
      </c>
      <c r="S122" s="854">
        <v>0</v>
      </c>
      <c r="T122" s="1066"/>
      <c r="U122" s="854">
        <v>0</v>
      </c>
      <c r="V122" s="854">
        <v>101080.13</v>
      </c>
      <c r="W122" s="854">
        <v>0</v>
      </c>
      <c r="X122" s="854">
        <v>12500.01</v>
      </c>
      <c r="Y122" s="854">
        <v>0</v>
      </c>
    </row>
    <row r="123" spans="1:25">
      <c r="A123" s="1096">
        <f t="shared" si="22"/>
        <v>3.0699999999999772</v>
      </c>
      <c r="B123" s="854" t="s">
        <v>1322</v>
      </c>
      <c r="C123" s="1066">
        <f t="shared" si="14"/>
        <v>0</v>
      </c>
      <c r="D123" s="1066">
        <f t="shared" si="15"/>
        <v>0.13</v>
      </c>
      <c r="E123" s="1066"/>
      <c r="F123" s="1066"/>
      <c r="G123" s="1066">
        <f t="shared" si="16"/>
        <v>0</v>
      </c>
      <c r="H123" s="1066"/>
      <c r="I123" s="1066">
        <f t="shared" ref="I123:M129" si="37">(O123+U123)/2</f>
        <v>0</v>
      </c>
      <c r="J123" s="1066">
        <f t="shared" si="37"/>
        <v>6.5000000000000002E-2</v>
      </c>
      <c r="K123" s="1066">
        <f t="shared" si="37"/>
        <v>0</v>
      </c>
      <c r="L123" s="1066">
        <f t="shared" si="37"/>
        <v>0</v>
      </c>
      <c r="M123" s="1066">
        <f t="shared" si="37"/>
        <v>0</v>
      </c>
      <c r="N123" s="1066"/>
      <c r="O123" s="854">
        <v>0</v>
      </c>
      <c r="P123" s="854">
        <v>0</v>
      </c>
      <c r="Q123" s="854">
        <v>0</v>
      </c>
      <c r="R123" s="854">
        <v>0</v>
      </c>
      <c r="S123" s="854">
        <v>0</v>
      </c>
      <c r="T123" s="1066"/>
      <c r="U123" s="854">
        <v>0</v>
      </c>
      <c r="V123" s="854">
        <v>0.13</v>
      </c>
      <c r="W123" s="854">
        <v>0</v>
      </c>
      <c r="X123" s="854">
        <v>0</v>
      </c>
      <c r="Y123" s="854">
        <v>0</v>
      </c>
    </row>
    <row r="124" spans="1:25">
      <c r="A124" s="1096">
        <f t="shared" si="22"/>
        <v>3.079999999999977</v>
      </c>
      <c r="B124" s="854" t="s">
        <v>1323</v>
      </c>
      <c r="C124" s="1066">
        <f t="shared" si="14"/>
        <v>0</v>
      </c>
      <c r="D124" s="1066">
        <f t="shared" si="15"/>
        <v>0</v>
      </c>
      <c r="E124" s="1066"/>
      <c r="F124" s="1066"/>
      <c r="G124" s="1066">
        <f t="shared" si="16"/>
        <v>0</v>
      </c>
      <c r="H124" s="1066"/>
      <c r="I124" s="1066">
        <f t="shared" si="37"/>
        <v>0</v>
      </c>
      <c r="J124" s="1066">
        <f t="shared" si="37"/>
        <v>0</v>
      </c>
      <c r="K124" s="1066">
        <f t="shared" si="37"/>
        <v>0</v>
      </c>
      <c r="L124" s="1066">
        <f t="shared" si="37"/>
        <v>0</v>
      </c>
      <c r="M124" s="1066">
        <f t="shared" si="37"/>
        <v>0</v>
      </c>
      <c r="N124" s="1066"/>
      <c r="O124" s="854">
        <v>0</v>
      </c>
      <c r="P124" s="854">
        <v>0</v>
      </c>
      <c r="Q124" s="854">
        <v>0</v>
      </c>
      <c r="R124" s="854">
        <v>0</v>
      </c>
      <c r="S124" s="854">
        <v>0</v>
      </c>
      <c r="T124" s="1066"/>
      <c r="U124" s="854">
        <v>0</v>
      </c>
      <c r="V124" s="854">
        <v>0</v>
      </c>
      <c r="W124" s="854">
        <v>0</v>
      </c>
      <c r="X124" s="854">
        <v>0</v>
      </c>
      <c r="Y124" s="854">
        <v>0</v>
      </c>
    </row>
    <row r="125" spans="1:25">
      <c r="A125" s="1096">
        <f t="shared" si="22"/>
        <v>3.0899999999999768</v>
      </c>
      <c r="B125" s="854" t="s">
        <v>1324</v>
      </c>
      <c r="C125" s="1066">
        <f t="shared" si="14"/>
        <v>0</v>
      </c>
      <c r="D125" s="1066">
        <f t="shared" si="15"/>
        <v>0</v>
      </c>
      <c r="E125" s="1066"/>
      <c r="F125" s="1066"/>
      <c r="G125" s="1066">
        <f t="shared" si="16"/>
        <v>0</v>
      </c>
      <c r="H125" s="1066"/>
      <c r="I125" s="1066">
        <f t="shared" si="37"/>
        <v>0</v>
      </c>
      <c r="J125" s="1066">
        <f t="shared" si="37"/>
        <v>0</v>
      </c>
      <c r="K125" s="1066">
        <f t="shared" si="37"/>
        <v>0</v>
      </c>
      <c r="L125" s="1066">
        <f t="shared" si="37"/>
        <v>0</v>
      </c>
      <c r="M125" s="1066">
        <f t="shared" si="37"/>
        <v>0</v>
      </c>
      <c r="N125" s="1066"/>
      <c r="O125" s="854">
        <v>0</v>
      </c>
      <c r="P125" s="854">
        <v>0</v>
      </c>
      <c r="Q125" s="854">
        <v>0</v>
      </c>
      <c r="R125" s="854">
        <v>0</v>
      </c>
      <c r="S125" s="854">
        <v>0</v>
      </c>
      <c r="T125" s="1066"/>
      <c r="U125" s="854">
        <v>0</v>
      </c>
      <c r="V125" s="854">
        <v>0</v>
      </c>
      <c r="W125" s="854">
        <v>0</v>
      </c>
      <c r="X125" s="854">
        <v>0</v>
      </c>
      <c r="Y125" s="854">
        <v>0</v>
      </c>
    </row>
    <row r="126" spans="1:25">
      <c r="A126" s="1096">
        <f t="shared" si="22"/>
        <v>3.0999999999999766</v>
      </c>
      <c r="B126" s="854" t="s">
        <v>1325</v>
      </c>
      <c r="C126" s="1066">
        <f t="shared" si="14"/>
        <v>-18318</v>
      </c>
      <c r="D126" s="1066">
        <f t="shared" si="15"/>
        <v>0</v>
      </c>
      <c r="E126" s="1066"/>
      <c r="F126" s="1066"/>
      <c r="G126" s="1066">
        <f t="shared" si="16"/>
        <v>-9159</v>
      </c>
      <c r="H126" s="1066"/>
      <c r="I126" s="1066">
        <f t="shared" si="37"/>
        <v>8047</v>
      </c>
      <c r="J126" s="1066">
        <f t="shared" si="37"/>
        <v>-6401</v>
      </c>
      <c r="K126" s="1066">
        <f t="shared" si="37"/>
        <v>-1812.5</v>
      </c>
      <c r="L126" s="1066">
        <f t="shared" si="37"/>
        <v>-8992.5</v>
      </c>
      <c r="M126" s="1066">
        <f t="shared" si="37"/>
        <v>0</v>
      </c>
      <c r="N126" s="1066"/>
      <c r="O126" s="854">
        <v>16094</v>
      </c>
      <c r="P126" s="854">
        <v>-12802</v>
      </c>
      <c r="Q126" s="854">
        <v>-3625</v>
      </c>
      <c r="R126" s="854">
        <v>-17985</v>
      </c>
      <c r="S126" s="854">
        <v>0</v>
      </c>
      <c r="T126" s="1066"/>
      <c r="U126" s="854">
        <v>0</v>
      </c>
      <c r="V126" s="854">
        <v>0</v>
      </c>
      <c r="W126" s="854">
        <v>0</v>
      </c>
      <c r="X126" s="854">
        <v>0</v>
      </c>
      <c r="Y126" s="854">
        <v>0</v>
      </c>
    </row>
    <row r="127" spans="1:25">
      <c r="A127" s="1096">
        <f t="shared" si="22"/>
        <v>3.1099999999999763</v>
      </c>
      <c r="B127" s="854" t="s">
        <v>1326</v>
      </c>
      <c r="C127" s="1066">
        <f t="shared" si="14"/>
        <v>176192</v>
      </c>
      <c r="D127" s="1066">
        <f t="shared" si="15"/>
        <v>177384.69</v>
      </c>
      <c r="E127" s="1066"/>
      <c r="F127" s="1066"/>
      <c r="G127" s="1066">
        <f t="shared" si="16"/>
        <v>176788</v>
      </c>
      <c r="H127" s="1066"/>
      <c r="I127" s="1066">
        <f t="shared" si="37"/>
        <v>5570.91</v>
      </c>
      <c r="J127" s="1066">
        <f t="shared" si="37"/>
        <v>132456.715</v>
      </c>
      <c r="K127" s="1066">
        <f t="shared" si="37"/>
        <v>562.04500000000007</v>
      </c>
      <c r="L127" s="1066">
        <f t="shared" si="37"/>
        <v>38198.675000000003</v>
      </c>
      <c r="M127" s="1066">
        <f t="shared" si="37"/>
        <v>0</v>
      </c>
      <c r="N127" s="1066"/>
      <c r="O127" s="854">
        <v>4685</v>
      </c>
      <c r="P127" s="854">
        <v>128398</v>
      </c>
      <c r="Q127" s="854">
        <v>541</v>
      </c>
      <c r="R127" s="854">
        <v>42568</v>
      </c>
      <c r="S127" s="854">
        <v>0</v>
      </c>
      <c r="T127" s="1066"/>
      <c r="U127" s="854">
        <v>6456.82</v>
      </c>
      <c r="V127" s="854">
        <v>136515.43</v>
      </c>
      <c r="W127" s="854">
        <v>583.09</v>
      </c>
      <c r="X127" s="854">
        <v>33829.35</v>
      </c>
      <c r="Y127" s="854">
        <v>0</v>
      </c>
    </row>
    <row r="128" spans="1:25">
      <c r="A128" s="1096">
        <f t="shared" si="22"/>
        <v>3.1199999999999761</v>
      </c>
      <c r="B128" s="854" t="s">
        <v>1327</v>
      </c>
      <c r="C128" s="1066">
        <f t="shared" si="14"/>
        <v>495467</v>
      </c>
      <c r="D128" s="1066">
        <f t="shared" si="15"/>
        <v>1093202.83</v>
      </c>
      <c r="E128" s="1066"/>
      <c r="F128" s="1066"/>
      <c r="G128" s="1066">
        <f t="shared" si="16"/>
        <v>794335</v>
      </c>
      <c r="H128" s="1066"/>
      <c r="I128" s="1066">
        <f t="shared" si="37"/>
        <v>39262.125</v>
      </c>
      <c r="J128" s="1066">
        <f t="shared" si="37"/>
        <v>564067.01500000001</v>
      </c>
      <c r="K128" s="1066">
        <f t="shared" si="37"/>
        <v>4181.3449999999993</v>
      </c>
      <c r="L128" s="1066">
        <f t="shared" si="37"/>
        <v>186824.43</v>
      </c>
      <c r="M128" s="1066">
        <f t="shared" si="37"/>
        <v>0</v>
      </c>
      <c r="N128" s="1066"/>
      <c r="O128" s="854">
        <v>22058</v>
      </c>
      <c r="P128" s="854">
        <v>353498</v>
      </c>
      <c r="Q128" s="854">
        <v>2642</v>
      </c>
      <c r="R128" s="854">
        <v>117269</v>
      </c>
      <c r="S128" s="854">
        <v>0</v>
      </c>
      <c r="T128" s="1066"/>
      <c r="U128" s="854">
        <v>56466.25</v>
      </c>
      <c r="V128" s="854">
        <v>774636.03</v>
      </c>
      <c r="W128" s="854">
        <v>5720.69</v>
      </c>
      <c r="X128" s="854">
        <v>256379.86</v>
      </c>
      <c r="Y128" s="854">
        <v>0</v>
      </c>
    </row>
    <row r="129" spans="1:262">
      <c r="A129" s="1096">
        <f t="shared" si="22"/>
        <v>3.1299999999999759</v>
      </c>
      <c r="B129" s="854" t="s">
        <v>1328</v>
      </c>
      <c r="C129" s="1066">
        <f t="shared" si="14"/>
        <v>193091</v>
      </c>
      <c r="D129" s="1066">
        <f t="shared" si="15"/>
        <v>-251091.62000000002</v>
      </c>
      <c r="E129" s="1066"/>
      <c r="F129" s="1066"/>
      <c r="G129" s="1066">
        <f t="shared" si="16"/>
        <v>-29000</v>
      </c>
      <c r="H129" s="1066"/>
      <c r="I129" s="1066">
        <f t="shared" si="37"/>
        <v>-184851.26</v>
      </c>
      <c r="J129" s="1066">
        <f t="shared" si="37"/>
        <v>193091</v>
      </c>
      <c r="K129" s="1066">
        <f t="shared" si="37"/>
        <v>-37240.050000000003</v>
      </c>
      <c r="L129" s="1066">
        <f t="shared" si="37"/>
        <v>0</v>
      </c>
      <c r="M129" s="1066">
        <f t="shared" si="37"/>
        <v>0</v>
      </c>
      <c r="N129" s="1066"/>
      <c r="O129" s="854">
        <v>0</v>
      </c>
      <c r="P129" s="854">
        <v>193091</v>
      </c>
      <c r="Q129" s="854">
        <v>0</v>
      </c>
      <c r="R129" s="854">
        <v>0</v>
      </c>
      <c r="S129" s="854">
        <v>0</v>
      </c>
      <c r="T129" s="1066"/>
      <c r="U129" s="854">
        <v>-369702.52</v>
      </c>
      <c r="V129" s="854">
        <v>193091</v>
      </c>
      <c r="W129" s="854">
        <v>-74480.100000000006</v>
      </c>
      <c r="X129" s="854">
        <v>0</v>
      </c>
      <c r="Y129" s="854">
        <v>0</v>
      </c>
    </row>
    <row r="130" spans="1:262">
      <c r="A130" s="1096">
        <f t="shared" si="22"/>
        <v>3.1399999999999757</v>
      </c>
      <c r="B130" s="854" t="s">
        <v>1030</v>
      </c>
      <c r="C130" s="854">
        <f>-E130</f>
        <v>-68655</v>
      </c>
      <c r="D130" s="854">
        <f>-F130</f>
        <v>1990992.69</v>
      </c>
      <c r="E130" s="1066">
        <v>68655</v>
      </c>
      <c r="F130" s="1066">
        <v>-1990992.69</v>
      </c>
      <c r="G130" s="1066">
        <f t="shared" si="16"/>
        <v>0</v>
      </c>
      <c r="H130" s="1066"/>
      <c r="I130" s="1066"/>
      <c r="J130" s="1066"/>
      <c r="K130" s="1066"/>
      <c r="L130" s="1066"/>
      <c r="M130" s="1066"/>
      <c r="N130" s="1066"/>
      <c r="O130" s="1066"/>
      <c r="P130" s="1066"/>
      <c r="Q130" s="1066"/>
      <c r="R130" s="1066"/>
      <c r="S130" s="1066"/>
      <c r="T130" s="1066"/>
      <c r="U130" s="1066"/>
      <c r="V130" s="1066"/>
      <c r="W130" s="1066"/>
      <c r="X130" s="1066"/>
      <c r="Y130" s="1066"/>
    </row>
    <row r="131" spans="1:262">
      <c r="A131" s="1096">
        <f t="shared" si="22"/>
        <v>3.1499999999999755</v>
      </c>
      <c r="B131" s="854" t="s">
        <v>1329</v>
      </c>
      <c r="C131" s="854">
        <f t="shared" ref="C131:C138" si="38">-E131</f>
        <v>45593936</v>
      </c>
      <c r="D131" s="854">
        <f t="shared" ref="D131:D138" si="39">-F131</f>
        <v>45593936</v>
      </c>
      <c r="E131" s="1066">
        <v>-45593936</v>
      </c>
      <c r="F131" s="1066">
        <v>-45593936</v>
      </c>
      <c r="G131" s="1066">
        <f t="shared" si="16"/>
        <v>0</v>
      </c>
      <c r="H131" s="1066"/>
      <c r="I131" s="1066"/>
      <c r="J131" s="1066"/>
      <c r="K131" s="1066"/>
      <c r="L131" s="1066"/>
      <c r="M131" s="1066"/>
      <c r="N131" s="1066"/>
      <c r="O131" s="1066"/>
      <c r="P131" s="1066"/>
      <c r="Q131" s="1066"/>
      <c r="R131" s="1066"/>
      <c r="S131" s="1066"/>
      <c r="T131" s="1066"/>
      <c r="U131" s="1066"/>
      <c r="V131" s="1066"/>
      <c r="W131" s="1066"/>
      <c r="X131" s="1066"/>
      <c r="Y131" s="1066"/>
    </row>
    <row r="132" spans="1:262">
      <c r="A132" s="1096">
        <f t="shared" si="22"/>
        <v>3.1599999999999753</v>
      </c>
      <c r="B132" s="854" t="s">
        <v>1330</v>
      </c>
      <c r="C132" s="854">
        <f t="shared" si="38"/>
        <v>141975891</v>
      </c>
      <c r="D132" s="854">
        <f t="shared" si="39"/>
        <v>169633797.20000002</v>
      </c>
      <c r="E132" s="1066">
        <v>-141975891</v>
      </c>
      <c r="F132" s="1066">
        <v>-169633797.20000002</v>
      </c>
      <c r="G132" s="1066">
        <f t="shared" si="16"/>
        <v>0</v>
      </c>
      <c r="H132" s="1066"/>
      <c r="I132" s="1066"/>
      <c r="J132" s="1066"/>
      <c r="K132" s="1066"/>
      <c r="L132" s="1066"/>
      <c r="M132" s="1066"/>
      <c r="N132" s="1066"/>
      <c r="O132" s="1066"/>
      <c r="P132" s="1066"/>
      <c r="Q132" s="1066"/>
      <c r="R132" s="1066"/>
      <c r="S132" s="1066"/>
      <c r="T132" s="1066"/>
      <c r="U132" s="1066"/>
      <c r="V132" s="1066"/>
      <c r="W132" s="1066"/>
      <c r="X132" s="1066"/>
      <c r="Y132" s="1066"/>
    </row>
    <row r="133" spans="1:262">
      <c r="A133" s="1096">
        <f t="shared" si="22"/>
        <v>3.1699999999999751</v>
      </c>
      <c r="B133" s="854" t="s">
        <v>1331</v>
      </c>
      <c r="C133" s="854">
        <f t="shared" si="38"/>
        <v>0</v>
      </c>
      <c r="D133" s="854">
        <f t="shared" si="39"/>
        <v>0</v>
      </c>
      <c r="E133" s="1066">
        <v>0</v>
      </c>
      <c r="F133" s="1066">
        <v>0</v>
      </c>
      <c r="G133" s="1066">
        <f t="shared" si="16"/>
        <v>0</v>
      </c>
      <c r="H133" s="1066"/>
      <c r="I133" s="1066"/>
      <c r="J133" s="1066"/>
      <c r="K133" s="1066"/>
      <c r="L133" s="1066"/>
      <c r="M133" s="1066"/>
      <c r="N133" s="1066"/>
      <c r="O133" s="1066"/>
      <c r="P133" s="1066"/>
      <c r="Q133" s="1066"/>
      <c r="R133" s="1066"/>
      <c r="S133" s="1066"/>
      <c r="T133" s="1066"/>
      <c r="U133" s="1066"/>
      <c r="V133" s="1066"/>
      <c r="W133" s="1066"/>
      <c r="X133" s="1066"/>
      <c r="Y133" s="1066"/>
    </row>
    <row r="134" spans="1:262">
      <c r="A134" s="1096">
        <f t="shared" si="22"/>
        <v>3.1799999999999748</v>
      </c>
      <c r="B134" s="854" t="s">
        <v>1332</v>
      </c>
      <c r="C134" s="854">
        <f t="shared" si="38"/>
        <v>-1928</v>
      </c>
      <c r="D134" s="854">
        <f t="shared" si="39"/>
        <v>-1928</v>
      </c>
      <c r="E134" s="1066">
        <v>1928</v>
      </c>
      <c r="F134" s="1066">
        <v>1928</v>
      </c>
      <c r="G134" s="1066">
        <f t="shared" si="16"/>
        <v>0</v>
      </c>
      <c r="H134" s="1066"/>
      <c r="I134" s="1066"/>
      <c r="J134" s="1066"/>
      <c r="K134" s="1066"/>
      <c r="L134" s="1066"/>
      <c r="M134" s="1066"/>
      <c r="N134" s="1066"/>
      <c r="O134" s="1066"/>
      <c r="P134" s="1066"/>
      <c r="Q134" s="1066"/>
      <c r="R134" s="1066"/>
      <c r="S134" s="1066"/>
      <c r="T134" s="1066"/>
      <c r="U134" s="1066"/>
      <c r="V134" s="1066"/>
      <c r="W134" s="1066"/>
      <c r="X134" s="1066"/>
      <c r="Y134" s="1066"/>
    </row>
    <row r="135" spans="1:262">
      <c r="A135" s="1096">
        <f t="shared" si="22"/>
        <v>3.1899999999999746</v>
      </c>
      <c r="B135" s="854" t="s">
        <v>1333</v>
      </c>
      <c r="C135" s="854">
        <f t="shared" si="38"/>
        <v>465310</v>
      </c>
      <c r="D135" s="854">
        <f t="shared" si="39"/>
        <v>505872.57</v>
      </c>
      <c r="E135" s="1066">
        <v>-465310</v>
      </c>
      <c r="F135" s="1066">
        <v>-505872.57</v>
      </c>
      <c r="G135" s="1066">
        <f t="shared" si="16"/>
        <v>0</v>
      </c>
      <c r="H135" s="1066"/>
      <c r="I135" s="1066"/>
      <c r="J135" s="1066"/>
      <c r="K135" s="1066"/>
      <c r="L135" s="1066"/>
      <c r="M135" s="1066"/>
      <c r="N135" s="1066"/>
      <c r="O135" s="1066"/>
      <c r="P135" s="1066"/>
      <c r="Q135" s="1066"/>
      <c r="R135" s="1066"/>
      <c r="S135" s="1066"/>
      <c r="T135" s="1066"/>
      <c r="U135" s="1066"/>
      <c r="V135" s="1066"/>
      <c r="W135" s="1066"/>
      <c r="X135" s="1066"/>
      <c r="Y135" s="1066"/>
    </row>
    <row r="136" spans="1:262">
      <c r="A136" s="1096">
        <f t="shared" si="22"/>
        <v>3.1999999999999744</v>
      </c>
      <c r="B136" s="854" t="s">
        <v>1334</v>
      </c>
      <c r="C136" s="854">
        <f t="shared" si="38"/>
        <v>169410</v>
      </c>
      <c r="D136" s="854">
        <f t="shared" si="39"/>
        <v>-22938.3</v>
      </c>
      <c r="E136" s="1066">
        <v>-169410</v>
      </c>
      <c r="F136" s="1066">
        <v>22938.3</v>
      </c>
      <c r="G136" s="1066">
        <f t="shared" si="16"/>
        <v>0</v>
      </c>
      <c r="H136" s="1066"/>
      <c r="I136" s="1066"/>
      <c r="J136" s="1066"/>
      <c r="K136" s="1066"/>
      <c r="L136" s="1066"/>
      <c r="M136" s="1066"/>
      <c r="N136" s="1066"/>
      <c r="O136" s="1066"/>
      <c r="P136" s="1066"/>
      <c r="Q136" s="1066"/>
      <c r="R136" s="1066"/>
      <c r="S136" s="1066"/>
      <c r="T136" s="1066"/>
      <c r="U136" s="1066"/>
      <c r="V136" s="1066"/>
      <c r="W136" s="1066"/>
      <c r="X136" s="1066"/>
      <c r="Y136" s="1066"/>
    </row>
    <row r="137" spans="1:262">
      <c r="A137" s="1096">
        <f t="shared" si="22"/>
        <v>3.2099999999999742</v>
      </c>
      <c r="B137" s="854" t="s">
        <v>1335</v>
      </c>
      <c r="C137" s="854">
        <f t="shared" si="38"/>
        <v>3024984</v>
      </c>
      <c r="D137" s="854">
        <f t="shared" si="39"/>
        <v>2599055.7599999998</v>
      </c>
      <c r="E137" s="1066">
        <v>-3024984</v>
      </c>
      <c r="F137" s="1066">
        <v>-2599055.7599999998</v>
      </c>
      <c r="G137" s="1066">
        <f t="shared" si="16"/>
        <v>0</v>
      </c>
      <c r="H137" s="1066"/>
      <c r="I137" s="1066"/>
      <c r="J137" s="1066"/>
      <c r="K137" s="1066"/>
      <c r="L137" s="1066"/>
      <c r="M137" s="1066"/>
      <c r="N137" s="1066"/>
      <c r="O137" s="1066"/>
      <c r="P137" s="1066"/>
      <c r="Q137" s="1066"/>
      <c r="R137" s="1066"/>
      <c r="S137" s="1066"/>
      <c r="T137" s="1066"/>
      <c r="U137" s="1066"/>
      <c r="V137" s="1066"/>
      <c r="W137" s="1066"/>
      <c r="X137" s="1066"/>
      <c r="Y137" s="1066"/>
    </row>
    <row r="138" spans="1:262">
      <c r="A138" s="1096">
        <f t="shared" si="22"/>
        <v>3.219999999999974</v>
      </c>
      <c r="B138" s="854" t="s">
        <v>1336</v>
      </c>
      <c r="C138" s="854">
        <f t="shared" si="38"/>
        <v>-349319</v>
      </c>
      <c r="D138" s="854">
        <f t="shared" si="39"/>
        <v>-704915.02</v>
      </c>
      <c r="E138" s="1066">
        <v>349319</v>
      </c>
      <c r="F138" s="1066">
        <v>704915.02</v>
      </c>
      <c r="G138" s="1066">
        <f t="shared" si="16"/>
        <v>0</v>
      </c>
      <c r="H138" s="1066"/>
      <c r="I138" s="1066"/>
      <c r="J138" s="1066"/>
      <c r="K138" s="1066"/>
      <c r="L138" s="1066"/>
      <c r="M138" s="1066"/>
      <c r="N138" s="1066"/>
      <c r="O138" s="1068"/>
      <c r="P138" s="1068"/>
      <c r="Q138" s="1068"/>
      <c r="R138" s="1068"/>
      <c r="S138" s="1068"/>
      <c r="T138" s="1066"/>
      <c r="U138" s="1068"/>
      <c r="V138" s="1068"/>
      <c r="W138" s="1068"/>
      <c r="X138" s="1068"/>
      <c r="Y138" s="1068"/>
    </row>
    <row r="139" spans="1:262">
      <c r="A139" s="1086"/>
      <c r="B139" s="1066"/>
      <c r="C139" s="1066"/>
      <c r="D139" s="1066"/>
      <c r="E139" s="1066"/>
      <c r="F139" s="1066"/>
      <c r="G139" s="1066"/>
      <c r="H139" s="1066"/>
      <c r="I139" s="1066"/>
      <c r="J139" s="1066"/>
      <c r="K139" s="1066"/>
      <c r="L139" s="1066"/>
      <c r="M139" s="1066"/>
      <c r="N139" s="1066"/>
      <c r="O139" s="1066"/>
      <c r="P139" s="1066"/>
      <c r="Q139" s="1066"/>
      <c r="R139" s="1066"/>
      <c r="S139" s="1066"/>
      <c r="T139" s="1066"/>
      <c r="U139" s="1066"/>
      <c r="V139" s="1066"/>
      <c r="W139" s="1066"/>
      <c r="X139" s="1066"/>
      <c r="Y139" s="1066"/>
    </row>
    <row r="140" spans="1:262" ht="13" thickBot="1">
      <c r="A140" s="22">
        <v>3</v>
      </c>
      <c r="B140" s="1072" t="s">
        <v>745</v>
      </c>
      <c r="C140" s="1087">
        <f>SUM(C17:C139)</f>
        <v>771937134</v>
      </c>
      <c r="D140" s="1087">
        <f>SUM(D17:D139)</f>
        <v>969970206.85000014</v>
      </c>
      <c r="E140" s="1087">
        <f>SUM(E17:E139)</f>
        <v>-190809629</v>
      </c>
      <c r="F140" s="1087">
        <f>SUM(F17:F139)</f>
        <v>-219593872.89999998</v>
      </c>
      <c r="G140" s="1087">
        <f>SUM(G17:G139)</f>
        <v>665751920</v>
      </c>
      <c r="H140" s="1066"/>
      <c r="I140" s="1087">
        <f>SUM(I17:I139)</f>
        <v>41099430.665000007</v>
      </c>
      <c r="J140" s="1087"/>
      <c r="K140" s="1087">
        <f>SUM(K17:K139)</f>
        <v>9369368.2599999961</v>
      </c>
      <c r="L140" s="1087">
        <f>SUM(L17:L139)</f>
        <v>14467918.290000001</v>
      </c>
      <c r="M140" s="1336"/>
      <c r="N140" s="1066"/>
      <c r="O140" s="1087">
        <f>SUM(O17:O139)</f>
        <v>13454755</v>
      </c>
      <c r="P140" s="1087">
        <f t="shared" ref="P140:S140" si="40">SUM(P17:P139)</f>
        <v>548448281</v>
      </c>
      <c r="Q140" s="1087">
        <f t="shared" si="40"/>
        <v>7731578</v>
      </c>
      <c r="R140" s="1087">
        <f t="shared" si="40"/>
        <v>11492891</v>
      </c>
      <c r="S140" s="1087">
        <f t="shared" si="40"/>
        <v>0</v>
      </c>
      <c r="T140" s="1066"/>
      <c r="U140" s="1087">
        <f>SUM(U17:U139)</f>
        <v>68744106.330000013</v>
      </c>
      <c r="V140" s="1087">
        <f t="shared" ref="V140:Y140" si="41">SUM(V17:V139)</f>
        <v>653182123.51999998</v>
      </c>
      <c r="W140" s="1087">
        <f t="shared" si="41"/>
        <v>11007158.52</v>
      </c>
      <c r="X140" s="1087">
        <f t="shared" si="41"/>
        <v>17442945.580000006</v>
      </c>
      <c r="Y140" s="1087">
        <f t="shared" si="41"/>
        <v>0</v>
      </c>
    </row>
    <row r="141" spans="1:262" ht="13" thickTop="1">
      <c r="A141" s="1">
        <v>4</v>
      </c>
      <c r="B141" s="1136" t="s">
        <v>748</v>
      </c>
      <c r="C141" s="1137">
        <f>C80+C104</f>
        <v>527060405</v>
      </c>
      <c r="D141" s="1137">
        <f t="shared" ref="D141:L141" si="42">D80+D104</f>
        <v>626760704.23000002</v>
      </c>
      <c r="E141" s="1137">
        <f t="shared" si="42"/>
        <v>0</v>
      </c>
      <c r="F141" s="1137">
        <f t="shared" si="42"/>
        <v>0</v>
      </c>
      <c r="G141" s="1137">
        <f t="shared" si="42"/>
        <v>576910555</v>
      </c>
      <c r="H141" s="6"/>
      <c r="I141" s="1137">
        <f t="shared" si="42"/>
        <v>4143469.835</v>
      </c>
      <c r="J141" s="1137">
        <f t="shared" si="42"/>
        <v>572713611.43000007</v>
      </c>
      <c r="K141" s="1137">
        <f t="shared" si="42"/>
        <v>0</v>
      </c>
      <c r="L141" s="1137">
        <f t="shared" si="42"/>
        <v>53473.35</v>
      </c>
      <c r="M141" s="1137"/>
      <c r="N141" s="6"/>
      <c r="O141" s="1137">
        <f t="shared" ref="O141:S141" si="43">O80+O104</f>
        <v>4049037</v>
      </c>
      <c r="P141" s="1137">
        <f t="shared" si="43"/>
        <v>522952132</v>
      </c>
      <c r="Q141" s="1137">
        <f t="shared" si="43"/>
        <v>0</v>
      </c>
      <c r="R141" s="1137">
        <f t="shared" si="43"/>
        <v>59236</v>
      </c>
      <c r="S141" s="1137">
        <f t="shared" si="43"/>
        <v>0</v>
      </c>
      <c r="T141" s="6"/>
      <c r="U141" s="1137">
        <f t="shared" ref="U141:Y141" si="44">U80+U104</f>
        <v>4237902.67</v>
      </c>
      <c r="V141" s="1137">
        <f t="shared" si="44"/>
        <v>622475090.86000001</v>
      </c>
      <c r="W141" s="1137">
        <f t="shared" si="44"/>
        <v>0</v>
      </c>
      <c r="X141" s="1137">
        <f t="shared" si="44"/>
        <v>47710.7</v>
      </c>
      <c r="Y141" s="1137">
        <f t="shared" si="44"/>
        <v>0</v>
      </c>
      <c r="Z141" s="6"/>
      <c r="JB141" s="1088"/>
    </row>
    <row r="142" spans="1:262">
      <c r="I142" s="1088"/>
      <c r="J142" s="1088"/>
    </row>
  </sheetData>
  <mergeCells count="3">
    <mergeCell ref="I10:M10"/>
    <mergeCell ref="O10:S10"/>
    <mergeCell ref="U10:Y10"/>
  </mergeCells>
  <pageMargins left="0.7" right="0.7" top="0.75" bottom="0.75" header="0.3" footer="0.3"/>
  <pageSetup scale="2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D1" zoomScaleNormal="100" workbookViewId="0">
      <selection activeCell="R40" sqref="R40"/>
    </sheetView>
  </sheetViews>
  <sheetFormatPr defaultColWidth="10" defaultRowHeight="11.5"/>
  <cols>
    <col min="1" max="1" width="9.453125" style="1412" customWidth="1"/>
    <col min="2" max="2" width="20.81640625" style="1413" customWidth="1"/>
    <col min="3" max="3" width="35.54296875" style="1412" customWidth="1"/>
    <col min="4" max="4" width="12.81640625" style="1412" customWidth="1"/>
    <col min="5" max="5" width="10.453125" style="1412" customWidth="1"/>
    <col min="6" max="6" width="16.453125" style="1412" customWidth="1"/>
    <col min="7" max="7" width="12" style="1412" customWidth="1"/>
    <col min="8" max="8" width="14.26953125" style="1412" bestFit="1" customWidth="1"/>
    <col min="9" max="9" width="18.81640625" style="1412" customWidth="1"/>
    <col min="10" max="10" width="15.54296875" style="1412" customWidth="1"/>
    <col min="11" max="11" width="16.1796875" style="1412" customWidth="1"/>
    <col min="12" max="13" width="15" style="1412" customWidth="1"/>
    <col min="14" max="14" width="13.54296875" style="1412" customWidth="1"/>
    <col min="15" max="15" width="15" style="1412" customWidth="1"/>
    <col min="16" max="17" width="17.54296875" style="1412" customWidth="1"/>
    <col min="18" max="18" width="33" style="1412" customWidth="1"/>
    <col min="19" max="19" width="15" style="1412" customWidth="1"/>
    <col min="20" max="21" width="14.54296875" style="1412" bestFit="1" customWidth="1"/>
    <col min="22" max="22" width="10.54296875" style="1412" bestFit="1" customWidth="1"/>
    <col min="23" max="16384" width="10" style="1412"/>
  </cols>
  <sheetData>
    <row r="1" spans="1:23" ht="12.5">
      <c r="A1" s="1412" t="s">
        <v>1353</v>
      </c>
      <c r="R1" s="1414"/>
    </row>
    <row r="2" spans="1:23" ht="12.5">
      <c r="A2" s="1412" t="s">
        <v>1354</v>
      </c>
      <c r="R2" s="1414"/>
      <c r="V2" s="1415"/>
    </row>
    <row r="3" spans="1:23" ht="12.5">
      <c r="A3" s="1412" t="s">
        <v>1355</v>
      </c>
      <c r="R3" s="1414"/>
      <c r="V3" s="1387"/>
    </row>
    <row r="4" spans="1:23">
      <c r="A4" s="1412" t="s">
        <v>1356</v>
      </c>
      <c r="G4" s="1388"/>
    </row>
    <row r="5" spans="1:23">
      <c r="A5" s="1412" t="s">
        <v>1357</v>
      </c>
      <c r="I5" s="1416"/>
      <c r="J5" s="1416"/>
      <c r="P5" s="1416"/>
      <c r="Q5" s="1416"/>
    </row>
    <row r="6" spans="1:23">
      <c r="J6" s="1416"/>
      <c r="K6" s="1389"/>
      <c r="L6" s="1413"/>
      <c r="M6" s="1413"/>
      <c r="N6" s="1413"/>
      <c r="O6" s="1413"/>
      <c r="P6" s="1413"/>
      <c r="Q6" s="1413"/>
    </row>
    <row r="7" spans="1:23">
      <c r="B7" s="1417"/>
      <c r="C7" s="1417"/>
      <c r="D7" s="1417"/>
      <c r="E7" s="1417"/>
      <c r="F7" s="1417"/>
      <c r="G7" s="1417"/>
      <c r="H7" s="1417"/>
      <c r="I7" s="1417"/>
      <c r="J7" s="1417"/>
      <c r="K7" s="1417"/>
      <c r="L7" s="1417"/>
      <c r="M7" s="1417"/>
      <c r="N7" s="1417"/>
      <c r="O7" s="1417"/>
      <c r="P7" s="1417"/>
      <c r="Q7" s="1413"/>
    </row>
    <row r="8" spans="1:23">
      <c r="A8" s="1413" t="s">
        <v>149</v>
      </c>
      <c r="B8" s="1413" t="s">
        <v>150</v>
      </c>
      <c r="C8" s="1413" t="s">
        <v>151</v>
      </c>
      <c r="D8" s="1413" t="s">
        <v>152</v>
      </c>
      <c r="E8" s="1413" t="s">
        <v>153</v>
      </c>
      <c r="F8" s="1413" t="s">
        <v>154</v>
      </c>
      <c r="G8" s="1413" t="s">
        <v>155</v>
      </c>
      <c r="H8" s="1413" t="s">
        <v>156</v>
      </c>
      <c r="I8" s="1413" t="s">
        <v>1358</v>
      </c>
      <c r="J8" s="1413" t="s">
        <v>1359</v>
      </c>
      <c r="K8" s="1413" t="s">
        <v>159</v>
      </c>
      <c r="L8" s="1413" t="s">
        <v>160</v>
      </c>
      <c r="M8" s="1413" t="s">
        <v>161</v>
      </c>
      <c r="N8" s="1413" t="s">
        <v>246</v>
      </c>
      <c r="O8" s="1413" t="s">
        <v>305</v>
      </c>
      <c r="P8" s="1413" t="s">
        <v>351</v>
      </c>
      <c r="Q8" s="1413" t="s">
        <v>352</v>
      </c>
      <c r="R8" s="1413" t="s">
        <v>353</v>
      </c>
    </row>
    <row r="9" spans="1:23" ht="14.5" customHeight="1">
      <c r="A9" s="1412" t="s">
        <v>1360</v>
      </c>
      <c r="B9" s="3"/>
      <c r="C9" s="3"/>
      <c r="D9" s="3"/>
      <c r="E9" s="3"/>
      <c r="I9" s="1523" t="s">
        <v>1361</v>
      </c>
      <c r="J9" s="1523"/>
      <c r="K9" s="1524" t="s">
        <v>1362</v>
      </c>
      <c r="L9" s="1524"/>
      <c r="M9" s="1524"/>
      <c r="N9" s="1525" t="s">
        <v>1363</v>
      </c>
      <c r="O9" s="1525"/>
      <c r="P9" s="1523" t="s">
        <v>1364</v>
      </c>
      <c r="Q9" s="1523"/>
    </row>
    <row r="10" spans="1:23" ht="34.5">
      <c r="A10" s="1418" t="s">
        <v>1365</v>
      </c>
      <c r="B10" s="1419" t="s">
        <v>1366</v>
      </c>
      <c r="C10" s="1419" t="s">
        <v>1367</v>
      </c>
      <c r="D10" s="1420" t="s">
        <v>1368</v>
      </c>
      <c r="E10" s="1420" t="s">
        <v>1369</v>
      </c>
      <c r="F10" s="1420" t="s">
        <v>1437</v>
      </c>
      <c r="G10" s="1420" t="s">
        <v>1438</v>
      </c>
      <c r="H10" s="1420" t="s">
        <v>1370</v>
      </c>
      <c r="I10" s="1421" t="s">
        <v>1371</v>
      </c>
      <c r="J10" s="1421" t="s">
        <v>1372</v>
      </c>
      <c r="K10" s="1422" t="s">
        <v>1373</v>
      </c>
      <c r="L10" s="1422">
        <v>182.3</v>
      </c>
      <c r="M10" s="1422">
        <v>254</v>
      </c>
      <c r="N10" s="1422" t="s">
        <v>1439</v>
      </c>
      <c r="O10" s="1422" t="s">
        <v>1374</v>
      </c>
      <c r="P10" s="1421" t="s">
        <v>1371</v>
      </c>
      <c r="Q10" s="1421" t="s">
        <v>1372</v>
      </c>
      <c r="R10" s="1423" t="s">
        <v>1375</v>
      </c>
      <c r="S10" s="1457"/>
    </row>
    <row r="11" spans="1:23">
      <c r="B11" s="1412"/>
      <c r="D11" s="1424"/>
      <c r="E11" s="1424"/>
      <c r="F11" s="1424"/>
      <c r="G11" s="1424"/>
      <c r="H11" s="1424"/>
      <c r="I11" s="1425"/>
      <c r="J11" s="1425"/>
      <c r="K11" s="1425"/>
      <c r="L11" s="1425"/>
      <c r="M11" s="1425"/>
      <c r="N11" s="1425"/>
      <c r="O11" s="1425"/>
      <c r="P11" s="1521" t="s">
        <v>1376</v>
      </c>
      <c r="Q11" s="1521"/>
      <c r="R11" s="1461">
        <f>+Q14+P15</f>
        <v>0</v>
      </c>
      <c r="S11" s="1457"/>
    </row>
    <row r="12" spans="1:23">
      <c r="B12" s="1426" t="s">
        <v>1377</v>
      </c>
      <c r="C12" s="1427"/>
      <c r="D12" s="1427"/>
      <c r="E12" s="1427"/>
      <c r="F12" s="1427"/>
      <c r="G12" s="1427"/>
      <c r="H12" s="1427"/>
      <c r="I12" s="1427"/>
      <c r="J12" s="1427"/>
      <c r="K12" s="1427"/>
      <c r="L12" s="1427"/>
      <c r="M12" s="1427"/>
      <c r="N12" s="1427"/>
      <c r="O12" s="1427"/>
      <c r="P12" s="1427"/>
      <c r="Q12" s="1427"/>
      <c r="R12" s="1387"/>
      <c r="S12" s="1390"/>
      <c r="T12" s="1387"/>
      <c r="U12" s="1387"/>
      <c r="V12" s="1387"/>
      <c r="W12" s="1387"/>
    </row>
    <row r="13" spans="1:23">
      <c r="A13" s="1412" t="s">
        <v>1378</v>
      </c>
      <c r="B13" s="1428" t="s">
        <v>1379</v>
      </c>
      <c r="C13" s="1412" t="s">
        <v>1380</v>
      </c>
      <c r="D13" s="1429" t="s">
        <v>1381</v>
      </c>
      <c r="E13" s="1429" t="s">
        <v>1382</v>
      </c>
      <c r="F13" s="1430"/>
      <c r="G13" s="1429"/>
      <c r="H13" s="1429"/>
      <c r="I13" s="1391">
        <v>141975892</v>
      </c>
      <c r="J13" s="1431" t="s">
        <v>115</v>
      </c>
      <c r="K13" s="1391"/>
      <c r="L13" s="1391"/>
      <c r="M13" s="1391">
        <v>27657906</v>
      </c>
      <c r="N13" s="1391"/>
      <c r="O13" s="1391"/>
      <c r="P13" s="1432">
        <f>SUM(I13:O13)</f>
        <v>169633798</v>
      </c>
      <c r="Q13" s="1433"/>
      <c r="R13" s="1392" t="s">
        <v>1475</v>
      </c>
      <c r="S13" s="1390"/>
      <c r="T13" s="1387"/>
      <c r="U13" s="1387"/>
      <c r="V13" s="1387"/>
      <c r="W13" s="1387"/>
    </row>
    <row r="14" spans="1:23" s="1429" customFormat="1">
      <c r="A14" s="1429" t="s">
        <v>1383</v>
      </c>
      <c r="B14" s="1428" t="s">
        <v>1384</v>
      </c>
      <c r="C14" s="1434" t="s">
        <v>1385</v>
      </c>
      <c r="D14" s="1434" t="s">
        <v>1386</v>
      </c>
      <c r="E14" s="1429" t="s">
        <v>1382</v>
      </c>
      <c r="F14" s="1435">
        <v>-11772442</v>
      </c>
      <c r="G14" s="1436" t="s">
        <v>1393</v>
      </c>
      <c r="H14" s="1436" t="s">
        <v>1394</v>
      </c>
      <c r="I14" s="1433"/>
      <c r="J14" s="1392">
        <v>-11692443</v>
      </c>
      <c r="K14" s="1393"/>
      <c r="L14" s="1393"/>
      <c r="M14" s="1393"/>
      <c r="N14" s="1393">
        <v>178989</v>
      </c>
      <c r="O14" s="1393">
        <v>50779</v>
      </c>
      <c r="P14" s="1433"/>
      <c r="Q14" s="1432">
        <f>SUM(J14:P14)</f>
        <v>-11462675</v>
      </c>
      <c r="R14" s="1392"/>
      <c r="S14" s="1390"/>
      <c r="T14" s="1394"/>
      <c r="U14" s="1394"/>
      <c r="V14" s="1394"/>
      <c r="W14" s="1394"/>
    </row>
    <row r="15" spans="1:23" s="1429" customFormat="1">
      <c r="A15" s="1429" t="s">
        <v>1387</v>
      </c>
      <c r="B15" s="1428" t="s">
        <v>1388</v>
      </c>
      <c r="C15" s="1434" t="s">
        <v>1389</v>
      </c>
      <c r="D15" s="1434" t="s">
        <v>1386</v>
      </c>
      <c r="E15" s="1429" t="s">
        <v>1382</v>
      </c>
      <c r="F15" s="1430"/>
      <c r="I15" s="1392">
        <v>11692443</v>
      </c>
      <c r="J15" s="1433"/>
      <c r="K15" s="1393"/>
      <c r="L15" s="1393"/>
      <c r="M15" s="1393">
        <v>-229768</v>
      </c>
      <c r="N15" s="1393"/>
      <c r="O15" s="1393"/>
      <c r="P15" s="1432">
        <f>SUM(I15:O15)</f>
        <v>11462675</v>
      </c>
      <c r="Q15" s="1443"/>
      <c r="R15" s="1392" t="s">
        <v>1476</v>
      </c>
      <c r="S15" s="1390"/>
      <c r="T15" s="1394"/>
      <c r="U15" s="1394"/>
      <c r="V15" s="1394"/>
      <c r="W15" s="1394"/>
    </row>
    <row r="16" spans="1:23">
      <c r="A16" s="1412" t="s">
        <v>1390</v>
      </c>
      <c r="B16" s="1428" t="s">
        <v>1391</v>
      </c>
      <c r="C16" s="1412" t="s">
        <v>1392</v>
      </c>
      <c r="D16" s="1429" t="s">
        <v>1386</v>
      </c>
      <c r="E16" s="1429" t="s">
        <v>1382</v>
      </c>
      <c r="F16" s="1437">
        <v>-410365997</v>
      </c>
      <c r="G16" s="1436" t="s">
        <v>1393</v>
      </c>
      <c r="H16" s="1436" t="s">
        <v>1394</v>
      </c>
      <c r="I16" s="1433"/>
      <c r="J16" s="1395">
        <v>-383352324</v>
      </c>
      <c r="K16" s="1395"/>
      <c r="L16" s="1395"/>
      <c r="M16" s="1395"/>
      <c r="N16" s="1395">
        <v>12050328</v>
      </c>
      <c r="O16" s="1395">
        <v>33866541</v>
      </c>
      <c r="P16" s="1433"/>
      <c r="Q16" s="1396">
        <f>SUM(J16:O16)</f>
        <v>-337435455</v>
      </c>
      <c r="R16" s="1518" t="s">
        <v>1480</v>
      </c>
      <c r="S16" s="1390"/>
      <c r="T16" s="1387"/>
      <c r="U16" s="1387"/>
      <c r="V16" s="1387"/>
      <c r="W16" s="1387"/>
    </row>
    <row r="17" spans="1:23">
      <c r="A17" s="1412" t="s">
        <v>1395</v>
      </c>
      <c r="B17" s="1428" t="s">
        <v>1391</v>
      </c>
      <c r="C17" s="1412" t="s">
        <v>1392</v>
      </c>
      <c r="D17" s="1429" t="s">
        <v>1396</v>
      </c>
      <c r="E17" s="1429" t="s">
        <v>1382</v>
      </c>
      <c r="F17" s="1397">
        <v>-148924633</v>
      </c>
      <c r="G17" s="1436" t="s">
        <v>1397</v>
      </c>
      <c r="H17" s="1436" t="s">
        <v>1398</v>
      </c>
      <c r="I17" s="1433"/>
      <c r="J17" s="1393">
        <v>-137178388</v>
      </c>
      <c r="K17" s="1393"/>
      <c r="L17" s="1393"/>
      <c r="M17" s="1393"/>
      <c r="N17" s="1393">
        <v>17506744</v>
      </c>
      <c r="O17" s="1393">
        <v>-22830662</v>
      </c>
      <c r="P17" s="1433"/>
      <c r="Q17" s="1398">
        <f>SUM(J17:O17)</f>
        <v>-142502306</v>
      </c>
      <c r="R17" s="1518"/>
      <c r="S17" s="1390"/>
      <c r="T17" s="1387"/>
      <c r="U17" s="1387"/>
      <c r="V17" s="1387"/>
      <c r="W17" s="1387"/>
    </row>
    <row r="18" spans="1:23">
      <c r="A18" s="1412" t="s">
        <v>1399</v>
      </c>
      <c r="B18" s="1428" t="s">
        <v>1400</v>
      </c>
      <c r="C18" s="1412" t="s">
        <v>1401</v>
      </c>
      <c r="D18" s="1429" t="s">
        <v>1386</v>
      </c>
      <c r="E18" s="1429" t="s">
        <v>1382</v>
      </c>
      <c r="F18" s="1397"/>
      <c r="G18" s="1436"/>
      <c r="H18" s="1436"/>
      <c r="I18" s="1393">
        <v>383352324</v>
      </c>
      <c r="J18" s="1433"/>
      <c r="K18" s="1393"/>
      <c r="L18" s="1393"/>
      <c r="M18" s="1393">
        <v>-45916869</v>
      </c>
      <c r="N18" s="1393"/>
      <c r="O18" s="1393"/>
      <c r="P18" s="1439">
        <f>SUM(I18:O18)</f>
        <v>337435455</v>
      </c>
      <c r="Q18" s="1433"/>
      <c r="R18" s="1520" t="s">
        <v>1477</v>
      </c>
      <c r="S18" s="1390"/>
      <c r="T18" s="1387"/>
      <c r="U18" s="1387"/>
      <c r="V18" s="1387"/>
      <c r="W18" s="1387"/>
    </row>
    <row r="19" spans="1:23">
      <c r="A19" s="1412" t="s">
        <v>1402</v>
      </c>
      <c r="B19" s="1428" t="s">
        <v>1400</v>
      </c>
      <c r="C19" s="1412" t="s">
        <v>1401</v>
      </c>
      <c r="D19" s="1429" t="s">
        <v>1396</v>
      </c>
      <c r="E19" s="1429" t="s">
        <v>1382</v>
      </c>
      <c r="F19" s="1397"/>
      <c r="G19" s="1436"/>
      <c r="H19" s="1436"/>
      <c r="I19" s="1393">
        <v>137178388</v>
      </c>
      <c r="J19" s="1433"/>
      <c r="K19" s="1393"/>
      <c r="L19" s="1393"/>
      <c r="M19" s="1393">
        <v>5323928</v>
      </c>
      <c r="N19" s="1393"/>
      <c r="O19" s="1393"/>
      <c r="P19" s="1439">
        <f>SUM(I19:O19)</f>
        <v>142502316</v>
      </c>
      <c r="Q19" s="1433"/>
      <c r="R19" s="1520"/>
      <c r="S19" s="1390"/>
      <c r="T19" s="1387"/>
      <c r="U19" s="1387"/>
      <c r="V19" s="1387"/>
      <c r="W19" s="1387"/>
    </row>
    <row r="20" spans="1:23">
      <c r="A20" s="1412" t="s">
        <v>1403</v>
      </c>
      <c r="B20" s="1428" t="s">
        <v>1404</v>
      </c>
      <c r="C20" s="1412" t="s">
        <v>1405</v>
      </c>
      <c r="D20" s="1429" t="s">
        <v>1396</v>
      </c>
      <c r="E20" s="1429" t="s">
        <v>1382</v>
      </c>
      <c r="F20" s="1397">
        <v>-5353470</v>
      </c>
      <c r="G20" s="1436" t="s">
        <v>1397</v>
      </c>
      <c r="H20" s="1436" t="s">
        <v>1398</v>
      </c>
      <c r="I20" s="1433"/>
      <c r="J20" s="1393">
        <v>-1876626</v>
      </c>
      <c r="K20" s="1393"/>
      <c r="L20" s="1393"/>
      <c r="M20" s="1393"/>
      <c r="N20" s="1393">
        <v>12742930</v>
      </c>
      <c r="O20" s="1393">
        <v>-5149292</v>
      </c>
      <c r="P20" s="1438" t="s">
        <v>115</v>
      </c>
      <c r="Q20" s="1398">
        <f>SUM(J20:O20)</f>
        <v>5717012</v>
      </c>
      <c r="R20" s="1392" t="s">
        <v>1478</v>
      </c>
      <c r="S20" s="1390"/>
      <c r="T20" s="1387"/>
      <c r="U20" s="1387"/>
      <c r="V20" s="1387"/>
      <c r="W20" s="1387"/>
    </row>
    <row r="21" spans="1:23">
      <c r="A21" s="1412" t="s">
        <v>1406</v>
      </c>
      <c r="B21" s="1441" t="s">
        <v>1407</v>
      </c>
      <c r="C21" s="1412" t="s">
        <v>1408</v>
      </c>
      <c r="D21" s="1429" t="s">
        <v>1396</v>
      </c>
      <c r="E21" s="1429" t="s">
        <v>1382</v>
      </c>
      <c r="F21" s="1437"/>
      <c r="G21" s="1436"/>
      <c r="H21" s="1436"/>
      <c r="I21" s="1393">
        <v>46082952</v>
      </c>
      <c r="J21" s="1440"/>
      <c r="K21" s="1393"/>
      <c r="L21" s="1393"/>
      <c r="M21" s="1393">
        <v>-47999123</v>
      </c>
      <c r="N21" s="1393"/>
      <c r="O21" s="1393"/>
      <c r="P21" s="1439">
        <f>SUM(I21:O21)</f>
        <v>-1916171</v>
      </c>
      <c r="Q21" s="1438"/>
      <c r="R21" s="1399" t="s">
        <v>1479</v>
      </c>
      <c r="S21" s="1390"/>
      <c r="T21" s="1387"/>
      <c r="U21" s="1387"/>
      <c r="V21" s="1387"/>
      <c r="W21" s="1387"/>
    </row>
    <row r="22" spans="1:23">
      <c r="A22" s="1412" t="s">
        <v>1409</v>
      </c>
      <c r="B22" s="1442" t="s">
        <v>1440</v>
      </c>
      <c r="D22" s="1429"/>
      <c r="E22" s="1429"/>
      <c r="F22" s="1437"/>
      <c r="G22" s="1436"/>
      <c r="H22" s="1436"/>
      <c r="I22" s="1393"/>
      <c r="J22" s="1393"/>
      <c r="K22" s="1393"/>
      <c r="L22" s="1393"/>
      <c r="M22" s="1393"/>
      <c r="N22" s="1393"/>
      <c r="O22" s="1393"/>
      <c r="P22" s="1443"/>
      <c r="Q22" s="1439"/>
      <c r="R22" s="1399"/>
      <c r="S22" s="1390"/>
      <c r="T22" s="1387"/>
      <c r="U22" s="1387"/>
      <c r="V22" s="1387"/>
      <c r="W22" s="1387"/>
    </row>
    <row r="23" spans="1:23" ht="12.5">
      <c r="B23" s="1444"/>
      <c r="C23" s="1444"/>
      <c r="D23" s="1444"/>
      <c r="E23" s="1444"/>
      <c r="F23" s="1444"/>
      <c r="G23" s="1444"/>
      <c r="H23" s="1444"/>
      <c r="I23" s="1444"/>
      <c r="J23" s="1444"/>
      <c r="K23" s="1444"/>
      <c r="L23" s="1444"/>
      <c r="M23" s="1444"/>
      <c r="N23"/>
      <c r="O23"/>
      <c r="P23" s="1462"/>
      <c r="Q23"/>
      <c r="R23"/>
      <c r="S23" s="1390"/>
      <c r="T23" s="1387"/>
      <c r="U23" s="1387"/>
      <c r="V23" s="1387"/>
      <c r="W23" s="1387"/>
    </row>
    <row r="24" spans="1:23" s="1387" customFormat="1">
      <c r="A24" s="1412"/>
      <c r="B24" s="1426" t="s">
        <v>1410</v>
      </c>
      <c r="Q24" s="1390"/>
      <c r="R24" s="1400"/>
      <c r="S24" s="1390"/>
    </row>
    <row r="25" spans="1:23" ht="11.5" customHeight="1">
      <c r="A25" s="1412" t="s">
        <v>1411</v>
      </c>
      <c r="B25" s="1445">
        <v>182.3</v>
      </c>
      <c r="C25" s="1446" t="s">
        <v>1412</v>
      </c>
      <c r="D25" s="1433" t="s">
        <v>115</v>
      </c>
      <c r="E25" s="1429" t="s">
        <v>1382</v>
      </c>
      <c r="F25" s="1433"/>
      <c r="G25" s="1433" t="s">
        <v>115</v>
      </c>
      <c r="H25" s="1433"/>
      <c r="I25" s="1401">
        <v>-3777595</v>
      </c>
      <c r="J25" s="1433"/>
      <c r="K25" s="1393"/>
      <c r="L25" s="1393"/>
      <c r="M25" s="1393"/>
      <c r="N25" s="1433"/>
      <c r="O25" s="1433"/>
      <c r="P25" s="1443">
        <f>SUM(I25:O25)</f>
        <v>-3777595</v>
      </c>
      <c r="Q25" s="1447"/>
      <c r="R25" s="1392" t="s">
        <v>1413</v>
      </c>
      <c r="S25" s="1390"/>
      <c r="T25" s="1387"/>
      <c r="U25" s="1387"/>
      <c r="V25" s="1387"/>
      <c r="W25" s="1387"/>
    </row>
    <row r="26" spans="1:23" ht="11.5" customHeight="1">
      <c r="A26" s="1412" t="s">
        <v>1414</v>
      </c>
      <c r="B26" s="1445">
        <v>254</v>
      </c>
      <c r="C26" s="1446" t="s">
        <v>1415</v>
      </c>
      <c r="D26" s="1433" t="s">
        <v>115</v>
      </c>
      <c r="E26" s="1429" t="s">
        <v>1382</v>
      </c>
      <c r="F26" s="1433"/>
      <c r="G26" s="1433" t="s">
        <v>115</v>
      </c>
      <c r="H26" s="1433"/>
      <c r="I26" s="1401">
        <v>-716504404</v>
      </c>
      <c r="J26" s="1433"/>
      <c r="K26" s="1393"/>
      <c r="L26" s="1393"/>
      <c r="M26" s="1393">
        <f>-27657906+229768+45916869-5323928+47999123</f>
        <v>61163926</v>
      </c>
      <c r="N26" s="1433"/>
      <c r="O26" s="1433"/>
      <c r="P26" s="1443">
        <f>SUM(I26:O26)</f>
        <v>-655340478</v>
      </c>
      <c r="Q26" s="1447"/>
      <c r="R26" s="1392" t="s">
        <v>1416</v>
      </c>
      <c r="S26" s="1390"/>
      <c r="T26" s="1387"/>
      <c r="U26" s="1387"/>
      <c r="V26" s="1387"/>
      <c r="W26" s="1387"/>
    </row>
    <row r="27" spans="1:23" ht="11.5" customHeight="1">
      <c r="A27" s="1412" t="s">
        <v>1417</v>
      </c>
      <c r="B27" s="1442" t="s">
        <v>1440</v>
      </c>
      <c r="C27" s="1446"/>
      <c r="D27" s="1433"/>
      <c r="E27" s="1429"/>
      <c r="F27" s="1433"/>
      <c r="G27" s="1433"/>
      <c r="H27" s="1433"/>
      <c r="I27" s="1393"/>
      <c r="J27" s="1433"/>
      <c r="K27" s="1393"/>
      <c r="L27" s="1393"/>
      <c r="M27" s="1393"/>
      <c r="N27" s="1433"/>
      <c r="O27" s="1433"/>
      <c r="P27" s="1447"/>
      <c r="Q27" s="1447"/>
      <c r="R27" s="1392"/>
      <c r="S27" s="1390"/>
      <c r="T27" s="1387"/>
      <c r="U27" s="1387"/>
      <c r="V27" s="1387"/>
      <c r="W27" s="1387"/>
    </row>
    <row r="28" spans="1:23">
      <c r="B28" s="1445"/>
      <c r="C28" s="1446"/>
      <c r="D28" s="1417"/>
      <c r="E28" s="1417"/>
      <c r="F28" s="1417"/>
      <c r="G28" s="1417"/>
      <c r="H28" s="1417"/>
      <c r="I28" s="1417"/>
      <c r="J28" s="1417"/>
      <c r="K28" s="1417"/>
      <c r="L28" s="1417"/>
      <c r="M28" s="1417"/>
      <c r="N28" s="1417"/>
      <c r="O28" s="1417"/>
      <c r="P28" s="1417"/>
      <c r="Q28" s="1417"/>
      <c r="R28" s="1448"/>
      <c r="S28" s="1390"/>
      <c r="T28" s="1387"/>
      <c r="U28" s="1387"/>
      <c r="V28" s="1387"/>
      <c r="W28" s="1387"/>
    </row>
    <row r="29" spans="1:23" ht="12" thickBot="1">
      <c r="A29" s="1449">
        <v>3</v>
      </c>
      <c r="B29" s="1519" t="str">
        <f>"Total For Accounting Entires (Sum of Lines "&amp;A13&amp;" through "&amp;A26&amp;")"</f>
        <v>Total For Accounting Entires (Sum of Lines 1a through 2b)</v>
      </c>
      <c r="C29" s="1519"/>
      <c r="D29" s="1433"/>
      <c r="E29" s="1433"/>
      <c r="F29" s="1433"/>
      <c r="G29" s="1433"/>
      <c r="H29" s="1433"/>
      <c r="I29" s="1402">
        <f>SUM(I13:I28)</f>
        <v>0</v>
      </c>
      <c r="J29" s="1403">
        <f>SUM(J13:J28)</f>
        <v>-534099781</v>
      </c>
      <c r="K29" s="1404">
        <f>SUM(K13:K28)</f>
        <v>0</v>
      </c>
      <c r="L29" s="1404">
        <f>SUM(L13:L28)</f>
        <v>0</v>
      </c>
      <c r="M29" s="1404">
        <f>SUM(M13:M28)</f>
        <v>0</v>
      </c>
      <c r="N29" s="1405">
        <f>-SUM(N13:N28)</f>
        <v>-42478991</v>
      </c>
      <c r="O29" s="1403">
        <f>-SUM(O13:O28)</f>
        <v>-5937366</v>
      </c>
      <c r="P29" s="1404">
        <f>SUM(P13:P28)</f>
        <v>0</v>
      </c>
      <c r="Q29" s="1403">
        <f>SUM(Q13:Q28)</f>
        <v>-485683424</v>
      </c>
      <c r="R29" s="1450"/>
      <c r="S29" s="1390"/>
      <c r="T29" s="1387"/>
      <c r="U29" s="1387"/>
      <c r="V29" s="1387"/>
      <c r="W29" s="1387"/>
    </row>
    <row r="30" spans="1:23" ht="12" thickTop="1">
      <c r="B30" s="1445"/>
      <c r="C30" s="1446"/>
      <c r="D30" s="1417"/>
      <c r="E30" s="1417"/>
      <c r="F30" s="1417"/>
      <c r="G30" s="1417"/>
      <c r="H30" s="1417"/>
      <c r="I30" s="1406"/>
      <c r="J30" s="1397"/>
      <c r="K30" s="1407"/>
      <c r="L30" s="1407"/>
      <c r="M30" s="1407"/>
      <c r="N30" s="1408" t="s">
        <v>1441</v>
      </c>
      <c r="O30" s="1408"/>
      <c r="P30" s="1407"/>
      <c r="Q30" s="1409"/>
      <c r="R30" s="1450"/>
      <c r="S30" s="1390"/>
      <c r="T30" s="1387"/>
      <c r="U30" s="1387"/>
      <c r="V30" s="1387"/>
      <c r="W30" s="1387"/>
    </row>
    <row r="31" spans="1:23">
      <c r="A31" s="1442" t="s">
        <v>1418</v>
      </c>
      <c r="B31" s="1445"/>
      <c r="C31" s="1446"/>
      <c r="D31" s="1417"/>
      <c r="E31" s="1417"/>
      <c r="F31" s="1417"/>
      <c r="G31" s="1417"/>
      <c r="H31" s="1417"/>
      <c r="I31" s="1406"/>
      <c r="J31" s="1397"/>
      <c r="K31" s="1407"/>
      <c r="L31" s="1407"/>
      <c r="M31" s="1407"/>
      <c r="N31" s="1397"/>
      <c r="O31" s="1397"/>
      <c r="P31" s="1407"/>
      <c r="Q31" s="1409"/>
      <c r="R31" s="1450"/>
      <c r="S31" s="1390"/>
      <c r="T31" s="1387"/>
      <c r="U31" s="1387"/>
      <c r="V31" s="1387"/>
      <c r="W31" s="1387"/>
    </row>
    <row r="32" spans="1:23">
      <c r="B32" s="1412"/>
      <c r="D32" s="1424"/>
      <c r="E32" s="1424"/>
      <c r="F32" s="1424"/>
      <c r="G32" s="1424"/>
      <c r="H32" s="1424"/>
      <c r="I32" s="1425"/>
      <c r="J32" s="1425"/>
      <c r="K32" s="1425"/>
      <c r="L32" s="1425"/>
      <c r="M32" s="1425"/>
      <c r="N32" s="1425"/>
      <c r="O32" s="1425"/>
      <c r="P32" s="1521" t="s">
        <v>1376</v>
      </c>
      <c r="Q32" s="1521"/>
      <c r="R32" s="1423"/>
      <c r="S32" s="1390"/>
      <c r="T32" s="1387"/>
      <c r="U32" s="1387"/>
      <c r="V32" s="1387"/>
      <c r="W32" s="1387"/>
    </row>
    <row r="33" spans="1:23">
      <c r="B33" s="1426" t="s">
        <v>1377</v>
      </c>
      <c r="C33" s="1427"/>
      <c r="D33" s="1427"/>
      <c r="E33" s="1427"/>
      <c r="F33" s="1427"/>
      <c r="G33" s="1427"/>
      <c r="H33" s="1427"/>
      <c r="I33" s="1427"/>
      <c r="J33" s="1427"/>
      <c r="K33" s="1427"/>
      <c r="L33" s="1427"/>
      <c r="M33" s="1427"/>
      <c r="N33" s="1427"/>
      <c r="O33" s="1427"/>
      <c r="P33" s="1427"/>
      <c r="Q33" s="1427"/>
      <c r="R33" s="1387"/>
      <c r="S33" s="1390"/>
      <c r="T33" s="1387"/>
      <c r="U33" s="1387"/>
      <c r="V33" s="1387"/>
      <c r="W33" s="1387"/>
    </row>
    <row r="34" spans="1:23">
      <c r="A34" s="1412" t="s">
        <v>1419</v>
      </c>
      <c r="B34" s="1428" t="s">
        <v>1379</v>
      </c>
      <c r="C34" s="1412" t="s">
        <v>1380</v>
      </c>
      <c r="D34" s="1429" t="s">
        <v>1381</v>
      </c>
      <c r="E34" s="1429" t="s">
        <v>1382</v>
      </c>
      <c r="F34" s="1430"/>
      <c r="G34" s="1429"/>
      <c r="H34" s="1429"/>
      <c r="I34" s="1393">
        <v>23470157</v>
      </c>
      <c r="J34" s="1440" t="s">
        <v>115</v>
      </c>
      <c r="K34" s="1393"/>
      <c r="L34" s="1393"/>
      <c r="M34" s="1393">
        <v>6035548</v>
      </c>
      <c r="N34" s="1393"/>
      <c r="O34" s="1393"/>
      <c r="P34" s="1439">
        <f>SUM(I34:O34)</f>
        <v>29505705</v>
      </c>
      <c r="Q34" s="1433"/>
      <c r="R34" s="1392" t="s">
        <v>642</v>
      </c>
      <c r="S34" s="1390"/>
      <c r="T34" s="1387"/>
      <c r="U34" s="1387"/>
      <c r="V34" s="1387"/>
      <c r="W34" s="1387"/>
    </row>
    <row r="35" spans="1:23">
      <c r="A35" s="1412" t="s">
        <v>1420</v>
      </c>
      <c r="B35" s="1428" t="s">
        <v>1391</v>
      </c>
      <c r="C35" s="1412" t="s">
        <v>1392</v>
      </c>
      <c r="D35" s="1429" t="s">
        <v>1386</v>
      </c>
      <c r="E35" s="1429" t="s">
        <v>1382</v>
      </c>
      <c r="F35" s="1437">
        <v>-82304124</v>
      </c>
      <c r="G35" s="1436" t="s">
        <v>1393</v>
      </c>
      <c r="H35" s="1436" t="s">
        <v>1394</v>
      </c>
      <c r="I35" s="1433"/>
      <c r="J35" s="1393">
        <v>-79548435</v>
      </c>
      <c r="K35" s="1393"/>
      <c r="L35" s="1393"/>
      <c r="M35" s="1393"/>
      <c r="N35" s="1393">
        <v>1147396</v>
      </c>
      <c r="O35" s="1393">
        <v>13319418</v>
      </c>
      <c r="P35" s="1433"/>
      <c r="Q35" s="1398">
        <f>SUM(J35:O35)</f>
        <v>-65081621</v>
      </c>
      <c r="R35" s="1518" t="s">
        <v>1481</v>
      </c>
      <c r="S35" s="1390"/>
      <c r="T35" s="1387"/>
      <c r="U35" s="1387"/>
      <c r="V35" s="1387"/>
      <c r="W35" s="1387"/>
    </row>
    <row r="36" spans="1:23">
      <c r="A36" s="1412" t="s">
        <v>1421</v>
      </c>
      <c r="B36" s="1428" t="s">
        <v>1391</v>
      </c>
      <c r="C36" s="1412" t="s">
        <v>1392</v>
      </c>
      <c r="D36" s="1429" t="s">
        <v>1396</v>
      </c>
      <c r="E36" s="1429" t="s">
        <v>1382</v>
      </c>
      <c r="F36" s="1397">
        <v>-14907164</v>
      </c>
      <c r="G36" s="1436" t="s">
        <v>1397</v>
      </c>
      <c r="H36" s="1436" t="s">
        <v>1398</v>
      </c>
      <c r="I36" s="1433"/>
      <c r="J36" s="1393">
        <v>-13431855</v>
      </c>
      <c r="K36" s="1393"/>
      <c r="L36" s="1393"/>
      <c r="M36" s="1393"/>
      <c r="N36" s="1393">
        <v>3749270</v>
      </c>
      <c r="O36" s="1393">
        <v>-20310000</v>
      </c>
      <c r="P36" s="1433"/>
      <c r="Q36" s="1398">
        <f>SUM(J36:O36)</f>
        <v>-29992585</v>
      </c>
      <c r="R36" s="1518"/>
      <c r="S36" s="1390"/>
      <c r="T36" s="1387"/>
      <c r="U36" s="1387"/>
      <c r="V36" s="1387"/>
      <c r="W36" s="1387"/>
    </row>
    <row r="37" spans="1:23">
      <c r="A37" s="1412" t="s">
        <v>1422</v>
      </c>
      <c r="B37" s="1428" t="s">
        <v>1400</v>
      </c>
      <c r="C37" s="1412" t="s">
        <v>1401</v>
      </c>
      <c r="D37" s="1429" t="s">
        <v>1386</v>
      </c>
      <c r="E37" s="1429" t="s">
        <v>1382</v>
      </c>
      <c r="F37" s="1397"/>
      <c r="G37" s="1436"/>
      <c r="H37" s="1436"/>
      <c r="I37" s="1393">
        <v>79548435</v>
      </c>
      <c r="J37" s="1433"/>
      <c r="K37" s="1393"/>
      <c r="L37" s="1393"/>
      <c r="M37" s="1393">
        <v>-14466814</v>
      </c>
      <c r="N37" s="1393"/>
      <c r="O37" s="1393"/>
      <c r="P37" s="1439">
        <f>SUM(I37:O37)</f>
        <v>65081621</v>
      </c>
      <c r="Q37" s="1433"/>
      <c r="R37" s="1520" t="s">
        <v>642</v>
      </c>
      <c r="S37" s="1390"/>
      <c r="T37" s="1387"/>
      <c r="U37" s="1387"/>
      <c r="V37" s="1387"/>
      <c r="W37" s="1387"/>
    </row>
    <row r="38" spans="1:23">
      <c r="A38" s="1412" t="s">
        <v>1423</v>
      </c>
      <c r="B38" s="1428" t="s">
        <v>1400</v>
      </c>
      <c r="C38" s="1412" t="s">
        <v>1401</v>
      </c>
      <c r="D38" s="1429" t="s">
        <v>1396</v>
      </c>
      <c r="E38" s="1429" t="s">
        <v>1382</v>
      </c>
      <c r="F38" s="1397"/>
      <c r="G38" s="1436"/>
      <c r="H38" s="1436"/>
      <c r="I38" s="1393">
        <v>13431855</v>
      </c>
      <c r="J38" s="1433"/>
      <c r="K38" s="1393"/>
      <c r="L38" s="1393"/>
      <c r="M38" s="1393">
        <v>16560730</v>
      </c>
      <c r="N38" s="1393"/>
      <c r="O38" s="1393"/>
      <c r="P38" s="1439">
        <f>SUM(I38:O38)</f>
        <v>29992585</v>
      </c>
      <c r="Q38" s="1433"/>
      <c r="R38" s="1520"/>
      <c r="S38" s="1390"/>
      <c r="T38" s="1387"/>
      <c r="U38" s="1387"/>
      <c r="V38" s="1387"/>
      <c r="W38" s="1387"/>
    </row>
    <row r="39" spans="1:23">
      <c r="A39" s="1412" t="s">
        <v>1424</v>
      </c>
      <c r="B39" s="1428" t="s">
        <v>1404</v>
      </c>
      <c r="C39" s="1412" t="s">
        <v>1405</v>
      </c>
      <c r="D39" s="1429" t="s">
        <v>1396</v>
      </c>
      <c r="E39" s="1429" t="s">
        <v>1382</v>
      </c>
      <c r="F39" s="1397">
        <v>5174807</v>
      </c>
      <c r="G39" s="1436" t="s">
        <v>1397</v>
      </c>
      <c r="H39" s="1436" t="s">
        <v>1398</v>
      </c>
      <c r="I39" s="1433"/>
      <c r="J39" s="1393">
        <v>4687796</v>
      </c>
      <c r="K39" s="1393"/>
      <c r="L39" s="1393"/>
      <c r="M39" s="1393"/>
      <c r="N39" s="1393">
        <v>-1308950</v>
      </c>
      <c r="O39" s="1393">
        <v>7091176</v>
      </c>
      <c r="P39" s="1438" t="s">
        <v>115</v>
      </c>
      <c r="Q39" s="1398">
        <f>SUM(J39:O39)</f>
        <v>10470022</v>
      </c>
      <c r="R39" s="1392" t="s">
        <v>1482</v>
      </c>
      <c r="S39" s="1390"/>
      <c r="T39" s="1387"/>
      <c r="U39" s="1387"/>
      <c r="V39" s="1387"/>
      <c r="W39" s="1387"/>
    </row>
    <row r="40" spans="1:23">
      <c r="A40" s="1412" t="s">
        <v>1425</v>
      </c>
      <c r="B40" s="1441" t="s">
        <v>1407</v>
      </c>
      <c r="C40" s="1412" t="s">
        <v>1408</v>
      </c>
      <c r="D40" s="1429" t="s">
        <v>1396</v>
      </c>
      <c r="E40" s="1429" t="s">
        <v>1382</v>
      </c>
      <c r="F40" s="1437"/>
      <c r="G40" s="1436"/>
      <c r="H40" s="1436"/>
      <c r="I40" s="1393">
        <v>4064407</v>
      </c>
      <c r="J40" s="1440"/>
      <c r="K40" s="1393"/>
      <c r="L40" s="1393"/>
      <c r="M40" s="1393">
        <v>-12428476</v>
      </c>
      <c r="N40" s="1393"/>
      <c r="O40" s="1393"/>
      <c r="P40" s="1439">
        <f>SUM(I40:O40)</f>
        <v>-8364069</v>
      </c>
      <c r="Q40" s="1438"/>
      <c r="R40" s="1399" t="s">
        <v>642</v>
      </c>
      <c r="S40" s="1390"/>
      <c r="T40" s="1387"/>
      <c r="U40" s="1387"/>
      <c r="V40" s="1387"/>
      <c r="W40" s="1387"/>
    </row>
    <row r="41" spans="1:23">
      <c r="A41" s="1412" t="s">
        <v>1426</v>
      </c>
      <c r="B41" s="1442" t="s">
        <v>1440</v>
      </c>
      <c r="D41" s="1429"/>
      <c r="E41" s="1429"/>
      <c r="F41" s="1437"/>
      <c r="G41" s="1436"/>
      <c r="H41" s="1436"/>
      <c r="I41" s="1393"/>
      <c r="J41" s="1393"/>
      <c r="K41" s="1393"/>
      <c r="L41" s="1393"/>
      <c r="M41" s="1393"/>
      <c r="N41" s="1393"/>
      <c r="O41" s="1393"/>
      <c r="P41" s="1443"/>
      <c r="Q41" s="1439"/>
      <c r="R41" s="1399"/>
      <c r="S41" s="1387"/>
      <c r="T41" s="1387"/>
      <c r="U41" s="1387"/>
      <c r="V41" s="1387"/>
      <c r="W41" s="1387"/>
    </row>
    <row r="42" spans="1:23" ht="12.5">
      <c r="B42" s="1444"/>
      <c r="C42" s="1444"/>
      <c r="D42" s="1444"/>
      <c r="E42" s="1444"/>
      <c r="F42" s="1444"/>
      <c r="G42" s="1444"/>
      <c r="H42" s="1444"/>
      <c r="I42" s="1444"/>
      <c r="J42" s="1444"/>
      <c r="K42" s="1444"/>
      <c r="L42" s="1444"/>
      <c r="M42" s="1444"/>
      <c r="N42"/>
      <c r="O42"/>
      <c r="P42"/>
      <c r="Q42"/>
      <c r="R42"/>
      <c r="S42" s="1387"/>
      <c r="T42" s="1387"/>
      <c r="U42" s="1387"/>
      <c r="V42" s="1387"/>
      <c r="W42" s="1387"/>
    </row>
    <row r="43" spans="1:23">
      <c r="B43" s="1426" t="s">
        <v>1410</v>
      </c>
      <c r="C43" s="1387"/>
      <c r="D43" s="1387"/>
      <c r="E43" s="1387"/>
      <c r="F43" s="1387"/>
      <c r="G43" s="1387"/>
      <c r="H43" s="1387"/>
      <c r="I43" s="1387"/>
      <c r="J43" s="1387"/>
      <c r="K43" s="1387"/>
      <c r="L43" s="1387"/>
      <c r="M43" s="1387"/>
      <c r="N43" s="1387"/>
      <c r="O43" s="1387"/>
      <c r="P43" s="1387"/>
      <c r="Q43" s="1390"/>
      <c r="R43" s="1410"/>
      <c r="S43" s="1387"/>
      <c r="T43" s="1387"/>
      <c r="U43" s="1387"/>
      <c r="V43" s="1387"/>
      <c r="W43" s="1387"/>
    </row>
    <row r="44" spans="1:23">
      <c r="A44" s="1412" t="s">
        <v>627</v>
      </c>
      <c r="B44" s="1445">
        <v>182.3</v>
      </c>
      <c r="C44" s="1446" t="s">
        <v>1412</v>
      </c>
      <c r="D44" s="1433" t="s">
        <v>115</v>
      </c>
      <c r="E44" s="1429" t="s">
        <v>1382</v>
      </c>
      <c r="F44" s="1433"/>
      <c r="G44" s="1433" t="s">
        <v>115</v>
      </c>
      <c r="H44" s="1433"/>
      <c r="I44" s="1401">
        <v>-2105953</v>
      </c>
      <c r="J44" s="1433"/>
      <c r="K44" s="1393"/>
      <c r="L44" s="1393"/>
      <c r="M44" s="1393"/>
      <c r="N44" s="1433"/>
      <c r="O44" s="1433"/>
      <c r="P44" s="1443">
        <f>SUM(I44:O44)</f>
        <v>-2105953</v>
      </c>
      <c r="Q44" s="1447"/>
      <c r="R44" s="1392" t="s">
        <v>1413</v>
      </c>
      <c r="S44" s="1387"/>
      <c r="T44" s="1387"/>
      <c r="U44" s="1387"/>
      <c r="V44" s="1387"/>
      <c r="W44" s="1387"/>
    </row>
    <row r="45" spans="1:23">
      <c r="A45" s="1412" t="s">
        <v>628</v>
      </c>
      <c r="B45" s="1445">
        <v>254</v>
      </c>
      <c r="C45" s="1446" t="s">
        <v>1415</v>
      </c>
      <c r="D45" s="1433" t="s">
        <v>115</v>
      </c>
      <c r="E45" s="1429" t="s">
        <v>1382</v>
      </c>
      <c r="F45" s="1433"/>
      <c r="G45" s="1433" t="s">
        <v>115</v>
      </c>
      <c r="H45" s="1433"/>
      <c r="I45" s="1401">
        <v>-118408901</v>
      </c>
      <c r="J45" s="1433"/>
      <c r="K45" s="1393"/>
      <c r="L45" s="1393"/>
      <c r="M45" s="1393">
        <f>-6035548+14466814-16560730+12428476</f>
        <v>4299012</v>
      </c>
      <c r="N45" s="1433"/>
      <c r="O45" s="1433"/>
      <c r="P45" s="1443">
        <f>SUM(I45:O45)</f>
        <v>-114109889</v>
      </c>
      <c r="Q45" s="1447"/>
      <c r="R45" s="1392" t="s">
        <v>1413</v>
      </c>
      <c r="S45" s="1387"/>
      <c r="T45" s="1387"/>
      <c r="U45" s="1387"/>
      <c r="V45" s="1387"/>
      <c r="W45" s="1387"/>
    </row>
    <row r="46" spans="1:23">
      <c r="A46" s="1412" t="s">
        <v>1427</v>
      </c>
      <c r="B46" s="1442" t="s">
        <v>1440</v>
      </c>
      <c r="C46" s="1446"/>
      <c r="D46" s="1433"/>
      <c r="E46" s="1429"/>
      <c r="F46" s="1433"/>
      <c r="G46" s="1433"/>
      <c r="H46" s="1433"/>
      <c r="I46" s="1393"/>
      <c r="J46" s="1433"/>
      <c r="K46" s="1393"/>
      <c r="L46" s="1393"/>
      <c r="M46" s="1393"/>
      <c r="N46" s="1433"/>
      <c r="O46" s="1433"/>
      <c r="P46" s="1447"/>
      <c r="Q46" s="1447"/>
      <c r="R46" s="1392"/>
      <c r="S46" s="1387"/>
      <c r="T46" s="1387"/>
      <c r="U46" s="1387"/>
      <c r="V46" s="1387"/>
      <c r="W46" s="1387"/>
    </row>
    <row r="47" spans="1:23">
      <c r="B47" s="1445"/>
      <c r="C47" s="1446"/>
      <c r="D47" s="1417"/>
      <c r="E47" s="1417"/>
      <c r="F47" s="1417"/>
      <c r="G47" s="1417"/>
      <c r="H47" s="1417"/>
      <c r="I47" s="1417"/>
      <c r="J47" s="1417"/>
      <c r="K47" s="1417"/>
      <c r="L47" s="1417"/>
      <c r="M47" s="1417"/>
      <c r="N47" s="1463"/>
      <c r="O47" s="1417"/>
      <c r="P47" s="1417"/>
      <c r="Q47" s="1417"/>
      <c r="R47" s="1448"/>
      <c r="S47" s="1387"/>
      <c r="T47" s="1387"/>
      <c r="U47" s="1387"/>
      <c r="V47" s="1387"/>
      <c r="W47" s="1387"/>
    </row>
    <row r="48" spans="1:23" ht="12" thickBot="1">
      <c r="A48" s="1449">
        <v>6</v>
      </c>
      <c r="B48" s="1519" t="str">
        <f>"Total For Accounting Entires (Sum of Lines "&amp;A34&amp;" through "&amp;A45&amp;")"</f>
        <v>Total For Accounting Entires (Sum of Lines 4a through 5b)</v>
      </c>
      <c r="C48" s="1519"/>
      <c r="D48" s="1433"/>
      <c r="E48" s="1433"/>
      <c r="F48" s="1433"/>
      <c r="G48" s="1433"/>
      <c r="H48" s="1433"/>
      <c r="I48" s="1402">
        <f>SUM(I34:I47)</f>
        <v>0</v>
      </c>
      <c r="J48" s="1403">
        <f>SUM(J34:J47)</f>
        <v>-88292494</v>
      </c>
      <c r="K48" s="1404">
        <f>SUM(K34:K47)</f>
        <v>0</v>
      </c>
      <c r="L48" s="1404">
        <f>SUM(L34:L47)</f>
        <v>0</v>
      </c>
      <c r="M48" s="1403">
        <f>SUM(M34:M47)</f>
        <v>0</v>
      </c>
      <c r="N48" s="1405">
        <f>-SUM(N34:N47)</f>
        <v>-3587716</v>
      </c>
      <c r="O48" s="1403">
        <f>-SUM(O34:O47)</f>
        <v>-100594</v>
      </c>
      <c r="P48" s="1404">
        <f>SUM(P34:P47)</f>
        <v>0</v>
      </c>
      <c r="Q48" s="1403">
        <f>SUM(Q34:Q47)</f>
        <v>-84604184</v>
      </c>
      <c r="R48" s="1450"/>
      <c r="S48" s="1387"/>
      <c r="T48" s="1387"/>
      <c r="U48" s="1387"/>
      <c r="V48" s="1387"/>
      <c r="W48" s="1387"/>
    </row>
    <row r="49" spans="1:23" ht="12" thickTop="1">
      <c r="B49" s="1445"/>
      <c r="C49" s="1446"/>
      <c r="D49" s="1417"/>
      <c r="E49" s="1417"/>
      <c r="F49" s="1417"/>
      <c r="G49" s="1417"/>
      <c r="H49" s="1417"/>
      <c r="I49" s="1406"/>
      <c r="J49" s="1397"/>
      <c r="K49" s="1407"/>
      <c r="L49" s="1407"/>
      <c r="M49" s="1407"/>
      <c r="N49" s="1408" t="s">
        <v>1441</v>
      </c>
      <c r="O49" s="1397"/>
      <c r="P49" s="1407"/>
      <c r="Q49" s="1409"/>
      <c r="R49" s="1450"/>
      <c r="S49" s="1387"/>
      <c r="T49" s="1387"/>
      <c r="U49" s="1387"/>
      <c r="V49" s="1387"/>
      <c r="W49" s="1387"/>
    </row>
    <row r="50" spans="1:23">
      <c r="B50" s="1445"/>
      <c r="C50" s="1446"/>
      <c r="D50" s="1417"/>
      <c r="E50" s="1417"/>
      <c r="F50" s="1417"/>
      <c r="G50" s="1417"/>
      <c r="H50" s="1417"/>
      <c r="I50" s="1406"/>
      <c r="J50" s="1397"/>
      <c r="K50" s="1407"/>
      <c r="L50" s="1407"/>
      <c r="M50" s="1407"/>
      <c r="N50" s="1397"/>
      <c r="O50" s="1397"/>
      <c r="P50" s="1407"/>
      <c r="Q50" s="1409"/>
      <c r="R50" s="1450"/>
      <c r="S50" s="1387"/>
      <c r="T50" s="1387"/>
      <c r="U50" s="1387"/>
      <c r="V50" s="1387"/>
      <c r="W50" s="1387"/>
    </row>
    <row r="51" spans="1:23" ht="18.649999999999999" customHeight="1">
      <c r="A51" s="1522" t="s">
        <v>1442</v>
      </c>
      <c r="B51" s="1522"/>
      <c r="C51" s="1522"/>
      <c r="D51" s="1522"/>
      <c r="E51" s="1522"/>
      <c r="F51" s="1522"/>
      <c r="G51" s="1522"/>
      <c r="H51" s="1522"/>
      <c r="I51" s="1522"/>
      <c r="J51" s="1522"/>
      <c r="K51" s="1407"/>
      <c r="L51" s="1407"/>
      <c r="M51" s="1407"/>
      <c r="N51" s="1397"/>
      <c r="O51" s="1397"/>
      <c r="P51" s="1407"/>
      <c r="Q51" s="1409"/>
      <c r="R51" s="1450"/>
      <c r="S51" s="1387"/>
      <c r="T51" s="1387"/>
      <c r="U51" s="1387"/>
      <c r="V51" s="1387"/>
      <c r="W51" s="1387"/>
    </row>
    <row r="52" spans="1:23" ht="23.15" customHeight="1">
      <c r="A52" s="1522"/>
      <c r="B52" s="1522"/>
      <c r="C52" s="1522"/>
      <c r="D52" s="1522"/>
      <c r="E52" s="1522"/>
      <c r="F52" s="1522"/>
      <c r="G52" s="1522"/>
      <c r="H52" s="1522"/>
      <c r="I52" s="1522"/>
      <c r="J52" s="1522"/>
      <c r="K52" s="1407"/>
      <c r="L52" s="1407"/>
      <c r="M52" s="1407"/>
      <c r="N52" s="1397"/>
      <c r="O52" s="1397"/>
      <c r="P52" s="1407"/>
      <c r="Q52" s="1409"/>
      <c r="R52" s="1450"/>
      <c r="S52" s="1387"/>
      <c r="T52" s="1387"/>
      <c r="U52" s="1387"/>
      <c r="V52" s="1387"/>
      <c r="W52" s="1387"/>
    </row>
    <row r="53" spans="1:23" ht="15" customHeight="1">
      <c r="B53" s="1445"/>
      <c r="C53" s="1446"/>
      <c r="D53" s="1417"/>
      <c r="E53" s="1417"/>
      <c r="F53" s="1417"/>
      <c r="G53" s="1417"/>
      <c r="H53" s="1417"/>
      <c r="I53" s="1406"/>
      <c r="J53" s="1397"/>
      <c r="K53" s="1407"/>
      <c r="L53" s="1407"/>
      <c r="M53" s="1407"/>
      <c r="N53" s="1397"/>
      <c r="O53" s="1397"/>
      <c r="P53" s="1407"/>
      <c r="Q53" s="1409"/>
      <c r="R53" s="1450"/>
      <c r="S53" s="1387"/>
      <c r="T53" s="1387"/>
      <c r="U53" s="1387"/>
      <c r="V53" s="1387"/>
      <c r="W53" s="1387"/>
    </row>
    <row r="54" spans="1:23">
      <c r="B54" s="1412"/>
      <c r="C54" s="1446"/>
      <c r="D54" s="1417"/>
      <c r="E54" s="1417"/>
      <c r="F54" s="1417"/>
      <c r="G54" s="1417"/>
      <c r="H54" s="1417"/>
      <c r="I54" s="1406"/>
      <c r="J54" s="1409"/>
      <c r="K54" s="1407"/>
      <c r="L54" s="1407"/>
      <c r="M54" s="1407"/>
      <c r="N54" s="1409"/>
      <c r="O54" s="1409"/>
      <c r="P54" s="1407"/>
      <c r="Q54" s="1409"/>
      <c r="R54" s="1450"/>
      <c r="S54" s="1387"/>
      <c r="T54" s="1387"/>
      <c r="U54" s="1387"/>
      <c r="V54" s="1387"/>
      <c r="W54" s="1387"/>
    </row>
    <row r="55" spans="1:23" ht="15" customHeight="1">
      <c r="A55" s="1451" t="s">
        <v>1428</v>
      </c>
      <c r="B55" s="1517" t="s">
        <v>1443</v>
      </c>
      <c r="C55" s="1517"/>
      <c r="D55" s="1517"/>
      <c r="E55" s="1517"/>
      <c r="F55" s="1517"/>
      <c r="G55" s="1517"/>
      <c r="H55" s="1517"/>
      <c r="I55" s="1517"/>
      <c r="J55" s="1517"/>
      <c r="K55" s="1452"/>
      <c r="L55" s="1407"/>
      <c r="M55" s="1407"/>
      <c r="O55" s="1454"/>
      <c r="P55" s="1454"/>
      <c r="Q55" s="1454"/>
      <c r="R55" s="1387"/>
    </row>
    <row r="56" spans="1:23">
      <c r="B56" s="1517"/>
      <c r="C56" s="1517"/>
      <c r="D56" s="1517"/>
      <c r="E56" s="1517"/>
      <c r="F56" s="1517"/>
      <c r="G56" s="1517"/>
      <c r="H56" s="1517"/>
      <c r="I56" s="1517"/>
      <c r="J56" s="1517"/>
      <c r="K56" s="1452"/>
      <c r="L56" s="1453"/>
      <c r="O56" s="1454"/>
      <c r="R56" s="1387"/>
    </row>
    <row r="57" spans="1:23">
      <c r="B57" s="1517"/>
      <c r="C57" s="1517"/>
      <c r="D57" s="1517"/>
      <c r="E57" s="1517"/>
      <c r="F57" s="1517"/>
      <c r="G57" s="1517"/>
      <c r="H57" s="1517"/>
      <c r="I57" s="1517"/>
      <c r="J57" s="1517"/>
      <c r="K57" s="1452"/>
      <c r="L57" s="1453"/>
      <c r="R57" s="1387"/>
    </row>
    <row r="58" spans="1:23">
      <c r="B58" s="1517"/>
      <c r="C58" s="1517"/>
      <c r="D58" s="1517"/>
      <c r="E58" s="1517"/>
      <c r="F58" s="1517"/>
      <c r="G58" s="1517"/>
      <c r="H58" s="1517"/>
      <c r="I58" s="1517"/>
      <c r="J58" s="1517"/>
      <c r="K58" s="1452"/>
      <c r="L58" s="1453"/>
      <c r="P58" s="1454"/>
      <c r="Q58" s="1454"/>
      <c r="R58" s="1387"/>
    </row>
    <row r="59" spans="1:23">
      <c r="B59" s="1517"/>
      <c r="C59" s="1517"/>
      <c r="D59" s="1517"/>
      <c r="E59" s="1517"/>
      <c r="F59" s="1517"/>
      <c r="G59" s="1517"/>
      <c r="H59" s="1517"/>
      <c r="I59" s="1517"/>
      <c r="J59" s="1517"/>
      <c r="K59" s="1452"/>
      <c r="R59" s="1387"/>
    </row>
    <row r="60" spans="1:23">
      <c r="B60" s="1517"/>
      <c r="C60" s="1517"/>
      <c r="D60" s="1517"/>
      <c r="E60" s="1517"/>
      <c r="F60" s="1517"/>
      <c r="G60" s="1517"/>
      <c r="H60" s="1517"/>
      <c r="I60" s="1517"/>
      <c r="J60" s="1517"/>
      <c r="K60" s="1452"/>
      <c r="R60" s="1387"/>
    </row>
    <row r="61" spans="1:23" ht="5.15" customHeight="1">
      <c r="B61" s="1452"/>
      <c r="C61" s="1452"/>
      <c r="D61" s="1452"/>
      <c r="E61" s="1452"/>
      <c r="F61" s="1452"/>
      <c r="G61" s="1452"/>
      <c r="H61" s="1452"/>
      <c r="I61" s="1452"/>
      <c r="J61" s="1452"/>
      <c r="K61" s="1452"/>
      <c r="R61" s="1387"/>
    </row>
    <row r="62" spans="1:23" ht="12.65" customHeight="1">
      <c r="A62" s="1412" t="s">
        <v>1429</v>
      </c>
      <c r="B62" s="1455" t="s">
        <v>1430</v>
      </c>
      <c r="C62" s="1455"/>
      <c r="D62" s="1455"/>
      <c r="E62" s="1455"/>
      <c r="F62" s="1455"/>
      <c r="G62" s="1455"/>
      <c r="H62" s="1455"/>
      <c r="I62" s="1455"/>
      <c r="J62" s="1455"/>
      <c r="K62" s="1452"/>
      <c r="L62" s="1407"/>
      <c r="M62" s="1407"/>
      <c r="R62" s="1387"/>
    </row>
    <row r="63" spans="1:23" ht="4.5" customHeight="1">
      <c r="B63" s="1455"/>
      <c r="C63" s="1455"/>
      <c r="D63" s="1455"/>
      <c r="E63" s="1455"/>
      <c r="F63" s="1455"/>
      <c r="G63" s="1455"/>
      <c r="H63" s="1455"/>
      <c r="I63" s="1455"/>
      <c r="J63" s="1455"/>
      <c r="K63" s="1452"/>
      <c r="M63" s="1407"/>
      <c r="R63" s="1387"/>
    </row>
    <row r="64" spans="1:23" ht="12.65" customHeight="1">
      <c r="A64" s="1412" t="s">
        <v>1431</v>
      </c>
      <c r="B64" s="1455" t="s">
        <v>1444</v>
      </c>
      <c r="C64" s="1455"/>
      <c r="D64" s="1455"/>
      <c r="E64" s="1455"/>
      <c r="F64" s="1455"/>
      <c r="G64" s="1455"/>
      <c r="H64" s="1455"/>
      <c r="I64" s="1455"/>
      <c r="J64" s="1455"/>
      <c r="K64" s="1452"/>
      <c r="L64" s="1407"/>
      <c r="M64" s="1407"/>
      <c r="R64" s="1387"/>
    </row>
    <row r="65" spans="1:18" ht="5.15" customHeight="1">
      <c r="B65" s="1452"/>
      <c r="C65" s="1452"/>
      <c r="D65" s="1452"/>
      <c r="E65" s="1452"/>
      <c r="F65" s="1452"/>
      <c r="G65" s="1452"/>
      <c r="H65" s="1452"/>
      <c r="I65" s="1452"/>
      <c r="J65" s="1452"/>
      <c r="K65" s="1452"/>
      <c r="M65" s="1407"/>
      <c r="R65" s="1387"/>
    </row>
    <row r="66" spans="1:18" s="1457" customFormat="1" ht="12.65" customHeight="1">
      <c r="A66" s="1412" t="s">
        <v>1433</v>
      </c>
      <c r="B66" s="1515" t="s">
        <v>1432</v>
      </c>
      <c r="C66" s="1515"/>
      <c r="D66" s="1515"/>
      <c r="E66" s="1515"/>
      <c r="F66" s="1515"/>
      <c r="G66" s="1515"/>
      <c r="H66" s="1515"/>
      <c r="I66" s="1515"/>
      <c r="J66" s="1515"/>
      <c r="K66" s="1456"/>
      <c r="L66" s="1407"/>
      <c r="M66" s="1407"/>
      <c r="R66" s="1390"/>
    </row>
    <row r="67" spans="1:18" s="1457" customFormat="1" ht="12.65" customHeight="1">
      <c r="A67" s="1412"/>
      <c r="B67" s="1515"/>
      <c r="C67" s="1515"/>
      <c r="D67" s="1515"/>
      <c r="E67" s="1515"/>
      <c r="F67" s="1515"/>
      <c r="G67" s="1515"/>
      <c r="H67" s="1515"/>
      <c r="I67" s="1515"/>
      <c r="J67" s="1515"/>
      <c r="K67" s="1456"/>
      <c r="M67" s="1407"/>
      <c r="R67" s="1390"/>
    </row>
    <row r="68" spans="1:18" ht="5.15" customHeight="1">
      <c r="B68" s="1452"/>
      <c r="C68" s="1452"/>
      <c r="D68" s="1452"/>
      <c r="E68" s="1452"/>
      <c r="F68" s="1452"/>
      <c r="G68" s="1452"/>
      <c r="H68" s="1452"/>
      <c r="I68" s="1452"/>
      <c r="J68" s="1452"/>
      <c r="K68" s="1452"/>
      <c r="M68" s="1407"/>
      <c r="R68" s="1387"/>
    </row>
    <row r="69" spans="1:18">
      <c r="A69" s="1412" t="s">
        <v>1435</v>
      </c>
      <c r="B69" s="1516" t="s">
        <v>1434</v>
      </c>
      <c r="C69" s="1516"/>
      <c r="D69" s="1516"/>
      <c r="E69" s="1516"/>
      <c r="F69" s="1516"/>
      <c r="G69" s="1516"/>
      <c r="H69" s="1516"/>
      <c r="I69" s="1516"/>
      <c r="J69" s="1516"/>
      <c r="K69" s="1452"/>
      <c r="L69" s="1407"/>
      <c r="M69" s="1407"/>
      <c r="R69" s="1387"/>
    </row>
    <row r="70" spans="1:18">
      <c r="B70" s="1516"/>
      <c r="C70" s="1516"/>
      <c r="D70" s="1516"/>
      <c r="E70" s="1516"/>
      <c r="F70" s="1516"/>
      <c r="G70" s="1516"/>
      <c r="H70" s="1516"/>
      <c r="I70" s="1516"/>
      <c r="J70" s="1516"/>
      <c r="K70" s="1452"/>
      <c r="M70" s="1407"/>
      <c r="R70" s="1387"/>
    </row>
    <row r="71" spans="1:18" ht="4.5" customHeight="1">
      <c r="B71" s="1458"/>
      <c r="C71" s="1452"/>
      <c r="D71" s="1452"/>
      <c r="E71" s="1452"/>
      <c r="F71" s="1452"/>
      <c r="G71" s="1452"/>
      <c r="H71" s="1452"/>
      <c r="I71" s="1452"/>
      <c r="J71" s="1452"/>
      <c r="K71" s="1452"/>
      <c r="M71" s="1407"/>
      <c r="R71" s="1387"/>
    </row>
    <row r="72" spans="1:18" ht="11.5" customHeight="1">
      <c r="A72" s="1449" t="s">
        <v>1445</v>
      </c>
      <c r="B72" s="1517"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517"/>
      <c r="D72" s="1517"/>
      <c r="E72" s="1517"/>
      <c r="F72" s="1517"/>
      <c r="G72" s="1517"/>
      <c r="H72" s="1517"/>
      <c r="I72" s="1517"/>
      <c r="J72" s="1452"/>
      <c r="K72" s="1453"/>
      <c r="L72" s="1407"/>
      <c r="M72" s="1407"/>
      <c r="R72" s="1387"/>
    </row>
    <row r="73" spans="1:18" ht="11.5" customHeight="1">
      <c r="B73" s="1517"/>
      <c r="C73" s="1517"/>
      <c r="D73" s="1517"/>
      <c r="E73" s="1517"/>
      <c r="F73" s="1517"/>
      <c r="G73" s="1517"/>
      <c r="H73" s="1517"/>
      <c r="I73" s="1517"/>
      <c r="J73" s="1452"/>
      <c r="R73" s="1387"/>
    </row>
    <row r="74" spans="1:18">
      <c r="B74" s="1517"/>
      <c r="C74" s="1517"/>
      <c r="D74" s="1517"/>
      <c r="E74" s="1517"/>
      <c r="F74" s="1517"/>
      <c r="G74" s="1517"/>
      <c r="H74" s="1517"/>
      <c r="I74" s="1517"/>
      <c r="R74" s="1387"/>
    </row>
    <row r="75" spans="1:18">
      <c r="R75" s="1387"/>
    </row>
    <row r="76" spans="1:18">
      <c r="R76" s="1387"/>
    </row>
    <row r="81" spans="1:11">
      <c r="A81" s="1451"/>
      <c r="B81" s="1451"/>
      <c r="C81" s="1451"/>
      <c r="D81" s="1451"/>
      <c r="E81" s="1451"/>
      <c r="F81" s="1451"/>
      <c r="G81" s="1451"/>
      <c r="H81" s="1451"/>
      <c r="I81" s="1451"/>
      <c r="J81" s="1451"/>
      <c r="K81" s="1451"/>
    </row>
    <row r="82" spans="1:11">
      <c r="A82" s="1451"/>
      <c r="B82" s="1451"/>
      <c r="C82" s="1451"/>
      <c r="D82" s="1451"/>
      <c r="E82" s="1451"/>
      <c r="F82" s="1451"/>
      <c r="G82" s="1451"/>
      <c r="H82" s="1451"/>
      <c r="I82" s="1451"/>
      <c r="J82" s="1451"/>
      <c r="K82" s="1451"/>
    </row>
    <row r="83" spans="1:11">
      <c r="D83" s="1451"/>
      <c r="E83" s="1451"/>
      <c r="F83" s="1451"/>
      <c r="G83" s="1451"/>
      <c r="H83" s="1451"/>
      <c r="I83" s="1451"/>
      <c r="J83" s="1451"/>
      <c r="K83" s="1451"/>
    </row>
    <row r="84" spans="1:11">
      <c r="A84" s="1451"/>
      <c r="B84" s="1451"/>
      <c r="C84" s="1451"/>
      <c r="D84" s="1451"/>
      <c r="E84" s="1451"/>
      <c r="F84" s="1451"/>
      <c r="G84" s="1451"/>
      <c r="H84" s="1451"/>
      <c r="I84" s="1451"/>
      <c r="J84" s="1451"/>
      <c r="K84" s="1451"/>
    </row>
    <row r="85" spans="1:11">
      <c r="A85" s="1451"/>
      <c r="B85" s="1451"/>
      <c r="C85" s="1451"/>
      <c r="D85" s="1451"/>
      <c r="E85" s="1451"/>
      <c r="F85" s="1451"/>
      <c r="G85" s="1451"/>
      <c r="H85" s="1451"/>
      <c r="I85" s="1451"/>
      <c r="J85" s="1451"/>
      <c r="K85" s="1451"/>
    </row>
    <row r="86" spans="1:11">
      <c r="A86" s="1451"/>
      <c r="B86" s="1451"/>
      <c r="C86" s="1451"/>
      <c r="D86" s="1451"/>
      <c r="E86" s="1451"/>
      <c r="F86" s="1451"/>
      <c r="G86" s="1451"/>
      <c r="H86" s="1451"/>
      <c r="I86" s="1451"/>
      <c r="J86" s="1451"/>
      <c r="K86" s="1451"/>
    </row>
    <row r="87" spans="1:11">
      <c r="A87" s="1451"/>
      <c r="B87" s="1451"/>
      <c r="C87" s="1451"/>
      <c r="D87" s="1451"/>
      <c r="E87" s="1451"/>
      <c r="F87" s="1451"/>
      <c r="G87" s="1451"/>
      <c r="H87" s="1451"/>
      <c r="I87" s="1451"/>
      <c r="J87" s="1451"/>
      <c r="K87" s="1451"/>
    </row>
    <row r="88" spans="1:11">
      <c r="A88" s="1451"/>
      <c r="B88" s="1451"/>
      <c r="C88" s="1451"/>
      <c r="D88" s="1451"/>
      <c r="E88" s="1451"/>
      <c r="F88" s="1451"/>
      <c r="G88" s="1451"/>
      <c r="H88" s="1451"/>
      <c r="I88" s="1451"/>
      <c r="J88" s="1451"/>
      <c r="K88" s="1451"/>
    </row>
    <row r="89" spans="1:11">
      <c r="A89" s="1451"/>
      <c r="B89" s="1451"/>
      <c r="C89" s="1451"/>
      <c r="D89" s="1451"/>
      <c r="E89" s="1451"/>
      <c r="F89" s="1451"/>
      <c r="G89" s="1451"/>
      <c r="H89" s="1451"/>
      <c r="I89" s="1451"/>
      <c r="J89" s="1451"/>
      <c r="K89" s="1451"/>
    </row>
    <row r="90" spans="1:11">
      <c r="A90" s="1451"/>
      <c r="B90" s="1451"/>
      <c r="C90" s="1451"/>
      <c r="D90" s="1451"/>
      <c r="E90" s="1451"/>
      <c r="F90" s="1451"/>
      <c r="G90" s="1451"/>
      <c r="H90" s="1451"/>
      <c r="I90" s="1451"/>
      <c r="J90" s="1451"/>
      <c r="K90" s="1451"/>
    </row>
    <row r="91" spans="1:11">
      <c r="A91" s="1451"/>
      <c r="B91" s="1451"/>
      <c r="C91" s="1451"/>
      <c r="D91" s="1451"/>
      <c r="E91" s="1451"/>
      <c r="F91" s="1451"/>
      <c r="G91" s="1451"/>
      <c r="H91" s="1451"/>
      <c r="I91" s="1451"/>
      <c r="J91" s="1451"/>
      <c r="K91" s="1451"/>
    </row>
    <row r="98" spans="1:11">
      <c r="B98" s="1449"/>
    </row>
    <row r="99" spans="1:11">
      <c r="B99" s="1453"/>
    </row>
    <row r="100" spans="1:11">
      <c r="B100" s="1453"/>
    </row>
    <row r="101" spans="1:11">
      <c r="B101" s="1453"/>
    </row>
    <row r="102" spans="1:11">
      <c r="B102" s="1453"/>
      <c r="D102" s="1457"/>
      <c r="E102" s="1457"/>
      <c r="F102" s="1457"/>
    </row>
    <row r="103" spans="1:11">
      <c r="A103" s="1459"/>
      <c r="B103" s="1451"/>
      <c r="C103" s="1451"/>
      <c r="D103" s="1451"/>
      <c r="E103" s="1451"/>
      <c r="F103" s="1451"/>
      <c r="G103" s="1451"/>
      <c r="H103" s="1451"/>
      <c r="I103" s="1451"/>
      <c r="J103" s="1451"/>
      <c r="K103" s="1451"/>
    </row>
    <row r="104" spans="1:11">
      <c r="A104" s="1451"/>
      <c r="B104" s="1451"/>
      <c r="C104" s="1451"/>
      <c r="D104" s="1451"/>
      <c r="E104" s="1451"/>
      <c r="F104" s="1451"/>
      <c r="G104" s="1451"/>
      <c r="H104" s="1451"/>
      <c r="I104" s="1451"/>
      <c r="J104" s="1451"/>
      <c r="K104" s="1451"/>
    </row>
    <row r="105" spans="1:11">
      <c r="A105" s="1451"/>
      <c r="B105" s="1451"/>
      <c r="C105" s="1451"/>
      <c r="D105" s="1451"/>
      <c r="E105" s="1451"/>
      <c r="F105" s="1451"/>
      <c r="G105" s="1451"/>
      <c r="H105" s="1451"/>
      <c r="I105" s="1451"/>
      <c r="J105" s="1451"/>
      <c r="K105" s="1451"/>
    </row>
    <row r="106" spans="1:11">
      <c r="A106" s="1451"/>
      <c r="B106" s="1451"/>
      <c r="C106" s="1451"/>
      <c r="D106" s="1451"/>
      <c r="E106" s="1451"/>
      <c r="F106" s="1451"/>
      <c r="G106" s="1451"/>
      <c r="H106" s="1451"/>
      <c r="I106" s="1451"/>
      <c r="J106" s="1451"/>
      <c r="K106" s="1451"/>
    </row>
    <row r="107" spans="1:11">
      <c r="A107" s="1451"/>
      <c r="B107" s="1451"/>
      <c r="C107" s="1451"/>
      <c r="D107" s="1460"/>
      <c r="E107" s="1460"/>
      <c r="F107" s="1460"/>
      <c r="G107" s="1451"/>
      <c r="H107" s="1451"/>
      <c r="I107" s="1451"/>
      <c r="J107" s="1451"/>
      <c r="K107" s="1451"/>
    </row>
    <row r="108" spans="1:11">
      <c r="A108" s="1451"/>
      <c r="B108" s="1451"/>
      <c r="C108" s="1451"/>
      <c r="D108" s="1454"/>
      <c r="E108" s="1454"/>
      <c r="F108" s="1454"/>
      <c r="G108" s="1451"/>
      <c r="H108" s="1451"/>
      <c r="I108" s="1451"/>
      <c r="J108" s="1451"/>
      <c r="K108" s="1451"/>
    </row>
    <row r="109" spans="1:11">
      <c r="A109" s="1451"/>
      <c r="B109" s="1451"/>
      <c r="C109" s="1451"/>
      <c r="D109" s="1460"/>
      <c r="E109" s="1460"/>
      <c r="F109" s="1460"/>
      <c r="G109" s="1451"/>
      <c r="H109" s="1451"/>
      <c r="I109" s="1451"/>
      <c r="J109" s="1451"/>
      <c r="K109" s="1451"/>
    </row>
    <row r="110" spans="1:11">
      <c r="A110" s="1451"/>
      <c r="B110" s="1451"/>
      <c r="C110" s="1451"/>
      <c r="D110" s="1451"/>
      <c r="E110" s="1451"/>
      <c r="F110" s="1451"/>
      <c r="G110" s="1451"/>
      <c r="H110" s="1451"/>
      <c r="I110" s="1451"/>
      <c r="J110" s="1451"/>
      <c r="K110" s="1451"/>
    </row>
    <row r="111" spans="1:11">
      <c r="A111" s="1451"/>
      <c r="B111" s="1451"/>
      <c r="C111" s="1451"/>
      <c r="D111" s="1451"/>
      <c r="E111" s="1451"/>
      <c r="F111" s="1451"/>
      <c r="G111" s="1451"/>
      <c r="H111" s="1451"/>
      <c r="I111" s="1451"/>
      <c r="J111" s="1451"/>
      <c r="K111" s="1451"/>
    </row>
    <row r="112" spans="1:11">
      <c r="A112" s="1451"/>
      <c r="B112" s="1451"/>
      <c r="C112" s="1451"/>
      <c r="D112" s="1451"/>
      <c r="E112" s="1451"/>
      <c r="F112" s="1451"/>
      <c r="G112" s="1451"/>
      <c r="H112" s="1451"/>
      <c r="I112" s="1451"/>
      <c r="J112" s="1451"/>
      <c r="K112" s="1451"/>
    </row>
    <row r="113" spans="1:11">
      <c r="A113" s="1451"/>
      <c r="C113" s="1451"/>
      <c r="D113" s="1451"/>
      <c r="E113" s="1451"/>
      <c r="F113" s="1451"/>
      <c r="G113" s="1451"/>
      <c r="H113" s="1451"/>
      <c r="I113" s="1451"/>
      <c r="J113" s="1451"/>
      <c r="K113" s="1451"/>
    </row>
    <row r="114" spans="1:11">
      <c r="A114" s="1451"/>
      <c r="B114" s="1451"/>
      <c r="C114" s="1451"/>
      <c r="D114" s="1451"/>
      <c r="E114" s="1451"/>
      <c r="F114" s="1451"/>
      <c r="G114" s="1451"/>
      <c r="H114" s="1451"/>
      <c r="I114" s="1451"/>
      <c r="J114" s="1451"/>
      <c r="K114" s="1451"/>
    </row>
    <row r="115" spans="1:11">
      <c r="A115" s="1451"/>
      <c r="B115" s="1451"/>
      <c r="C115" s="1451"/>
      <c r="D115" s="1451"/>
      <c r="E115" s="1451"/>
      <c r="F115" s="1451"/>
      <c r="G115" s="1451"/>
      <c r="H115" s="1451"/>
      <c r="I115" s="1451"/>
      <c r="J115" s="1451"/>
      <c r="K115" s="1451"/>
    </row>
  </sheetData>
  <mergeCells count="17">
    <mergeCell ref="I9:J9"/>
    <mergeCell ref="K9:M9"/>
    <mergeCell ref="N9:O9"/>
    <mergeCell ref="P9:Q9"/>
    <mergeCell ref="P11:Q11"/>
    <mergeCell ref="B66:J67"/>
    <mergeCell ref="B69:J70"/>
    <mergeCell ref="B72:I74"/>
    <mergeCell ref="R16:R17"/>
    <mergeCell ref="B48:C48"/>
    <mergeCell ref="R18:R19"/>
    <mergeCell ref="B29:C29"/>
    <mergeCell ref="P32:Q32"/>
    <mergeCell ref="R35:R36"/>
    <mergeCell ref="R37:R38"/>
    <mergeCell ref="A51:J52"/>
    <mergeCell ref="B55:J60"/>
  </mergeCells>
  <pageMargins left="0.7" right="0.7" top="0.75" bottom="0.75" header="0.3" footer="0.3"/>
  <pageSetup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36"/>
  <sheetViews>
    <sheetView topLeftCell="A55" zoomScale="85" zoomScaleNormal="85" zoomScaleSheetLayoutView="100" workbookViewId="0">
      <selection activeCell="D107" sqref="D107"/>
    </sheetView>
  </sheetViews>
  <sheetFormatPr defaultColWidth="11.453125" defaultRowHeight="12.5"/>
  <cols>
    <col min="1" max="1" width="8.1796875" style="71" customWidth="1"/>
    <col min="2" max="2" width="16.54296875" style="72" bestFit="1" customWidth="1"/>
    <col min="3" max="3" width="44.1796875" style="72" customWidth="1"/>
    <col min="4" max="4" width="29.54296875" style="72" customWidth="1"/>
    <col min="5" max="5" width="24.453125" style="81" customWidth="1"/>
    <col min="6" max="6" width="1" style="81" customWidth="1"/>
    <col min="7" max="7" width="20.81640625" style="72" customWidth="1"/>
    <col min="8" max="8" width="1" style="72" customWidth="1"/>
    <col min="9" max="9" width="19.1796875" style="72" customWidth="1"/>
    <col min="10" max="10" width="16.54296875" style="72" customWidth="1"/>
    <col min="11" max="11" width="15.453125" style="72" customWidth="1"/>
    <col min="12" max="12" width="33.54296875" style="72" customWidth="1"/>
    <col min="13" max="14" width="13.453125" style="72" customWidth="1"/>
    <col min="15" max="15" width="13.54296875" style="72" customWidth="1"/>
    <col min="16" max="16384" width="11.453125" style="72"/>
  </cols>
  <sheetData>
    <row r="1" spans="1:15" ht="15.5">
      <c r="A1" s="911" t="s">
        <v>115</v>
      </c>
    </row>
    <row r="2" spans="1:15" ht="15.5">
      <c r="A2" s="911" t="s">
        <v>115</v>
      </c>
    </row>
    <row r="3" spans="1:15" ht="15.5">
      <c r="A3" s="1499" t="str">
        <f>+'WS B ADIT &amp; ITC'!A3:I3</f>
        <v>AEP East Companies</v>
      </c>
      <c r="B3" s="1499"/>
      <c r="C3" s="1499"/>
      <c r="D3" s="1499"/>
      <c r="E3" s="1499"/>
      <c r="F3" s="1499"/>
      <c r="G3" s="1499"/>
      <c r="H3" s="1499"/>
      <c r="I3" s="1499"/>
      <c r="J3" s="1499"/>
      <c r="K3" s="1499"/>
      <c r="L3" s="1499"/>
      <c r="M3" s="40"/>
      <c r="N3" s="40"/>
      <c r="O3" s="40"/>
    </row>
    <row r="4" spans="1:15" ht="15.5">
      <c r="A4" s="1500" t="str">
        <f>"Cost of Service Formula Rate Using Actual/Projected FF1 Balances"</f>
        <v>Cost of Service Formula Rate Using Actual/Projected FF1 Balances</v>
      </c>
      <c r="B4" s="1500"/>
      <c r="C4" s="1500"/>
      <c r="D4" s="1500"/>
      <c r="E4" s="1500"/>
      <c r="F4" s="1500"/>
      <c r="G4" s="1500"/>
      <c r="H4" s="1500"/>
      <c r="I4" s="1500"/>
      <c r="J4" s="1500"/>
      <c r="K4" s="1500"/>
      <c r="L4" s="1500"/>
      <c r="M4" s="99"/>
      <c r="N4" s="99"/>
      <c r="O4" s="99"/>
    </row>
    <row r="5" spans="1:15" ht="15.5">
      <c r="A5" s="1500" t="s">
        <v>496</v>
      </c>
      <c r="B5" s="1500"/>
      <c r="C5" s="1500"/>
      <c r="D5" s="1500"/>
      <c r="E5" s="1500"/>
      <c r="F5" s="1500"/>
      <c r="G5" s="1500"/>
      <c r="H5" s="1500"/>
      <c r="I5" s="1500"/>
      <c r="J5" s="1500"/>
      <c r="K5" s="1500"/>
      <c r="L5" s="1500"/>
      <c r="M5" s="98"/>
      <c r="N5" s="98"/>
      <c r="O5" s="98"/>
    </row>
    <row r="6" spans="1:15" ht="15.5">
      <c r="A6" s="1511" t="str">
        <f>TCOS!F9</f>
        <v xml:space="preserve">Indiana Michigan Power Company </v>
      </c>
      <c r="B6" s="1511"/>
      <c r="C6" s="1511"/>
      <c r="D6" s="1511"/>
      <c r="E6" s="1511"/>
      <c r="F6" s="1511"/>
      <c r="G6" s="1511"/>
      <c r="H6" s="1511"/>
      <c r="I6" s="1511"/>
      <c r="J6" s="1511"/>
      <c r="K6" s="1511"/>
      <c r="L6" s="1511"/>
      <c r="M6" s="4"/>
      <c r="N6" s="4"/>
      <c r="O6" s="4"/>
    </row>
    <row r="7" spans="1:15" ht="15.5">
      <c r="A7" s="4"/>
      <c r="B7" s="4"/>
      <c r="C7" s="4"/>
      <c r="D7" s="4"/>
      <c r="E7" s="4"/>
      <c r="F7" s="4"/>
      <c r="G7" s="4"/>
      <c r="H7" s="3"/>
      <c r="I7" s="70"/>
      <c r="J7" s="70"/>
      <c r="K7" s="70"/>
      <c r="L7" s="70"/>
      <c r="M7" s="70"/>
      <c r="N7" s="70"/>
      <c r="O7" s="70"/>
    </row>
    <row r="8" spans="1:15" ht="12.75" customHeight="1">
      <c r="A8" s="96"/>
      <c r="B8" s="96" t="s">
        <v>163</v>
      </c>
      <c r="C8" s="96" t="s">
        <v>164</v>
      </c>
      <c r="D8" s="94" t="s">
        <v>4</v>
      </c>
      <c r="E8" s="94" t="s">
        <v>166</v>
      </c>
      <c r="F8" s="96"/>
      <c r="G8" s="96" t="s">
        <v>85</v>
      </c>
      <c r="H8" s="96"/>
      <c r="I8" s="96" t="s">
        <v>86</v>
      </c>
      <c r="J8" s="96" t="s">
        <v>87</v>
      </c>
      <c r="K8" s="96" t="s">
        <v>92</v>
      </c>
      <c r="L8" s="96" t="s">
        <v>501</v>
      </c>
      <c r="M8" s="96"/>
      <c r="N8" s="96"/>
      <c r="O8" s="96"/>
    </row>
    <row r="9" spans="1:15" ht="13">
      <c r="A9" s="69"/>
    </row>
    <row r="10" spans="1:15" ht="18">
      <c r="A10" s="93"/>
      <c r="B10" s="1529" t="s">
        <v>208</v>
      </c>
      <c r="C10" s="1529"/>
      <c r="D10" s="1529"/>
      <c r="E10" s="1529"/>
      <c r="F10" s="1529"/>
      <c r="G10" s="1529"/>
      <c r="H10" s="1529"/>
      <c r="I10" s="1529"/>
      <c r="J10" s="1529"/>
      <c r="K10" s="1529"/>
      <c r="O10" s="81"/>
    </row>
    <row r="11" spans="1:15" ht="13">
      <c r="A11" s="93"/>
      <c r="I11" s="16"/>
      <c r="J11" s="16"/>
      <c r="O11" s="81"/>
    </row>
    <row r="12" spans="1:15" ht="12.75" customHeight="1">
      <c r="A12" s="12" t="s">
        <v>170</v>
      </c>
      <c r="B12" s="74"/>
      <c r="C12" s="82"/>
      <c r="D12" s="198"/>
      <c r="E12" s="1526" t="str">
        <f>"Balance @ December 31, "&amp;TCOS!L4&amp;""</f>
        <v>Balance @ December 31, 2019</v>
      </c>
      <c r="F12" s="198"/>
      <c r="G12" s="1526" t="str">
        <f>"Balance @ December 31, "&amp;TCOS!L4-1&amp;""</f>
        <v>Balance @ December 31, 2018</v>
      </c>
      <c r="H12" s="246"/>
      <c r="I12" s="1512" t="str">
        <f>"Average Balance for "&amp;TCOS!L4&amp;""</f>
        <v>Average Balance for 2019</v>
      </c>
      <c r="J12" s="105"/>
      <c r="K12" s="77"/>
      <c r="L12" s="83"/>
      <c r="M12" s="77"/>
      <c r="N12" s="77"/>
      <c r="O12" s="81"/>
    </row>
    <row r="13" spans="1:15" ht="13">
      <c r="A13" s="12" t="s">
        <v>107</v>
      </c>
      <c r="B13" s="78"/>
      <c r="C13" s="74"/>
      <c r="D13" s="199" t="s">
        <v>207</v>
      </c>
      <c r="E13" s="1527"/>
      <c r="F13" s="200"/>
      <c r="G13" s="1527"/>
      <c r="H13" s="201"/>
      <c r="I13" s="1510"/>
      <c r="J13" s="105"/>
      <c r="K13" s="84"/>
      <c r="L13" s="85"/>
      <c r="M13" s="75"/>
      <c r="N13" s="75"/>
    </row>
    <row r="14" spans="1:15" ht="13">
      <c r="A14" s="78"/>
      <c r="B14" s="78"/>
      <c r="C14" s="74"/>
      <c r="D14" s="80"/>
      <c r="E14" s="73"/>
      <c r="F14" s="73"/>
      <c r="G14" s="218"/>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436</v>
      </c>
      <c r="E17" s="856">
        <v>1488852</v>
      </c>
      <c r="F17" s="32"/>
      <c r="G17" s="856">
        <v>2234085</v>
      </c>
      <c r="H17" s="32"/>
      <c r="I17" s="137">
        <f>IF(G17="",0,(E17+G17)/2)</f>
        <v>1861468.5</v>
      </c>
      <c r="J17"/>
      <c r="K17" s="137"/>
      <c r="L17" s="32"/>
      <c r="M17" s="75"/>
      <c r="N17" s="75"/>
    </row>
    <row r="18" spans="1:14">
      <c r="A18" s="78"/>
      <c r="B18" s="78"/>
      <c r="C18" s="63"/>
      <c r="D18"/>
      <c r="E18"/>
      <c r="F18"/>
      <c r="G18"/>
      <c r="H18"/>
      <c r="I18" s="5"/>
      <c r="J18"/>
      <c r="K18"/>
      <c r="L18" s="32"/>
      <c r="M18" s="75"/>
      <c r="N18" s="75"/>
    </row>
    <row r="19" spans="1:14">
      <c r="A19" s="78">
        <f>+A17+1</f>
        <v>3</v>
      </c>
      <c r="B19" s="78"/>
      <c r="C19" s="63" t="s">
        <v>530</v>
      </c>
      <c r="D19" s="76" t="s">
        <v>437</v>
      </c>
      <c r="E19" s="856">
        <v>534000</v>
      </c>
      <c r="F19" s="32"/>
      <c r="G19" s="856">
        <v>268287</v>
      </c>
      <c r="H19" s="79"/>
      <c r="I19" s="137">
        <f>IF(G19="",0,(E19+G19)/2)</f>
        <v>401143.5</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765</v>
      </c>
      <c r="D21" s="76" t="s">
        <v>438</v>
      </c>
      <c r="E21" s="856">
        <v>0</v>
      </c>
      <c r="F21" s="32"/>
      <c r="G21" s="856">
        <v>0</v>
      </c>
      <c r="H21" s="79"/>
      <c r="I21" s="137">
        <f>IF(G21="",0,(E21+G21)/2)</f>
        <v>0</v>
      </c>
      <c r="J21" s="16"/>
      <c r="K21" s="84"/>
      <c r="L21" s="85"/>
      <c r="M21" s="75"/>
      <c r="N21" s="75"/>
    </row>
    <row r="22" spans="1:14" ht="13">
      <c r="A22" s="78"/>
      <c r="B22" s="78"/>
      <c r="C22" s="74"/>
      <c r="D22" s="80"/>
      <c r="E22" s="73"/>
      <c r="F22" s="73"/>
      <c r="G22" s="81"/>
      <c r="H22" s="79"/>
      <c r="I22" s="81"/>
      <c r="J22" s="16"/>
      <c r="K22" s="84"/>
      <c r="L22" s="85"/>
      <c r="M22" s="75"/>
      <c r="N22" s="75"/>
    </row>
    <row r="23" spans="1:14" ht="13">
      <c r="A23" s="188"/>
      <c r="B23" s="188"/>
      <c r="C23" s="189"/>
      <c r="D23" s="190"/>
      <c r="E23" s="191"/>
      <c r="F23" s="191"/>
      <c r="G23" s="192"/>
      <c r="H23" s="193"/>
      <c r="I23" s="192"/>
      <c r="J23" s="194"/>
      <c r="K23" s="195"/>
      <c r="L23" s="196"/>
      <c r="M23" s="75"/>
      <c r="N23" s="75"/>
    </row>
    <row r="24" spans="1:14" ht="18">
      <c r="A24" s="78"/>
      <c r="B24" s="1529" t="s">
        <v>764</v>
      </c>
      <c r="C24" s="1529"/>
      <c r="D24" s="1529"/>
      <c r="E24" s="1529"/>
      <c r="F24" s="1529"/>
      <c r="G24" s="1529"/>
      <c r="H24" s="1529"/>
      <c r="I24" s="1529"/>
      <c r="J24" s="1529"/>
      <c r="K24" s="1529"/>
      <c r="L24" s="85"/>
      <c r="M24" s="75"/>
      <c r="N24" s="75"/>
    </row>
    <row r="25" spans="1:14" ht="12.75" customHeight="1">
      <c r="A25" s="78"/>
      <c r="B25" s="150"/>
      <c r="C25" s="74"/>
      <c r="D25" s="26"/>
      <c r="E25" s="10"/>
      <c r="F25" s="72"/>
      <c r="G25" s="10" t="s">
        <v>88</v>
      </c>
      <c r="I25" s="8" t="s">
        <v>116</v>
      </c>
      <c r="J25" s="8" t="s">
        <v>116</v>
      </c>
      <c r="K25" s="8" t="s">
        <v>180</v>
      </c>
      <c r="L25" s="85"/>
      <c r="M25" s="75"/>
      <c r="N25" s="75"/>
    </row>
    <row r="26" spans="1:14" ht="12.75" customHeight="1">
      <c r="A26" s="78"/>
      <c r="B26" s="150"/>
      <c r="C26" s="74"/>
      <c r="D26" s="147" t="s">
        <v>502</v>
      </c>
      <c r="E26" s="8" t="s">
        <v>532</v>
      </c>
      <c r="F26" s="72"/>
      <c r="G26" s="8" t="s">
        <v>116</v>
      </c>
      <c r="I26" s="8" t="s">
        <v>524</v>
      </c>
      <c r="J26" s="8" t="s">
        <v>162</v>
      </c>
      <c r="K26" s="8" t="s">
        <v>181</v>
      </c>
      <c r="L26" s="85"/>
      <c r="M26" s="75"/>
      <c r="N26" s="75"/>
    </row>
    <row r="27" spans="1:14" ht="12.75" customHeight="1">
      <c r="A27" s="78">
        <f>+A21+1</f>
        <v>5</v>
      </c>
      <c r="B27" s="150"/>
      <c r="C27" s="74"/>
      <c r="D27" s="13" t="s">
        <v>89</v>
      </c>
      <c r="E27" s="13" t="s">
        <v>503</v>
      </c>
      <c r="F27" s="72"/>
      <c r="G27" s="13" t="s">
        <v>525</v>
      </c>
      <c r="I27" s="13" t="s">
        <v>525</v>
      </c>
      <c r="J27" s="13" t="s">
        <v>525</v>
      </c>
      <c r="K27" s="13" t="s">
        <v>526</v>
      </c>
      <c r="L27" s="85"/>
      <c r="M27" s="75"/>
      <c r="N27" s="75"/>
    </row>
    <row r="28" spans="1:14" ht="13">
      <c r="A28" s="78"/>
      <c r="B28" s="78"/>
      <c r="C28" s="74"/>
      <c r="D28" s="80"/>
      <c r="E28" s="73"/>
      <c r="F28" s="73"/>
      <c r="G28" s="81"/>
      <c r="H28" s="79"/>
      <c r="I28" s="81"/>
      <c r="J28" s="16"/>
      <c r="K28" s="219"/>
      <c r="L28" s="85"/>
      <c r="M28" s="75"/>
      <c r="N28" s="75"/>
    </row>
    <row r="29" spans="1:14">
      <c r="A29" s="78">
        <f>+A27+1</f>
        <v>6</v>
      </c>
      <c r="B29" s="78"/>
      <c r="C29" s="72" t="str">
        <f>"Totals as of December 31, "&amp;TCOS!L4&amp;""</f>
        <v>Totals as of December 31, 2019</v>
      </c>
      <c r="D29" s="151">
        <f>ROUND(D60,0)</f>
        <v>8894826</v>
      </c>
      <c r="E29" s="227">
        <f>ROUND(E60,0)</f>
        <v>-155413458</v>
      </c>
      <c r="F29" s="152"/>
      <c r="G29" s="151">
        <f>ROUND(G60,0)</f>
        <v>0</v>
      </c>
      <c r="H29" s="79"/>
      <c r="I29" s="151">
        <f>ROUND(I60,0)</f>
        <v>6457064</v>
      </c>
      <c r="J29" s="153">
        <f>+J60</f>
        <v>157851219.74000001</v>
      </c>
      <c r="K29" s="151">
        <f>ROUND(K60,0)</f>
        <v>164308284</v>
      </c>
      <c r="L29" s="85"/>
      <c r="M29" s="75"/>
      <c r="N29" s="75"/>
    </row>
    <row r="30" spans="1:14">
      <c r="A30" s="78">
        <f>+A29+1</f>
        <v>7</v>
      </c>
      <c r="B30" s="78"/>
      <c r="C30" s="72" t="str">
        <f>"Totals as of December 31, "&amp;TCOS!L4-1&amp;""</f>
        <v>Totals as of December 31, 2018</v>
      </c>
      <c r="D30" s="156">
        <f>IF(D90="","",D90)</f>
        <v>7619053.0679999962</v>
      </c>
      <c r="E30" s="228">
        <f>IF(E90="","",E90)</f>
        <v>-151101370.56999999</v>
      </c>
      <c r="F30" s="73"/>
      <c r="G30" s="156" t="str">
        <f>IF(G90="","",G90)</f>
        <v/>
      </c>
      <c r="H30" s="79"/>
      <c r="I30" s="156">
        <f>IF(I90="","",I90)</f>
        <v>4888722.6899999995</v>
      </c>
      <c r="J30" s="156">
        <f>IF(J90="","",J90)</f>
        <v>153831701.94800001</v>
      </c>
      <c r="K30" s="156">
        <f>IF(K90="","",K90)</f>
        <v>158720424.63800001</v>
      </c>
      <c r="L30" s="85"/>
      <c r="M30" s="75"/>
      <c r="N30" s="75"/>
    </row>
    <row r="31" spans="1:14" ht="13.5" thickBot="1">
      <c r="A31" s="78">
        <f>+A30+1</f>
        <v>8</v>
      </c>
      <c r="B31" s="78"/>
      <c r="C31" s="101" t="s">
        <v>214</v>
      </c>
      <c r="D31" s="157">
        <f>IF(D30="",0,(D29+D30)/2)</f>
        <v>8256939.5339999981</v>
      </c>
      <c r="E31" s="157">
        <f>IF(E30="",0,(E29+E30)/2)</f>
        <v>-153257414.285</v>
      </c>
      <c r="F31" s="158"/>
      <c r="G31" s="157">
        <f>IF(G30="",0,(G29+G30)/2)</f>
        <v>0</v>
      </c>
      <c r="H31" s="95"/>
      <c r="I31" s="157">
        <f>IF(I30="",0,(I29+I30)/2)</f>
        <v>5672893.3449999997</v>
      </c>
      <c r="J31" s="157">
        <f>IF(J30="",0,(J29+J30)/2)</f>
        <v>155841460.84400001</v>
      </c>
      <c r="K31" s="157">
        <f>IF(K30="",0,(K29+K30)/2)</f>
        <v>161514354.31900001</v>
      </c>
      <c r="L31" s="85"/>
      <c r="M31" s="75"/>
      <c r="N31" s="75"/>
    </row>
    <row r="32" spans="1:14" ht="13"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30" t="str">
        <f>"Prepayments Account 165 - Balance @ 12/31/"&amp;D36&amp;""</f>
        <v>Prepayments Account 165 - Balance @ 12/31/2019</v>
      </c>
      <c r="C34" s="1531"/>
      <c r="D34" s="1531"/>
      <c r="E34" s="1531"/>
      <c r="F34" s="1531"/>
      <c r="G34" s="1531"/>
      <c r="H34" s="1531"/>
      <c r="I34" s="1531"/>
      <c r="J34" s="1531"/>
      <c r="K34" s="84"/>
      <c r="L34" s="85"/>
      <c r="M34" s="75"/>
      <c r="N34" s="75"/>
    </row>
    <row r="35" spans="1:14" ht="13">
      <c r="A35" s="78"/>
      <c r="B35" s="143"/>
      <c r="C35" s="145"/>
      <c r="D35" s="26"/>
      <c r="E35" s="10"/>
      <c r="F35" s="72"/>
      <c r="G35" s="10" t="s">
        <v>88</v>
      </c>
      <c r="I35" s="8" t="s">
        <v>116</v>
      </c>
      <c r="J35" s="8" t="s">
        <v>116</v>
      </c>
      <c r="K35" s="8" t="s">
        <v>180</v>
      </c>
      <c r="L35"/>
      <c r="M35" s="75"/>
      <c r="N35" s="75"/>
    </row>
    <row r="36" spans="1:14" ht="13">
      <c r="A36" s="78"/>
      <c r="B36" s="143"/>
      <c r="C36" s="146"/>
      <c r="D36" s="147" t="str">
        <f>""&amp;TCOS!L4</f>
        <v>2019</v>
      </c>
      <c r="E36" s="8" t="s">
        <v>532</v>
      </c>
      <c r="F36" s="72"/>
      <c r="G36" s="8" t="s">
        <v>116</v>
      </c>
      <c r="I36" s="8" t="s">
        <v>524</v>
      </c>
      <c r="J36" s="8" t="s">
        <v>162</v>
      </c>
      <c r="K36" s="8" t="s">
        <v>181</v>
      </c>
      <c r="L36"/>
      <c r="M36" s="75"/>
      <c r="N36" s="75"/>
    </row>
    <row r="37" spans="1:14" ht="13">
      <c r="A37" s="78">
        <f>+A31+1</f>
        <v>9</v>
      </c>
      <c r="B37" s="13" t="s">
        <v>91</v>
      </c>
      <c r="C37" s="13" t="s">
        <v>168</v>
      </c>
      <c r="D37" s="13" t="s">
        <v>89</v>
      </c>
      <c r="E37" s="13" t="s">
        <v>503</v>
      </c>
      <c r="F37" s="72"/>
      <c r="G37" s="13" t="s">
        <v>525</v>
      </c>
      <c r="I37" s="13" t="s">
        <v>525</v>
      </c>
      <c r="J37" s="13" t="s">
        <v>525</v>
      </c>
      <c r="K37" s="13" t="s">
        <v>526</v>
      </c>
      <c r="L37" s="13" t="s">
        <v>40</v>
      </c>
      <c r="M37" s="75"/>
      <c r="N37" s="75"/>
    </row>
    <row r="38" spans="1:14" ht="13">
      <c r="A38" s="78"/>
      <c r="B38" s="143"/>
      <c r="C38" s="145"/>
      <c r="D38" s="145"/>
      <c r="E38" s="145"/>
      <c r="F38" s="72"/>
      <c r="G38" s="145"/>
      <c r="I38" s="145"/>
      <c r="J38" s="145"/>
      <c r="K38" s="219"/>
      <c r="L38"/>
      <c r="M38" s="75"/>
      <c r="N38" s="75"/>
    </row>
    <row r="39" spans="1:14" ht="14">
      <c r="A39" s="78">
        <f>+A37+1</f>
        <v>10</v>
      </c>
      <c r="B39" s="857" t="s">
        <v>879</v>
      </c>
      <c r="C39" s="858" t="s">
        <v>880</v>
      </c>
      <c r="D39" s="1263">
        <v>4241589.78</v>
      </c>
      <c r="E39" s="103">
        <f>+D39-K39</f>
        <v>0</v>
      </c>
      <c r="F39" s="72"/>
      <c r="G39" s="109"/>
      <c r="I39" s="109">
        <f>D39</f>
        <v>4241589.78</v>
      </c>
      <c r="J39" s="109"/>
      <c r="K39" s="109">
        <f t="shared" ref="K39:K46" si="0">+G39+I39+J39</f>
        <v>4241589.78</v>
      </c>
      <c r="L39" t="s">
        <v>533</v>
      </c>
      <c r="M39" s="75"/>
      <c r="N39" s="75"/>
    </row>
    <row r="40" spans="1:14" ht="14">
      <c r="A40" s="78">
        <f t="shared" ref="A40:A52" si="1">+A39+1</f>
        <v>11</v>
      </c>
      <c r="B40" s="1264">
        <v>165000218</v>
      </c>
      <c r="C40" s="858" t="s">
        <v>881</v>
      </c>
      <c r="D40" s="1263">
        <v>0</v>
      </c>
      <c r="E40" s="103">
        <f t="shared" ref="E40:E56" si="2">+D40-K40</f>
        <v>0</v>
      </c>
      <c r="F40" s="72"/>
      <c r="G40" s="109"/>
      <c r="I40" s="109"/>
      <c r="J40" s="109"/>
      <c r="K40" s="109">
        <f t="shared" si="0"/>
        <v>0</v>
      </c>
      <c r="L40" t="s">
        <v>115</v>
      </c>
      <c r="M40" s="75"/>
      <c r="N40" s="75"/>
    </row>
    <row r="41" spans="1:14" ht="14">
      <c r="A41" s="78">
        <f t="shared" si="1"/>
        <v>12</v>
      </c>
      <c r="B41" s="1264">
        <v>165000219</v>
      </c>
      <c r="C41" s="858" t="s">
        <v>881</v>
      </c>
      <c r="D41" s="1263">
        <v>703003.42</v>
      </c>
      <c r="E41" s="103">
        <f t="shared" si="2"/>
        <v>703003.42</v>
      </c>
      <c r="F41" s="72"/>
      <c r="G41" s="109"/>
      <c r="I41" s="109"/>
      <c r="J41" s="109"/>
      <c r="K41" s="109">
        <f t="shared" si="0"/>
        <v>0</v>
      </c>
      <c r="L41" t="s">
        <v>903</v>
      </c>
      <c r="M41" s="75"/>
      <c r="N41" s="75"/>
    </row>
    <row r="42" spans="1:14" ht="14">
      <c r="A42" s="78">
        <f t="shared" si="1"/>
        <v>13</v>
      </c>
      <c r="B42" s="857" t="s">
        <v>882</v>
      </c>
      <c r="C42" s="858" t="s">
        <v>883</v>
      </c>
      <c r="D42" s="1263">
        <v>5655</v>
      </c>
      <c r="E42" s="103">
        <f t="shared" si="2"/>
        <v>5655</v>
      </c>
      <c r="F42" s="72"/>
      <c r="G42" s="109"/>
      <c r="I42" s="109"/>
      <c r="J42" s="109"/>
      <c r="K42" s="109">
        <f t="shared" si="0"/>
        <v>0</v>
      </c>
      <c r="L42" t="s">
        <v>904</v>
      </c>
      <c r="M42" s="75"/>
      <c r="N42" s="75"/>
    </row>
    <row r="43" spans="1:14" ht="14">
      <c r="A43" s="78">
        <f t="shared" si="1"/>
        <v>14</v>
      </c>
      <c r="B43" s="857" t="s">
        <v>884</v>
      </c>
      <c r="C43" s="858" t="s">
        <v>885</v>
      </c>
      <c r="D43" s="1263">
        <v>0</v>
      </c>
      <c r="E43" s="103">
        <f t="shared" si="2"/>
        <v>0</v>
      </c>
      <c r="F43" s="72"/>
      <c r="G43" s="140"/>
      <c r="I43" s="140"/>
      <c r="J43" s="140"/>
      <c r="K43" s="140">
        <f t="shared" si="0"/>
        <v>0</v>
      </c>
      <c r="L43" s="21" t="s">
        <v>115</v>
      </c>
      <c r="M43" s="75"/>
      <c r="N43" s="75"/>
    </row>
    <row r="44" spans="1:14" ht="14">
      <c r="A44" s="78">
        <f t="shared" si="1"/>
        <v>15</v>
      </c>
      <c r="B44" s="857" t="s">
        <v>886</v>
      </c>
      <c r="C44" s="858" t="s">
        <v>887</v>
      </c>
      <c r="D44" s="1263">
        <v>946820.54</v>
      </c>
      <c r="E44" s="103">
        <f t="shared" si="2"/>
        <v>946820.54</v>
      </c>
      <c r="F44" s="72"/>
      <c r="G44" s="109"/>
      <c r="I44" s="109"/>
      <c r="J44" s="109"/>
      <c r="K44" s="140">
        <f t="shared" si="0"/>
        <v>0</v>
      </c>
      <c r="L44" s="21" t="s">
        <v>905</v>
      </c>
      <c r="M44" s="75"/>
      <c r="N44" s="75"/>
    </row>
    <row r="45" spans="1:14" ht="14">
      <c r="A45" s="78">
        <f t="shared" si="1"/>
        <v>16</v>
      </c>
      <c r="B45" s="857" t="s">
        <v>888</v>
      </c>
      <c r="C45" s="858" t="s">
        <v>889</v>
      </c>
      <c r="D45" s="1263">
        <v>155736.48000000001</v>
      </c>
      <c r="E45" s="103">
        <f t="shared" si="2"/>
        <v>155736.48000000001</v>
      </c>
      <c r="F45" s="72"/>
      <c r="G45" s="109"/>
      <c r="I45" s="109"/>
      <c r="J45" s="109"/>
      <c r="K45" s="140">
        <v>0</v>
      </c>
      <c r="L45" s="21" t="s">
        <v>906</v>
      </c>
      <c r="M45" s="75"/>
      <c r="N45" s="75"/>
    </row>
    <row r="46" spans="1:14" ht="14">
      <c r="A46" s="78">
        <f t="shared" si="1"/>
        <v>17</v>
      </c>
      <c r="B46" s="857" t="s">
        <v>890</v>
      </c>
      <c r="C46" s="858" t="s">
        <v>891</v>
      </c>
      <c r="D46" s="1263">
        <v>90682907.829999998</v>
      </c>
      <c r="E46" s="103">
        <f t="shared" si="2"/>
        <v>0</v>
      </c>
      <c r="F46" s="72"/>
      <c r="G46" s="109"/>
      <c r="I46" s="109"/>
      <c r="J46" s="109">
        <f>D46</f>
        <v>90682907.829999998</v>
      </c>
      <c r="K46" s="140">
        <f t="shared" si="0"/>
        <v>90682907.829999998</v>
      </c>
      <c r="L46" s="5" t="s">
        <v>527</v>
      </c>
      <c r="M46" s="75"/>
      <c r="N46" s="75"/>
    </row>
    <row r="47" spans="1:14" ht="14">
      <c r="A47" s="78">
        <f t="shared" si="1"/>
        <v>18</v>
      </c>
      <c r="B47" s="857" t="s">
        <v>892</v>
      </c>
      <c r="C47" s="858" t="s">
        <v>893</v>
      </c>
      <c r="D47" s="1263">
        <v>-90682907.829999998</v>
      </c>
      <c r="E47" s="103">
        <f t="shared" si="2"/>
        <v>-90682907.829999998</v>
      </c>
      <c r="F47" s="72"/>
      <c r="G47" s="140"/>
      <c r="I47" s="140"/>
      <c r="J47" s="140"/>
      <c r="K47" s="140">
        <f t="shared" ref="K47:K54" si="3">+G47+I47+J47</f>
        <v>0</v>
      </c>
      <c r="L47" s="21" t="s">
        <v>31</v>
      </c>
      <c r="M47" s="75"/>
      <c r="N47" s="75"/>
    </row>
    <row r="48" spans="1:14" ht="14">
      <c r="A48" s="78">
        <f t="shared" si="1"/>
        <v>19</v>
      </c>
      <c r="B48" s="860">
        <v>165001119</v>
      </c>
      <c r="C48" s="858" t="s">
        <v>894</v>
      </c>
      <c r="D48" s="1263">
        <v>552871.69999999995</v>
      </c>
      <c r="E48" s="103">
        <f t="shared" si="2"/>
        <v>552871.69999999995</v>
      </c>
      <c r="F48" s="72"/>
      <c r="G48" s="140"/>
      <c r="I48" s="140"/>
      <c r="J48" s="140"/>
      <c r="K48" s="140">
        <f t="shared" si="3"/>
        <v>0</v>
      </c>
      <c r="L48" s="1265" t="s">
        <v>907</v>
      </c>
      <c r="M48" s="75"/>
      <c r="N48" s="75"/>
    </row>
    <row r="49" spans="1:15" ht="14">
      <c r="A49" s="78">
        <f t="shared" si="1"/>
        <v>20</v>
      </c>
      <c r="B49" s="860">
        <v>165001219</v>
      </c>
      <c r="C49" s="858" t="s">
        <v>895</v>
      </c>
      <c r="D49" s="1263">
        <v>73674.64</v>
      </c>
      <c r="E49" s="103">
        <f t="shared" si="2"/>
        <v>73674.64</v>
      </c>
      <c r="F49" s="72"/>
      <c r="G49" s="140"/>
      <c r="I49" s="140"/>
      <c r="J49" s="140"/>
      <c r="K49" s="140">
        <f t="shared" si="3"/>
        <v>0</v>
      </c>
      <c r="L49" s="1265" t="s">
        <v>908</v>
      </c>
      <c r="M49" s="75"/>
      <c r="N49" s="75"/>
    </row>
    <row r="50" spans="1:15" ht="14">
      <c r="A50" s="78">
        <f t="shared" si="1"/>
        <v>21</v>
      </c>
      <c r="B50" s="860">
        <v>1650021</v>
      </c>
      <c r="C50" s="858" t="s">
        <v>896</v>
      </c>
      <c r="D50" s="1263">
        <v>1856751.43</v>
      </c>
      <c r="E50" s="103">
        <f t="shared" si="2"/>
        <v>0</v>
      </c>
      <c r="F50" s="72"/>
      <c r="G50" s="140"/>
      <c r="I50" s="140">
        <f>D50</f>
        <v>1856751.43</v>
      </c>
      <c r="J50" s="140"/>
      <c r="K50" s="140">
        <f t="shared" si="3"/>
        <v>1856751.43</v>
      </c>
      <c r="L50" s="1265" t="s">
        <v>909</v>
      </c>
      <c r="M50" s="75"/>
      <c r="N50" s="75"/>
    </row>
    <row r="51" spans="1:15" ht="14">
      <c r="A51" s="78">
        <f t="shared" si="1"/>
        <v>22</v>
      </c>
      <c r="B51" s="860">
        <v>1650022</v>
      </c>
      <c r="C51" s="858" t="s">
        <v>897</v>
      </c>
      <c r="D51" s="1263">
        <v>0</v>
      </c>
      <c r="E51" s="103">
        <f t="shared" si="2"/>
        <v>0</v>
      </c>
      <c r="F51" s="72"/>
      <c r="G51" s="140"/>
      <c r="I51" s="140"/>
      <c r="J51" s="140"/>
      <c r="K51" s="140">
        <f t="shared" si="3"/>
        <v>0</v>
      </c>
      <c r="M51" s="75"/>
      <c r="N51" s="75"/>
    </row>
    <row r="52" spans="1:15" ht="14">
      <c r="A52" s="78">
        <f t="shared" si="1"/>
        <v>23</v>
      </c>
      <c r="B52" s="860">
        <v>1650023</v>
      </c>
      <c r="C52" s="858" t="s">
        <v>898</v>
      </c>
      <c r="D52" s="1263">
        <v>358722.71</v>
      </c>
      <c r="E52" s="103">
        <f t="shared" si="2"/>
        <v>0</v>
      </c>
      <c r="F52" s="72"/>
      <c r="G52" s="140"/>
      <c r="I52" s="140">
        <f>D52</f>
        <v>358722.71</v>
      </c>
      <c r="J52" s="140"/>
      <c r="K52" s="140">
        <f t="shared" si="3"/>
        <v>358722.71</v>
      </c>
      <c r="L52" s="1265" t="s">
        <v>1006</v>
      </c>
      <c r="M52" s="75"/>
      <c r="N52" s="75"/>
    </row>
    <row r="53" spans="1:15" ht="14">
      <c r="A53" s="78">
        <f t="shared" ref="A53:A59" si="4">A52+1</f>
        <v>24</v>
      </c>
      <c r="B53" s="860">
        <v>1650026</v>
      </c>
      <c r="C53" s="858" t="s">
        <v>899</v>
      </c>
      <c r="D53" s="1263">
        <v>0</v>
      </c>
      <c r="E53" s="103">
        <f t="shared" si="2"/>
        <v>0</v>
      </c>
      <c r="F53" s="72"/>
      <c r="G53" s="140"/>
      <c r="I53" s="140"/>
      <c r="J53" s="140"/>
      <c r="K53" s="140">
        <f t="shared" si="3"/>
        <v>0</v>
      </c>
      <c r="L53" s="5"/>
      <c r="M53" s="75"/>
      <c r="N53" s="75"/>
    </row>
    <row r="54" spans="1:15" ht="14">
      <c r="A54" s="78">
        <f t="shared" si="4"/>
        <v>25</v>
      </c>
      <c r="B54" s="860">
        <v>1650030</v>
      </c>
      <c r="C54" s="858" t="s">
        <v>900</v>
      </c>
      <c r="D54" s="1263">
        <v>0</v>
      </c>
      <c r="E54" s="103">
        <f t="shared" si="2"/>
        <v>0</v>
      </c>
      <c r="F54" s="72"/>
      <c r="G54" s="109"/>
      <c r="I54" s="109"/>
      <c r="J54" s="109"/>
      <c r="K54" s="140">
        <f t="shared" si="3"/>
        <v>0</v>
      </c>
      <c r="L54" s="1319" t="s">
        <v>1005</v>
      </c>
      <c r="M54" s="75"/>
      <c r="N54" s="75"/>
    </row>
    <row r="55" spans="1:15" ht="14">
      <c r="A55" s="78">
        <f t="shared" si="4"/>
        <v>26</v>
      </c>
      <c r="B55" s="860">
        <v>1650035</v>
      </c>
      <c r="C55" s="858" t="s">
        <v>901</v>
      </c>
      <c r="D55" s="1263">
        <v>67168311.909999996</v>
      </c>
      <c r="E55" s="103">
        <f t="shared" si="2"/>
        <v>0</v>
      </c>
      <c r="F55" s="72"/>
      <c r="G55" s="109"/>
      <c r="I55" s="109"/>
      <c r="J55" s="109">
        <f>D55</f>
        <v>67168311.909999996</v>
      </c>
      <c r="K55" s="140">
        <f>J55</f>
        <v>67168311.909999996</v>
      </c>
      <c r="L55" s="5" t="s">
        <v>910</v>
      </c>
      <c r="M55" s="75"/>
      <c r="N55" s="75"/>
    </row>
    <row r="56" spans="1:15" ht="14">
      <c r="A56" s="78">
        <f t="shared" si="4"/>
        <v>27</v>
      </c>
      <c r="B56" s="860">
        <v>1650037</v>
      </c>
      <c r="C56" s="858" t="s">
        <v>902</v>
      </c>
      <c r="D56" s="1263">
        <v>-67168311.900000006</v>
      </c>
      <c r="E56" s="103">
        <f t="shared" si="2"/>
        <v>-67168311.900000006</v>
      </c>
      <c r="F56" s="72"/>
      <c r="G56" s="109"/>
      <c r="I56" s="109"/>
      <c r="J56" s="109"/>
      <c r="K56" s="140">
        <f>J56</f>
        <v>0</v>
      </c>
      <c r="L56" s="21" t="s">
        <v>31</v>
      </c>
      <c r="M56" s="75"/>
      <c r="N56" s="75"/>
    </row>
    <row r="57" spans="1:15" ht="14">
      <c r="A57" s="78">
        <f t="shared" si="4"/>
        <v>28</v>
      </c>
      <c r="B57" s="860"/>
      <c r="C57" s="858"/>
      <c r="D57" s="859"/>
      <c r="E57" s="140"/>
      <c r="F57" s="72"/>
      <c r="G57" s="109"/>
      <c r="I57" s="109"/>
      <c r="J57" s="109"/>
      <c r="K57" s="140"/>
      <c r="L57" s="21" t="s">
        <v>115</v>
      </c>
      <c r="M57" s="75"/>
      <c r="N57" s="75"/>
    </row>
    <row r="58" spans="1:15" ht="14">
      <c r="A58" s="78">
        <f t="shared" si="4"/>
        <v>29</v>
      </c>
      <c r="B58" s="860"/>
      <c r="C58" s="858"/>
      <c r="D58" s="859"/>
      <c r="E58" s="140"/>
      <c r="F58" s="72"/>
      <c r="G58" s="109"/>
      <c r="I58" s="109"/>
      <c r="J58" s="109"/>
      <c r="K58" s="140"/>
      <c r="L58" s="21" t="s">
        <v>115</v>
      </c>
      <c r="M58" s="75"/>
      <c r="N58" s="75"/>
    </row>
    <row r="59" spans="1:15" ht="14.5" thickBot="1">
      <c r="A59" s="78">
        <f t="shared" si="4"/>
        <v>30</v>
      </c>
      <c r="B59" s="860"/>
      <c r="C59" s="858"/>
      <c r="D59" s="859"/>
      <c r="E59" s="140"/>
      <c r="F59" s="72"/>
      <c r="G59" s="109"/>
      <c r="I59" s="109"/>
      <c r="J59" s="109"/>
      <c r="K59" s="140"/>
      <c r="M59" s="75"/>
      <c r="N59" s="75"/>
    </row>
    <row r="60" spans="1:15" ht="14">
      <c r="A60" s="78"/>
      <c r="B60" s="143"/>
      <c r="C60" s="35" t="s">
        <v>504</v>
      </c>
      <c r="D60" s="861">
        <f>SUM(D39:D59)</f>
        <v>8894825.7099999934</v>
      </c>
      <c r="E60" s="226">
        <f>SUM(E39:E59)</f>
        <v>-155413457.94999999</v>
      </c>
      <c r="F60" s="72"/>
      <c r="G60" s="148">
        <f>SUM(G39:G59)</f>
        <v>0</v>
      </c>
      <c r="I60" s="148">
        <f>SUM(I39:I59)</f>
        <v>6457063.9199999999</v>
      </c>
      <c r="J60" s="148">
        <f>SUM(J39:J59)</f>
        <v>157851219.74000001</v>
      </c>
      <c r="K60" s="148">
        <f>SUM(K39:K59)</f>
        <v>164308283.66</v>
      </c>
      <c r="L60"/>
      <c r="M60" s="75"/>
      <c r="N60" s="75"/>
    </row>
    <row r="61" spans="1:15">
      <c r="A61" s="78"/>
      <c r="K61" s="149"/>
      <c r="L61"/>
      <c r="M61" s="75"/>
      <c r="N61" s="75"/>
    </row>
    <row r="62" spans="1:15">
      <c r="A62" s="78"/>
      <c r="B62"/>
      <c r="C62"/>
      <c r="D62"/>
      <c r="E62"/>
      <c r="F62"/>
      <c r="G62"/>
      <c r="H62"/>
      <c r="I62"/>
      <c r="J62"/>
      <c r="K62"/>
      <c r="L62"/>
      <c r="M62" s="21"/>
      <c r="N62" s="21"/>
      <c r="O62"/>
    </row>
    <row r="63" spans="1:15" ht="18">
      <c r="A63" s="78"/>
      <c r="B63" s="1530" t="str">
        <f>"Prepayments Account 165 - Balance @ 12/31/ "&amp;D65&amp;""</f>
        <v>Prepayments Account 165 - Balance @ 12/31/ 2018</v>
      </c>
      <c r="C63" s="1530"/>
      <c r="D63" s="1530"/>
      <c r="E63" s="1530"/>
      <c r="F63" s="1530"/>
      <c r="G63" s="1530"/>
      <c r="H63" s="1530"/>
      <c r="I63" s="1530"/>
      <c r="J63" s="1530"/>
      <c r="K63" s="84"/>
      <c r="L63" s="85"/>
      <c r="M63" s="75"/>
      <c r="N63" s="21"/>
      <c r="O63"/>
    </row>
    <row r="64" spans="1:15" ht="13">
      <c r="A64" s="78"/>
      <c r="B64" s="239"/>
      <c r="C64" s="240"/>
      <c r="D64" s="241"/>
      <c r="E64" s="10"/>
      <c r="F64" s="72"/>
      <c r="G64" s="10" t="s">
        <v>88</v>
      </c>
      <c r="I64" s="8" t="s">
        <v>116</v>
      </c>
      <c r="J64" s="8" t="s">
        <v>116</v>
      </c>
      <c r="K64" s="8" t="s">
        <v>180</v>
      </c>
      <c r="L64"/>
      <c r="M64" s="75"/>
      <c r="N64" s="21"/>
      <c r="O64"/>
    </row>
    <row r="65" spans="1:15" ht="13">
      <c r="A65" s="78"/>
      <c r="B65" s="239"/>
      <c r="C65" s="242"/>
      <c r="D65" s="8" t="str">
        <f>""&amp;TCOS!L4-1</f>
        <v>2018</v>
      </c>
      <c r="E65" s="8" t="s">
        <v>532</v>
      </c>
      <c r="F65" s="72"/>
      <c r="G65" s="8" t="s">
        <v>116</v>
      </c>
      <c r="I65" s="8" t="s">
        <v>524</v>
      </c>
      <c r="J65" s="8" t="s">
        <v>162</v>
      </c>
      <c r="K65" s="8" t="s">
        <v>181</v>
      </c>
      <c r="L65"/>
      <c r="M65" s="75"/>
      <c r="N65" s="21"/>
      <c r="O65"/>
    </row>
    <row r="66" spans="1:15" ht="13">
      <c r="A66" s="78">
        <f>A59+1</f>
        <v>31</v>
      </c>
      <c r="B66" s="13" t="s">
        <v>91</v>
      </c>
      <c r="C66" s="13" t="s">
        <v>168</v>
      </c>
      <c r="D66" s="13" t="s">
        <v>89</v>
      </c>
      <c r="E66" s="13" t="s">
        <v>503</v>
      </c>
      <c r="F66" s="72"/>
      <c r="G66" s="13" t="s">
        <v>525</v>
      </c>
      <c r="I66" s="13" t="s">
        <v>525</v>
      </c>
      <c r="J66" s="13" t="s">
        <v>525</v>
      </c>
      <c r="K66" s="13" t="s">
        <v>526</v>
      </c>
      <c r="L66" s="13" t="s">
        <v>40</v>
      </c>
      <c r="M66" s="75"/>
      <c r="N66" s="21"/>
      <c r="O66"/>
    </row>
    <row r="67" spans="1:15">
      <c r="A67" s="78"/>
      <c r="B67" s="143"/>
      <c r="C67" s="145"/>
      <c r="D67" s="145"/>
      <c r="E67" s="145"/>
      <c r="F67" s="72"/>
      <c r="G67" s="145"/>
      <c r="I67" s="145"/>
      <c r="J67" s="145"/>
      <c r="K67" s="145"/>
      <c r="L67"/>
      <c r="M67" s="75"/>
      <c r="N67" s="21"/>
      <c r="O67"/>
    </row>
    <row r="68" spans="1:15" ht="14">
      <c r="A68" s="78">
        <f>+A66+1</f>
        <v>32</v>
      </c>
      <c r="B68" s="857" t="s">
        <v>879</v>
      </c>
      <c r="C68" s="858" t="s">
        <v>880</v>
      </c>
      <c r="D68" s="1263">
        <v>3059009.548</v>
      </c>
      <c r="E68" s="103">
        <f>+D68-K68</f>
        <v>0</v>
      </c>
      <c r="F68" s="72"/>
      <c r="G68" s="109"/>
      <c r="I68" s="109">
        <f>D68</f>
        <v>3059009.548</v>
      </c>
      <c r="J68" s="109"/>
      <c r="K68" s="109">
        <f t="shared" ref="K68:K73" si="5">+G68+I68+J68</f>
        <v>3059009.548</v>
      </c>
      <c r="L68" t="s">
        <v>533</v>
      </c>
      <c r="M68" s="75"/>
      <c r="N68" s="21"/>
      <c r="O68"/>
    </row>
    <row r="69" spans="1:15" ht="14">
      <c r="A69" s="78">
        <f t="shared" ref="A69:A88" si="6">+A68+1</f>
        <v>33</v>
      </c>
      <c r="B69" s="1264">
        <v>165000217</v>
      </c>
      <c r="C69" s="858" t="s">
        <v>881</v>
      </c>
      <c r="D69" s="1263">
        <v>0</v>
      </c>
      <c r="E69" s="103">
        <f t="shared" ref="E69:E85" si="7">+D69-K69</f>
        <v>0</v>
      </c>
      <c r="F69" s="72"/>
      <c r="G69" s="109"/>
      <c r="I69" s="109"/>
      <c r="J69" s="109"/>
      <c r="K69" s="109">
        <f t="shared" si="5"/>
        <v>0</v>
      </c>
      <c r="L69" t="s">
        <v>115</v>
      </c>
      <c r="M69" s="75"/>
      <c r="N69" s="21"/>
      <c r="O69"/>
    </row>
    <row r="70" spans="1:15" ht="14">
      <c r="A70" s="78">
        <f t="shared" si="6"/>
        <v>34</v>
      </c>
      <c r="B70" s="1264">
        <v>165000218</v>
      </c>
      <c r="C70" s="858" t="s">
        <v>881</v>
      </c>
      <c r="D70" s="1263">
        <v>608836.86</v>
      </c>
      <c r="E70" s="103">
        <f t="shared" si="7"/>
        <v>608836.86</v>
      </c>
      <c r="F70" s="72"/>
      <c r="G70" s="109"/>
      <c r="I70" s="109"/>
      <c r="J70" s="109"/>
      <c r="K70" s="109">
        <f t="shared" si="5"/>
        <v>0</v>
      </c>
      <c r="L70" t="s">
        <v>903</v>
      </c>
      <c r="M70" s="75"/>
      <c r="N70" s="21"/>
      <c r="O70"/>
    </row>
    <row r="71" spans="1:15" ht="14">
      <c r="A71" s="78">
        <f t="shared" si="6"/>
        <v>35</v>
      </c>
      <c r="B71" s="857" t="s">
        <v>882</v>
      </c>
      <c r="C71" s="858" t="s">
        <v>883</v>
      </c>
      <c r="D71" s="1263">
        <v>5655</v>
      </c>
      <c r="E71" s="103">
        <f t="shared" si="7"/>
        <v>5655</v>
      </c>
      <c r="F71" s="72"/>
      <c r="G71" s="109"/>
      <c r="I71" s="109"/>
      <c r="J71" s="109"/>
      <c r="K71" s="109">
        <f t="shared" si="5"/>
        <v>0</v>
      </c>
      <c r="L71" t="s">
        <v>904</v>
      </c>
      <c r="M71" s="75"/>
      <c r="N71" s="21"/>
      <c r="O71"/>
    </row>
    <row r="72" spans="1:15" ht="14">
      <c r="A72" s="78">
        <f t="shared" si="6"/>
        <v>36</v>
      </c>
      <c r="B72" s="857" t="s">
        <v>884</v>
      </c>
      <c r="C72" s="858" t="s">
        <v>885</v>
      </c>
      <c r="D72" s="1263">
        <v>0</v>
      </c>
      <c r="E72" s="103">
        <f t="shared" si="7"/>
        <v>0</v>
      </c>
      <c r="F72" s="72"/>
      <c r="G72" s="140"/>
      <c r="I72" s="140"/>
      <c r="J72" s="140"/>
      <c r="K72" s="140">
        <f t="shared" si="5"/>
        <v>0</v>
      </c>
      <c r="L72" s="21" t="s">
        <v>115</v>
      </c>
      <c r="M72" s="75"/>
      <c r="N72" s="21"/>
      <c r="O72"/>
    </row>
    <row r="73" spans="1:15" ht="14">
      <c r="A73" s="78">
        <f t="shared" si="6"/>
        <v>37</v>
      </c>
      <c r="B73" s="857" t="s">
        <v>886</v>
      </c>
      <c r="C73" s="858" t="s">
        <v>887</v>
      </c>
      <c r="D73" s="1263">
        <v>1145322.69</v>
      </c>
      <c r="E73" s="103">
        <f t="shared" si="7"/>
        <v>1145322.69</v>
      </c>
      <c r="F73" s="72"/>
      <c r="G73" s="109"/>
      <c r="I73" s="109"/>
      <c r="J73" s="109"/>
      <c r="K73" s="140">
        <f t="shared" si="5"/>
        <v>0</v>
      </c>
      <c r="L73" s="21" t="s">
        <v>905</v>
      </c>
      <c r="M73" s="75"/>
      <c r="N73" s="21"/>
      <c r="O73"/>
    </row>
    <row r="74" spans="1:15" ht="14">
      <c r="A74" s="78">
        <f t="shared" si="6"/>
        <v>38</v>
      </c>
      <c r="B74" s="857" t="s">
        <v>888</v>
      </c>
      <c r="C74" s="858" t="s">
        <v>889</v>
      </c>
      <c r="D74" s="1263">
        <v>176305.43</v>
      </c>
      <c r="E74" s="103">
        <f t="shared" si="7"/>
        <v>176305.43</v>
      </c>
      <c r="F74" s="72"/>
      <c r="G74" s="109"/>
      <c r="I74" s="109"/>
      <c r="J74" s="109"/>
      <c r="K74" s="140">
        <v>0</v>
      </c>
      <c r="L74" s="21" t="s">
        <v>906</v>
      </c>
      <c r="M74" s="75"/>
      <c r="N74" s="21"/>
      <c r="O74"/>
    </row>
    <row r="75" spans="1:15" ht="14">
      <c r="A75" s="78">
        <f t="shared" si="6"/>
        <v>39</v>
      </c>
      <c r="B75" s="857" t="s">
        <v>890</v>
      </c>
      <c r="C75" s="858" t="s">
        <v>891</v>
      </c>
      <c r="D75" s="1263">
        <v>97553895.890000001</v>
      </c>
      <c r="E75" s="103">
        <f t="shared" si="7"/>
        <v>0</v>
      </c>
      <c r="F75" s="72"/>
      <c r="G75" s="109"/>
      <c r="I75" s="109"/>
      <c r="J75" s="109">
        <f>D75</f>
        <v>97553895.890000001</v>
      </c>
      <c r="K75" s="140">
        <f t="shared" ref="K75:K83" si="8">+G75+I75+J75</f>
        <v>97553895.890000001</v>
      </c>
      <c r="L75" s="5" t="s">
        <v>527</v>
      </c>
      <c r="M75" s="75"/>
      <c r="N75" s="21"/>
      <c r="O75"/>
    </row>
    <row r="76" spans="1:15" ht="14">
      <c r="A76" s="78">
        <f t="shared" si="6"/>
        <v>40</v>
      </c>
      <c r="B76" s="857" t="s">
        <v>892</v>
      </c>
      <c r="C76" s="858" t="s">
        <v>893</v>
      </c>
      <c r="D76" s="1263">
        <v>-97553895.890000001</v>
      </c>
      <c r="E76" s="103">
        <f t="shared" si="7"/>
        <v>-97553895.890000001</v>
      </c>
      <c r="F76" s="72"/>
      <c r="G76" s="140"/>
      <c r="I76" s="140"/>
      <c r="J76" s="140"/>
      <c r="K76" s="140">
        <f t="shared" si="8"/>
        <v>0</v>
      </c>
      <c r="L76" s="21" t="s">
        <v>31</v>
      </c>
      <c r="M76" s="75"/>
      <c r="N76" s="21"/>
      <c r="O76"/>
    </row>
    <row r="77" spans="1:15" ht="14">
      <c r="A77" s="78">
        <f t="shared" si="6"/>
        <v>41</v>
      </c>
      <c r="B77" s="860">
        <v>165001118</v>
      </c>
      <c r="C77" s="858" t="s">
        <v>894</v>
      </c>
      <c r="D77" s="1263">
        <v>576959.93000000005</v>
      </c>
      <c r="E77" s="103">
        <f t="shared" si="7"/>
        <v>576959.93000000005</v>
      </c>
      <c r="F77" s="72"/>
      <c r="G77" s="140"/>
      <c r="I77" s="140"/>
      <c r="J77" s="140"/>
      <c r="K77" s="140">
        <f t="shared" si="8"/>
        <v>0</v>
      </c>
      <c r="L77" s="1265" t="s">
        <v>907</v>
      </c>
      <c r="M77" s="75"/>
      <c r="N77" s="21"/>
      <c r="O77"/>
    </row>
    <row r="78" spans="1:15" ht="14">
      <c r="A78" s="78">
        <f t="shared" si="6"/>
        <v>42</v>
      </c>
      <c r="B78" s="860">
        <v>165001218</v>
      </c>
      <c r="C78" s="858" t="s">
        <v>895</v>
      </c>
      <c r="D78" s="1263">
        <v>75397.990000000005</v>
      </c>
      <c r="E78" s="103">
        <f t="shared" si="7"/>
        <v>75397.990000000005</v>
      </c>
      <c r="F78" s="72"/>
      <c r="G78" s="140"/>
      <c r="I78" s="140"/>
      <c r="J78" s="140"/>
      <c r="K78" s="140">
        <f t="shared" si="8"/>
        <v>0</v>
      </c>
      <c r="L78" s="1265" t="s">
        <v>908</v>
      </c>
      <c r="M78" s="75"/>
      <c r="N78" s="21"/>
      <c r="O78"/>
    </row>
    <row r="79" spans="1:15" ht="14">
      <c r="A79" s="78">
        <f t="shared" si="6"/>
        <v>43</v>
      </c>
      <c r="B79" s="860">
        <v>1650021</v>
      </c>
      <c r="C79" s="858" t="s">
        <v>896</v>
      </c>
      <c r="D79" s="1263">
        <v>1547247.4500000002</v>
      </c>
      <c r="E79" s="103">
        <f t="shared" si="7"/>
        <v>0</v>
      </c>
      <c r="F79" s="72"/>
      <c r="G79" s="140"/>
      <c r="I79" s="140">
        <f>D79</f>
        <v>1547247.4500000002</v>
      </c>
      <c r="J79" s="140"/>
      <c r="K79" s="140">
        <f t="shared" si="8"/>
        <v>1547247.4500000002</v>
      </c>
      <c r="L79" s="1265" t="s">
        <v>909</v>
      </c>
      <c r="M79" s="75"/>
      <c r="N79" s="21"/>
      <c r="O79"/>
    </row>
    <row r="80" spans="1:15" ht="14">
      <c r="A80" s="78">
        <f t="shared" si="6"/>
        <v>44</v>
      </c>
      <c r="B80" s="860">
        <v>1650022</v>
      </c>
      <c r="C80" s="858" t="s">
        <v>897</v>
      </c>
      <c r="D80" s="1263">
        <v>0</v>
      </c>
      <c r="E80" s="103">
        <f t="shared" si="7"/>
        <v>0</v>
      </c>
      <c r="F80" s="72"/>
      <c r="G80" s="140"/>
      <c r="I80" s="140"/>
      <c r="J80" s="140"/>
      <c r="K80" s="140">
        <f t="shared" si="8"/>
        <v>0</v>
      </c>
      <c r="M80" s="75"/>
      <c r="N80" s="21"/>
      <c r="O80"/>
    </row>
    <row r="81" spans="1:15" ht="14">
      <c r="A81" s="78">
        <f t="shared" si="6"/>
        <v>45</v>
      </c>
      <c r="B81" s="860">
        <v>1650023</v>
      </c>
      <c r="C81" s="858" t="s">
        <v>898</v>
      </c>
      <c r="D81" s="1263">
        <v>282465.69199999998</v>
      </c>
      <c r="E81" s="103">
        <f t="shared" si="7"/>
        <v>0</v>
      </c>
      <c r="F81" s="72"/>
      <c r="G81" s="140"/>
      <c r="I81" s="140">
        <f>D81</f>
        <v>282465.69199999998</v>
      </c>
      <c r="J81" s="140"/>
      <c r="K81" s="140">
        <f t="shared" si="8"/>
        <v>282465.69199999998</v>
      </c>
      <c r="L81" s="1265" t="s">
        <v>1006</v>
      </c>
      <c r="M81" s="75"/>
      <c r="N81" s="21"/>
      <c r="O81"/>
    </row>
    <row r="82" spans="1:15" ht="14">
      <c r="A82" s="78">
        <f t="shared" si="6"/>
        <v>46</v>
      </c>
      <c r="B82" s="860">
        <v>1650026</v>
      </c>
      <c r="C82" s="858" t="s">
        <v>899</v>
      </c>
      <c r="D82" s="1263">
        <v>0</v>
      </c>
      <c r="E82" s="103">
        <f t="shared" si="7"/>
        <v>0</v>
      </c>
      <c r="F82" s="72"/>
      <c r="G82" s="140"/>
      <c r="I82" s="140"/>
      <c r="J82" s="140"/>
      <c r="K82" s="140">
        <f t="shared" si="8"/>
        <v>0</v>
      </c>
      <c r="L82" s="5"/>
      <c r="M82" s="75"/>
      <c r="N82" s="21"/>
      <c r="O82"/>
    </row>
    <row r="83" spans="1:15" ht="14">
      <c r="A83" s="78">
        <f t="shared" si="6"/>
        <v>47</v>
      </c>
      <c r="B83" s="860">
        <v>1650030</v>
      </c>
      <c r="C83" s="858" t="s">
        <v>900</v>
      </c>
      <c r="D83" s="1263">
        <v>141853.47</v>
      </c>
      <c r="E83" s="103">
        <f t="shared" si="7"/>
        <v>141853.47</v>
      </c>
      <c r="F83" s="72"/>
      <c r="G83" s="109"/>
      <c r="I83" s="109"/>
      <c r="J83" s="109"/>
      <c r="K83" s="140">
        <f t="shared" si="8"/>
        <v>0</v>
      </c>
      <c r="L83" s="1319" t="s">
        <v>1005</v>
      </c>
      <c r="M83" s="75"/>
      <c r="N83" s="21"/>
      <c r="O83"/>
    </row>
    <row r="84" spans="1:15" ht="14">
      <c r="A84" s="78">
        <f t="shared" si="6"/>
        <v>48</v>
      </c>
      <c r="B84" s="860">
        <v>1650035</v>
      </c>
      <c r="C84" s="858" t="s">
        <v>901</v>
      </c>
      <c r="D84" s="1263">
        <v>56277806.057999998</v>
      </c>
      <c r="E84" s="103">
        <f t="shared" si="7"/>
        <v>0</v>
      </c>
      <c r="F84" s="72"/>
      <c r="G84" s="109"/>
      <c r="I84" s="109"/>
      <c r="J84" s="109">
        <f>D84</f>
        <v>56277806.057999998</v>
      </c>
      <c r="K84" s="140">
        <f>J84</f>
        <v>56277806.057999998</v>
      </c>
      <c r="L84" s="5" t="s">
        <v>910</v>
      </c>
      <c r="M84" s="75"/>
      <c r="N84" s="21"/>
      <c r="O84"/>
    </row>
    <row r="85" spans="1:15" ht="14">
      <c r="A85" s="78">
        <f t="shared" si="6"/>
        <v>49</v>
      </c>
      <c r="B85" s="860">
        <v>1650037</v>
      </c>
      <c r="C85" s="858" t="s">
        <v>902</v>
      </c>
      <c r="D85" s="1263">
        <v>-56277806.049999997</v>
      </c>
      <c r="E85" s="103">
        <f t="shared" si="7"/>
        <v>-56277806.049999997</v>
      </c>
      <c r="F85" s="72"/>
      <c r="G85" s="109"/>
      <c r="I85" s="109"/>
      <c r="J85" s="109"/>
      <c r="K85" s="140">
        <f>J85</f>
        <v>0</v>
      </c>
      <c r="L85" s="21" t="s">
        <v>31</v>
      </c>
      <c r="M85" s="75"/>
      <c r="N85" s="21"/>
      <c r="O85"/>
    </row>
    <row r="86" spans="1:15" ht="14">
      <c r="A86" s="78">
        <f t="shared" si="6"/>
        <v>50</v>
      </c>
      <c r="B86" s="860"/>
      <c r="C86" s="858"/>
      <c r="D86" s="859"/>
      <c r="E86" s="140"/>
      <c r="F86" s="72"/>
      <c r="G86" s="109"/>
      <c r="I86" s="109"/>
      <c r="J86" s="109"/>
      <c r="K86" s="140"/>
      <c r="L86" s="21" t="s">
        <v>115</v>
      </c>
      <c r="M86" s="75"/>
      <c r="N86" s="21"/>
      <c r="O86"/>
    </row>
    <row r="87" spans="1:15" ht="14">
      <c r="A87" s="78">
        <f t="shared" si="6"/>
        <v>51</v>
      </c>
      <c r="B87" s="860"/>
      <c r="C87" s="858"/>
      <c r="D87" s="859"/>
      <c r="E87" s="140"/>
      <c r="F87" s="72"/>
      <c r="G87" s="109"/>
      <c r="I87" s="109"/>
      <c r="J87" s="109"/>
      <c r="K87" s="140"/>
      <c r="L87" s="21" t="s">
        <v>115</v>
      </c>
      <c r="M87" s="75"/>
      <c r="N87" s="21"/>
      <c r="O87"/>
    </row>
    <row r="88" spans="1:15" ht="14">
      <c r="A88" s="78">
        <f t="shared" si="6"/>
        <v>52</v>
      </c>
      <c r="B88" s="860"/>
      <c r="C88" s="858"/>
      <c r="D88" s="859"/>
      <c r="E88" s="1318"/>
      <c r="F88" s="1317"/>
      <c r="G88" s="109"/>
      <c r="H88" s="1317"/>
      <c r="I88" s="109"/>
      <c r="J88" s="109"/>
      <c r="K88" s="1318"/>
      <c r="L88" s="1320" t="s">
        <v>115</v>
      </c>
      <c r="M88" s="75"/>
      <c r="N88" s="21"/>
      <c r="O88"/>
    </row>
    <row r="89" spans="1:15" ht="14.5" thickBot="1">
      <c r="A89" s="78"/>
      <c r="B89" s="860"/>
      <c r="C89" s="858"/>
      <c r="D89" s="859"/>
      <c r="E89" s="1318"/>
      <c r="F89" s="1317"/>
      <c r="G89" s="109"/>
      <c r="H89" s="1317"/>
      <c r="I89" s="109"/>
      <c r="J89" s="109"/>
      <c r="K89" s="1318"/>
      <c r="L89" s="1320" t="s">
        <v>115</v>
      </c>
      <c r="M89" s="75"/>
      <c r="N89" s="21"/>
      <c r="O89"/>
    </row>
    <row r="90" spans="1:15" ht="14">
      <c r="A90" s="78"/>
      <c r="B90" s="143"/>
      <c r="C90" s="35" t="s">
        <v>384</v>
      </c>
      <c r="D90" s="861">
        <f>IF(SUM(D68:D89)=0,"",SUM(D68:D89))-1</f>
        <v>7619053.0679999962</v>
      </c>
      <c r="E90" s="226">
        <f>IF(SUM(E68:E89)=0,"",SUM(E68:E89))</f>
        <v>-151101370.56999999</v>
      </c>
      <c r="F90" s="72"/>
      <c r="G90" s="148" t="str">
        <f>IF(SUM(G68:G89)=0,"",SUM(G68:G89))</f>
        <v/>
      </c>
      <c r="I90" s="148">
        <f>IF(SUM(I68:I89)=0,"",SUM(I68:I89))</f>
        <v>4888722.6899999995</v>
      </c>
      <c r="J90" s="148">
        <f>IF(SUM(J68:J89)=0,"",SUM(J68:J89))</f>
        <v>153831701.94800001</v>
      </c>
      <c r="K90" s="148">
        <f>IF(SUM(K68:K89)=0,"",SUM(K68:K89))</f>
        <v>158720424.63800001</v>
      </c>
      <c r="L90"/>
      <c r="M90" s="75"/>
      <c r="N90" s="21"/>
      <c r="O90"/>
    </row>
    <row r="91" spans="1:15">
      <c r="A91" s="78"/>
      <c r="B91" s="78"/>
      <c r="C91"/>
      <c r="D91"/>
      <c r="E91"/>
      <c r="F91"/>
      <c r="G91"/>
      <c r="H91"/>
      <c r="I91"/>
      <c r="J91"/>
      <c r="K91"/>
      <c r="L91"/>
      <c r="M91" s="21"/>
      <c r="N91" s="21"/>
      <c r="O91"/>
    </row>
    <row r="92" spans="1:15" ht="18.75" customHeight="1">
      <c r="A92" s="78" t="s">
        <v>636</v>
      </c>
      <c r="B92" s="1528" t="s">
        <v>834</v>
      </c>
      <c r="C92" s="1528"/>
      <c r="D92" s="1528"/>
      <c r="E92" s="1528"/>
      <c r="F92" s="1528"/>
      <c r="G92" s="1528"/>
      <c r="H92" s="1528"/>
      <c r="I92" s="1528"/>
      <c r="J92" s="1528"/>
      <c r="K92" s="1528"/>
      <c r="L92" s="1528"/>
      <c r="M92" s="21"/>
      <c r="N92" s="21"/>
      <c r="O92"/>
    </row>
    <row r="93" spans="1:15" ht="18.75" customHeight="1">
      <c r="A93" s="5"/>
      <c r="B93" s="1528"/>
      <c r="C93" s="1528"/>
      <c r="D93" s="1528"/>
      <c r="E93" s="1528"/>
      <c r="F93" s="1528"/>
      <c r="G93" s="1528"/>
      <c r="H93" s="1528"/>
      <c r="I93" s="1528"/>
      <c r="J93" s="1528"/>
      <c r="K93" s="1528"/>
      <c r="L93" s="1528"/>
      <c r="M93" s="21"/>
      <c r="N93" s="21"/>
      <c r="O93"/>
    </row>
    <row r="94" spans="1:15" ht="18">
      <c r="E94" s="912"/>
      <c r="F94" s="912"/>
      <c r="G94" s="912"/>
      <c r="H94" s="912"/>
      <c r="I94" s="912"/>
      <c r="J94" s="912"/>
      <c r="K94" s="912"/>
      <c r="L94" s="85"/>
      <c r="M94" s="75"/>
      <c r="N94" s="75"/>
    </row>
    <row r="95" spans="1:15" ht="12.75" customHeight="1">
      <c r="E95" s="8"/>
      <c r="F95" s="72"/>
      <c r="G95" s="8"/>
      <c r="H95" s="75"/>
      <c r="I95" s="75"/>
    </row>
    <row r="96" spans="1:15" ht="13">
      <c r="E96" s="8"/>
      <c r="G96" s="8"/>
      <c r="H96" s="21"/>
      <c r="I96" s="21"/>
      <c r="J96"/>
    </row>
    <row r="97" spans="1:15" ht="13">
      <c r="E97" s="13"/>
      <c r="G97" s="13"/>
      <c r="H97" s="21"/>
      <c r="I97" s="21"/>
      <c r="J97"/>
    </row>
    <row r="98" spans="1:15">
      <c r="E98"/>
      <c r="F98"/>
      <c r="G98"/>
      <c r="H98"/>
      <c r="I98"/>
      <c r="J98"/>
      <c r="K98"/>
      <c r="L98"/>
      <c r="M98" s="21"/>
      <c r="N98" s="21"/>
      <c r="O98"/>
    </row>
    <row r="99" spans="1:15">
      <c r="E99"/>
      <c r="F99"/>
      <c r="G99"/>
      <c r="H99"/>
      <c r="I99"/>
      <c r="J99"/>
      <c r="K99"/>
      <c r="L99"/>
      <c r="M99" s="21"/>
      <c r="N99" s="21"/>
      <c r="O99"/>
    </row>
    <row r="100" spans="1:15">
      <c r="E100"/>
      <c r="F100"/>
      <c r="G100"/>
      <c r="H100"/>
      <c r="I100"/>
      <c r="J100"/>
      <c r="K100"/>
      <c r="L100"/>
      <c r="M100" s="21"/>
      <c r="N100" s="21"/>
      <c r="O100"/>
    </row>
    <row r="101" spans="1:15">
      <c r="A101"/>
      <c r="B101"/>
      <c r="C101"/>
      <c r="D101"/>
      <c r="E101"/>
      <c r="F101"/>
      <c r="G101"/>
      <c r="H101"/>
      <c r="I101"/>
      <c r="J101"/>
      <c r="K101"/>
      <c r="L101"/>
      <c r="M101" s="21"/>
      <c r="N101" s="21"/>
      <c r="O101"/>
    </row>
    <row r="102" spans="1:15">
      <c r="A102"/>
      <c r="B102"/>
      <c r="C102"/>
      <c r="D102"/>
      <c r="E102"/>
      <c r="F102"/>
      <c r="G102"/>
      <c r="H102"/>
      <c r="I102"/>
      <c r="J102"/>
      <c r="K102"/>
      <c r="L102"/>
      <c r="M102" s="21"/>
      <c r="N102" s="21"/>
      <c r="O102"/>
    </row>
    <row r="103" spans="1:15">
      <c r="A103"/>
      <c r="B103"/>
      <c r="C103"/>
      <c r="D103"/>
      <c r="E103"/>
      <c r="F103"/>
      <c r="G103"/>
      <c r="H103"/>
      <c r="I103"/>
      <c r="J103"/>
      <c r="K103"/>
      <c r="L103"/>
      <c r="M103" s="21"/>
      <c r="N103" s="21"/>
      <c r="O103"/>
    </row>
    <row r="104" spans="1:15">
      <c r="A104"/>
      <c r="B104"/>
      <c r="C104"/>
      <c r="D104"/>
      <c r="E104"/>
      <c r="F104"/>
      <c r="G104"/>
      <c r="H104"/>
      <c r="I104"/>
      <c r="J104"/>
      <c r="K104"/>
      <c r="L104"/>
      <c r="M104" s="21"/>
      <c r="N104" s="21"/>
      <c r="O104"/>
    </row>
    <row r="105" spans="1:15">
      <c r="A105"/>
      <c r="B105"/>
      <c r="C105"/>
      <c r="D105"/>
      <c r="E105"/>
      <c r="F105"/>
      <c r="G105"/>
      <c r="H105"/>
      <c r="I105"/>
      <c r="J105"/>
      <c r="K105"/>
      <c r="L105"/>
      <c r="M105" s="21"/>
      <c r="N105" s="21"/>
      <c r="O105"/>
    </row>
    <row r="106" spans="1:15">
      <c r="A106"/>
      <c r="B106"/>
      <c r="C106"/>
      <c r="D106"/>
      <c r="E106"/>
      <c r="F106"/>
      <c r="G106"/>
      <c r="H106"/>
      <c r="I106"/>
      <c r="J106"/>
      <c r="K106"/>
      <c r="L106"/>
      <c r="M106" s="21"/>
      <c r="N106" s="21"/>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row r="127" spans="1:15">
      <c r="A127"/>
      <c r="B127"/>
      <c r="C127"/>
      <c r="D127"/>
      <c r="E127"/>
      <c r="F127"/>
      <c r="G127"/>
      <c r="H127"/>
      <c r="I127"/>
      <c r="J127"/>
      <c r="K127"/>
      <c r="L127"/>
      <c r="M127"/>
      <c r="N127"/>
      <c r="O127"/>
    </row>
    <row r="128" spans="1:15">
      <c r="A128"/>
      <c r="B128"/>
      <c r="C128"/>
      <c r="D128"/>
      <c r="E128"/>
      <c r="F128"/>
      <c r="G128"/>
      <c r="H128"/>
      <c r="I128"/>
      <c r="J128"/>
      <c r="K128"/>
      <c r="L128"/>
      <c r="M128"/>
      <c r="N128"/>
      <c r="O128"/>
    </row>
    <row r="129" spans="1:15">
      <c r="A129"/>
      <c r="B129"/>
      <c r="C129"/>
      <c r="D129"/>
      <c r="E129"/>
      <c r="F129"/>
      <c r="G129"/>
      <c r="H129"/>
      <c r="I129"/>
      <c r="J129"/>
      <c r="K129"/>
      <c r="L129"/>
      <c r="M129"/>
      <c r="N129"/>
      <c r="O129"/>
    </row>
    <row r="130" spans="1:15">
      <c r="A130"/>
      <c r="B130"/>
      <c r="C130"/>
      <c r="D130"/>
      <c r="E130"/>
      <c r="F130"/>
      <c r="G130"/>
      <c r="H130"/>
      <c r="I130"/>
      <c r="J130"/>
      <c r="K130"/>
      <c r="L130"/>
      <c r="M130"/>
      <c r="N130"/>
      <c r="O130"/>
    </row>
    <row r="131" spans="1:15">
      <c r="A131"/>
      <c r="B131"/>
      <c r="C131"/>
      <c r="D131"/>
      <c r="E131"/>
      <c r="F131"/>
      <c r="G131"/>
      <c r="H131"/>
      <c r="I131"/>
      <c r="J131"/>
      <c r="K131"/>
      <c r="L131"/>
      <c r="M131"/>
      <c r="N131"/>
      <c r="O131"/>
    </row>
    <row r="132" spans="1:15">
      <c r="A132"/>
      <c r="B132"/>
      <c r="C132"/>
      <c r="D132"/>
      <c r="E132"/>
      <c r="F132"/>
      <c r="G132"/>
      <c r="H132"/>
      <c r="I132"/>
      <c r="J132"/>
      <c r="K132"/>
      <c r="L132"/>
      <c r="M132"/>
      <c r="N132"/>
      <c r="O132"/>
    </row>
    <row r="133" spans="1:15">
      <c r="A133"/>
      <c r="B133"/>
      <c r="C133"/>
      <c r="D133"/>
      <c r="E133"/>
      <c r="F133"/>
      <c r="G133"/>
      <c r="H133"/>
      <c r="I133"/>
      <c r="J133"/>
      <c r="K133"/>
      <c r="L133"/>
      <c r="M133"/>
      <c r="N133"/>
      <c r="O133"/>
    </row>
    <row r="134" spans="1:15">
      <c r="A134"/>
      <c r="B134"/>
      <c r="C134"/>
      <c r="D134"/>
      <c r="E134"/>
      <c r="F134"/>
      <c r="G134"/>
      <c r="H134"/>
      <c r="I134"/>
      <c r="J134"/>
      <c r="K134"/>
      <c r="L134"/>
      <c r="M134"/>
      <c r="N134"/>
      <c r="O134"/>
    </row>
    <row r="135" spans="1:15">
      <c r="A135"/>
      <c r="B135"/>
      <c r="C135"/>
      <c r="D135"/>
      <c r="E135"/>
      <c r="F135"/>
      <c r="G135"/>
      <c r="H135"/>
      <c r="I135"/>
      <c r="J135"/>
      <c r="K135"/>
      <c r="L135"/>
      <c r="M135"/>
      <c r="N135"/>
      <c r="O135"/>
    </row>
    <row r="136" spans="1:15">
      <c r="A136"/>
      <c r="B136"/>
      <c r="C136"/>
      <c r="D136"/>
      <c r="E136"/>
      <c r="F136"/>
      <c r="G136"/>
      <c r="H136"/>
      <c r="I136"/>
      <c r="J136"/>
      <c r="K136"/>
      <c r="L136"/>
      <c r="M136"/>
      <c r="N136"/>
      <c r="O136"/>
    </row>
  </sheetData>
  <mergeCells count="12">
    <mergeCell ref="G12:G13"/>
    <mergeCell ref="B92:L93"/>
    <mergeCell ref="B10:K10"/>
    <mergeCell ref="A3:L3"/>
    <mergeCell ref="A4:L4"/>
    <mergeCell ref="A5:L5"/>
    <mergeCell ref="A6:L6"/>
    <mergeCell ref="B63:J63"/>
    <mergeCell ref="B24:K24"/>
    <mergeCell ref="E12:E13"/>
    <mergeCell ref="I12:I13"/>
    <mergeCell ref="B34:J34"/>
  </mergeCells>
  <phoneticPr fontId="5" type="noConversion"/>
  <pageMargins left="1.08" right="0.75" top="1" bottom="0.41" header="0.86" footer="0.27"/>
  <pageSetup scale="38"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8"/>
  <sheetViews>
    <sheetView zoomScaleNormal="100" zoomScaleSheetLayoutView="100" workbookViewId="0">
      <selection activeCell="C14" sqref="C14"/>
    </sheetView>
  </sheetViews>
  <sheetFormatPr defaultColWidth="8.81640625" defaultRowHeight="12.5"/>
  <cols>
    <col min="1" max="1" width="9.453125" style="431" bestFit="1" customWidth="1"/>
    <col min="2" max="2" width="65.1796875" style="337" bestFit="1" customWidth="1"/>
    <col min="3" max="3" width="12.54296875" style="337" bestFit="1" customWidth="1"/>
    <col min="4" max="4" width="1.54296875" style="337" customWidth="1"/>
    <col min="5" max="5" width="15" style="337" bestFit="1" customWidth="1"/>
    <col min="6" max="16384" width="8.81640625" style="337"/>
  </cols>
  <sheetData>
    <row r="1" spans="1:15" ht="15.5">
      <c r="A1" s="911" t="s">
        <v>115</v>
      </c>
    </row>
    <row r="2" spans="1:15" ht="15.5">
      <c r="A2" s="911" t="s">
        <v>115</v>
      </c>
    </row>
    <row r="3" spans="1:15" ht="15.5">
      <c r="A3" s="1532" t="str">
        <f>+'WS C  - Working Capital'!A3:L3</f>
        <v>AEP East Companies</v>
      </c>
      <c r="B3" s="1532"/>
      <c r="C3" s="1532"/>
      <c r="D3" s="1532"/>
      <c r="E3" s="1532"/>
      <c r="F3" s="538"/>
      <c r="G3" s="538"/>
      <c r="H3" s="538"/>
      <c r="I3" s="538"/>
      <c r="J3" s="538"/>
      <c r="K3" s="538"/>
      <c r="L3" s="538"/>
      <c r="M3" s="538"/>
      <c r="N3" s="538"/>
      <c r="O3" s="538"/>
    </row>
    <row r="4" spans="1:15" ht="15.5">
      <c r="A4" s="1533" t="str">
        <f>"Cost of Service Formula Rate Using Actual/Projected FF1 Balances"</f>
        <v>Cost of Service Formula Rate Using Actual/Projected FF1 Balances</v>
      </c>
      <c r="B4" s="1533"/>
      <c r="C4" s="1533"/>
      <c r="D4" s="1533"/>
      <c r="E4" s="1533"/>
      <c r="F4" s="539"/>
      <c r="G4" s="539"/>
      <c r="H4" s="539"/>
      <c r="I4" s="539"/>
      <c r="J4" s="539"/>
      <c r="K4" s="539"/>
      <c r="L4" s="539"/>
      <c r="M4" s="540"/>
      <c r="N4" s="540"/>
      <c r="O4" s="540"/>
    </row>
    <row r="5" spans="1:15" ht="15.5">
      <c r="A5" s="1533" t="s">
        <v>228</v>
      </c>
      <c r="B5" s="1533"/>
      <c r="C5" s="1533"/>
      <c r="D5" s="1533"/>
      <c r="E5" s="1533"/>
      <c r="F5" s="539"/>
      <c r="G5" s="539"/>
      <c r="H5" s="539"/>
      <c r="I5" s="539"/>
      <c r="J5" s="539"/>
      <c r="K5" s="539"/>
      <c r="L5" s="539"/>
      <c r="M5" s="539"/>
      <c r="N5" s="539"/>
      <c r="O5" s="539"/>
    </row>
    <row r="6" spans="1:15" ht="15.5">
      <c r="A6" s="1534" t="str">
        <f>TCOS!F9</f>
        <v xml:space="preserve">Indiana Michigan Power Company </v>
      </c>
      <c r="B6" s="1534"/>
      <c r="C6" s="1534"/>
      <c r="D6" s="1534"/>
      <c r="E6" s="1534"/>
      <c r="F6" s="333"/>
      <c r="G6" s="333"/>
      <c r="H6" s="333"/>
      <c r="I6" s="333"/>
      <c r="J6" s="333"/>
      <c r="K6" s="333"/>
      <c r="L6" s="333"/>
      <c r="M6" s="333"/>
      <c r="N6" s="333"/>
      <c r="O6" s="333"/>
    </row>
    <row r="8" spans="1:15" ht="13">
      <c r="A8" s="541" t="s">
        <v>170</v>
      </c>
      <c r="B8" s="542" t="s">
        <v>163</v>
      </c>
      <c r="C8" s="542" t="s">
        <v>164</v>
      </c>
    </row>
    <row r="9" spans="1:15" ht="13">
      <c r="A9" s="541" t="s">
        <v>107</v>
      </c>
      <c r="B9" s="541" t="s">
        <v>168</v>
      </c>
      <c r="C9" s="541">
        <f>+TCOS!L4</f>
        <v>2019</v>
      </c>
    </row>
    <row r="10" spans="1:15" ht="13">
      <c r="A10" s="543"/>
      <c r="B10" s="544"/>
      <c r="C10" s="542"/>
      <c r="F10" s="419"/>
    </row>
    <row r="11" spans="1:15">
      <c r="A11" s="431">
        <v>1</v>
      </c>
      <c r="B11" s="1138" t="str">
        <f>"Net Funds from IPP Customers 12/31/"&amp;TCOS!L4-1&amp;" ("&amp;TCOS!L4&amp;" FORM 1, P269)"</f>
        <v>Net Funds from IPP Customers 12/31/2018 (2019 FORM 1, P269)</v>
      </c>
      <c r="C11" s="856">
        <v>-3485177</v>
      </c>
      <c r="D11" s="419"/>
      <c r="F11" s="419"/>
    </row>
    <row r="12" spans="1:15">
      <c r="B12" s="586"/>
      <c r="C12" s="862"/>
      <c r="D12" s="419"/>
      <c r="F12" s="419"/>
    </row>
    <row r="13" spans="1:15">
      <c r="A13" s="431">
        <v>2</v>
      </c>
      <c r="B13" s="1138" t="s">
        <v>72</v>
      </c>
      <c r="C13" s="856">
        <v>-191626</v>
      </c>
      <c r="D13" s="419"/>
      <c r="F13" s="419"/>
    </row>
    <row r="14" spans="1:15">
      <c r="B14" s="1138"/>
      <c r="C14" s="862"/>
      <c r="D14" s="419"/>
      <c r="F14" s="419"/>
    </row>
    <row r="15" spans="1:15">
      <c r="A15" s="431">
        <f>+A13+1</f>
        <v>3</v>
      </c>
      <c r="B15" s="1138" t="s">
        <v>73</v>
      </c>
      <c r="C15" s="856">
        <v>0</v>
      </c>
      <c r="D15" s="419"/>
      <c r="F15" s="419"/>
    </row>
    <row r="16" spans="1:15">
      <c r="B16" s="1138"/>
      <c r="C16" s="862"/>
      <c r="D16" s="419"/>
      <c r="F16" s="419"/>
    </row>
    <row r="17" spans="1:6">
      <c r="A17" s="431">
        <f>+A15+1</f>
        <v>4</v>
      </c>
      <c r="B17" s="1139" t="s">
        <v>229</v>
      </c>
      <c r="C17" s="862"/>
      <c r="D17" s="419"/>
      <c r="F17" s="419"/>
    </row>
    <row r="18" spans="1:6">
      <c r="A18" s="431">
        <f>+A17+1</f>
        <v>5</v>
      </c>
      <c r="B18" s="1138" t="s">
        <v>74</v>
      </c>
      <c r="C18" s="856">
        <v>0</v>
      </c>
      <c r="D18" s="419"/>
      <c r="F18" s="419"/>
    </row>
    <row r="19" spans="1:6">
      <c r="A19" s="431">
        <f>+A18+1</f>
        <v>6</v>
      </c>
      <c r="B19" s="1131" t="s">
        <v>115</v>
      </c>
      <c r="C19" s="863">
        <v>0</v>
      </c>
      <c r="D19" s="419"/>
      <c r="F19" s="419"/>
    </row>
    <row r="20" spans="1:6">
      <c r="B20" s="586"/>
      <c r="C20" s="864"/>
      <c r="D20" s="419"/>
      <c r="F20" s="419"/>
    </row>
    <row r="21" spans="1:6">
      <c r="A21" s="431">
        <f>+A19+1</f>
        <v>7</v>
      </c>
      <c r="B21" s="1138" t="str">
        <f>"Net Funds from IPP Customers 12/31/"&amp;TCOS!L4&amp;" ("&amp;TCOS!L4&amp;" FORM 1, P269)"</f>
        <v>Net Funds from IPP Customers 12/31/2019 (2019 FORM 1, P269)</v>
      </c>
      <c r="C21" s="546">
        <f>+C11+C13+C15+C18+C19</f>
        <v>-3676803</v>
      </c>
      <c r="D21" s="547"/>
      <c r="F21" s="419"/>
    </row>
    <row r="22" spans="1:6">
      <c r="B22" s="586"/>
      <c r="C22" s="546"/>
      <c r="D22" s="419"/>
      <c r="F22" s="419"/>
    </row>
    <row r="23" spans="1:6">
      <c r="A23" s="431">
        <f>+A21+1</f>
        <v>8</v>
      </c>
      <c r="B23" s="1138" t="str">
        <f>"Average Balance for Year as Indicated in Column B ((ln "&amp;A11&amp;" + ln "&amp;A21&amp;")/2)"</f>
        <v>Average Balance for Year as Indicated in Column B ((ln 1 + ln 7)/2)</v>
      </c>
      <c r="C23" s="548">
        <f>AVERAGE(C21,C11)</f>
        <v>-3580990</v>
      </c>
      <c r="D23" s="419"/>
      <c r="F23" s="419"/>
    </row>
    <row r="24" spans="1:6">
      <c r="B24" s="586"/>
      <c r="D24" s="419"/>
    </row>
    <row r="25" spans="1:6">
      <c r="B25" s="375"/>
      <c r="C25" s="549"/>
      <c r="D25" s="419"/>
    </row>
    <row r="26" spans="1:6" ht="15.5">
      <c r="A26" s="325" t="s">
        <v>500</v>
      </c>
      <c r="B26" s="1487" t="str">
        <f>"On this worksheet Company Records refers to  "&amp;A6&amp;"'s general ledger."</f>
        <v>On this worksheet Company Records refers to  Indiana Michigan Power Company 's general ledger.</v>
      </c>
      <c r="D26" s="419"/>
    </row>
    <row r="27" spans="1:6">
      <c r="B27" s="1480"/>
      <c r="D27" s="419"/>
    </row>
    <row r="28" spans="1:6">
      <c r="B28" s="550"/>
      <c r="D28" s="419"/>
    </row>
    <row r="29" spans="1:6">
      <c r="D29" s="419"/>
    </row>
    <row r="30" spans="1:6">
      <c r="D30" s="419"/>
    </row>
    <row r="31" spans="1:6">
      <c r="D31" s="419"/>
    </row>
    <row r="32" spans="1:6">
      <c r="D32" s="551"/>
    </row>
    <row r="33" spans="1:4">
      <c r="D33" s="419"/>
    </row>
    <row r="34" spans="1:4">
      <c r="D34" s="419"/>
    </row>
    <row r="35" spans="1:4">
      <c r="D35" s="419"/>
    </row>
    <row r="36" spans="1:4">
      <c r="A36" s="543"/>
      <c r="B36" s="419"/>
      <c r="C36" s="419"/>
      <c r="D36" s="419"/>
    </row>
    <row r="37" spans="1:4">
      <c r="A37" s="543"/>
      <c r="B37" s="419"/>
      <c r="C37" s="419"/>
    </row>
    <row r="38" spans="1:4">
      <c r="C38" s="552"/>
    </row>
  </sheetData>
  <mergeCells count="5">
    <mergeCell ref="B26:B27"/>
    <mergeCell ref="A3:E3"/>
    <mergeCell ref="A4:E4"/>
    <mergeCell ref="A5:E5"/>
    <mergeCell ref="A6:E6"/>
  </mergeCells>
  <phoneticPr fontId="0" type="noConversion"/>
  <pageMargins left="0.82" right="0.7" top="1" bottom="1" header="0.75" footer="0.5"/>
  <pageSetup scale="86"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151"/>
  <sheetViews>
    <sheetView view="pageBreakPreview" zoomScaleNormal="100" zoomScaleSheetLayoutView="100" workbookViewId="0">
      <selection activeCell="I22" sqref="I22"/>
    </sheetView>
  </sheetViews>
  <sheetFormatPr defaultColWidth="9.1796875" defaultRowHeight="15.5"/>
  <cols>
    <col min="1" max="1" width="9.453125" style="553" customWidth="1"/>
    <col min="2" max="2" width="6.54296875" style="553" customWidth="1"/>
    <col min="3" max="8" width="14.54296875" style="553" customWidth="1"/>
    <col min="9" max="9" width="14.81640625" style="553" bestFit="1" customWidth="1"/>
    <col min="10" max="11" width="16.54296875" style="553" bestFit="1" customWidth="1"/>
    <col min="12" max="13" width="22.1796875" style="553" bestFit="1" customWidth="1"/>
    <col min="14" max="14" width="8.453125" style="553" customWidth="1"/>
    <col min="15" max="38" width="12.54296875" style="553" customWidth="1"/>
    <col min="39" max="16384" width="9.1796875" style="553"/>
  </cols>
  <sheetData>
    <row r="1" spans="1:22">
      <c r="A1" s="911" t="s">
        <v>115</v>
      </c>
    </row>
    <row r="2" spans="1:22">
      <c r="A2" s="911" t="s">
        <v>115</v>
      </c>
    </row>
    <row r="3" spans="1:22">
      <c r="A3" s="1532" t="str">
        <f>+'WS C  - Working Capital'!A3:L3</f>
        <v>AEP East Companies</v>
      </c>
      <c r="B3" s="1532"/>
      <c r="C3" s="1532"/>
      <c r="D3" s="1532"/>
      <c r="E3" s="1532"/>
      <c r="F3" s="1532"/>
      <c r="G3" s="1532"/>
      <c r="H3" s="1532"/>
      <c r="I3" s="1532"/>
      <c r="J3" s="1532"/>
      <c r="K3" s="1532"/>
      <c r="L3" s="538"/>
      <c r="M3" s="538"/>
      <c r="N3" s="538"/>
      <c r="O3" s="538"/>
    </row>
    <row r="4" spans="1:22">
      <c r="A4" s="1533" t="str">
        <f>"Cost of Service Formula Rate Using Actual/Projected FF1 Balances"</f>
        <v>Cost of Service Formula Rate Using Actual/Projected FF1 Balances</v>
      </c>
      <c r="B4" s="1533"/>
      <c r="C4" s="1533"/>
      <c r="D4" s="1533"/>
      <c r="E4" s="1533"/>
      <c r="F4" s="1533"/>
      <c r="G4" s="1533"/>
      <c r="H4" s="1533"/>
      <c r="I4" s="1533"/>
      <c r="J4" s="1533"/>
      <c r="K4" s="1533"/>
      <c r="L4" s="540"/>
      <c r="M4" s="540"/>
      <c r="N4" s="540"/>
      <c r="O4" s="540"/>
    </row>
    <row r="5" spans="1:22">
      <c r="A5" s="1533" t="s">
        <v>238</v>
      </c>
      <c r="B5" s="1533"/>
      <c r="C5" s="1533"/>
      <c r="D5" s="1533"/>
      <c r="E5" s="1533"/>
      <c r="F5" s="1533"/>
      <c r="G5" s="1533"/>
      <c r="H5" s="1533"/>
      <c r="I5" s="1533"/>
      <c r="J5" s="1533"/>
      <c r="K5" s="1533"/>
      <c r="L5" s="539"/>
      <c r="M5" s="539"/>
      <c r="N5" s="539"/>
      <c r="O5" s="539"/>
    </row>
    <row r="6" spans="1:22">
      <c r="A6" s="1534" t="str">
        <f>TCOS!F9</f>
        <v xml:space="preserve">Indiana Michigan Power Company </v>
      </c>
      <c r="B6" s="1534"/>
      <c r="C6" s="1534"/>
      <c r="D6" s="1534"/>
      <c r="E6" s="1534"/>
      <c r="F6" s="1534"/>
      <c r="G6" s="1534"/>
      <c r="H6" s="1534"/>
      <c r="I6" s="1534"/>
      <c r="J6" s="1534"/>
      <c r="K6" s="1534"/>
      <c r="L6" s="333"/>
      <c r="M6" s="333"/>
      <c r="N6" s="333"/>
      <c r="O6" s="333"/>
    </row>
    <row r="7" spans="1:22">
      <c r="A7" s="554"/>
      <c r="B7" s="554"/>
      <c r="C7" s="554"/>
      <c r="D7" s="554"/>
      <c r="E7" s="554"/>
      <c r="F7" s="554"/>
      <c r="G7" s="554"/>
      <c r="H7" s="554"/>
      <c r="I7" s="554"/>
      <c r="J7" s="554"/>
      <c r="K7" s="554"/>
      <c r="L7" s="554"/>
      <c r="M7" s="554"/>
      <c r="N7" s="554"/>
      <c r="O7" s="554"/>
    </row>
    <row r="8" spans="1:22" ht="18">
      <c r="A8" s="1537"/>
      <c r="B8" s="1537"/>
      <c r="C8" s="1537"/>
      <c r="D8" s="1537"/>
      <c r="E8" s="1537"/>
      <c r="F8" s="1537"/>
      <c r="G8" s="1537"/>
      <c r="H8" s="1537"/>
      <c r="I8" s="1537"/>
      <c r="J8" s="1537"/>
      <c r="K8" s="1537"/>
      <c r="L8" s="556"/>
      <c r="M8" s="557"/>
    </row>
    <row r="9" spans="1:22" ht="18">
      <c r="A9" s="555"/>
      <c r="B9" s="555"/>
      <c r="C9" s="555"/>
      <c r="D9" s="555"/>
      <c r="E9" s="555"/>
      <c r="F9" s="555"/>
      <c r="G9" s="555"/>
      <c r="H9" s="555"/>
      <c r="I9" s="555"/>
      <c r="J9" s="555"/>
      <c r="K9" s="555"/>
      <c r="L9" s="556"/>
      <c r="M9" s="557"/>
    </row>
    <row r="10" spans="1:22">
      <c r="A10" s="558" t="s">
        <v>170</v>
      </c>
      <c r="B10" s="556"/>
      <c r="C10" s="559"/>
      <c r="D10" s="559"/>
      <c r="E10" s="559"/>
      <c r="F10" s="559"/>
      <c r="G10" s="560"/>
      <c r="H10" s="560"/>
      <c r="I10" s="558" t="s">
        <v>183</v>
      </c>
      <c r="J10" s="558" t="s">
        <v>28</v>
      </c>
      <c r="K10" s="561"/>
      <c r="N10" s="562"/>
      <c r="P10" s="562"/>
      <c r="R10" s="562"/>
      <c r="S10" s="562"/>
      <c r="T10" s="562"/>
      <c r="U10" s="526"/>
      <c r="V10" s="526"/>
    </row>
    <row r="11" spans="1:22">
      <c r="A11" s="558" t="s">
        <v>107</v>
      </c>
      <c r="B11" s="1538" t="s">
        <v>168</v>
      </c>
      <c r="C11" s="1538"/>
      <c r="D11" s="1538"/>
      <c r="E11" s="1538"/>
      <c r="F11" s="1538"/>
      <c r="G11" s="1538"/>
      <c r="H11" s="1538"/>
      <c r="I11" s="563" t="s">
        <v>184</v>
      </c>
      <c r="J11" s="563" t="s">
        <v>116</v>
      </c>
      <c r="K11" s="563" t="s">
        <v>116</v>
      </c>
      <c r="L11" s="564"/>
      <c r="M11" s="564"/>
      <c r="N11" s="562"/>
      <c r="O11" s="562"/>
      <c r="P11" s="562"/>
      <c r="Q11" s="562"/>
      <c r="R11" s="562"/>
      <c r="S11" s="562"/>
      <c r="T11" s="565"/>
      <c r="U11" s="526"/>
      <c r="V11" s="526"/>
    </row>
    <row r="12" spans="1:22">
      <c r="A12" s="560"/>
      <c r="B12" s="566"/>
      <c r="C12" s="556"/>
      <c r="D12" s="560"/>
      <c r="E12" s="560"/>
      <c r="F12" s="560"/>
      <c r="G12" s="560"/>
      <c r="H12" s="560"/>
      <c r="I12" s="560"/>
      <c r="J12" s="560"/>
      <c r="K12" s="567"/>
      <c r="L12" s="564"/>
      <c r="M12" s="564"/>
      <c r="N12" s="562"/>
      <c r="O12" s="562"/>
      <c r="P12" s="562"/>
      <c r="Q12" s="562"/>
      <c r="R12" s="562"/>
      <c r="S12" s="562"/>
      <c r="T12" s="565"/>
      <c r="U12" s="526"/>
      <c r="V12" s="526"/>
    </row>
    <row r="13" spans="1:22" s="574" customFormat="1" ht="13">
      <c r="A13" s="568">
        <v>1</v>
      </c>
      <c r="B13" s="569" t="s">
        <v>483</v>
      </c>
      <c r="C13" s="550"/>
      <c r="D13" s="570"/>
      <c r="E13" s="570"/>
      <c r="F13" s="570"/>
      <c r="G13" s="570"/>
      <c r="H13" s="570"/>
      <c r="I13" s="865">
        <v>5746050.5999999996</v>
      </c>
      <c r="J13" s="571">
        <f>+I13-K12</f>
        <v>5746050.5999999996</v>
      </c>
      <c r="K13" s="865"/>
      <c r="L13" s="572"/>
      <c r="M13" s="572"/>
      <c r="N13" s="550"/>
      <c r="O13" s="550"/>
      <c r="P13" s="550"/>
      <c r="Q13" s="550"/>
      <c r="R13" s="550"/>
      <c r="S13" s="550"/>
      <c r="T13" s="573"/>
      <c r="U13" s="550"/>
      <c r="V13" s="550"/>
    </row>
    <row r="14" spans="1:22" s="574" customFormat="1" ht="13">
      <c r="A14" s="575"/>
      <c r="B14" s="576"/>
      <c r="C14" s="577"/>
      <c r="D14" s="578"/>
      <c r="E14" s="578"/>
      <c r="F14" s="578"/>
      <c r="G14" s="578"/>
      <c r="H14" s="570"/>
      <c r="I14" s="579"/>
      <c r="J14" s="580"/>
      <c r="K14" s="579"/>
      <c r="L14" s="572"/>
      <c r="M14" s="572"/>
      <c r="N14" s="550"/>
      <c r="O14" s="550"/>
      <c r="P14" s="550"/>
      <c r="Q14" s="550"/>
      <c r="R14" s="550"/>
      <c r="S14" s="550"/>
      <c r="T14" s="573"/>
      <c r="U14" s="550"/>
      <c r="V14" s="550"/>
    </row>
    <row r="15" spans="1:22" s="574" customFormat="1" ht="13">
      <c r="A15" s="568">
        <f>+A13+1</f>
        <v>2</v>
      </c>
      <c r="B15" s="581" t="s">
        <v>484</v>
      </c>
      <c r="C15" s="550"/>
      <c r="D15" s="570"/>
      <c r="E15" s="570"/>
      <c r="F15" s="570"/>
      <c r="G15" s="570"/>
      <c r="H15" s="570"/>
      <c r="I15" s="865">
        <v>3753925.34</v>
      </c>
      <c r="J15" s="571">
        <f>+I15-K15</f>
        <v>3697138.6999999997</v>
      </c>
      <c r="K15" s="865">
        <v>56786.64</v>
      </c>
      <c r="L15" s="572"/>
      <c r="M15" s="572"/>
      <c r="N15" s="550"/>
      <c r="O15" s="550"/>
      <c r="P15" s="550"/>
      <c r="Q15" s="550"/>
      <c r="R15" s="550"/>
      <c r="S15" s="550"/>
      <c r="T15" s="550"/>
      <c r="U15" s="550"/>
      <c r="V15" s="550"/>
    </row>
    <row r="16" spans="1:22" s="574" customFormat="1" ht="13">
      <c r="A16" s="575"/>
      <c r="B16" s="582"/>
      <c r="C16" s="577"/>
      <c r="D16" s="578"/>
      <c r="E16" s="578"/>
      <c r="F16" s="578"/>
      <c r="G16" s="578"/>
      <c r="H16" s="570"/>
      <c r="I16" s="580"/>
      <c r="J16" s="580"/>
      <c r="K16" s="580"/>
      <c r="L16" s="572"/>
      <c r="M16" s="572"/>
      <c r="N16" s="550"/>
      <c r="O16" s="550"/>
      <c r="P16" s="550"/>
      <c r="Q16" s="550"/>
      <c r="R16" s="550"/>
      <c r="S16" s="550"/>
      <c r="T16" s="550"/>
      <c r="U16" s="550"/>
      <c r="V16" s="550"/>
    </row>
    <row r="17" spans="1:22" s="574" customFormat="1" ht="13">
      <c r="A17" s="568">
        <f>+A15+1</f>
        <v>3</v>
      </c>
      <c r="B17" s="581" t="s">
        <v>485</v>
      </c>
      <c r="C17" s="550"/>
      <c r="D17" s="570"/>
      <c r="E17" s="570"/>
      <c r="F17" s="570"/>
      <c r="G17" s="570"/>
      <c r="H17" s="570"/>
      <c r="I17" s="865">
        <v>8343789.6900000004</v>
      </c>
      <c r="J17" s="571">
        <f>+I17-K17</f>
        <v>6499834.5800000001</v>
      </c>
      <c r="K17" s="865">
        <v>1843955.11</v>
      </c>
      <c r="L17" s="572"/>
      <c r="M17" s="572"/>
      <c r="N17" s="550"/>
      <c r="O17" s="550"/>
      <c r="P17" s="550"/>
      <c r="Q17" s="550"/>
      <c r="R17" s="550"/>
      <c r="S17" s="550"/>
      <c r="T17" s="550"/>
      <c r="U17" s="550"/>
      <c r="V17" s="550"/>
    </row>
    <row r="18" spans="1:22" s="574" customFormat="1" ht="13">
      <c r="A18" s="575"/>
      <c r="B18" s="580"/>
      <c r="C18" s="586"/>
      <c r="D18" s="580"/>
      <c r="E18" s="580"/>
      <c r="F18" s="580"/>
      <c r="G18" s="583"/>
      <c r="H18" s="580"/>
      <c r="I18" s="580"/>
      <c r="J18" s="580"/>
      <c r="K18" s="580"/>
      <c r="L18" s="572"/>
      <c r="M18" s="572"/>
      <c r="N18" s="550"/>
      <c r="O18" s="550"/>
      <c r="P18" s="550"/>
      <c r="Q18" s="550"/>
      <c r="R18" s="550"/>
      <c r="S18" s="550"/>
      <c r="T18" s="550"/>
      <c r="U18" s="550"/>
      <c r="V18" s="550"/>
    </row>
    <row r="19" spans="1:22" s="574" customFormat="1" ht="13">
      <c r="A19" s="568">
        <f>+A17+1</f>
        <v>4</v>
      </c>
      <c r="B19" s="569" t="s">
        <v>766</v>
      </c>
      <c r="C19" s="586"/>
      <c r="D19" s="580"/>
      <c r="E19" s="580"/>
      <c r="F19" s="580"/>
      <c r="G19" s="583"/>
      <c r="H19" s="580"/>
      <c r="I19" s="865">
        <v>2404238.17</v>
      </c>
      <c r="J19" s="571">
        <f>+I19-K19</f>
        <v>1634869.47</v>
      </c>
      <c r="K19" s="865">
        <v>769368.7</v>
      </c>
      <c r="L19" s="572"/>
      <c r="M19" s="572"/>
      <c r="N19" s="585"/>
      <c r="O19" s="550"/>
      <c r="P19" s="550"/>
      <c r="Q19" s="550"/>
      <c r="R19" s="550"/>
      <c r="S19" s="550"/>
      <c r="T19" s="550"/>
      <c r="U19" s="550"/>
      <c r="V19" s="550"/>
    </row>
    <row r="20" spans="1:22" s="574" customFormat="1" ht="13">
      <c r="A20" s="575"/>
      <c r="B20" s="569"/>
      <c r="C20" s="586"/>
      <c r="D20" s="580"/>
      <c r="E20" s="580"/>
      <c r="F20" s="580"/>
      <c r="G20" s="583"/>
      <c r="H20" s="580"/>
      <c r="I20" s="550"/>
      <c r="J20" s="550"/>
      <c r="K20" s="550"/>
      <c r="L20" s="586"/>
      <c r="M20" s="572"/>
      <c r="N20" s="585"/>
      <c r="O20" s="550"/>
      <c r="P20" s="550"/>
      <c r="Q20" s="550"/>
      <c r="R20" s="550"/>
      <c r="S20" s="550"/>
      <c r="T20" s="550"/>
      <c r="U20" s="550"/>
      <c r="V20" s="550"/>
    </row>
    <row r="21" spans="1:22" s="574" customFormat="1" ht="13">
      <c r="A21" s="568">
        <f>+A19+1</f>
        <v>5</v>
      </c>
      <c r="B21" s="569" t="s">
        <v>767</v>
      </c>
      <c r="C21" s="586"/>
      <c r="D21" s="580"/>
      <c r="E21" s="580"/>
      <c r="F21" s="580"/>
      <c r="G21" s="583"/>
      <c r="H21" s="580"/>
      <c r="I21" s="865">
        <v>27054252</v>
      </c>
      <c r="J21" s="571">
        <f>+I21-K21</f>
        <v>27054252</v>
      </c>
      <c r="K21" s="865"/>
      <c r="L21" s="572"/>
      <c r="M21" s="572"/>
      <c r="N21" s="585"/>
      <c r="O21" s="550"/>
      <c r="P21" s="550"/>
      <c r="Q21" s="550"/>
      <c r="R21" s="550"/>
      <c r="S21" s="550"/>
      <c r="T21" s="550"/>
      <c r="U21" s="550"/>
      <c r="V21" s="550"/>
    </row>
    <row r="22" spans="1:22" s="574" customFormat="1" ht="13">
      <c r="A22" s="568"/>
      <c r="B22" s="569"/>
      <c r="C22" s="586"/>
      <c r="D22" s="580"/>
      <c r="E22" s="580"/>
      <c r="F22" s="580"/>
      <c r="G22" s="583"/>
      <c r="H22" s="580"/>
      <c r="I22" s="910"/>
      <c r="J22" s="571"/>
      <c r="K22" s="910"/>
      <c r="L22" s="572"/>
      <c r="M22" s="572"/>
      <c r="N22" s="585"/>
      <c r="O22" s="550"/>
      <c r="P22" s="550"/>
      <c r="Q22" s="550"/>
      <c r="R22" s="550"/>
      <c r="S22" s="550"/>
      <c r="T22" s="550"/>
      <c r="U22" s="550"/>
      <c r="V22" s="550"/>
    </row>
    <row r="23" spans="1:22" s="574" customFormat="1" ht="13">
      <c r="A23" s="568" t="s">
        <v>627</v>
      </c>
      <c r="B23" s="569" t="s">
        <v>630</v>
      </c>
      <c r="C23" s="586"/>
      <c r="D23" s="580"/>
      <c r="E23" s="580"/>
      <c r="F23" s="580"/>
      <c r="G23" s="583"/>
      <c r="H23" s="580"/>
      <c r="I23" s="865"/>
      <c r="J23" s="571">
        <v>0</v>
      </c>
      <c r="K23" s="865"/>
      <c r="L23" s="572"/>
      <c r="M23" s="572"/>
      <c r="N23" s="585"/>
      <c r="O23" s="550"/>
      <c r="P23" s="550"/>
      <c r="Q23" s="550"/>
      <c r="R23" s="550"/>
      <c r="S23" s="550"/>
      <c r="T23" s="550"/>
      <c r="U23" s="550"/>
      <c r="V23" s="550"/>
    </row>
    <row r="24" spans="1:22" s="574" customFormat="1" ht="13">
      <c r="A24" s="568"/>
      <c r="B24" s="569"/>
      <c r="C24" s="586"/>
      <c r="D24" s="580"/>
      <c r="E24" s="580"/>
      <c r="F24" s="580"/>
      <c r="G24" s="583"/>
      <c r="H24" s="580"/>
      <c r="I24" s="910"/>
      <c r="J24" s="571"/>
      <c r="K24" s="910"/>
      <c r="L24" s="572"/>
      <c r="M24" s="572"/>
      <c r="N24" s="585"/>
      <c r="O24" s="550"/>
      <c r="P24" s="550"/>
      <c r="Q24" s="550"/>
      <c r="R24" s="550"/>
      <c r="S24" s="550"/>
      <c r="T24" s="550"/>
      <c r="U24" s="550"/>
      <c r="V24" s="550"/>
    </row>
    <row r="25" spans="1:22" s="574" customFormat="1" ht="13">
      <c r="A25" s="568" t="s">
        <v>628</v>
      </c>
      <c r="B25" s="569" t="s">
        <v>629</v>
      </c>
      <c r="C25" s="586"/>
      <c r="D25" s="580"/>
      <c r="E25" s="580"/>
      <c r="F25" s="580"/>
      <c r="G25" s="583"/>
      <c r="H25" s="580"/>
      <c r="I25" s="865"/>
      <c r="J25" s="571">
        <v>0</v>
      </c>
      <c r="K25" s="865"/>
      <c r="L25" s="572"/>
      <c r="M25" s="572"/>
      <c r="N25" s="585"/>
      <c r="O25" s="550"/>
      <c r="P25" s="550"/>
      <c r="Q25" s="550"/>
      <c r="R25" s="550"/>
      <c r="S25" s="550"/>
      <c r="T25" s="550"/>
      <c r="U25" s="550"/>
      <c r="V25" s="550"/>
    </row>
    <row r="26" spans="1:22" s="574" customFormat="1" ht="13">
      <c r="A26" s="568"/>
      <c r="B26" s="569"/>
      <c r="C26" s="586"/>
      <c r="D26" s="580"/>
      <c r="E26" s="580"/>
      <c r="F26" s="580"/>
      <c r="G26" s="583"/>
      <c r="H26" s="580"/>
      <c r="I26" s="550"/>
      <c r="J26" s="550"/>
      <c r="L26" s="572"/>
      <c r="M26" s="572"/>
      <c r="N26" s="550"/>
      <c r="O26" s="550"/>
      <c r="P26" s="550"/>
      <c r="Q26" s="550"/>
      <c r="R26" s="550"/>
      <c r="S26" s="550"/>
      <c r="T26" s="550"/>
      <c r="U26" s="550"/>
      <c r="V26" s="550"/>
    </row>
    <row r="27" spans="1:22" s="574" customFormat="1" ht="13">
      <c r="A27" s="568">
        <f>+A21+1</f>
        <v>6</v>
      </c>
      <c r="B27" s="569" t="s">
        <v>75</v>
      </c>
      <c r="C27" s="586"/>
      <c r="D27" s="580"/>
      <c r="E27" s="580"/>
      <c r="F27" s="580"/>
      <c r="G27" s="583"/>
      <c r="H27" s="580"/>
      <c r="I27" s="587">
        <f>+I21+I19+I17+I15+I13+I23+I25</f>
        <v>47302255.800000004</v>
      </c>
      <c r="J27" s="587">
        <f>+J21+J19+J17+J15+J13+J23+J25</f>
        <v>44632145.350000001</v>
      </c>
      <c r="K27" s="587">
        <f>+K21+K19+K17+K15+K13+K23+K25</f>
        <v>2670110.4500000002</v>
      </c>
      <c r="L27" s="572"/>
      <c r="M27" s="572"/>
      <c r="N27" s="550"/>
      <c r="O27" s="550"/>
      <c r="P27" s="550"/>
      <c r="Q27" s="550"/>
      <c r="R27" s="550"/>
      <c r="S27" s="550"/>
      <c r="T27" s="550"/>
      <c r="U27" s="550"/>
      <c r="V27" s="550"/>
    </row>
    <row r="28" spans="1:22" s="574" customFormat="1" ht="13">
      <c r="A28" s="568"/>
      <c r="B28" s="569"/>
      <c r="C28" s="586"/>
      <c r="D28" s="580"/>
      <c r="E28" s="580"/>
      <c r="F28" s="580"/>
      <c r="G28" s="583"/>
      <c r="H28" s="580"/>
      <c r="I28" s="550"/>
      <c r="J28" s="550"/>
      <c r="K28" s="550"/>
      <c r="L28" s="572"/>
      <c r="M28" s="572"/>
      <c r="N28" s="550"/>
      <c r="O28" s="550"/>
      <c r="P28" s="550"/>
      <c r="Q28" s="550"/>
      <c r="R28" s="550"/>
      <c r="S28" s="550"/>
      <c r="T28" s="550"/>
      <c r="U28" s="550"/>
      <c r="V28" s="550"/>
    </row>
    <row r="29" spans="1:22" s="574" customFormat="1" ht="13">
      <c r="A29" s="568">
        <f>+A27+1</f>
        <v>7</v>
      </c>
      <c r="B29" s="1536" t="s">
        <v>486</v>
      </c>
      <c r="C29" s="1480"/>
      <c r="D29" s="1480"/>
      <c r="E29" s="1480"/>
      <c r="F29" s="1480"/>
      <c r="G29" s="1480"/>
      <c r="H29" s="580"/>
      <c r="I29" s="865"/>
      <c r="J29" s="571">
        <f>+I29-K29</f>
        <v>0</v>
      </c>
      <c r="K29" s="865"/>
      <c r="L29" s="572"/>
      <c r="M29" s="572"/>
      <c r="N29" s="550"/>
      <c r="O29" s="550"/>
      <c r="P29" s="550"/>
      <c r="Q29" s="550"/>
      <c r="R29" s="550"/>
      <c r="S29" s="550"/>
      <c r="T29" s="550"/>
      <c r="U29" s="550"/>
      <c r="V29" s="550"/>
    </row>
    <row r="30" spans="1:22" s="574" customFormat="1" ht="12.5">
      <c r="A30" s="1131"/>
      <c r="B30" s="1480"/>
      <c r="C30" s="1480"/>
      <c r="D30" s="1480"/>
      <c r="E30" s="1480"/>
      <c r="F30" s="1480"/>
      <c r="G30" s="1480"/>
      <c r="H30" s="570"/>
      <c r="I30" s="588"/>
      <c r="J30" s="570"/>
      <c r="K30" s="589"/>
      <c r="L30" s="572"/>
      <c r="M30" s="572"/>
      <c r="N30" s="550"/>
      <c r="O30" s="550"/>
      <c r="P30" s="550"/>
      <c r="Q30" s="550"/>
      <c r="R30" s="550"/>
      <c r="S30" s="550"/>
      <c r="T30" s="550"/>
      <c r="U30" s="550"/>
      <c r="V30" s="550"/>
    </row>
    <row r="31" spans="1:22" s="574" customFormat="1" ht="13">
      <c r="A31" s="568">
        <f>+A29+1</f>
        <v>8</v>
      </c>
      <c r="B31" s="576" t="s">
        <v>216</v>
      </c>
      <c r="C31" s="577"/>
      <c r="D31" s="578"/>
      <c r="E31" s="578"/>
      <c r="F31" s="578"/>
      <c r="G31" s="584"/>
      <c r="H31" s="570"/>
      <c r="I31" s="590">
        <f>SUM(I27:I29)</f>
        <v>47302255.800000004</v>
      </c>
      <c r="J31" s="590">
        <f>SUM(J27:J29)</f>
        <v>44632145.350000001</v>
      </c>
      <c r="K31" s="590">
        <f>SUM(K27:K29)</f>
        <v>2670110.4500000002</v>
      </c>
      <c r="L31" s="572"/>
      <c r="M31" s="572"/>
      <c r="N31" s="550"/>
      <c r="O31" s="550"/>
      <c r="P31" s="550"/>
      <c r="Q31" s="550"/>
      <c r="R31" s="550"/>
      <c r="S31" s="550"/>
      <c r="T31" s="550"/>
      <c r="U31" s="550"/>
      <c r="V31" s="550"/>
    </row>
    <row r="32" spans="1:22" s="574" customFormat="1" ht="13">
      <c r="A32" s="568"/>
      <c r="B32" s="576"/>
      <c r="C32" s="577"/>
      <c r="D32" s="578"/>
      <c r="E32" s="578"/>
      <c r="F32" s="578"/>
      <c r="G32" s="584"/>
      <c r="H32" s="570"/>
      <c r="I32" s="589"/>
      <c r="J32" s="589"/>
      <c r="K32" s="589"/>
      <c r="L32" s="572"/>
      <c r="M32" s="572"/>
      <c r="N32" s="550"/>
      <c r="O32" s="550"/>
      <c r="P32" s="550"/>
      <c r="Q32" s="550"/>
      <c r="R32" s="550"/>
      <c r="S32" s="550"/>
      <c r="T32" s="550"/>
      <c r="U32" s="550"/>
      <c r="V32" s="550"/>
    </row>
    <row r="33" spans="1:41" s="574" customFormat="1" ht="13">
      <c r="A33" s="568"/>
      <c r="B33" s="576"/>
      <c r="C33" s="577"/>
      <c r="D33" s="578"/>
      <c r="E33" s="578"/>
      <c r="F33" s="578"/>
      <c r="G33" s="584"/>
      <c r="H33" s="570"/>
      <c r="I33" s="589"/>
      <c r="J33" s="589"/>
      <c r="K33" s="589"/>
      <c r="L33" s="572"/>
      <c r="M33" s="572"/>
      <c r="N33" s="550"/>
      <c r="O33" s="550"/>
      <c r="P33" s="550"/>
      <c r="Q33" s="550"/>
      <c r="R33" s="550"/>
      <c r="S33" s="550"/>
      <c r="T33" s="550"/>
      <c r="U33" s="550"/>
      <c r="V33" s="550"/>
    </row>
    <row r="34" spans="1:41" s="574" customFormat="1" ht="12.5">
      <c r="A34" s="1142"/>
      <c r="L34" s="572"/>
      <c r="M34" s="572"/>
      <c r="N34" s="550"/>
      <c r="O34" s="550"/>
      <c r="P34" s="550"/>
      <c r="Q34" s="550"/>
      <c r="R34" s="550"/>
      <c r="S34" s="550"/>
      <c r="T34" s="550"/>
      <c r="U34" s="550"/>
      <c r="V34" s="550"/>
    </row>
    <row r="35" spans="1:41">
      <c r="A35" s="1143"/>
      <c r="B35" s="550"/>
      <c r="C35" s="569"/>
      <c r="D35" s="570"/>
      <c r="E35" s="570"/>
      <c r="F35" s="570"/>
      <c r="G35" s="583"/>
      <c r="H35" s="570"/>
      <c r="I35" s="570"/>
      <c r="J35" s="570"/>
      <c r="K35" s="570"/>
      <c r="L35" s="591"/>
      <c r="M35" s="592"/>
      <c r="N35" s="526"/>
      <c r="O35" s="559"/>
      <c r="P35" s="559"/>
      <c r="Q35" s="559"/>
      <c r="R35" s="559"/>
      <c r="S35" s="526"/>
      <c r="T35" s="526"/>
      <c r="U35" s="526"/>
      <c r="V35" s="526"/>
    </row>
    <row r="36" spans="1:41" ht="15" customHeight="1">
      <c r="A36" s="1131" t="s">
        <v>500</v>
      </c>
      <c r="B36" s="1535"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Indiana Michigan Power Company 's general ledger. The functional amounts identified as transmission revenue also come from the general ledger. </v>
      </c>
      <c r="C36" s="1535"/>
      <c r="D36" s="1535"/>
      <c r="E36" s="1535"/>
      <c r="F36" s="1535"/>
      <c r="G36" s="1535"/>
      <c r="H36" s="1535"/>
      <c r="I36" s="1535"/>
      <c r="J36" s="1535"/>
      <c r="K36" s="550"/>
      <c r="L36" s="594"/>
      <c r="M36" s="594"/>
      <c r="N36" s="526"/>
      <c r="O36" s="559"/>
      <c r="P36" s="559"/>
      <c r="Q36" s="559"/>
      <c r="R36" s="559"/>
      <c r="S36" s="526"/>
      <c r="T36" s="562"/>
      <c r="U36" s="526"/>
      <c r="V36" s="526"/>
    </row>
    <row r="37" spans="1:41">
      <c r="A37" s="1131"/>
      <c r="B37" s="1535"/>
      <c r="C37" s="1535"/>
      <c r="D37" s="1535"/>
      <c r="E37" s="1535"/>
      <c r="F37" s="1535"/>
      <c r="G37" s="1535"/>
      <c r="H37" s="1535"/>
      <c r="I37" s="1535"/>
      <c r="J37" s="1535"/>
      <c r="K37" s="550"/>
      <c r="L37" s="525"/>
      <c r="M37" s="595"/>
      <c r="N37" s="595"/>
      <c r="O37" s="595"/>
      <c r="P37" s="595"/>
      <c r="Q37" s="595"/>
      <c r="R37" s="525"/>
      <c r="S37" s="525"/>
      <c r="T37" s="525"/>
      <c r="U37" s="525"/>
      <c r="V37" s="525"/>
      <c r="W37" s="564"/>
      <c r="X37" s="564"/>
      <c r="Y37" s="564"/>
      <c r="Z37" s="564"/>
      <c r="AA37" s="564"/>
      <c r="AB37" s="564"/>
      <c r="AC37" s="564"/>
      <c r="AD37" s="564"/>
      <c r="AE37" s="564"/>
      <c r="AF37" s="564"/>
      <c r="AG37" s="564"/>
      <c r="AH37" s="564"/>
      <c r="AI37" s="564"/>
      <c r="AJ37" s="564"/>
      <c r="AK37" s="564"/>
      <c r="AL37" s="564"/>
      <c r="AM37" s="564"/>
      <c r="AN37" s="564"/>
      <c r="AO37" s="564"/>
    </row>
    <row r="38" spans="1:41">
      <c r="A38" s="1131" t="s">
        <v>625</v>
      </c>
      <c r="B38" s="1140" t="s">
        <v>626</v>
      </c>
      <c r="C38" s="1141"/>
      <c r="D38" s="1141"/>
      <c r="E38" s="1141"/>
      <c r="F38" s="1141"/>
      <c r="G38" s="1141"/>
      <c r="H38" s="1141"/>
      <c r="I38" s="593"/>
      <c r="J38" s="593"/>
      <c r="K38" s="596"/>
      <c r="L38" s="525"/>
      <c r="M38" s="595"/>
      <c r="N38" s="595"/>
      <c r="O38" s="595"/>
      <c r="P38" s="595"/>
      <c r="Q38" s="595"/>
      <c r="R38" s="525"/>
      <c r="S38" s="525"/>
      <c r="T38" s="525"/>
      <c r="U38" s="525"/>
      <c r="V38" s="525"/>
      <c r="W38" s="564"/>
      <c r="X38" s="564"/>
      <c r="Y38" s="564"/>
      <c r="Z38" s="564"/>
      <c r="AA38" s="564"/>
      <c r="AB38" s="564"/>
      <c r="AC38" s="564"/>
      <c r="AD38" s="564"/>
      <c r="AE38" s="564"/>
      <c r="AF38" s="564"/>
      <c r="AG38" s="564"/>
      <c r="AH38" s="564"/>
      <c r="AI38" s="564"/>
      <c r="AJ38" s="564"/>
      <c r="AK38" s="564"/>
      <c r="AL38" s="564"/>
      <c r="AM38" s="564"/>
      <c r="AN38" s="564"/>
      <c r="AO38" s="564"/>
    </row>
    <row r="39" spans="1:41">
      <c r="A39" s="568">
        <f>+A31+1</f>
        <v>9</v>
      </c>
      <c r="B39" s="581" t="s">
        <v>536</v>
      </c>
      <c r="C39" s="550"/>
      <c r="D39" s="570"/>
      <c r="E39" s="570"/>
      <c r="F39" s="570"/>
      <c r="G39" s="583"/>
      <c r="H39" s="570"/>
      <c r="I39" s="589"/>
      <c r="J39" s="589"/>
      <c r="K39" s="865">
        <v>0</v>
      </c>
      <c r="L39" s="525"/>
      <c r="M39" s="595"/>
      <c r="N39" s="595"/>
      <c r="O39" s="595"/>
      <c r="P39" s="595"/>
      <c r="Q39" s="595"/>
      <c r="R39" s="525"/>
      <c r="S39" s="525"/>
      <c r="T39" s="525"/>
      <c r="U39" s="525"/>
      <c r="V39" s="525"/>
      <c r="W39" s="564"/>
      <c r="X39" s="564"/>
      <c r="Y39" s="564"/>
      <c r="Z39" s="564"/>
      <c r="AA39" s="564"/>
      <c r="AB39" s="564"/>
      <c r="AC39" s="564"/>
      <c r="AD39" s="564"/>
      <c r="AE39" s="564"/>
      <c r="AF39" s="564"/>
      <c r="AG39" s="564"/>
      <c r="AH39" s="564"/>
      <c r="AI39" s="564"/>
      <c r="AJ39" s="564"/>
      <c r="AK39" s="564"/>
      <c r="AL39" s="564"/>
      <c r="AM39" s="564"/>
      <c r="AN39" s="564"/>
      <c r="AO39" s="564"/>
    </row>
    <row r="40" spans="1:41">
      <c r="A40" s="526"/>
      <c r="B40" s="525"/>
      <c r="E40" s="595"/>
      <c r="F40" s="595"/>
      <c r="G40" s="595"/>
      <c r="H40" s="595"/>
      <c r="I40" s="597"/>
      <c r="J40" s="595"/>
      <c r="K40" s="595"/>
      <c r="L40" s="525"/>
      <c r="M40" s="595"/>
      <c r="N40" s="595"/>
      <c r="O40" s="595"/>
      <c r="P40" s="595"/>
      <c r="Q40" s="595"/>
      <c r="R40" s="525"/>
      <c r="S40" s="525"/>
      <c r="T40" s="525"/>
      <c r="U40" s="525"/>
      <c r="V40" s="525"/>
      <c r="W40" s="564"/>
      <c r="X40" s="564"/>
      <c r="Y40" s="564"/>
      <c r="Z40" s="564"/>
      <c r="AA40" s="564"/>
      <c r="AB40" s="564"/>
      <c r="AC40" s="564"/>
      <c r="AD40" s="564"/>
      <c r="AE40" s="564"/>
      <c r="AF40" s="564"/>
      <c r="AG40" s="564"/>
      <c r="AH40" s="564"/>
      <c r="AI40" s="564"/>
      <c r="AJ40" s="564"/>
      <c r="AK40" s="564"/>
      <c r="AL40" s="564"/>
      <c r="AM40" s="564"/>
      <c r="AN40" s="564"/>
      <c r="AO40" s="564"/>
    </row>
    <row r="41" spans="1:41">
      <c r="A41" s="526"/>
      <c r="B41" s="525"/>
      <c r="E41" s="595"/>
      <c r="F41" s="595"/>
      <c r="G41" s="595"/>
      <c r="H41" s="595"/>
      <c r="I41" s="595" t="s">
        <v>115</v>
      </c>
      <c r="J41" s="595"/>
      <c r="K41" s="595"/>
      <c r="L41" s="525"/>
      <c r="M41" s="595"/>
      <c r="N41" s="595"/>
      <c r="O41" s="595"/>
      <c r="P41" s="595"/>
      <c r="Q41" s="595"/>
      <c r="R41" s="525"/>
      <c r="S41" s="525"/>
      <c r="T41" s="525"/>
      <c r="U41" s="525"/>
      <c r="V41" s="525"/>
      <c r="W41" s="564"/>
      <c r="X41" s="564"/>
      <c r="Y41" s="564"/>
      <c r="Z41" s="564"/>
      <c r="AA41" s="564"/>
      <c r="AB41" s="564"/>
      <c r="AC41" s="564"/>
      <c r="AD41" s="564"/>
      <c r="AE41" s="564"/>
      <c r="AF41" s="564"/>
      <c r="AG41" s="564"/>
      <c r="AH41" s="564"/>
      <c r="AI41" s="564"/>
      <c r="AJ41" s="564"/>
      <c r="AK41" s="564"/>
      <c r="AL41" s="564"/>
      <c r="AM41" s="564"/>
      <c r="AN41" s="564"/>
      <c r="AO41" s="564"/>
    </row>
    <row r="42" spans="1:41">
      <c r="A42" s="526"/>
      <c r="B42" s="525"/>
      <c r="E42" s="595"/>
      <c r="F42" s="595"/>
      <c r="G42" s="595"/>
      <c r="H42" s="595"/>
      <c r="I42" s="595" t="s">
        <v>115</v>
      </c>
      <c r="J42" s="595"/>
      <c r="K42" s="595"/>
      <c r="L42" s="525"/>
      <c r="M42" s="595"/>
      <c r="N42" s="595"/>
      <c r="O42" s="595"/>
      <c r="P42" s="595"/>
      <c r="Q42" s="595"/>
      <c r="R42" s="525"/>
      <c r="S42" s="525"/>
      <c r="T42" s="525"/>
      <c r="U42" s="525"/>
      <c r="V42" s="525"/>
      <c r="W42" s="564"/>
      <c r="X42" s="564"/>
      <c r="Y42" s="564"/>
      <c r="Z42" s="564"/>
      <c r="AA42" s="564"/>
      <c r="AB42" s="564"/>
      <c r="AC42" s="564"/>
      <c r="AD42" s="564"/>
      <c r="AE42" s="564"/>
      <c r="AF42" s="564"/>
      <c r="AG42" s="564"/>
      <c r="AH42" s="564"/>
      <c r="AI42" s="564"/>
      <c r="AJ42" s="564"/>
      <c r="AK42" s="564"/>
      <c r="AL42" s="564"/>
      <c r="AM42" s="564"/>
      <c r="AN42" s="564"/>
      <c r="AO42" s="564"/>
    </row>
    <row r="43" spans="1:41">
      <c r="A43" s="526"/>
      <c r="B43" s="525"/>
      <c r="E43" s="595"/>
      <c r="F43" s="595"/>
      <c r="G43" s="595"/>
      <c r="H43" s="595"/>
      <c r="I43" s="595"/>
      <c r="J43" s="595"/>
      <c r="K43" s="595"/>
      <c r="L43" s="525"/>
      <c r="M43" s="595"/>
      <c r="N43" s="595"/>
      <c r="O43" s="595"/>
      <c r="P43" s="595"/>
      <c r="Q43" s="595"/>
      <c r="R43" s="525"/>
      <c r="S43" s="525"/>
      <c r="T43" s="525"/>
      <c r="U43" s="525"/>
      <c r="V43" s="525"/>
      <c r="W43" s="564"/>
      <c r="X43" s="564"/>
      <c r="Y43" s="564"/>
      <c r="Z43" s="564"/>
      <c r="AA43" s="564"/>
      <c r="AB43" s="564"/>
      <c r="AC43" s="564"/>
      <c r="AD43" s="564"/>
      <c r="AE43" s="564"/>
      <c r="AF43" s="564"/>
      <c r="AG43" s="564"/>
      <c r="AH43" s="564"/>
      <c r="AI43" s="564"/>
      <c r="AJ43" s="564"/>
      <c r="AK43" s="564"/>
      <c r="AL43" s="564"/>
      <c r="AM43" s="564"/>
      <c r="AN43" s="564"/>
      <c r="AO43" s="564"/>
    </row>
    <row r="44" spans="1:41">
      <c r="A44" s="526"/>
      <c r="B44" s="525"/>
      <c r="E44" s="595"/>
      <c r="F44" s="595"/>
      <c r="G44" s="595"/>
      <c r="H44" s="595"/>
      <c r="I44" s="595"/>
      <c r="J44" s="595"/>
      <c r="K44" s="595"/>
      <c r="L44" s="525"/>
      <c r="M44" s="595"/>
      <c r="N44" s="595"/>
      <c r="O44" s="595"/>
      <c r="P44" s="595"/>
      <c r="Q44" s="595"/>
      <c r="R44" s="525"/>
      <c r="S44" s="525"/>
      <c r="T44" s="525"/>
      <c r="U44" s="525"/>
      <c r="V44" s="525"/>
      <c r="W44" s="564"/>
      <c r="X44" s="564"/>
      <c r="Y44" s="564"/>
      <c r="Z44" s="564"/>
      <c r="AA44" s="564"/>
      <c r="AB44" s="564"/>
      <c r="AC44" s="564"/>
      <c r="AD44" s="564"/>
      <c r="AE44" s="564"/>
      <c r="AF44" s="564"/>
      <c r="AG44" s="564"/>
      <c r="AH44" s="564"/>
      <c r="AI44" s="564"/>
      <c r="AJ44" s="564"/>
      <c r="AK44" s="564"/>
      <c r="AL44" s="564"/>
      <c r="AM44" s="564"/>
      <c r="AN44" s="564"/>
      <c r="AO44" s="564"/>
    </row>
    <row r="45" spans="1:41">
      <c r="A45" s="526"/>
      <c r="B45" s="525"/>
      <c r="E45" s="595"/>
      <c r="F45" s="595"/>
      <c r="G45" s="595"/>
      <c r="H45" s="595"/>
      <c r="I45" s="595"/>
      <c r="J45" s="595"/>
      <c r="K45" s="595"/>
      <c r="L45" s="525"/>
      <c r="M45" s="595"/>
      <c r="N45" s="595"/>
      <c r="O45" s="595"/>
      <c r="P45" s="595"/>
      <c r="Q45" s="595"/>
      <c r="R45" s="525"/>
      <c r="S45" s="525"/>
      <c r="T45" s="525"/>
      <c r="U45" s="525"/>
      <c r="V45" s="525"/>
      <c r="W45" s="564"/>
      <c r="X45" s="564"/>
      <c r="Y45" s="564"/>
      <c r="Z45" s="564"/>
      <c r="AA45" s="564"/>
      <c r="AB45" s="564"/>
      <c r="AC45" s="564"/>
      <c r="AD45" s="564"/>
      <c r="AE45" s="564"/>
      <c r="AF45" s="564"/>
      <c r="AG45" s="564"/>
      <c r="AH45" s="564"/>
      <c r="AI45" s="564"/>
      <c r="AJ45" s="564"/>
      <c r="AK45" s="564"/>
      <c r="AL45" s="564"/>
      <c r="AM45" s="564"/>
      <c r="AN45" s="564"/>
      <c r="AO45" s="564"/>
    </row>
    <row r="46" spans="1:41">
      <c r="A46" s="526"/>
      <c r="B46" s="525"/>
      <c r="E46" s="595"/>
      <c r="F46" s="595"/>
      <c r="G46" s="595"/>
      <c r="H46" s="595"/>
      <c r="I46" s="595"/>
      <c r="J46" s="595"/>
      <c r="K46" s="595"/>
      <c r="L46" s="525"/>
      <c r="M46" s="595"/>
      <c r="N46" s="595"/>
      <c r="O46" s="595"/>
      <c r="P46" s="595"/>
      <c r="Q46" s="595"/>
      <c r="R46" s="525"/>
      <c r="S46" s="525"/>
      <c r="T46" s="525"/>
      <c r="U46" s="525"/>
      <c r="V46" s="525"/>
      <c r="W46" s="564"/>
      <c r="X46" s="564"/>
      <c r="Y46" s="564"/>
      <c r="Z46" s="564"/>
      <c r="AA46" s="564"/>
      <c r="AB46" s="564"/>
      <c r="AC46" s="564"/>
      <c r="AD46" s="564"/>
      <c r="AE46" s="564"/>
      <c r="AF46" s="564"/>
      <c r="AG46" s="564"/>
      <c r="AH46" s="564"/>
      <c r="AI46" s="564"/>
      <c r="AJ46" s="564"/>
      <c r="AK46" s="564"/>
      <c r="AL46" s="564"/>
      <c r="AM46" s="564"/>
      <c r="AN46" s="564"/>
      <c r="AO46" s="564"/>
    </row>
    <row r="47" spans="1:41">
      <c r="A47" s="526"/>
      <c r="B47" s="525"/>
      <c r="E47" s="595"/>
      <c r="F47" s="595"/>
      <c r="G47" s="595"/>
      <c r="H47" s="595"/>
      <c r="I47" s="595"/>
      <c r="J47" s="595"/>
      <c r="K47" s="595"/>
      <c r="L47" s="525"/>
      <c r="M47" s="595"/>
      <c r="N47" s="595"/>
      <c r="O47" s="595"/>
      <c r="P47" s="595"/>
      <c r="Q47" s="595"/>
      <c r="R47" s="525"/>
      <c r="S47" s="525"/>
      <c r="T47" s="525"/>
      <c r="U47" s="525"/>
      <c r="V47" s="525"/>
      <c r="W47" s="564"/>
      <c r="X47" s="564"/>
      <c r="Y47" s="564"/>
      <c r="Z47" s="564"/>
      <c r="AA47" s="564"/>
      <c r="AB47" s="564"/>
      <c r="AC47" s="564"/>
      <c r="AD47" s="564"/>
      <c r="AE47" s="564"/>
      <c r="AF47" s="564"/>
      <c r="AG47" s="564"/>
      <c r="AH47" s="564"/>
      <c r="AI47" s="564"/>
      <c r="AJ47" s="564"/>
      <c r="AK47" s="564"/>
      <c r="AL47" s="564"/>
      <c r="AM47" s="564"/>
      <c r="AN47" s="564"/>
      <c r="AO47" s="564"/>
    </row>
    <row r="48" spans="1:41">
      <c r="A48" s="526"/>
      <c r="B48" s="525"/>
      <c r="E48" s="595"/>
      <c r="F48" s="595"/>
      <c r="G48" s="595"/>
      <c r="H48" s="595"/>
      <c r="I48" s="595"/>
      <c r="J48" s="595"/>
      <c r="K48" s="595"/>
      <c r="L48" s="525"/>
      <c r="M48" s="595"/>
      <c r="N48" s="595"/>
      <c r="O48" s="595"/>
      <c r="P48" s="595"/>
      <c r="Q48" s="595"/>
      <c r="R48" s="525"/>
      <c r="S48" s="525"/>
      <c r="T48" s="525"/>
      <c r="U48" s="525"/>
      <c r="V48" s="525"/>
      <c r="W48" s="564"/>
      <c r="X48" s="564"/>
      <c r="Y48" s="564"/>
      <c r="Z48" s="564"/>
      <c r="AA48" s="564"/>
      <c r="AB48" s="564"/>
      <c r="AC48" s="564"/>
      <c r="AD48" s="564"/>
      <c r="AE48" s="564"/>
      <c r="AF48" s="564"/>
      <c r="AG48" s="564"/>
      <c r="AH48" s="564"/>
      <c r="AI48" s="564"/>
      <c r="AJ48" s="564"/>
      <c r="AK48" s="564"/>
      <c r="AL48" s="564"/>
      <c r="AM48" s="564"/>
      <c r="AN48" s="564"/>
      <c r="AO48" s="564"/>
    </row>
    <row r="49" spans="1:41">
      <c r="I49" s="595"/>
      <c r="J49" s="595"/>
      <c r="K49" s="595"/>
      <c r="L49" s="525"/>
      <c r="M49" s="595"/>
      <c r="N49" s="595"/>
      <c r="O49" s="595"/>
      <c r="P49" s="595"/>
      <c r="Q49" s="595"/>
      <c r="R49" s="525"/>
      <c r="S49" s="525"/>
      <c r="T49" s="525"/>
      <c r="U49" s="525"/>
      <c r="V49" s="525"/>
      <c r="W49" s="564"/>
      <c r="X49" s="564"/>
      <c r="Y49" s="564"/>
      <c r="Z49" s="564"/>
      <c r="AA49" s="564"/>
      <c r="AB49" s="564"/>
      <c r="AC49" s="564"/>
      <c r="AD49" s="564"/>
      <c r="AE49" s="564"/>
      <c r="AF49" s="564"/>
      <c r="AG49" s="564"/>
      <c r="AH49" s="564"/>
      <c r="AI49" s="564"/>
      <c r="AJ49" s="564"/>
      <c r="AK49" s="564"/>
      <c r="AL49" s="564"/>
      <c r="AM49" s="564"/>
      <c r="AN49" s="564"/>
      <c r="AO49" s="564"/>
    </row>
    <row r="50" spans="1:41">
      <c r="A50" s="526"/>
      <c r="B50" s="525"/>
      <c r="E50" s="595"/>
      <c r="F50" s="595"/>
      <c r="G50" s="595"/>
      <c r="H50" s="595"/>
      <c r="I50" s="595"/>
      <c r="J50" s="595"/>
      <c r="K50" s="595"/>
      <c r="L50" s="525"/>
      <c r="M50" s="595"/>
      <c r="N50" s="595"/>
      <c r="O50" s="595"/>
      <c r="P50" s="595"/>
      <c r="Q50" s="595"/>
      <c r="R50" s="525"/>
      <c r="S50" s="525"/>
      <c r="T50" s="525"/>
      <c r="U50" s="525"/>
      <c r="V50" s="525"/>
      <c r="W50" s="564"/>
      <c r="X50" s="564"/>
      <c r="Y50" s="564"/>
      <c r="Z50" s="564"/>
      <c r="AA50" s="564"/>
      <c r="AB50" s="564"/>
      <c r="AC50" s="564"/>
      <c r="AD50" s="564"/>
      <c r="AE50" s="564"/>
      <c r="AF50" s="564"/>
      <c r="AG50" s="564"/>
      <c r="AH50" s="564"/>
      <c r="AI50" s="564"/>
      <c r="AJ50" s="564"/>
      <c r="AK50" s="564"/>
      <c r="AL50" s="564"/>
      <c r="AM50" s="564"/>
      <c r="AN50" s="564"/>
      <c r="AO50" s="564"/>
    </row>
    <row r="51" spans="1:41">
      <c r="A51" s="526"/>
      <c r="B51" s="525"/>
      <c r="E51" s="595"/>
      <c r="F51" s="595"/>
      <c r="G51" s="595"/>
      <c r="H51" s="595"/>
      <c r="I51" s="595"/>
      <c r="J51" s="595"/>
      <c r="K51" s="595"/>
      <c r="L51" s="525"/>
      <c r="M51" s="595"/>
      <c r="N51" s="595"/>
      <c r="O51" s="595"/>
      <c r="P51" s="595"/>
      <c r="Q51" s="595"/>
      <c r="R51" s="525"/>
      <c r="S51" s="525"/>
      <c r="T51" s="525"/>
      <c r="U51" s="525"/>
      <c r="V51" s="525"/>
      <c r="W51" s="564"/>
      <c r="X51" s="564"/>
      <c r="Y51" s="564"/>
      <c r="Z51" s="564"/>
      <c r="AA51" s="564"/>
      <c r="AB51" s="564"/>
      <c r="AC51" s="564"/>
      <c r="AD51" s="564"/>
      <c r="AE51" s="564"/>
      <c r="AF51" s="564"/>
      <c r="AG51" s="564"/>
      <c r="AH51" s="564"/>
      <c r="AI51" s="564"/>
      <c r="AJ51" s="564"/>
      <c r="AK51" s="564"/>
      <c r="AL51" s="564"/>
      <c r="AM51" s="564"/>
      <c r="AN51" s="564"/>
      <c r="AO51" s="564"/>
    </row>
    <row r="52" spans="1:41">
      <c r="A52" s="526"/>
      <c r="B52" s="525"/>
      <c r="E52" s="595"/>
      <c r="F52" s="595"/>
      <c r="G52" s="595"/>
      <c r="H52" s="595"/>
      <c r="I52" s="595"/>
      <c r="J52" s="595"/>
      <c r="K52" s="595"/>
      <c r="L52" s="525"/>
      <c r="M52" s="595"/>
      <c r="N52" s="595"/>
      <c r="O52" s="595"/>
      <c r="P52" s="595"/>
      <c r="Q52" s="595"/>
      <c r="R52" s="525"/>
      <c r="S52" s="525"/>
      <c r="T52" s="525"/>
      <c r="U52" s="525"/>
      <c r="V52" s="525"/>
      <c r="W52" s="564"/>
      <c r="X52" s="564"/>
      <c r="Y52" s="564"/>
      <c r="Z52" s="564"/>
      <c r="AA52" s="564"/>
      <c r="AB52" s="564"/>
      <c r="AC52" s="564"/>
      <c r="AD52" s="564"/>
      <c r="AE52" s="564"/>
      <c r="AF52" s="564"/>
      <c r="AG52" s="564"/>
      <c r="AH52" s="564"/>
      <c r="AI52" s="564"/>
      <c r="AJ52" s="564"/>
      <c r="AK52" s="564"/>
      <c r="AL52" s="564"/>
      <c r="AM52" s="564"/>
      <c r="AN52" s="564"/>
      <c r="AO52" s="564"/>
    </row>
    <row r="53" spans="1:41">
      <c r="A53" s="526"/>
      <c r="B53" s="525"/>
      <c r="E53" s="595"/>
      <c r="F53" s="595"/>
      <c r="G53" s="595"/>
      <c r="H53" s="595"/>
      <c r="I53" s="595"/>
      <c r="J53" s="595"/>
      <c r="K53" s="595"/>
      <c r="L53" s="525"/>
      <c r="M53" s="595"/>
      <c r="N53" s="595"/>
      <c r="O53" s="595"/>
      <c r="P53" s="595"/>
      <c r="Q53" s="595"/>
      <c r="R53" s="525"/>
      <c r="S53" s="525"/>
      <c r="T53" s="525"/>
      <c r="U53" s="525"/>
      <c r="V53" s="525"/>
      <c r="W53" s="564"/>
      <c r="X53" s="564"/>
      <c r="Y53" s="564"/>
      <c r="Z53" s="564"/>
      <c r="AA53" s="564"/>
      <c r="AB53" s="564"/>
      <c r="AC53" s="564"/>
      <c r="AD53" s="564"/>
      <c r="AE53" s="564"/>
      <c r="AF53" s="564"/>
      <c r="AG53" s="564"/>
      <c r="AH53" s="564"/>
      <c r="AI53" s="564"/>
      <c r="AJ53" s="564"/>
      <c r="AK53" s="564"/>
      <c r="AL53" s="564"/>
      <c r="AM53" s="564"/>
      <c r="AN53" s="564"/>
      <c r="AO53" s="564"/>
    </row>
    <row r="54" spans="1:41">
      <c r="A54" s="526"/>
      <c r="B54" s="525"/>
      <c r="E54" s="595"/>
      <c r="F54" s="595"/>
      <c r="G54" s="595"/>
      <c r="H54" s="595"/>
      <c r="I54" s="595"/>
      <c r="J54" s="595"/>
      <c r="K54" s="595"/>
      <c r="L54" s="525"/>
      <c r="M54" s="595"/>
      <c r="N54" s="595"/>
      <c r="O54" s="595"/>
      <c r="P54" s="595"/>
      <c r="Q54" s="595"/>
      <c r="R54" s="525"/>
      <c r="S54" s="525"/>
      <c r="T54" s="525"/>
      <c r="U54" s="525"/>
      <c r="V54" s="525"/>
      <c r="W54" s="564"/>
      <c r="X54" s="564"/>
      <c r="Y54" s="564"/>
      <c r="Z54" s="564"/>
      <c r="AA54" s="564"/>
      <c r="AB54" s="564"/>
      <c r="AC54" s="564"/>
      <c r="AD54" s="564"/>
      <c r="AE54" s="564"/>
      <c r="AF54" s="564"/>
      <c r="AG54" s="564"/>
      <c r="AH54" s="564"/>
      <c r="AI54" s="564"/>
      <c r="AJ54" s="564"/>
      <c r="AK54" s="564"/>
      <c r="AL54" s="564"/>
      <c r="AM54" s="564"/>
      <c r="AN54" s="564"/>
      <c r="AO54" s="564"/>
    </row>
    <row r="55" spans="1:41">
      <c r="A55" s="526"/>
      <c r="B55" s="525"/>
      <c r="E55" s="595"/>
      <c r="F55" s="595"/>
      <c r="G55" s="595"/>
      <c r="H55" s="595"/>
      <c r="I55" s="595"/>
      <c r="J55" s="595"/>
      <c r="K55" s="595"/>
      <c r="L55" s="525"/>
      <c r="M55" s="595"/>
      <c r="N55" s="595"/>
      <c r="O55" s="595"/>
      <c r="P55" s="595"/>
      <c r="Q55" s="595"/>
      <c r="R55" s="525"/>
      <c r="S55" s="525"/>
      <c r="T55" s="525"/>
      <c r="U55" s="525"/>
      <c r="V55" s="525"/>
      <c r="W55" s="564"/>
      <c r="X55" s="564"/>
      <c r="Y55" s="564"/>
      <c r="Z55" s="564"/>
      <c r="AA55" s="564"/>
      <c r="AB55" s="564"/>
      <c r="AC55" s="564"/>
      <c r="AD55" s="564"/>
      <c r="AE55" s="564"/>
      <c r="AF55" s="564"/>
      <c r="AG55" s="564"/>
      <c r="AH55" s="564"/>
      <c r="AI55" s="564"/>
      <c r="AJ55" s="564"/>
      <c r="AK55" s="564"/>
      <c r="AL55" s="564"/>
      <c r="AM55" s="564"/>
      <c r="AN55" s="564"/>
      <c r="AO55" s="564"/>
    </row>
    <row r="56" spans="1:41">
      <c r="A56" s="526"/>
      <c r="B56" s="525"/>
      <c r="E56" s="595"/>
      <c r="F56" s="595"/>
      <c r="G56" s="595"/>
      <c r="H56" s="595"/>
      <c r="I56" s="595"/>
      <c r="J56" s="595"/>
      <c r="K56" s="595"/>
      <c r="L56" s="525"/>
      <c r="M56" s="595"/>
      <c r="N56" s="595"/>
      <c r="O56" s="595"/>
      <c r="P56" s="595"/>
      <c r="Q56" s="595"/>
      <c r="R56" s="525"/>
      <c r="S56" s="525"/>
      <c r="T56" s="525"/>
      <c r="U56" s="525"/>
      <c r="V56" s="525"/>
      <c r="W56" s="564"/>
      <c r="X56" s="564"/>
      <c r="Y56" s="564"/>
      <c r="Z56" s="564"/>
      <c r="AA56" s="564"/>
      <c r="AB56" s="564"/>
      <c r="AC56" s="564"/>
      <c r="AD56" s="564"/>
      <c r="AE56" s="564"/>
      <c r="AF56" s="564"/>
      <c r="AG56" s="564"/>
      <c r="AH56" s="564"/>
      <c r="AI56" s="564"/>
      <c r="AJ56" s="564"/>
      <c r="AK56" s="564"/>
      <c r="AL56" s="564"/>
      <c r="AM56" s="564"/>
      <c r="AN56" s="564"/>
      <c r="AO56" s="564"/>
    </row>
    <row r="57" spans="1:41">
      <c r="A57" s="526"/>
      <c r="B57" s="525"/>
      <c r="E57" s="595"/>
      <c r="F57" s="595"/>
      <c r="G57" s="595"/>
      <c r="H57" s="595"/>
      <c r="I57" s="595"/>
      <c r="J57" s="595"/>
      <c r="K57" s="595"/>
      <c r="L57" s="525"/>
      <c r="M57" s="595"/>
      <c r="N57" s="595"/>
      <c r="O57" s="595"/>
      <c r="P57" s="595"/>
      <c r="Q57" s="595"/>
      <c r="R57" s="525"/>
      <c r="S57" s="525"/>
      <c r="T57" s="525"/>
      <c r="U57" s="525"/>
      <c r="V57" s="525"/>
      <c r="W57" s="564"/>
      <c r="X57" s="564"/>
      <c r="Y57" s="564"/>
      <c r="Z57" s="564"/>
      <c r="AA57" s="564"/>
      <c r="AB57" s="564"/>
      <c r="AC57" s="564"/>
      <c r="AD57" s="564"/>
      <c r="AE57" s="564"/>
      <c r="AF57" s="564"/>
      <c r="AG57" s="564"/>
      <c r="AH57" s="564"/>
      <c r="AI57" s="564"/>
      <c r="AJ57" s="564"/>
      <c r="AK57" s="564"/>
      <c r="AL57" s="564"/>
      <c r="AM57" s="564"/>
      <c r="AN57" s="564"/>
      <c r="AO57" s="564"/>
    </row>
    <row r="58" spans="1:41">
      <c r="A58" s="526"/>
      <c r="B58" s="525"/>
      <c r="E58" s="595"/>
      <c r="F58" s="595"/>
      <c r="G58" s="595"/>
      <c r="H58" s="595"/>
      <c r="I58" s="595"/>
      <c r="J58" s="595"/>
      <c r="K58" s="595"/>
      <c r="L58" s="525"/>
      <c r="M58" s="595"/>
      <c r="N58" s="595"/>
      <c r="O58" s="595"/>
      <c r="P58" s="595"/>
      <c r="Q58" s="595"/>
      <c r="R58" s="525"/>
      <c r="S58" s="525"/>
      <c r="T58" s="525"/>
      <c r="U58" s="525"/>
      <c r="V58" s="525"/>
      <c r="W58" s="564"/>
      <c r="X58" s="564"/>
      <c r="Y58" s="564"/>
      <c r="Z58" s="564"/>
      <c r="AA58" s="564"/>
      <c r="AB58" s="564"/>
      <c r="AC58" s="564"/>
      <c r="AD58" s="564"/>
      <c r="AE58" s="564"/>
      <c r="AF58" s="564"/>
      <c r="AG58" s="564"/>
      <c r="AH58" s="564"/>
      <c r="AI58" s="564"/>
      <c r="AJ58" s="564"/>
      <c r="AK58" s="564"/>
      <c r="AL58" s="564"/>
      <c r="AM58" s="564"/>
      <c r="AN58" s="564"/>
      <c r="AO58" s="564"/>
    </row>
    <row r="59" spans="1:41">
      <c r="A59" s="526"/>
      <c r="B59" s="525"/>
      <c r="E59" s="595"/>
      <c r="F59" s="595"/>
      <c r="G59" s="595"/>
      <c r="H59" s="595"/>
      <c r="I59" s="595"/>
      <c r="J59" s="595"/>
      <c r="K59" s="595"/>
      <c r="L59" s="525"/>
      <c r="M59" s="595"/>
      <c r="N59" s="595"/>
      <c r="O59" s="595"/>
      <c r="P59" s="595"/>
      <c r="Q59" s="595"/>
      <c r="R59" s="525"/>
      <c r="S59" s="525"/>
      <c r="T59" s="525"/>
      <c r="U59" s="525"/>
      <c r="V59" s="525"/>
      <c r="W59" s="564"/>
      <c r="X59" s="564"/>
      <c r="Y59" s="564"/>
      <c r="Z59" s="564"/>
      <c r="AA59" s="564"/>
      <c r="AB59" s="564"/>
      <c r="AC59" s="564"/>
      <c r="AD59" s="564"/>
      <c r="AE59" s="564"/>
      <c r="AF59" s="564"/>
      <c r="AG59" s="564"/>
      <c r="AH59" s="564"/>
      <c r="AI59" s="564"/>
      <c r="AJ59" s="564"/>
      <c r="AK59" s="564"/>
      <c r="AL59" s="564"/>
      <c r="AM59" s="564"/>
      <c r="AN59" s="564"/>
      <c r="AO59" s="564"/>
    </row>
    <row r="60" spans="1:41">
      <c r="A60" s="526"/>
      <c r="B60" s="525"/>
      <c r="E60" s="595"/>
      <c r="F60" s="595"/>
      <c r="G60" s="595"/>
      <c r="H60" s="595"/>
      <c r="I60" s="595"/>
      <c r="J60" s="595"/>
      <c r="K60" s="595"/>
      <c r="L60" s="525"/>
      <c r="M60" s="595"/>
      <c r="N60" s="595"/>
      <c r="O60" s="595"/>
      <c r="P60" s="595"/>
      <c r="Q60" s="595"/>
      <c r="R60" s="525"/>
      <c r="S60" s="525"/>
      <c r="T60" s="525"/>
      <c r="U60" s="525"/>
      <c r="V60" s="525"/>
      <c r="W60" s="564"/>
      <c r="X60" s="564"/>
      <c r="Y60" s="564"/>
      <c r="Z60" s="564"/>
      <c r="AA60" s="564"/>
      <c r="AB60" s="564"/>
      <c r="AC60" s="564"/>
      <c r="AD60" s="564"/>
      <c r="AE60" s="564"/>
      <c r="AF60" s="564"/>
      <c r="AG60" s="564"/>
      <c r="AH60" s="564"/>
      <c r="AI60" s="564"/>
      <c r="AJ60" s="564"/>
      <c r="AK60" s="564"/>
      <c r="AL60" s="564"/>
      <c r="AM60" s="564"/>
      <c r="AN60" s="564"/>
      <c r="AO60" s="564"/>
    </row>
    <row r="61" spans="1:41">
      <c r="A61" s="526"/>
      <c r="B61" s="525"/>
      <c r="E61" s="595"/>
      <c r="F61" s="595"/>
      <c r="G61" s="595"/>
      <c r="H61" s="595"/>
      <c r="I61" s="595"/>
      <c r="J61" s="595"/>
      <c r="K61" s="595"/>
      <c r="L61" s="525"/>
      <c r="M61" s="595"/>
      <c r="N61" s="595"/>
      <c r="O61" s="595"/>
      <c r="P61" s="595"/>
      <c r="Q61" s="595"/>
      <c r="R61" s="525"/>
      <c r="S61" s="525"/>
      <c r="T61" s="525"/>
      <c r="U61" s="525"/>
      <c r="V61" s="525"/>
      <c r="W61" s="564"/>
      <c r="X61" s="564"/>
      <c r="Y61" s="564"/>
      <c r="Z61" s="564"/>
      <c r="AA61" s="564"/>
      <c r="AB61" s="564"/>
      <c r="AC61" s="564"/>
      <c r="AD61" s="564"/>
      <c r="AE61" s="564"/>
      <c r="AF61" s="564"/>
      <c r="AG61" s="564"/>
      <c r="AH61" s="564"/>
      <c r="AI61" s="564"/>
      <c r="AJ61" s="564"/>
      <c r="AK61" s="564"/>
      <c r="AL61" s="564"/>
      <c r="AM61" s="564"/>
      <c r="AN61" s="564"/>
      <c r="AO61" s="564"/>
    </row>
    <row r="62" spans="1:41">
      <c r="A62" s="526"/>
      <c r="B62" s="525"/>
      <c r="E62" s="595"/>
      <c r="F62" s="595"/>
      <c r="G62" s="595"/>
      <c r="H62" s="595"/>
      <c r="I62" s="595"/>
      <c r="J62" s="595"/>
      <c r="K62" s="595"/>
      <c r="L62" s="525"/>
      <c r="M62" s="595"/>
      <c r="N62" s="595"/>
      <c r="O62" s="595"/>
      <c r="P62" s="595"/>
      <c r="Q62" s="595"/>
      <c r="R62" s="525"/>
      <c r="S62" s="525"/>
      <c r="T62" s="525"/>
      <c r="U62" s="525"/>
      <c r="V62" s="525"/>
      <c r="W62" s="564"/>
      <c r="X62" s="564"/>
      <c r="Y62" s="564"/>
      <c r="Z62" s="564"/>
      <c r="AA62" s="564"/>
      <c r="AB62" s="564"/>
      <c r="AC62" s="564"/>
      <c r="AD62" s="564"/>
      <c r="AE62" s="564"/>
      <c r="AF62" s="564"/>
      <c r="AG62" s="564"/>
      <c r="AH62" s="564"/>
      <c r="AI62" s="564"/>
      <c r="AJ62" s="564"/>
      <c r="AK62" s="564"/>
      <c r="AL62" s="564"/>
      <c r="AM62" s="564"/>
      <c r="AN62" s="564"/>
      <c r="AO62" s="564"/>
    </row>
    <row r="63" spans="1:41">
      <c r="A63" s="526"/>
      <c r="B63" s="525"/>
      <c r="E63" s="595"/>
      <c r="F63" s="595"/>
      <c r="G63" s="595"/>
      <c r="H63" s="595"/>
      <c r="I63" s="595"/>
      <c r="J63" s="595"/>
      <c r="K63" s="595"/>
      <c r="L63" s="525"/>
      <c r="M63" s="595"/>
      <c r="N63" s="595"/>
      <c r="O63" s="595"/>
      <c r="P63" s="595"/>
      <c r="Q63" s="595"/>
      <c r="R63" s="525"/>
      <c r="S63" s="525"/>
      <c r="T63" s="525"/>
      <c r="U63" s="525"/>
      <c r="V63" s="525"/>
      <c r="W63" s="564"/>
      <c r="X63" s="564"/>
      <c r="Y63" s="564"/>
      <c r="Z63" s="564"/>
      <c r="AA63" s="564"/>
      <c r="AB63" s="564"/>
      <c r="AC63" s="564"/>
      <c r="AD63" s="564"/>
      <c r="AE63" s="564"/>
      <c r="AF63" s="564"/>
      <c r="AG63" s="564"/>
      <c r="AH63" s="564"/>
      <c r="AI63" s="564"/>
      <c r="AJ63" s="564"/>
      <c r="AK63" s="564"/>
      <c r="AL63" s="564"/>
      <c r="AM63" s="564"/>
      <c r="AN63" s="564"/>
      <c r="AO63" s="564"/>
    </row>
    <row r="64" spans="1:41">
      <c r="A64" s="526"/>
      <c r="B64" s="525"/>
      <c r="E64" s="595"/>
      <c r="F64" s="595"/>
      <c r="G64" s="595"/>
      <c r="H64" s="595"/>
      <c r="I64" s="595"/>
      <c r="J64" s="595"/>
      <c r="K64" s="595"/>
      <c r="L64" s="525"/>
      <c r="M64" s="595"/>
      <c r="N64" s="595"/>
      <c r="O64" s="595"/>
      <c r="P64" s="595"/>
      <c r="Q64" s="595"/>
      <c r="R64" s="525"/>
      <c r="S64" s="525"/>
      <c r="T64" s="525"/>
      <c r="U64" s="525"/>
      <c r="V64" s="525"/>
      <c r="W64" s="564"/>
      <c r="X64" s="564"/>
      <c r="Y64" s="564"/>
      <c r="Z64" s="564"/>
      <c r="AA64" s="564"/>
      <c r="AB64" s="564"/>
      <c r="AC64" s="564"/>
      <c r="AD64" s="564"/>
      <c r="AE64" s="564"/>
      <c r="AF64" s="564"/>
      <c r="AG64" s="564"/>
      <c r="AH64" s="564"/>
      <c r="AI64" s="564"/>
      <c r="AJ64" s="564"/>
      <c r="AK64" s="564"/>
      <c r="AL64" s="564"/>
      <c r="AM64" s="564"/>
      <c r="AN64" s="564"/>
      <c r="AO64" s="564"/>
    </row>
    <row r="65" spans="1:41">
      <c r="A65" s="526"/>
      <c r="B65" s="525"/>
      <c r="E65" s="595"/>
      <c r="F65" s="595"/>
      <c r="G65" s="595"/>
      <c r="H65" s="595"/>
      <c r="I65" s="595"/>
      <c r="J65" s="595"/>
      <c r="K65" s="595"/>
      <c r="L65" s="525"/>
      <c r="M65" s="595"/>
      <c r="N65" s="595"/>
      <c r="O65" s="595"/>
      <c r="P65" s="595"/>
      <c r="Q65" s="595"/>
      <c r="R65" s="525"/>
      <c r="S65" s="525"/>
      <c r="T65" s="525"/>
      <c r="U65" s="525"/>
      <c r="V65" s="525"/>
      <c r="W65" s="564"/>
      <c r="X65" s="564"/>
      <c r="Y65" s="564"/>
      <c r="Z65" s="564"/>
      <c r="AA65" s="564"/>
      <c r="AB65" s="564"/>
      <c r="AC65" s="564"/>
      <c r="AD65" s="564"/>
      <c r="AE65" s="564"/>
      <c r="AF65" s="564"/>
      <c r="AG65" s="564"/>
      <c r="AH65" s="564"/>
      <c r="AI65" s="564"/>
      <c r="AJ65" s="564"/>
      <c r="AK65" s="564"/>
      <c r="AL65" s="564"/>
      <c r="AM65" s="564"/>
      <c r="AN65" s="564"/>
      <c r="AO65" s="564"/>
    </row>
    <row r="66" spans="1:41">
      <c r="A66" s="526"/>
      <c r="B66" s="525"/>
      <c r="E66" s="595"/>
      <c r="F66" s="595"/>
      <c r="G66" s="595"/>
      <c r="H66" s="595"/>
      <c r="I66" s="595"/>
      <c r="J66" s="595"/>
      <c r="K66" s="595"/>
      <c r="L66" s="525"/>
      <c r="M66" s="595"/>
      <c r="N66" s="595"/>
      <c r="O66" s="595"/>
      <c r="P66" s="595"/>
      <c r="Q66" s="595"/>
      <c r="R66" s="525"/>
      <c r="S66" s="525"/>
      <c r="T66" s="525"/>
      <c r="U66" s="525"/>
      <c r="V66" s="525"/>
      <c r="W66" s="564"/>
      <c r="X66" s="564"/>
      <c r="Y66" s="564"/>
      <c r="Z66" s="564"/>
      <c r="AA66" s="564"/>
      <c r="AB66" s="564"/>
      <c r="AC66" s="564"/>
      <c r="AD66" s="564"/>
      <c r="AE66" s="564"/>
      <c r="AF66" s="564"/>
      <c r="AG66" s="564"/>
      <c r="AH66" s="564"/>
      <c r="AI66" s="564"/>
      <c r="AJ66" s="564"/>
      <c r="AK66" s="564"/>
      <c r="AL66" s="564"/>
      <c r="AM66" s="564"/>
      <c r="AN66" s="564"/>
      <c r="AO66" s="564"/>
    </row>
    <row r="67" spans="1:41">
      <c r="A67" s="526"/>
      <c r="B67" s="525"/>
      <c r="E67" s="595"/>
      <c r="F67" s="595"/>
      <c r="G67" s="595"/>
      <c r="H67" s="595"/>
      <c r="I67" s="595"/>
      <c r="J67" s="595"/>
      <c r="K67" s="595"/>
      <c r="L67" s="525"/>
      <c r="M67" s="595"/>
      <c r="N67" s="595"/>
      <c r="O67" s="595"/>
      <c r="P67" s="595"/>
      <c r="Q67" s="595"/>
      <c r="R67" s="525"/>
      <c r="S67" s="525"/>
      <c r="T67" s="525"/>
      <c r="U67" s="525"/>
      <c r="V67" s="525"/>
      <c r="W67" s="564"/>
      <c r="X67" s="564"/>
      <c r="Y67" s="564"/>
      <c r="Z67" s="564"/>
      <c r="AA67" s="564"/>
      <c r="AB67" s="564"/>
      <c r="AC67" s="564"/>
      <c r="AD67" s="564"/>
      <c r="AE67" s="564"/>
      <c r="AF67" s="564"/>
      <c r="AG67" s="564"/>
      <c r="AH67" s="564"/>
      <c r="AI67" s="564"/>
      <c r="AJ67" s="564"/>
      <c r="AK67" s="564"/>
      <c r="AL67" s="564"/>
      <c r="AM67" s="564"/>
      <c r="AN67" s="564"/>
      <c r="AO67" s="564"/>
    </row>
    <row r="68" spans="1:41">
      <c r="A68" s="526"/>
      <c r="B68" s="525"/>
      <c r="E68" s="595"/>
      <c r="F68" s="595"/>
      <c r="G68" s="595"/>
      <c r="H68" s="595"/>
      <c r="I68" s="595"/>
      <c r="J68" s="595"/>
      <c r="K68" s="595"/>
      <c r="L68" s="525"/>
      <c r="M68" s="595"/>
      <c r="N68" s="595"/>
      <c r="O68" s="595"/>
      <c r="P68" s="595"/>
      <c r="Q68" s="595"/>
      <c r="R68" s="525"/>
      <c r="S68" s="525"/>
      <c r="T68" s="525"/>
      <c r="U68" s="525"/>
      <c r="V68" s="525"/>
      <c r="W68" s="564"/>
      <c r="X68" s="564"/>
      <c r="Y68" s="564"/>
      <c r="Z68" s="564"/>
      <c r="AA68" s="564"/>
      <c r="AB68" s="564"/>
      <c r="AC68" s="564"/>
      <c r="AD68" s="564"/>
      <c r="AE68" s="564"/>
      <c r="AF68" s="564"/>
      <c r="AG68" s="564"/>
      <c r="AH68" s="564"/>
      <c r="AI68" s="564"/>
      <c r="AJ68" s="564"/>
      <c r="AK68" s="564"/>
      <c r="AL68" s="564"/>
      <c r="AM68" s="564"/>
      <c r="AN68" s="564"/>
      <c r="AO68" s="564"/>
    </row>
    <row r="69" spans="1:41">
      <c r="A69" s="526"/>
      <c r="B69" s="525"/>
      <c r="E69" s="595"/>
      <c r="F69" s="595"/>
      <c r="G69" s="595"/>
      <c r="H69" s="595"/>
      <c r="I69" s="595"/>
      <c r="J69" s="595"/>
      <c r="K69" s="595"/>
      <c r="L69" s="525"/>
      <c r="M69" s="595"/>
      <c r="N69" s="595"/>
      <c r="O69" s="595"/>
      <c r="P69" s="595"/>
      <c r="Q69" s="595"/>
      <c r="R69" s="525"/>
      <c r="S69" s="525"/>
      <c r="T69" s="525"/>
      <c r="U69" s="525"/>
      <c r="V69" s="525"/>
      <c r="W69" s="564"/>
      <c r="X69" s="564"/>
      <c r="Y69" s="564"/>
      <c r="Z69" s="564"/>
      <c r="AA69" s="564"/>
      <c r="AB69" s="564"/>
      <c r="AC69" s="564"/>
      <c r="AD69" s="564"/>
      <c r="AE69" s="564"/>
      <c r="AF69" s="564"/>
      <c r="AG69" s="564"/>
      <c r="AH69" s="564"/>
      <c r="AI69" s="564"/>
      <c r="AJ69" s="564"/>
      <c r="AK69" s="564"/>
      <c r="AL69" s="564"/>
      <c r="AM69" s="564"/>
      <c r="AN69" s="564"/>
      <c r="AO69" s="564"/>
    </row>
    <row r="70" spans="1:41">
      <c r="A70" s="526"/>
      <c r="B70" s="525"/>
      <c r="E70" s="595"/>
      <c r="F70" s="595"/>
      <c r="G70" s="595"/>
      <c r="H70" s="595"/>
      <c r="I70" s="595"/>
      <c r="J70" s="595"/>
      <c r="K70" s="595"/>
      <c r="L70" s="525"/>
      <c r="M70" s="595"/>
      <c r="N70" s="595"/>
      <c r="O70" s="595"/>
      <c r="P70" s="595"/>
      <c r="Q70" s="595"/>
      <c r="R70" s="525"/>
      <c r="S70" s="525"/>
      <c r="T70" s="525"/>
      <c r="U70" s="525"/>
      <c r="V70" s="525"/>
      <c r="W70" s="564"/>
      <c r="X70" s="564"/>
      <c r="Y70" s="564"/>
      <c r="Z70" s="564"/>
      <c r="AA70" s="564"/>
      <c r="AB70" s="564"/>
      <c r="AC70" s="564"/>
      <c r="AD70" s="564"/>
      <c r="AE70" s="564"/>
      <c r="AF70" s="564"/>
      <c r="AG70" s="564"/>
      <c r="AH70" s="564"/>
      <c r="AI70" s="564"/>
      <c r="AJ70" s="564"/>
      <c r="AK70" s="564"/>
      <c r="AL70" s="564"/>
      <c r="AM70" s="564"/>
      <c r="AN70" s="564"/>
      <c r="AO70" s="564"/>
    </row>
    <row r="71" spans="1:41">
      <c r="A71" s="526"/>
      <c r="B71" s="525"/>
      <c r="E71" s="595"/>
      <c r="F71" s="595"/>
      <c r="G71" s="595"/>
      <c r="H71" s="595"/>
      <c r="I71" s="595"/>
      <c r="J71" s="595"/>
      <c r="K71" s="595"/>
      <c r="L71" s="525"/>
      <c r="M71" s="595"/>
      <c r="N71" s="595"/>
      <c r="O71" s="595"/>
      <c r="P71" s="595"/>
      <c r="Q71" s="595"/>
      <c r="R71" s="525"/>
      <c r="S71" s="525"/>
      <c r="T71" s="525"/>
      <c r="U71" s="525"/>
      <c r="V71" s="525"/>
      <c r="W71" s="564"/>
      <c r="X71" s="564"/>
      <c r="Y71" s="564"/>
      <c r="Z71" s="564"/>
      <c r="AA71" s="564"/>
      <c r="AB71" s="564"/>
      <c r="AC71" s="564"/>
      <c r="AD71" s="564"/>
      <c r="AE71" s="564"/>
      <c r="AF71" s="564"/>
      <c r="AG71" s="564"/>
      <c r="AH71" s="564"/>
      <c r="AI71" s="564"/>
      <c r="AJ71" s="564"/>
      <c r="AK71" s="564"/>
      <c r="AL71" s="564"/>
      <c r="AM71" s="564"/>
      <c r="AN71" s="564"/>
      <c r="AO71" s="564"/>
    </row>
    <row r="72" spans="1:41">
      <c r="A72" s="526"/>
      <c r="B72" s="525"/>
      <c r="E72" s="595"/>
      <c r="F72" s="595"/>
      <c r="G72" s="595"/>
      <c r="H72" s="595"/>
      <c r="I72" s="595"/>
      <c r="J72" s="595"/>
      <c r="K72" s="595"/>
      <c r="L72" s="525"/>
      <c r="M72" s="595"/>
      <c r="N72" s="595"/>
      <c r="O72" s="595"/>
      <c r="P72" s="595"/>
      <c r="Q72" s="595"/>
      <c r="R72" s="525"/>
      <c r="S72" s="525"/>
      <c r="T72" s="525"/>
      <c r="U72" s="525"/>
      <c r="V72" s="525"/>
      <c r="W72" s="564"/>
      <c r="X72" s="564"/>
      <c r="Y72" s="564"/>
      <c r="Z72" s="564"/>
      <c r="AA72" s="564"/>
      <c r="AB72" s="564"/>
      <c r="AC72" s="564"/>
      <c r="AD72" s="564"/>
      <c r="AE72" s="564"/>
      <c r="AF72" s="564"/>
      <c r="AG72" s="564"/>
      <c r="AH72" s="564"/>
      <c r="AI72" s="564"/>
      <c r="AJ72" s="564"/>
      <c r="AK72" s="564"/>
      <c r="AL72" s="564"/>
      <c r="AM72" s="564"/>
      <c r="AN72" s="564"/>
      <c r="AO72" s="564"/>
    </row>
    <row r="73" spans="1:41">
      <c r="A73" s="526"/>
      <c r="B73" s="525"/>
      <c r="E73" s="595"/>
      <c r="F73" s="595"/>
      <c r="G73" s="595"/>
      <c r="H73" s="595"/>
      <c r="I73" s="595"/>
      <c r="J73" s="595"/>
      <c r="K73" s="595"/>
      <c r="L73" s="525"/>
      <c r="M73" s="595"/>
      <c r="N73" s="595"/>
      <c r="O73" s="595"/>
      <c r="P73" s="595"/>
      <c r="Q73" s="595"/>
      <c r="R73" s="525"/>
      <c r="S73" s="525"/>
      <c r="T73" s="525"/>
      <c r="U73" s="525"/>
      <c r="V73" s="525"/>
      <c r="W73" s="564"/>
      <c r="X73" s="564"/>
      <c r="Y73" s="564"/>
      <c r="Z73" s="564"/>
      <c r="AA73" s="564"/>
      <c r="AB73" s="564"/>
      <c r="AC73" s="564"/>
      <c r="AD73" s="564"/>
      <c r="AE73" s="564"/>
      <c r="AF73" s="564"/>
      <c r="AG73" s="564"/>
      <c r="AH73" s="564"/>
      <c r="AI73" s="564"/>
      <c r="AJ73" s="564"/>
      <c r="AK73" s="564"/>
      <c r="AL73" s="564"/>
      <c r="AM73" s="564"/>
      <c r="AN73" s="564"/>
      <c r="AO73" s="564"/>
    </row>
    <row r="74" spans="1:41">
      <c r="A74" s="526"/>
      <c r="B74" s="525"/>
      <c r="E74" s="595"/>
      <c r="F74" s="595"/>
      <c r="G74" s="595"/>
      <c r="H74" s="595"/>
      <c r="I74" s="595"/>
      <c r="J74" s="595"/>
      <c r="K74" s="595"/>
      <c r="L74" s="525"/>
      <c r="M74" s="595"/>
      <c r="N74" s="595"/>
      <c r="O74" s="595"/>
      <c r="P74" s="595"/>
      <c r="Q74" s="595"/>
      <c r="R74" s="525"/>
      <c r="S74" s="525"/>
      <c r="T74" s="525"/>
      <c r="U74" s="525"/>
      <c r="V74" s="525"/>
      <c r="W74" s="564"/>
      <c r="X74" s="564"/>
      <c r="Y74" s="564"/>
      <c r="Z74" s="564"/>
      <c r="AA74" s="564"/>
      <c r="AB74" s="564"/>
      <c r="AC74" s="564"/>
      <c r="AD74" s="564"/>
      <c r="AE74" s="564"/>
      <c r="AF74" s="564"/>
      <c r="AG74" s="564"/>
      <c r="AH74" s="564"/>
      <c r="AI74" s="564"/>
      <c r="AJ74" s="564"/>
      <c r="AK74" s="564"/>
      <c r="AL74" s="564"/>
      <c r="AM74" s="564"/>
      <c r="AN74" s="564"/>
      <c r="AO74" s="564"/>
    </row>
    <row r="75" spans="1:41">
      <c r="A75" s="526"/>
      <c r="B75" s="525"/>
      <c r="E75" s="595"/>
      <c r="F75" s="595"/>
      <c r="G75" s="595"/>
      <c r="H75" s="595"/>
      <c r="I75" s="595"/>
      <c r="J75" s="595"/>
      <c r="K75" s="595"/>
      <c r="L75" s="525"/>
      <c r="M75" s="595"/>
      <c r="N75" s="595"/>
      <c r="O75" s="595"/>
      <c r="P75" s="595"/>
      <c r="Q75" s="595"/>
      <c r="R75" s="525"/>
      <c r="S75" s="525"/>
      <c r="T75" s="525"/>
      <c r="U75" s="525"/>
      <c r="V75" s="525"/>
      <c r="W75" s="564"/>
      <c r="X75" s="564"/>
      <c r="Y75" s="564"/>
      <c r="Z75" s="564"/>
      <c r="AA75" s="564"/>
      <c r="AB75" s="564"/>
      <c r="AC75" s="564"/>
      <c r="AD75" s="564"/>
      <c r="AE75" s="564"/>
      <c r="AF75" s="564"/>
      <c r="AG75" s="564"/>
      <c r="AH75" s="564"/>
      <c r="AI75" s="564"/>
      <c r="AJ75" s="564"/>
      <c r="AK75" s="564"/>
      <c r="AL75" s="564"/>
      <c r="AM75" s="564"/>
      <c r="AN75" s="564"/>
      <c r="AO75" s="564"/>
    </row>
    <row r="76" spans="1:41">
      <c r="A76" s="526"/>
      <c r="B76" s="525"/>
      <c r="E76" s="595"/>
      <c r="F76" s="595"/>
      <c r="G76" s="595"/>
      <c r="H76" s="595"/>
      <c r="I76" s="595"/>
      <c r="J76" s="595"/>
      <c r="K76" s="595"/>
      <c r="L76" s="525"/>
      <c r="M76" s="595"/>
      <c r="N76" s="595"/>
      <c r="O76" s="595"/>
      <c r="P76" s="595"/>
      <c r="Q76" s="595"/>
      <c r="R76" s="525"/>
      <c r="S76" s="525"/>
      <c r="T76" s="525"/>
      <c r="U76" s="525"/>
      <c r="V76" s="525"/>
      <c r="W76" s="564"/>
      <c r="X76" s="564"/>
      <c r="Y76" s="564"/>
      <c r="Z76" s="564"/>
      <c r="AA76" s="564"/>
      <c r="AB76" s="564"/>
      <c r="AC76" s="564"/>
      <c r="AD76" s="564"/>
      <c r="AE76" s="564"/>
      <c r="AF76" s="564"/>
      <c r="AG76" s="564"/>
      <c r="AH76" s="564"/>
      <c r="AI76" s="564"/>
      <c r="AJ76" s="564"/>
      <c r="AK76" s="564"/>
      <c r="AL76" s="564"/>
      <c r="AM76" s="564"/>
      <c r="AN76" s="564"/>
      <c r="AO76" s="564"/>
    </row>
    <row r="77" spans="1:41">
      <c r="A77" s="526"/>
      <c r="B77" s="525"/>
      <c r="E77" s="595"/>
      <c r="F77" s="595"/>
      <c r="G77" s="595"/>
      <c r="H77" s="595"/>
      <c r="I77" s="595"/>
      <c r="J77" s="595"/>
      <c r="K77" s="595"/>
      <c r="L77" s="525"/>
      <c r="M77" s="595"/>
      <c r="N77" s="595"/>
      <c r="O77" s="595"/>
      <c r="P77" s="595"/>
      <c r="Q77" s="595"/>
      <c r="R77" s="525"/>
      <c r="S77" s="525"/>
      <c r="T77" s="525"/>
      <c r="U77" s="525"/>
      <c r="V77" s="525"/>
      <c r="W77" s="564"/>
      <c r="X77" s="564"/>
      <c r="Y77" s="564"/>
      <c r="Z77" s="564"/>
      <c r="AA77" s="564"/>
      <c r="AB77" s="564"/>
      <c r="AC77" s="564"/>
      <c r="AD77" s="564"/>
      <c r="AE77" s="564"/>
      <c r="AF77" s="564"/>
      <c r="AG77" s="564"/>
      <c r="AH77" s="564"/>
      <c r="AI77" s="564"/>
      <c r="AJ77" s="564"/>
      <c r="AK77" s="564"/>
      <c r="AL77" s="564"/>
      <c r="AM77" s="564"/>
      <c r="AN77" s="564"/>
      <c r="AO77" s="564"/>
    </row>
    <row r="78" spans="1:41">
      <c r="A78" s="526"/>
      <c r="B78" s="525"/>
      <c r="E78" s="595"/>
      <c r="F78" s="595"/>
      <c r="G78" s="595"/>
      <c r="H78" s="595"/>
      <c r="I78" s="595"/>
      <c r="J78" s="595"/>
      <c r="K78" s="595"/>
      <c r="L78" s="525"/>
      <c r="M78" s="595"/>
      <c r="N78" s="595"/>
      <c r="O78" s="595"/>
      <c r="P78" s="595"/>
      <c r="Q78" s="595"/>
      <c r="R78" s="525"/>
      <c r="S78" s="525"/>
      <c r="T78" s="525"/>
      <c r="U78" s="525"/>
      <c r="V78" s="525"/>
      <c r="W78" s="564"/>
      <c r="X78" s="564"/>
      <c r="Y78" s="564"/>
      <c r="Z78" s="564"/>
      <c r="AA78" s="564"/>
      <c r="AB78" s="564"/>
      <c r="AC78" s="564"/>
      <c r="AD78" s="564"/>
      <c r="AE78" s="564"/>
      <c r="AF78" s="564"/>
      <c r="AG78" s="564"/>
      <c r="AH78" s="564"/>
      <c r="AI78" s="564"/>
      <c r="AJ78" s="564"/>
      <c r="AK78" s="564"/>
      <c r="AL78" s="564"/>
      <c r="AM78" s="564"/>
      <c r="AN78" s="564"/>
      <c r="AO78" s="564"/>
    </row>
    <row r="79" spans="1:41">
      <c r="A79" s="526"/>
      <c r="B79" s="525"/>
      <c r="E79" s="595"/>
      <c r="F79" s="595"/>
      <c r="G79" s="595"/>
      <c r="H79" s="595"/>
      <c r="I79" s="595"/>
      <c r="J79" s="595"/>
      <c r="K79" s="595"/>
      <c r="L79" s="525"/>
      <c r="M79" s="595"/>
      <c r="N79" s="595"/>
      <c r="O79" s="595"/>
      <c r="P79" s="595"/>
      <c r="Q79" s="595"/>
      <c r="R79" s="525"/>
      <c r="S79" s="525"/>
      <c r="T79" s="525"/>
      <c r="U79" s="525"/>
      <c r="V79" s="525"/>
      <c r="W79" s="564"/>
      <c r="X79" s="564"/>
      <c r="Y79" s="564"/>
      <c r="Z79" s="564"/>
      <c r="AA79" s="564"/>
      <c r="AB79" s="564"/>
      <c r="AC79" s="564"/>
      <c r="AD79" s="564"/>
      <c r="AE79" s="564"/>
      <c r="AF79" s="564"/>
      <c r="AG79" s="564"/>
      <c r="AH79" s="564"/>
      <c r="AI79" s="564"/>
      <c r="AJ79" s="564"/>
      <c r="AK79" s="564"/>
      <c r="AL79" s="564"/>
      <c r="AM79" s="564"/>
      <c r="AN79" s="564"/>
      <c r="AO79" s="564"/>
    </row>
    <row r="80" spans="1:41">
      <c r="A80" s="526"/>
      <c r="B80" s="525"/>
      <c r="E80" s="595"/>
      <c r="F80" s="595"/>
      <c r="G80" s="595"/>
      <c r="H80" s="595"/>
      <c r="I80" s="595"/>
      <c r="J80" s="595"/>
      <c r="K80" s="595"/>
      <c r="L80" s="525"/>
      <c r="M80" s="595"/>
      <c r="N80" s="595"/>
      <c r="O80" s="595"/>
      <c r="P80" s="595"/>
      <c r="Q80" s="595"/>
      <c r="R80" s="525"/>
      <c r="S80" s="525"/>
      <c r="T80" s="525"/>
      <c r="U80" s="525"/>
      <c r="V80" s="525"/>
      <c r="W80" s="564"/>
      <c r="X80" s="564"/>
      <c r="Y80" s="564"/>
      <c r="Z80" s="564"/>
      <c r="AA80" s="564"/>
      <c r="AB80" s="564"/>
      <c r="AC80" s="564"/>
      <c r="AD80" s="564"/>
      <c r="AE80" s="564"/>
      <c r="AF80" s="564"/>
      <c r="AG80" s="564"/>
      <c r="AH80" s="564"/>
      <c r="AI80" s="564"/>
      <c r="AJ80" s="564"/>
      <c r="AK80" s="564"/>
      <c r="AL80" s="564"/>
      <c r="AM80" s="564"/>
      <c r="AN80" s="564"/>
      <c r="AO80" s="564"/>
    </row>
    <row r="81" spans="1:41">
      <c r="A81" s="526"/>
      <c r="B81" s="525"/>
      <c r="E81" s="595"/>
      <c r="F81" s="595"/>
      <c r="G81" s="595"/>
      <c r="H81" s="595"/>
      <c r="I81" s="595"/>
      <c r="J81" s="595"/>
      <c r="K81" s="595"/>
      <c r="L81" s="525"/>
      <c r="M81" s="595"/>
      <c r="N81" s="595"/>
      <c r="O81" s="595"/>
      <c r="P81" s="595"/>
      <c r="Q81" s="595"/>
      <c r="R81" s="525"/>
      <c r="S81" s="525"/>
      <c r="T81" s="525"/>
      <c r="U81" s="525"/>
      <c r="V81" s="525"/>
      <c r="W81" s="564"/>
      <c r="X81" s="564"/>
      <c r="Y81" s="564"/>
      <c r="Z81" s="564"/>
      <c r="AA81" s="564"/>
      <c r="AB81" s="564"/>
      <c r="AC81" s="564"/>
      <c r="AD81" s="564"/>
      <c r="AE81" s="564"/>
      <c r="AF81" s="564"/>
      <c r="AG81" s="564"/>
      <c r="AH81" s="564"/>
      <c r="AI81" s="564"/>
      <c r="AJ81" s="564"/>
      <c r="AK81" s="564"/>
      <c r="AL81" s="564"/>
      <c r="AM81" s="564"/>
      <c r="AN81" s="564"/>
      <c r="AO81" s="564"/>
    </row>
    <row r="82" spans="1:41">
      <c r="A82" s="526"/>
      <c r="B82" s="525"/>
      <c r="E82" s="595"/>
      <c r="F82" s="595"/>
      <c r="G82" s="595"/>
      <c r="H82" s="595"/>
      <c r="I82" s="595"/>
      <c r="J82" s="595"/>
      <c r="K82" s="595"/>
      <c r="L82" s="525"/>
      <c r="M82" s="595"/>
      <c r="N82" s="595"/>
      <c r="O82" s="595"/>
      <c r="P82" s="595"/>
      <c r="Q82" s="595"/>
      <c r="R82" s="525"/>
      <c r="S82" s="525"/>
      <c r="T82" s="525"/>
      <c r="U82" s="525"/>
      <c r="V82" s="525"/>
      <c r="W82" s="564"/>
      <c r="X82" s="564"/>
      <c r="Y82" s="564"/>
      <c r="Z82" s="564"/>
      <c r="AA82" s="564"/>
      <c r="AB82" s="564"/>
      <c r="AC82" s="564"/>
      <c r="AD82" s="564"/>
      <c r="AE82" s="564"/>
      <c r="AF82" s="564"/>
      <c r="AG82" s="564"/>
      <c r="AH82" s="564"/>
      <c r="AI82" s="564"/>
      <c r="AJ82" s="564"/>
      <c r="AK82" s="564"/>
      <c r="AL82" s="564"/>
      <c r="AM82" s="564"/>
      <c r="AN82" s="564"/>
      <c r="AO82" s="564"/>
    </row>
    <row r="83" spans="1:41">
      <c r="A83" s="526"/>
      <c r="B83" s="525"/>
      <c r="E83" s="595"/>
      <c r="F83" s="595"/>
      <c r="G83" s="595"/>
      <c r="H83" s="595"/>
      <c r="I83" s="595"/>
      <c r="J83" s="595"/>
      <c r="K83" s="595"/>
      <c r="L83" s="525"/>
      <c r="M83" s="595"/>
      <c r="N83" s="595"/>
      <c r="O83" s="595"/>
      <c r="P83" s="595"/>
      <c r="Q83" s="595"/>
      <c r="R83" s="525"/>
      <c r="S83" s="525"/>
      <c r="T83" s="525"/>
      <c r="U83" s="525"/>
      <c r="V83" s="525"/>
      <c r="W83" s="564"/>
      <c r="X83" s="564"/>
      <c r="Y83" s="564"/>
      <c r="Z83" s="564"/>
      <c r="AA83" s="564"/>
      <c r="AB83" s="564"/>
      <c r="AC83" s="564"/>
      <c r="AD83" s="564"/>
      <c r="AE83" s="564"/>
      <c r="AF83" s="564"/>
      <c r="AG83" s="564"/>
      <c r="AH83" s="564"/>
      <c r="AI83" s="564"/>
      <c r="AJ83" s="564"/>
      <c r="AK83" s="564"/>
      <c r="AL83" s="564"/>
      <c r="AM83" s="564"/>
      <c r="AN83" s="564"/>
      <c r="AO83" s="564"/>
    </row>
    <row r="84" spans="1:41">
      <c r="A84" s="526"/>
      <c r="B84" s="525"/>
      <c r="E84" s="595"/>
      <c r="F84" s="595"/>
      <c r="G84" s="595"/>
      <c r="H84" s="595"/>
      <c r="I84" s="595"/>
      <c r="J84" s="595"/>
      <c r="K84" s="595"/>
      <c r="L84" s="525"/>
      <c r="M84" s="595"/>
      <c r="N84" s="595"/>
      <c r="O84" s="595"/>
      <c r="P84" s="595"/>
      <c r="Q84" s="595"/>
      <c r="R84" s="525"/>
      <c r="S84" s="525"/>
      <c r="T84" s="525"/>
      <c r="U84" s="525"/>
      <c r="V84" s="525"/>
      <c r="W84" s="564"/>
      <c r="X84" s="564"/>
      <c r="Y84" s="564"/>
      <c r="Z84" s="564"/>
      <c r="AA84" s="564"/>
      <c r="AB84" s="564"/>
      <c r="AC84" s="564"/>
      <c r="AD84" s="564"/>
      <c r="AE84" s="564"/>
      <c r="AF84" s="564"/>
      <c r="AG84" s="564"/>
      <c r="AH84" s="564"/>
      <c r="AI84" s="564"/>
      <c r="AJ84" s="564"/>
      <c r="AK84" s="564"/>
      <c r="AL84" s="564"/>
      <c r="AM84" s="564"/>
      <c r="AN84" s="564"/>
      <c r="AO84" s="564"/>
    </row>
    <row r="85" spans="1:41">
      <c r="A85" s="526"/>
      <c r="B85" s="525"/>
      <c r="E85" s="595"/>
      <c r="F85" s="595"/>
      <c r="G85" s="595"/>
      <c r="H85" s="595"/>
      <c r="I85" s="595"/>
      <c r="J85" s="595"/>
      <c r="K85" s="595"/>
      <c r="L85" s="525"/>
      <c r="M85" s="595"/>
      <c r="N85" s="595"/>
      <c r="O85" s="595"/>
      <c r="P85" s="595"/>
      <c r="Q85" s="595"/>
      <c r="R85" s="525"/>
      <c r="S85" s="525"/>
      <c r="T85" s="525"/>
      <c r="U85" s="525"/>
      <c r="V85" s="525"/>
      <c r="W85" s="564"/>
      <c r="X85" s="564"/>
      <c r="Y85" s="564"/>
      <c r="Z85" s="564"/>
      <c r="AA85" s="564"/>
      <c r="AB85" s="564"/>
      <c r="AC85" s="564"/>
      <c r="AD85" s="564"/>
      <c r="AE85" s="564"/>
      <c r="AF85" s="564"/>
      <c r="AG85" s="564"/>
      <c r="AH85" s="564"/>
      <c r="AI85" s="564"/>
      <c r="AJ85" s="564"/>
      <c r="AK85" s="564"/>
      <c r="AL85" s="564"/>
      <c r="AM85" s="564"/>
      <c r="AN85" s="564"/>
      <c r="AO85" s="564"/>
    </row>
    <row r="86" spans="1:41">
      <c r="A86" s="526"/>
      <c r="B86" s="525"/>
      <c r="E86" s="595"/>
      <c r="F86" s="595"/>
      <c r="G86" s="595"/>
      <c r="H86" s="595"/>
      <c r="I86" s="595"/>
      <c r="J86" s="595"/>
      <c r="K86" s="595"/>
      <c r="L86" s="525"/>
      <c r="M86" s="595"/>
      <c r="N86" s="595"/>
      <c r="O86" s="595"/>
      <c r="P86" s="595"/>
      <c r="Q86" s="595"/>
      <c r="R86" s="525"/>
      <c r="S86" s="525"/>
      <c r="T86" s="525"/>
      <c r="U86" s="525"/>
      <c r="V86" s="525"/>
      <c r="W86" s="564"/>
      <c r="X86" s="564"/>
      <c r="Y86" s="564"/>
      <c r="Z86" s="564"/>
      <c r="AA86" s="564"/>
      <c r="AB86" s="564"/>
      <c r="AC86" s="564"/>
      <c r="AD86" s="564"/>
      <c r="AE86" s="564"/>
      <c r="AF86" s="564"/>
      <c r="AG86" s="564"/>
      <c r="AH86" s="564"/>
      <c r="AI86" s="564"/>
      <c r="AJ86" s="564"/>
      <c r="AK86" s="564"/>
      <c r="AL86" s="564"/>
      <c r="AM86" s="564"/>
      <c r="AN86" s="564"/>
      <c r="AO86" s="564"/>
    </row>
    <row r="87" spans="1:41">
      <c r="A87" s="526"/>
      <c r="B87" s="525"/>
      <c r="E87" s="595"/>
      <c r="F87" s="595"/>
      <c r="G87" s="595"/>
      <c r="H87" s="595"/>
      <c r="I87" s="595"/>
      <c r="J87" s="595"/>
      <c r="K87" s="595"/>
      <c r="L87" s="525"/>
      <c r="M87" s="595"/>
      <c r="N87" s="595"/>
      <c r="O87" s="595"/>
      <c r="P87" s="595"/>
      <c r="Q87" s="595"/>
      <c r="R87" s="525"/>
      <c r="S87" s="525"/>
      <c r="T87" s="525"/>
      <c r="U87" s="525"/>
      <c r="V87" s="525"/>
      <c r="W87" s="564"/>
      <c r="X87" s="564"/>
      <c r="Y87" s="564"/>
      <c r="Z87" s="564"/>
      <c r="AA87" s="564"/>
      <c r="AB87" s="564"/>
      <c r="AC87" s="564"/>
      <c r="AD87" s="564"/>
      <c r="AE87" s="564"/>
      <c r="AF87" s="564"/>
      <c r="AG87" s="564"/>
      <c r="AH87" s="564"/>
      <c r="AI87" s="564"/>
      <c r="AJ87" s="564"/>
      <c r="AK87" s="564"/>
      <c r="AL87" s="564"/>
      <c r="AM87" s="564"/>
      <c r="AN87" s="564"/>
      <c r="AO87" s="564"/>
    </row>
    <row r="88" spans="1:41">
      <c r="A88" s="526"/>
      <c r="B88" s="525"/>
      <c r="E88" s="595"/>
      <c r="F88" s="595"/>
      <c r="G88" s="595"/>
      <c r="H88" s="595"/>
      <c r="I88" s="595"/>
      <c r="J88" s="595"/>
      <c r="K88" s="595"/>
      <c r="L88" s="525"/>
      <c r="M88" s="595"/>
      <c r="N88" s="595"/>
      <c r="O88" s="595"/>
      <c r="P88" s="595"/>
      <c r="Q88" s="595"/>
      <c r="R88" s="525"/>
      <c r="S88" s="525"/>
      <c r="T88" s="525"/>
      <c r="U88" s="525"/>
      <c r="V88" s="525"/>
      <c r="W88" s="564"/>
      <c r="X88" s="564"/>
      <c r="Y88" s="564"/>
      <c r="Z88" s="564"/>
      <c r="AA88" s="564"/>
      <c r="AB88" s="564"/>
      <c r="AC88" s="564"/>
      <c r="AD88" s="564"/>
      <c r="AE88" s="564"/>
      <c r="AF88" s="564"/>
      <c r="AG88" s="564"/>
      <c r="AH88" s="564"/>
      <c r="AI88" s="564"/>
      <c r="AJ88" s="564"/>
      <c r="AK88" s="564"/>
      <c r="AL88" s="564"/>
      <c r="AM88" s="564"/>
      <c r="AN88" s="564"/>
      <c r="AO88" s="564"/>
    </row>
    <row r="89" spans="1:41">
      <c r="A89" s="526"/>
      <c r="B89" s="525"/>
      <c r="E89" s="595"/>
      <c r="F89" s="595"/>
      <c r="G89" s="595"/>
      <c r="H89" s="595"/>
      <c r="I89" s="595"/>
      <c r="J89" s="595"/>
      <c r="K89" s="595"/>
      <c r="L89" s="525"/>
      <c r="M89" s="595"/>
      <c r="N89" s="595"/>
      <c r="O89" s="595"/>
      <c r="P89" s="595"/>
      <c r="Q89" s="595"/>
      <c r="R89" s="525"/>
      <c r="S89" s="525"/>
      <c r="T89" s="525"/>
      <c r="U89" s="525"/>
      <c r="V89" s="525"/>
      <c r="W89" s="564"/>
      <c r="X89" s="564"/>
      <c r="Y89" s="564"/>
      <c r="Z89" s="564"/>
      <c r="AA89" s="564"/>
      <c r="AB89" s="564"/>
      <c r="AC89" s="564"/>
      <c r="AD89" s="564"/>
      <c r="AE89" s="564"/>
      <c r="AF89" s="564"/>
      <c r="AG89" s="564"/>
      <c r="AH89" s="564"/>
      <c r="AI89" s="564"/>
      <c r="AJ89" s="564"/>
      <c r="AK89" s="564"/>
      <c r="AL89" s="564"/>
      <c r="AM89" s="564"/>
      <c r="AN89" s="564"/>
      <c r="AO89" s="564"/>
    </row>
    <row r="90" spans="1:41">
      <c r="A90" s="526"/>
      <c r="B90" s="525"/>
      <c r="E90" s="595"/>
      <c r="F90" s="595"/>
      <c r="G90" s="595"/>
      <c r="H90" s="595"/>
      <c r="I90" s="595"/>
      <c r="J90" s="595"/>
      <c r="K90" s="595"/>
      <c r="L90" s="525"/>
      <c r="M90" s="595"/>
      <c r="N90" s="595"/>
      <c r="O90" s="595"/>
      <c r="P90" s="595"/>
      <c r="Q90" s="595"/>
      <c r="R90" s="525"/>
      <c r="S90" s="525"/>
      <c r="T90" s="525"/>
      <c r="U90" s="525"/>
      <c r="V90" s="525"/>
      <c r="W90" s="564"/>
      <c r="X90" s="564"/>
      <c r="Y90" s="564"/>
      <c r="Z90" s="564"/>
      <c r="AA90" s="564"/>
      <c r="AB90" s="564"/>
      <c r="AC90" s="564"/>
      <c r="AD90" s="564"/>
      <c r="AE90" s="564"/>
      <c r="AF90" s="564"/>
      <c r="AG90" s="564"/>
      <c r="AH90" s="564"/>
      <c r="AI90" s="564"/>
      <c r="AJ90" s="564"/>
      <c r="AK90" s="564"/>
      <c r="AL90" s="564"/>
      <c r="AM90" s="564"/>
      <c r="AN90" s="564"/>
      <c r="AO90" s="564"/>
    </row>
    <row r="91" spans="1:41">
      <c r="A91" s="526"/>
      <c r="B91" s="525"/>
      <c r="E91" s="595"/>
      <c r="F91" s="595"/>
      <c r="G91" s="595"/>
      <c r="H91" s="595"/>
      <c r="I91" s="595"/>
      <c r="J91" s="595"/>
      <c r="K91" s="595"/>
      <c r="L91" s="525"/>
      <c r="M91" s="595"/>
      <c r="N91" s="595"/>
      <c r="O91" s="595"/>
      <c r="P91" s="595"/>
      <c r="Q91" s="595"/>
      <c r="R91" s="525"/>
      <c r="S91" s="525"/>
      <c r="T91" s="525"/>
      <c r="U91" s="525"/>
      <c r="V91" s="525"/>
      <c r="W91" s="564"/>
      <c r="X91" s="564"/>
      <c r="Y91" s="564"/>
      <c r="Z91" s="564"/>
      <c r="AA91" s="564"/>
      <c r="AB91" s="564"/>
      <c r="AC91" s="564"/>
      <c r="AD91" s="564"/>
      <c r="AE91" s="564"/>
      <c r="AF91" s="564"/>
      <c r="AG91" s="564"/>
      <c r="AH91" s="564"/>
      <c r="AI91" s="564"/>
      <c r="AJ91" s="564"/>
      <c r="AK91" s="564"/>
      <c r="AL91" s="564"/>
      <c r="AM91" s="564"/>
      <c r="AN91" s="564"/>
      <c r="AO91" s="564"/>
    </row>
    <row r="92" spans="1:41">
      <c r="A92" s="526"/>
      <c r="B92" s="525"/>
      <c r="E92" s="595"/>
      <c r="F92" s="595"/>
      <c r="G92" s="595"/>
      <c r="H92" s="595"/>
      <c r="I92" s="595"/>
      <c r="J92" s="595"/>
      <c r="K92" s="595"/>
      <c r="L92" s="525"/>
      <c r="M92" s="595"/>
      <c r="N92" s="595"/>
      <c r="O92" s="595"/>
      <c r="P92" s="595"/>
      <c r="Q92" s="595"/>
      <c r="R92" s="525"/>
      <c r="S92" s="525"/>
      <c r="T92" s="525"/>
      <c r="U92" s="525"/>
      <c r="V92" s="525"/>
      <c r="W92" s="564"/>
      <c r="X92" s="564"/>
      <c r="Y92" s="564"/>
      <c r="Z92" s="564"/>
      <c r="AA92" s="564"/>
      <c r="AB92" s="564"/>
      <c r="AC92" s="564"/>
      <c r="AD92" s="564"/>
      <c r="AE92" s="564"/>
      <c r="AF92" s="564"/>
      <c r="AG92" s="564"/>
      <c r="AH92" s="564"/>
      <c r="AI92" s="564"/>
      <c r="AJ92" s="564"/>
      <c r="AK92" s="564"/>
      <c r="AL92" s="564"/>
      <c r="AM92" s="564"/>
      <c r="AN92" s="564"/>
      <c r="AO92" s="564"/>
    </row>
    <row r="93" spans="1:41">
      <c r="A93" s="526"/>
      <c r="B93" s="525"/>
      <c r="E93" s="595"/>
      <c r="F93" s="595"/>
      <c r="G93" s="595"/>
      <c r="H93" s="595"/>
      <c r="I93" s="595"/>
      <c r="J93" s="595"/>
      <c r="K93" s="595"/>
      <c r="L93" s="525"/>
      <c r="M93" s="595"/>
      <c r="N93" s="595"/>
      <c r="O93" s="595"/>
      <c r="P93" s="595"/>
      <c r="Q93" s="595"/>
      <c r="R93" s="525"/>
      <c r="S93" s="525"/>
      <c r="T93" s="525"/>
      <c r="U93" s="525"/>
      <c r="V93" s="525"/>
      <c r="W93" s="564"/>
      <c r="X93" s="564"/>
      <c r="Y93" s="564"/>
      <c r="Z93" s="564"/>
      <c r="AA93" s="564"/>
      <c r="AB93" s="564"/>
      <c r="AC93" s="564"/>
      <c r="AD93" s="564"/>
      <c r="AE93" s="564"/>
      <c r="AF93" s="564"/>
      <c r="AG93" s="564"/>
      <c r="AH93" s="564"/>
      <c r="AI93" s="564"/>
      <c r="AJ93" s="564"/>
      <c r="AK93" s="564"/>
      <c r="AL93" s="564"/>
      <c r="AM93" s="564"/>
      <c r="AN93" s="564"/>
      <c r="AO93" s="564"/>
    </row>
    <row r="94" spans="1:41">
      <c r="A94" s="526"/>
      <c r="B94" s="525"/>
      <c r="E94" s="595"/>
      <c r="F94" s="595"/>
      <c r="G94" s="595"/>
      <c r="H94" s="595"/>
      <c r="I94" s="595"/>
      <c r="J94" s="595"/>
      <c r="K94" s="595"/>
      <c r="L94" s="525"/>
      <c r="M94" s="595"/>
      <c r="N94" s="595"/>
      <c r="O94" s="595"/>
      <c r="P94" s="595"/>
      <c r="Q94" s="595"/>
      <c r="R94" s="525"/>
      <c r="S94" s="525"/>
      <c r="T94" s="525"/>
      <c r="U94" s="525"/>
      <c r="V94" s="525"/>
      <c r="W94" s="564"/>
      <c r="X94" s="564"/>
      <c r="Y94" s="564"/>
      <c r="Z94" s="564"/>
      <c r="AA94" s="564"/>
      <c r="AB94" s="564"/>
      <c r="AC94" s="564"/>
      <c r="AD94" s="564"/>
      <c r="AE94" s="564"/>
      <c r="AF94" s="564"/>
      <c r="AG94" s="564"/>
      <c r="AH94" s="564"/>
      <c r="AI94" s="564"/>
      <c r="AJ94" s="564"/>
      <c r="AK94" s="564"/>
      <c r="AL94" s="564"/>
      <c r="AM94" s="564"/>
      <c r="AN94" s="564"/>
      <c r="AO94" s="564"/>
    </row>
    <row r="95" spans="1:41">
      <c r="A95" s="526"/>
      <c r="B95" s="525"/>
      <c r="E95" s="595"/>
      <c r="F95" s="595"/>
      <c r="G95" s="595"/>
      <c r="H95" s="595"/>
      <c r="I95" s="595"/>
      <c r="J95" s="595"/>
      <c r="K95" s="595"/>
      <c r="L95" s="525"/>
      <c r="M95" s="595"/>
      <c r="N95" s="595"/>
      <c r="O95" s="595"/>
      <c r="P95" s="595"/>
      <c r="Q95" s="595"/>
      <c r="R95" s="525"/>
      <c r="S95" s="525"/>
      <c r="T95" s="525"/>
      <c r="U95" s="525"/>
      <c r="V95" s="525"/>
      <c r="W95" s="564"/>
      <c r="X95" s="564"/>
      <c r="Y95" s="564"/>
      <c r="Z95" s="564"/>
      <c r="AA95" s="564"/>
      <c r="AB95" s="564"/>
      <c r="AC95" s="564"/>
      <c r="AD95" s="564"/>
      <c r="AE95" s="564"/>
      <c r="AF95" s="564"/>
      <c r="AG95" s="564"/>
      <c r="AH95" s="564"/>
      <c r="AI95" s="564"/>
      <c r="AJ95" s="564"/>
      <c r="AK95" s="564"/>
      <c r="AL95" s="564"/>
      <c r="AM95" s="564"/>
      <c r="AN95" s="564"/>
      <c r="AO95" s="564"/>
    </row>
    <row r="96" spans="1:41">
      <c r="A96" s="526"/>
      <c r="B96" s="525"/>
      <c r="E96" s="595"/>
      <c r="F96" s="595"/>
      <c r="G96" s="595"/>
      <c r="H96" s="595"/>
      <c r="I96" s="595"/>
      <c r="J96" s="595"/>
      <c r="K96" s="595"/>
      <c r="L96" s="525"/>
      <c r="M96" s="595"/>
      <c r="N96" s="595"/>
      <c r="O96" s="595"/>
      <c r="P96" s="595"/>
      <c r="Q96" s="595"/>
      <c r="R96" s="525"/>
      <c r="S96" s="525"/>
      <c r="T96" s="525"/>
      <c r="U96" s="525"/>
      <c r="V96" s="525"/>
      <c r="W96" s="564"/>
      <c r="X96" s="564"/>
      <c r="Y96" s="564"/>
      <c r="Z96" s="564"/>
      <c r="AA96" s="564"/>
      <c r="AB96" s="564"/>
      <c r="AC96" s="564"/>
      <c r="AD96" s="564"/>
      <c r="AE96" s="564"/>
      <c r="AF96" s="564"/>
      <c r="AG96" s="564"/>
      <c r="AH96" s="564"/>
      <c r="AI96" s="564"/>
      <c r="AJ96" s="564"/>
      <c r="AK96" s="564"/>
      <c r="AL96" s="564"/>
      <c r="AM96" s="564"/>
      <c r="AN96" s="564"/>
      <c r="AO96" s="564"/>
    </row>
    <row r="97" spans="1:41">
      <c r="A97" s="526"/>
      <c r="B97" s="525"/>
      <c r="E97" s="595"/>
      <c r="F97" s="595"/>
      <c r="G97" s="595"/>
      <c r="H97" s="595"/>
      <c r="I97" s="595"/>
      <c r="J97" s="595"/>
      <c r="K97" s="595"/>
      <c r="L97" s="525"/>
      <c r="M97" s="595"/>
      <c r="N97" s="595"/>
      <c r="O97" s="595"/>
      <c r="P97" s="595"/>
      <c r="Q97" s="595"/>
      <c r="R97" s="525"/>
      <c r="S97" s="525"/>
      <c r="T97" s="525"/>
      <c r="U97" s="525"/>
      <c r="V97" s="525"/>
      <c r="W97" s="564"/>
      <c r="X97" s="564"/>
      <c r="Y97" s="564"/>
      <c r="Z97" s="564"/>
      <c r="AA97" s="564"/>
      <c r="AB97" s="564"/>
      <c r="AC97" s="564"/>
      <c r="AD97" s="564"/>
      <c r="AE97" s="564"/>
      <c r="AF97" s="564"/>
      <c r="AG97" s="564"/>
      <c r="AH97" s="564"/>
      <c r="AI97" s="564"/>
      <c r="AJ97" s="564"/>
      <c r="AK97" s="564"/>
      <c r="AL97" s="564"/>
      <c r="AM97" s="564"/>
      <c r="AN97" s="564"/>
      <c r="AO97" s="564"/>
    </row>
    <row r="98" spans="1:41">
      <c r="A98" s="526"/>
      <c r="B98" s="525"/>
      <c r="E98" s="595"/>
      <c r="F98" s="595"/>
      <c r="G98" s="595"/>
      <c r="H98" s="595"/>
      <c r="I98" s="595"/>
      <c r="J98" s="595"/>
      <c r="K98" s="595"/>
      <c r="L98" s="525"/>
      <c r="M98" s="595"/>
      <c r="N98" s="595"/>
      <c r="O98" s="595"/>
      <c r="P98" s="595"/>
      <c r="Q98" s="595"/>
      <c r="R98" s="525"/>
      <c r="S98" s="525"/>
      <c r="T98" s="525"/>
      <c r="U98" s="525"/>
      <c r="V98" s="525"/>
      <c r="W98" s="564"/>
      <c r="X98" s="564"/>
      <c r="Y98" s="564"/>
      <c r="Z98" s="564"/>
      <c r="AA98" s="564"/>
      <c r="AB98" s="564"/>
      <c r="AC98" s="564"/>
      <c r="AD98" s="564"/>
      <c r="AE98" s="564"/>
      <c r="AF98" s="564"/>
      <c r="AG98" s="564"/>
      <c r="AH98" s="564"/>
      <c r="AI98" s="564"/>
      <c r="AJ98" s="564"/>
      <c r="AK98" s="564"/>
      <c r="AL98" s="564"/>
      <c r="AM98" s="564"/>
      <c r="AN98" s="564"/>
      <c r="AO98" s="564"/>
    </row>
    <row r="99" spans="1:41">
      <c r="A99" s="526"/>
      <c r="B99" s="525"/>
      <c r="E99" s="595"/>
      <c r="F99" s="595"/>
      <c r="G99" s="595"/>
      <c r="H99" s="595"/>
      <c r="I99" s="595"/>
      <c r="J99" s="595"/>
      <c r="K99" s="595"/>
      <c r="L99" s="525"/>
      <c r="M99" s="595"/>
      <c r="N99" s="595"/>
      <c r="O99" s="595"/>
      <c r="P99" s="595"/>
      <c r="Q99" s="595"/>
      <c r="R99" s="525"/>
      <c r="S99" s="525"/>
      <c r="T99" s="525"/>
      <c r="U99" s="525"/>
      <c r="V99" s="525"/>
      <c r="W99" s="564"/>
      <c r="X99" s="564"/>
      <c r="Y99" s="564"/>
      <c r="Z99" s="564"/>
      <c r="AA99" s="564"/>
      <c r="AB99" s="564"/>
      <c r="AC99" s="564"/>
      <c r="AD99" s="564"/>
      <c r="AE99" s="564"/>
      <c r="AF99" s="564"/>
      <c r="AG99" s="564"/>
      <c r="AH99" s="564"/>
      <c r="AI99" s="564"/>
      <c r="AJ99" s="564"/>
      <c r="AK99" s="564"/>
      <c r="AL99" s="564"/>
      <c r="AM99" s="564"/>
      <c r="AN99" s="564"/>
      <c r="AO99" s="564"/>
    </row>
    <row r="100" spans="1:41">
      <c r="A100" s="559"/>
      <c r="B100" s="559"/>
      <c r="C100" s="559"/>
      <c r="D100" s="559"/>
      <c r="E100" s="559"/>
      <c r="F100" s="559"/>
      <c r="G100" s="559"/>
      <c r="H100" s="559"/>
      <c r="I100" s="559"/>
      <c r="J100" s="559"/>
      <c r="K100" s="559"/>
      <c r="L100" s="559"/>
      <c r="M100" s="559"/>
      <c r="N100" s="559"/>
      <c r="O100" s="559"/>
      <c r="P100" s="559"/>
      <c r="Q100" s="559"/>
      <c r="R100" s="559"/>
      <c r="S100" s="559"/>
      <c r="T100" s="559"/>
      <c r="U100" s="559"/>
      <c r="V100" s="559"/>
      <c r="W100" s="564"/>
      <c r="X100" s="564"/>
      <c r="Y100" s="564"/>
      <c r="Z100" s="564"/>
      <c r="AA100" s="564"/>
      <c r="AB100" s="564"/>
      <c r="AC100" s="564"/>
      <c r="AD100" s="564"/>
      <c r="AE100" s="564"/>
      <c r="AF100" s="564"/>
      <c r="AG100" s="564"/>
      <c r="AH100" s="564"/>
      <c r="AI100" s="564"/>
      <c r="AJ100" s="564"/>
      <c r="AK100" s="564"/>
      <c r="AL100" s="564"/>
      <c r="AM100" s="564"/>
      <c r="AN100" s="564"/>
      <c r="AO100" s="564"/>
    </row>
    <row r="101" spans="1:41">
      <c r="A101" s="559"/>
      <c r="B101" s="559"/>
      <c r="C101" s="559"/>
      <c r="D101" s="559"/>
      <c r="E101" s="559"/>
      <c r="F101" s="559"/>
      <c r="G101" s="559"/>
      <c r="H101" s="559"/>
      <c r="I101" s="559"/>
      <c r="J101" s="559"/>
      <c r="K101" s="559"/>
      <c r="L101" s="559"/>
      <c r="M101" s="559"/>
      <c r="N101" s="559"/>
      <c r="O101" s="559"/>
      <c r="P101" s="559"/>
      <c r="Q101" s="559"/>
      <c r="R101" s="559"/>
      <c r="S101" s="559"/>
      <c r="T101" s="559"/>
      <c r="U101" s="559"/>
      <c r="V101" s="559"/>
      <c r="W101" s="564"/>
      <c r="X101" s="564"/>
      <c r="Y101" s="564"/>
      <c r="Z101" s="564"/>
      <c r="AA101" s="564"/>
      <c r="AB101" s="564"/>
      <c r="AC101" s="564"/>
      <c r="AD101" s="564"/>
      <c r="AE101" s="564"/>
      <c r="AF101" s="564"/>
      <c r="AG101" s="564"/>
      <c r="AH101" s="564"/>
      <c r="AI101" s="564"/>
      <c r="AJ101" s="564"/>
      <c r="AK101" s="564"/>
      <c r="AL101" s="564"/>
      <c r="AM101" s="564"/>
      <c r="AN101" s="564"/>
      <c r="AO101" s="564"/>
    </row>
    <row r="102" spans="1:41">
      <c r="A102" s="559"/>
      <c r="B102" s="559"/>
      <c r="C102" s="559"/>
      <c r="D102" s="559"/>
      <c r="E102" s="559"/>
      <c r="F102" s="559"/>
      <c r="G102" s="559"/>
      <c r="H102" s="559"/>
      <c r="I102" s="559"/>
      <c r="J102" s="559"/>
      <c r="K102" s="559"/>
      <c r="L102" s="559"/>
      <c r="M102" s="559"/>
      <c r="N102" s="559"/>
      <c r="O102" s="559"/>
      <c r="P102" s="559"/>
      <c r="Q102" s="559"/>
      <c r="R102" s="559"/>
      <c r="S102" s="559"/>
      <c r="T102" s="559"/>
      <c r="U102" s="559"/>
      <c r="V102" s="559"/>
      <c r="W102" s="564"/>
      <c r="X102" s="564"/>
      <c r="Y102" s="564"/>
      <c r="Z102" s="564"/>
      <c r="AA102" s="564"/>
      <c r="AB102" s="564"/>
      <c r="AC102" s="564"/>
      <c r="AD102" s="564"/>
      <c r="AE102" s="564"/>
      <c r="AF102" s="564"/>
      <c r="AG102" s="564"/>
      <c r="AH102" s="564"/>
      <c r="AI102" s="564"/>
      <c r="AJ102" s="564"/>
      <c r="AK102" s="564"/>
      <c r="AL102" s="564"/>
      <c r="AM102" s="564"/>
      <c r="AN102" s="564"/>
      <c r="AO102" s="564"/>
    </row>
    <row r="103" spans="1:41">
      <c r="A103" s="559"/>
      <c r="B103" s="559"/>
      <c r="C103" s="559"/>
      <c r="D103" s="559"/>
      <c r="E103" s="559"/>
      <c r="F103" s="559"/>
      <c r="G103" s="559"/>
      <c r="H103" s="559"/>
      <c r="I103" s="559"/>
      <c r="J103" s="559"/>
      <c r="K103" s="559"/>
      <c r="L103" s="559"/>
      <c r="M103" s="559"/>
      <c r="N103" s="559"/>
      <c r="O103" s="559"/>
      <c r="P103" s="559"/>
      <c r="Q103" s="559"/>
      <c r="R103" s="559"/>
      <c r="S103" s="559"/>
      <c r="T103" s="559"/>
      <c r="U103" s="559"/>
      <c r="V103" s="559"/>
    </row>
    <row r="104" spans="1:41">
      <c r="A104" s="559"/>
      <c r="B104" s="559"/>
      <c r="C104" s="559"/>
      <c r="D104" s="559"/>
      <c r="E104" s="559"/>
      <c r="F104" s="559"/>
      <c r="G104" s="559"/>
      <c r="H104" s="559"/>
      <c r="I104" s="559"/>
      <c r="J104" s="559"/>
      <c r="K104" s="559"/>
      <c r="L104" s="559"/>
      <c r="M104" s="559"/>
      <c r="N104" s="559"/>
      <c r="O104" s="559"/>
      <c r="P104" s="559"/>
      <c r="Q104" s="559"/>
      <c r="R104" s="559"/>
      <c r="S104" s="559"/>
      <c r="T104" s="559"/>
      <c r="U104" s="559"/>
      <c r="V104" s="559"/>
    </row>
    <row r="105" spans="1:41">
      <c r="A105" s="559"/>
      <c r="B105" s="559"/>
      <c r="C105" s="559"/>
      <c r="D105" s="559"/>
      <c r="E105" s="559"/>
      <c r="F105" s="559"/>
      <c r="G105" s="559"/>
      <c r="H105" s="559"/>
      <c r="I105" s="559"/>
      <c r="J105" s="559"/>
      <c r="K105" s="559"/>
      <c r="L105" s="559"/>
      <c r="M105" s="559"/>
      <c r="N105" s="559"/>
      <c r="O105" s="559"/>
      <c r="P105" s="559"/>
      <c r="Q105" s="559"/>
      <c r="R105" s="559"/>
      <c r="S105" s="559"/>
      <c r="T105" s="559"/>
      <c r="U105" s="559"/>
      <c r="V105" s="559"/>
    </row>
    <row r="106" spans="1:41">
      <c r="A106" s="559"/>
      <c r="B106" s="559"/>
      <c r="C106" s="559"/>
      <c r="D106" s="559"/>
      <c r="E106" s="559"/>
      <c r="F106" s="559"/>
      <c r="G106" s="559"/>
      <c r="H106" s="559"/>
      <c r="I106" s="559"/>
      <c r="J106" s="559"/>
      <c r="K106" s="559"/>
      <c r="L106" s="559"/>
      <c r="M106" s="559"/>
      <c r="N106" s="559"/>
      <c r="O106" s="559"/>
      <c r="P106" s="559"/>
      <c r="Q106" s="559"/>
      <c r="R106" s="559"/>
      <c r="S106" s="559"/>
      <c r="T106" s="559"/>
      <c r="U106" s="559"/>
      <c r="V106" s="559"/>
    </row>
    <row r="107" spans="1:41" ht="12.75" customHeight="1">
      <c r="A107" s="559"/>
      <c r="B107" s="559"/>
      <c r="C107" s="559"/>
      <c r="D107" s="559"/>
      <c r="E107" s="559"/>
      <c r="F107" s="559"/>
      <c r="G107" s="559"/>
      <c r="H107" s="559"/>
      <c r="I107" s="559"/>
      <c r="J107" s="559"/>
      <c r="K107" s="559"/>
      <c r="L107" s="559"/>
      <c r="M107" s="559"/>
      <c r="N107" s="559"/>
      <c r="O107" s="559"/>
      <c r="P107" s="559"/>
      <c r="Q107" s="559"/>
      <c r="R107" s="559"/>
      <c r="S107" s="559"/>
      <c r="T107" s="559"/>
      <c r="U107" s="559"/>
      <c r="V107" s="559"/>
    </row>
    <row r="108" spans="1:41" ht="12.75" customHeight="1">
      <c r="A108" s="559"/>
      <c r="B108" s="559"/>
      <c r="C108" s="559"/>
      <c r="D108" s="559"/>
      <c r="E108" s="559"/>
      <c r="F108" s="559"/>
      <c r="G108" s="559"/>
      <c r="H108" s="559"/>
      <c r="I108" s="559"/>
      <c r="J108" s="559"/>
      <c r="K108" s="559"/>
      <c r="L108" s="559"/>
      <c r="M108" s="559"/>
      <c r="N108" s="559"/>
      <c r="O108" s="559"/>
      <c r="P108" s="559"/>
      <c r="Q108" s="559"/>
      <c r="R108" s="559"/>
      <c r="S108" s="559"/>
      <c r="T108" s="559"/>
      <c r="U108" s="559"/>
      <c r="V108" s="559"/>
    </row>
    <row r="109" spans="1:41" ht="12.75" customHeight="1">
      <c r="A109" s="559"/>
      <c r="B109" s="559"/>
      <c r="C109" s="559"/>
      <c r="D109" s="559"/>
      <c r="E109" s="559"/>
      <c r="F109" s="559"/>
      <c r="G109" s="559"/>
      <c r="H109" s="559"/>
      <c r="I109" s="559"/>
      <c r="J109" s="559"/>
      <c r="K109" s="559"/>
      <c r="L109" s="559"/>
      <c r="M109" s="559"/>
      <c r="N109" s="559"/>
      <c r="O109" s="559"/>
      <c r="P109" s="559"/>
      <c r="Q109" s="559"/>
      <c r="R109" s="559"/>
      <c r="S109" s="559"/>
      <c r="T109" s="559"/>
      <c r="U109" s="559"/>
      <c r="V109" s="559"/>
    </row>
    <row r="110" spans="1:41" ht="12.75" customHeight="1">
      <c r="A110" s="559"/>
      <c r="B110" s="559"/>
      <c r="C110" s="559"/>
      <c r="D110" s="559"/>
      <c r="E110" s="559"/>
      <c r="F110" s="559"/>
      <c r="G110" s="559"/>
      <c r="H110" s="559"/>
      <c r="I110" s="559"/>
      <c r="J110" s="559"/>
      <c r="K110" s="559"/>
      <c r="L110" s="559"/>
      <c r="M110" s="559"/>
      <c r="N110" s="559"/>
      <c r="O110" s="559"/>
      <c r="P110" s="559"/>
      <c r="Q110" s="559"/>
      <c r="R110" s="559"/>
      <c r="S110" s="559"/>
      <c r="T110" s="559"/>
      <c r="U110" s="559"/>
      <c r="V110" s="559"/>
    </row>
    <row r="111" spans="1:41" ht="12.75" customHeight="1">
      <c r="A111" s="559"/>
      <c r="B111" s="559"/>
      <c r="C111" s="559"/>
      <c r="D111" s="559"/>
      <c r="E111" s="559"/>
      <c r="F111" s="559"/>
      <c r="G111" s="559"/>
      <c r="H111" s="559"/>
      <c r="I111" s="559"/>
      <c r="J111" s="559"/>
      <c r="K111" s="559"/>
      <c r="L111" s="559"/>
      <c r="M111" s="559"/>
      <c r="N111" s="559"/>
      <c r="O111" s="559"/>
      <c r="P111" s="559"/>
      <c r="Q111" s="559"/>
      <c r="R111" s="559"/>
      <c r="S111" s="559"/>
      <c r="T111" s="559"/>
      <c r="U111" s="559"/>
      <c r="V111" s="559"/>
    </row>
    <row r="112" spans="1:41" ht="12.75" customHeight="1">
      <c r="A112" s="559"/>
      <c r="B112" s="559"/>
      <c r="C112" s="559"/>
      <c r="D112" s="559"/>
      <c r="E112" s="559"/>
      <c r="F112" s="559"/>
      <c r="G112" s="559"/>
      <c r="H112" s="559"/>
      <c r="I112" s="559"/>
      <c r="J112" s="559"/>
      <c r="K112" s="559"/>
      <c r="L112" s="559"/>
      <c r="M112" s="559"/>
      <c r="N112" s="559"/>
      <c r="O112" s="559"/>
      <c r="P112" s="559"/>
      <c r="Q112" s="559"/>
      <c r="R112" s="559"/>
      <c r="S112" s="559"/>
      <c r="T112" s="559"/>
      <c r="U112" s="559"/>
      <c r="V112" s="559"/>
    </row>
    <row r="113" spans="1:22" ht="12.75" customHeight="1">
      <c r="A113" s="559"/>
      <c r="B113" s="559"/>
      <c r="C113" s="559"/>
      <c r="D113" s="559"/>
      <c r="E113" s="559"/>
      <c r="F113" s="559"/>
      <c r="G113" s="559"/>
      <c r="H113" s="559"/>
      <c r="I113" s="559"/>
      <c r="J113" s="559"/>
      <c r="K113" s="559"/>
      <c r="L113" s="559"/>
      <c r="M113" s="559"/>
      <c r="N113" s="559"/>
      <c r="O113" s="559"/>
      <c r="P113" s="559"/>
      <c r="Q113" s="559"/>
      <c r="R113" s="559"/>
      <c r="S113" s="559"/>
      <c r="T113" s="559"/>
      <c r="U113" s="559"/>
      <c r="V113" s="559"/>
    </row>
    <row r="114" spans="1:22" ht="12.75" customHeight="1">
      <c r="A114" s="559"/>
      <c r="B114" s="559"/>
      <c r="C114" s="559"/>
      <c r="D114" s="559"/>
      <c r="E114" s="559"/>
      <c r="F114" s="559"/>
      <c r="G114" s="559"/>
      <c r="H114" s="559"/>
      <c r="I114" s="559"/>
      <c r="J114" s="559"/>
      <c r="K114" s="559"/>
      <c r="L114" s="559"/>
      <c r="M114" s="559"/>
      <c r="N114" s="559"/>
      <c r="O114" s="559"/>
      <c r="P114" s="559"/>
      <c r="Q114" s="559"/>
      <c r="R114" s="559"/>
      <c r="S114" s="559"/>
      <c r="T114" s="559"/>
      <c r="U114" s="559"/>
      <c r="V114" s="559"/>
    </row>
    <row r="115" spans="1:22" ht="12.75" customHeight="1">
      <c r="A115" s="559"/>
      <c r="B115" s="559"/>
      <c r="C115" s="559"/>
      <c r="D115" s="559"/>
      <c r="E115" s="559"/>
      <c r="F115" s="559"/>
      <c r="G115" s="559"/>
      <c r="H115" s="559"/>
      <c r="I115" s="559"/>
      <c r="J115" s="559"/>
      <c r="K115" s="559"/>
      <c r="L115" s="559"/>
      <c r="M115" s="559"/>
      <c r="N115" s="559"/>
      <c r="O115" s="559"/>
      <c r="P115" s="559"/>
      <c r="Q115" s="559"/>
      <c r="R115" s="559"/>
      <c r="S115" s="559"/>
      <c r="T115" s="559"/>
      <c r="U115" s="559"/>
      <c r="V115" s="559"/>
    </row>
    <row r="116" spans="1:22" ht="12.75" customHeight="1">
      <c r="A116" s="559"/>
      <c r="B116" s="559"/>
      <c r="C116" s="559"/>
      <c r="D116" s="559"/>
      <c r="E116" s="559"/>
      <c r="F116" s="559"/>
      <c r="G116" s="559"/>
      <c r="H116" s="559"/>
      <c r="I116" s="559"/>
      <c r="J116" s="559"/>
      <c r="K116" s="559"/>
      <c r="L116" s="559"/>
      <c r="M116" s="559"/>
      <c r="N116" s="559"/>
      <c r="O116" s="559"/>
      <c r="P116" s="559"/>
      <c r="Q116" s="559"/>
      <c r="R116" s="559"/>
      <c r="S116" s="559"/>
      <c r="T116" s="559"/>
      <c r="U116" s="559"/>
      <c r="V116" s="559"/>
    </row>
    <row r="117" spans="1:22" ht="12.75" customHeight="1">
      <c r="A117" s="559"/>
      <c r="B117" s="559"/>
      <c r="C117" s="559"/>
      <c r="D117" s="559"/>
      <c r="E117" s="559"/>
      <c r="F117" s="559"/>
      <c r="G117" s="559"/>
      <c r="H117" s="559"/>
      <c r="I117" s="559"/>
      <c r="J117" s="559"/>
      <c r="K117" s="559"/>
      <c r="L117" s="559"/>
      <c r="M117" s="559"/>
      <c r="N117" s="559"/>
      <c r="O117" s="559"/>
      <c r="P117" s="559"/>
      <c r="Q117" s="559"/>
      <c r="R117" s="559"/>
      <c r="S117" s="559"/>
      <c r="T117" s="559"/>
      <c r="U117" s="559"/>
      <c r="V117" s="559"/>
    </row>
    <row r="118" spans="1:22">
      <c r="A118" s="559"/>
      <c r="B118" s="559"/>
      <c r="C118" s="559"/>
      <c r="D118" s="559"/>
      <c r="E118" s="559"/>
      <c r="F118" s="559"/>
      <c r="G118" s="559"/>
      <c r="H118" s="559"/>
      <c r="I118" s="559"/>
      <c r="J118" s="559"/>
      <c r="K118" s="559"/>
      <c r="L118" s="559"/>
      <c r="M118" s="559"/>
      <c r="N118" s="559"/>
      <c r="O118" s="559"/>
      <c r="P118" s="559"/>
      <c r="Q118" s="559"/>
      <c r="R118" s="559"/>
      <c r="S118" s="559"/>
      <c r="T118" s="559"/>
      <c r="U118" s="559"/>
      <c r="V118" s="559"/>
    </row>
    <row r="119" spans="1:22">
      <c r="A119" s="559"/>
      <c r="B119" s="559"/>
      <c r="C119" s="559"/>
      <c r="D119" s="559"/>
      <c r="E119" s="559"/>
      <c r="F119" s="559"/>
      <c r="G119" s="559"/>
      <c r="H119" s="559"/>
      <c r="I119" s="559"/>
      <c r="J119" s="559"/>
      <c r="K119" s="559"/>
      <c r="L119" s="559"/>
      <c r="M119" s="559"/>
      <c r="N119" s="559"/>
      <c r="O119" s="559"/>
      <c r="P119" s="559"/>
      <c r="Q119" s="559"/>
      <c r="R119" s="559"/>
      <c r="S119" s="559"/>
      <c r="T119" s="559"/>
      <c r="U119" s="559"/>
      <c r="V119" s="559"/>
    </row>
    <row r="120" spans="1:22">
      <c r="A120" s="559"/>
      <c r="B120" s="559"/>
      <c r="C120" s="559"/>
      <c r="D120" s="559"/>
      <c r="E120" s="559"/>
      <c r="F120" s="559"/>
      <c r="G120" s="559"/>
      <c r="H120" s="559"/>
      <c r="I120" s="559"/>
      <c r="J120" s="559"/>
      <c r="K120" s="559"/>
      <c r="L120" s="559"/>
      <c r="M120" s="559"/>
      <c r="N120" s="559"/>
      <c r="O120" s="559"/>
      <c r="P120" s="559"/>
      <c r="Q120" s="559"/>
      <c r="R120" s="559"/>
      <c r="S120" s="559"/>
      <c r="T120" s="559"/>
      <c r="U120" s="559"/>
      <c r="V120" s="559"/>
    </row>
    <row r="121" spans="1:22">
      <c r="A121" s="559"/>
      <c r="B121" s="559"/>
      <c r="C121" s="559"/>
      <c r="D121" s="559"/>
      <c r="E121" s="559"/>
      <c r="F121" s="559"/>
      <c r="G121" s="559"/>
      <c r="H121" s="559"/>
      <c r="I121" s="559"/>
      <c r="J121" s="559"/>
      <c r="K121" s="559"/>
      <c r="L121" s="559"/>
      <c r="M121" s="559"/>
      <c r="N121" s="559"/>
      <c r="O121" s="559"/>
      <c r="P121" s="559"/>
      <c r="Q121" s="559"/>
      <c r="R121" s="559"/>
      <c r="S121" s="559"/>
      <c r="T121" s="559"/>
      <c r="U121" s="559"/>
      <c r="V121" s="559"/>
    </row>
    <row r="122" spans="1:22">
      <c r="A122" s="559"/>
      <c r="B122" s="559"/>
      <c r="C122" s="559"/>
      <c r="D122" s="559"/>
      <c r="E122" s="559"/>
      <c r="F122" s="559"/>
      <c r="G122" s="559"/>
      <c r="H122" s="559"/>
      <c r="I122" s="559"/>
      <c r="J122" s="559"/>
      <c r="K122" s="559"/>
      <c r="L122" s="559"/>
      <c r="M122" s="559"/>
      <c r="N122" s="559"/>
      <c r="O122" s="559"/>
      <c r="P122" s="559"/>
      <c r="Q122" s="559"/>
      <c r="R122" s="559"/>
      <c r="S122" s="559"/>
      <c r="T122" s="559"/>
      <c r="U122" s="559"/>
      <c r="V122" s="559"/>
    </row>
    <row r="123" spans="1:22">
      <c r="A123" s="559"/>
      <c r="B123" s="559"/>
      <c r="C123" s="559"/>
      <c r="D123" s="559"/>
      <c r="E123" s="559"/>
      <c r="F123" s="559"/>
      <c r="G123" s="559"/>
      <c r="H123" s="559"/>
      <c r="I123" s="559"/>
      <c r="J123" s="559"/>
      <c r="K123" s="559"/>
      <c r="L123" s="559"/>
      <c r="M123" s="559"/>
      <c r="N123" s="559"/>
      <c r="O123" s="559"/>
      <c r="P123" s="559"/>
      <c r="Q123" s="559"/>
      <c r="R123" s="559"/>
      <c r="S123" s="559"/>
      <c r="T123" s="559"/>
      <c r="U123" s="559"/>
      <c r="V123" s="559"/>
    </row>
    <row r="124" spans="1:22">
      <c r="A124" s="559"/>
      <c r="B124" s="559"/>
      <c r="C124" s="559"/>
      <c r="D124" s="559"/>
      <c r="E124" s="559"/>
      <c r="F124" s="559"/>
      <c r="G124" s="559"/>
      <c r="H124" s="559"/>
      <c r="I124" s="559"/>
      <c r="J124" s="559"/>
      <c r="K124" s="559"/>
      <c r="L124" s="559"/>
      <c r="M124" s="559"/>
      <c r="N124" s="559"/>
      <c r="O124" s="559"/>
      <c r="P124" s="559"/>
      <c r="Q124" s="559"/>
      <c r="R124" s="559"/>
      <c r="S124" s="559"/>
      <c r="T124" s="559"/>
      <c r="U124" s="559"/>
      <c r="V124" s="559"/>
    </row>
    <row r="125" spans="1:22">
      <c r="A125" s="559"/>
      <c r="B125" s="559"/>
      <c r="C125" s="559"/>
      <c r="D125" s="559"/>
      <c r="E125" s="559"/>
      <c r="F125" s="559"/>
      <c r="G125" s="559"/>
      <c r="H125" s="559"/>
      <c r="I125" s="559"/>
      <c r="J125" s="559"/>
      <c r="K125" s="559"/>
      <c r="L125" s="559"/>
      <c r="M125" s="559"/>
      <c r="N125" s="559"/>
      <c r="O125" s="559"/>
      <c r="P125" s="559"/>
      <c r="Q125" s="559"/>
      <c r="R125" s="559"/>
      <c r="S125" s="559"/>
      <c r="T125" s="559"/>
      <c r="U125" s="559"/>
      <c r="V125" s="559"/>
    </row>
    <row r="126" spans="1:22">
      <c r="A126" s="559"/>
      <c r="B126" s="559"/>
      <c r="C126" s="559"/>
      <c r="D126" s="559"/>
      <c r="E126" s="559"/>
      <c r="F126" s="559"/>
      <c r="G126" s="559"/>
      <c r="H126" s="559"/>
      <c r="I126" s="559"/>
      <c r="J126" s="559"/>
      <c r="K126" s="559"/>
      <c r="L126" s="559"/>
      <c r="M126" s="559"/>
      <c r="N126" s="559"/>
      <c r="O126" s="559"/>
      <c r="P126" s="559"/>
      <c r="Q126" s="559"/>
      <c r="R126" s="559"/>
      <c r="S126" s="559"/>
      <c r="T126" s="559"/>
      <c r="U126" s="559"/>
      <c r="V126" s="559"/>
    </row>
    <row r="127" spans="1:22">
      <c r="A127" s="559"/>
      <c r="B127" s="559"/>
      <c r="C127" s="559"/>
      <c r="D127" s="559"/>
      <c r="E127" s="559"/>
      <c r="F127" s="559"/>
      <c r="G127" s="559"/>
      <c r="H127" s="559"/>
      <c r="I127" s="559"/>
      <c r="J127" s="559"/>
      <c r="K127" s="559"/>
      <c r="L127" s="559"/>
      <c r="M127" s="559"/>
      <c r="N127" s="559"/>
      <c r="O127" s="559"/>
      <c r="P127" s="559"/>
      <c r="Q127" s="559"/>
      <c r="R127" s="559"/>
      <c r="S127" s="559"/>
      <c r="T127" s="559"/>
      <c r="U127" s="559"/>
      <c r="V127" s="559"/>
    </row>
    <row r="128" spans="1:22">
      <c r="A128" s="559"/>
      <c r="B128" s="559"/>
      <c r="C128" s="559"/>
      <c r="D128" s="559"/>
      <c r="E128" s="559"/>
      <c r="F128" s="559"/>
      <c r="G128" s="559"/>
      <c r="H128" s="559"/>
      <c r="I128" s="559"/>
      <c r="J128" s="559"/>
      <c r="K128" s="559"/>
      <c r="L128" s="559"/>
      <c r="M128" s="559"/>
      <c r="N128" s="559"/>
      <c r="O128" s="559"/>
      <c r="P128" s="559"/>
      <c r="Q128" s="559"/>
      <c r="R128" s="559"/>
      <c r="S128" s="559"/>
      <c r="T128" s="559"/>
      <c r="U128" s="559"/>
      <c r="V128" s="559"/>
    </row>
    <row r="129" spans="1:22">
      <c r="A129" s="559"/>
      <c r="B129" s="559"/>
      <c r="C129" s="559"/>
      <c r="D129" s="559"/>
      <c r="E129" s="559"/>
      <c r="F129" s="559"/>
      <c r="G129" s="559"/>
      <c r="H129" s="559"/>
      <c r="I129" s="559"/>
      <c r="J129" s="559"/>
      <c r="K129" s="559"/>
      <c r="L129" s="559"/>
      <c r="M129" s="559"/>
      <c r="N129" s="559"/>
      <c r="O129" s="559"/>
      <c r="P129" s="559"/>
      <c r="Q129" s="559"/>
      <c r="R129" s="559"/>
      <c r="S129" s="559"/>
      <c r="T129" s="559"/>
      <c r="U129" s="559"/>
      <c r="V129" s="559"/>
    </row>
    <row r="130" spans="1:22">
      <c r="A130" s="559"/>
      <c r="B130" s="559"/>
      <c r="C130" s="559"/>
      <c r="D130" s="559"/>
      <c r="E130" s="559"/>
      <c r="F130" s="559"/>
      <c r="G130" s="559"/>
      <c r="H130" s="559"/>
      <c r="I130" s="559"/>
      <c r="J130" s="559"/>
      <c r="K130" s="559"/>
      <c r="L130" s="559"/>
      <c r="M130" s="559"/>
      <c r="N130" s="559"/>
      <c r="O130" s="559"/>
      <c r="P130" s="559"/>
      <c r="Q130" s="559"/>
      <c r="R130" s="559"/>
      <c r="S130" s="559"/>
      <c r="T130" s="559"/>
      <c r="U130" s="559"/>
      <c r="V130" s="559"/>
    </row>
    <row r="131" spans="1:22">
      <c r="A131" s="559"/>
      <c r="B131" s="559"/>
      <c r="C131" s="559"/>
      <c r="D131" s="559"/>
      <c r="E131" s="559"/>
      <c r="F131" s="559"/>
      <c r="G131" s="559"/>
      <c r="H131" s="559"/>
      <c r="I131" s="559"/>
      <c r="J131" s="559"/>
      <c r="K131" s="559"/>
      <c r="L131" s="559"/>
      <c r="M131" s="559"/>
      <c r="N131" s="559"/>
      <c r="O131" s="559"/>
      <c r="P131" s="559"/>
      <c r="Q131" s="559"/>
      <c r="R131" s="559"/>
      <c r="S131" s="559"/>
      <c r="T131" s="559"/>
      <c r="U131" s="559"/>
      <c r="V131" s="559"/>
    </row>
    <row r="132" spans="1:22">
      <c r="A132" s="559"/>
      <c r="B132" s="559"/>
      <c r="C132" s="559"/>
      <c r="D132" s="559"/>
      <c r="E132" s="559"/>
      <c r="F132" s="559"/>
      <c r="G132" s="559"/>
      <c r="H132" s="559"/>
      <c r="I132" s="559"/>
      <c r="J132" s="559"/>
      <c r="K132" s="559"/>
      <c r="L132" s="559"/>
      <c r="M132" s="559"/>
      <c r="N132" s="559"/>
      <c r="O132" s="559"/>
      <c r="P132" s="559"/>
      <c r="Q132" s="559"/>
      <c r="R132" s="559"/>
      <c r="S132" s="559"/>
      <c r="T132" s="559"/>
      <c r="U132" s="559"/>
      <c r="V132" s="559"/>
    </row>
    <row r="133" spans="1:22">
      <c r="A133" s="559"/>
      <c r="B133" s="559"/>
      <c r="C133" s="559"/>
      <c r="D133" s="559"/>
      <c r="E133" s="559"/>
      <c r="F133" s="559"/>
      <c r="G133" s="559"/>
      <c r="H133" s="559"/>
      <c r="I133" s="559"/>
      <c r="J133" s="559"/>
      <c r="K133" s="559"/>
      <c r="L133" s="559"/>
      <c r="M133" s="559"/>
      <c r="N133" s="559"/>
      <c r="O133" s="559"/>
      <c r="P133" s="559"/>
      <c r="Q133" s="559"/>
      <c r="R133" s="559"/>
      <c r="S133" s="559"/>
      <c r="T133" s="559"/>
      <c r="U133" s="559"/>
      <c r="V133" s="559"/>
    </row>
    <row r="134" spans="1:22">
      <c r="A134" s="559"/>
      <c r="B134" s="559"/>
      <c r="C134" s="559"/>
      <c r="D134" s="559"/>
      <c r="E134" s="559"/>
      <c r="F134" s="559"/>
      <c r="G134" s="559"/>
      <c r="H134" s="559"/>
      <c r="I134" s="559"/>
      <c r="J134" s="559"/>
      <c r="K134" s="559"/>
      <c r="L134" s="559"/>
      <c r="M134" s="559"/>
      <c r="N134" s="559"/>
      <c r="O134" s="559"/>
      <c r="P134" s="559"/>
      <c r="Q134" s="559"/>
      <c r="R134" s="559"/>
      <c r="S134" s="559"/>
      <c r="T134" s="559"/>
      <c r="U134" s="559"/>
      <c r="V134" s="559"/>
    </row>
    <row r="135" spans="1:22">
      <c r="A135" s="559"/>
      <c r="B135" s="559"/>
      <c r="C135" s="559"/>
      <c r="D135" s="559"/>
      <c r="E135" s="559"/>
      <c r="F135" s="559"/>
      <c r="G135" s="559"/>
      <c r="H135" s="559"/>
      <c r="I135" s="559"/>
      <c r="J135" s="559"/>
      <c r="K135" s="559"/>
      <c r="L135" s="559"/>
      <c r="M135" s="559"/>
      <c r="N135" s="559"/>
      <c r="O135" s="559"/>
      <c r="P135" s="559"/>
      <c r="Q135" s="559"/>
      <c r="R135" s="559"/>
      <c r="S135" s="559"/>
      <c r="T135" s="559"/>
      <c r="U135" s="559"/>
      <c r="V135" s="559"/>
    </row>
    <row r="136" spans="1:22">
      <c r="A136" s="559"/>
      <c r="B136" s="559"/>
      <c r="C136" s="559"/>
      <c r="D136" s="559"/>
      <c r="E136" s="559"/>
      <c r="F136" s="559"/>
      <c r="G136" s="559"/>
      <c r="H136" s="559"/>
      <c r="I136" s="559"/>
      <c r="J136" s="559"/>
      <c r="K136" s="559"/>
      <c r="L136" s="559"/>
      <c r="M136" s="559"/>
      <c r="N136" s="559"/>
      <c r="O136" s="559"/>
      <c r="P136" s="559"/>
      <c r="Q136" s="559"/>
      <c r="R136" s="559"/>
      <c r="S136" s="559"/>
      <c r="T136" s="559"/>
      <c r="U136" s="559"/>
      <c r="V136" s="559"/>
    </row>
    <row r="137" spans="1:22">
      <c r="A137" s="559"/>
      <c r="B137" s="559"/>
      <c r="C137" s="559"/>
      <c r="D137" s="559"/>
      <c r="E137" s="559"/>
      <c r="F137" s="559"/>
      <c r="G137" s="559"/>
      <c r="H137" s="559"/>
      <c r="I137" s="559"/>
      <c r="J137" s="559"/>
      <c r="K137" s="559"/>
      <c r="L137" s="559"/>
      <c r="M137" s="559"/>
      <c r="N137" s="559"/>
      <c r="O137" s="559"/>
      <c r="P137" s="559"/>
      <c r="Q137" s="559"/>
      <c r="R137" s="559"/>
      <c r="S137" s="559"/>
      <c r="T137" s="559"/>
      <c r="U137" s="559"/>
      <c r="V137" s="559"/>
    </row>
    <row r="138" spans="1:22" ht="12.75" customHeight="1">
      <c r="A138" s="559"/>
      <c r="B138" s="559"/>
      <c r="C138" s="559"/>
      <c r="D138" s="559"/>
      <c r="E138" s="559"/>
      <c r="F138" s="559"/>
      <c r="G138" s="559"/>
      <c r="H138" s="559"/>
      <c r="I138" s="559"/>
      <c r="J138" s="559"/>
      <c r="K138" s="559"/>
      <c r="L138" s="559"/>
      <c r="M138" s="559"/>
      <c r="N138" s="559"/>
      <c r="O138" s="559"/>
      <c r="P138" s="559"/>
      <c r="Q138" s="559"/>
      <c r="R138" s="559"/>
      <c r="S138" s="559"/>
      <c r="T138" s="559"/>
      <c r="U138" s="559"/>
      <c r="V138" s="559"/>
    </row>
    <row r="139" spans="1:22" ht="12.75" customHeight="1">
      <c r="A139" s="559"/>
      <c r="B139" s="559"/>
      <c r="C139" s="559"/>
      <c r="D139" s="559"/>
      <c r="E139" s="559"/>
      <c r="F139" s="559"/>
      <c r="G139" s="559"/>
      <c r="H139" s="559"/>
      <c r="I139" s="559"/>
      <c r="J139" s="559"/>
      <c r="K139" s="559"/>
      <c r="L139" s="559"/>
      <c r="M139" s="559"/>
      <c r="N139" s="559"/>
      <c r="O139" s="559"/>
      <c r="P139" s="559"/>
      <c r="Q139" s="559"/>
      <c r="R139" s="559"/>
      <c r="S139" s="559"/>
      <c r="T139" s="559"/>
      <c r="U139" s="559"/>
      <c r="V139" s="559"/>
    </row>
    <row r="140" spans="1:22" ht="12.75" customHeight="1">
      <c r="A140" s="559"/>
      <c r="B140" s="559"/>
      <c r="C140" s="559"/>
      <c r="D140" s="559"/>
      <c r="E140" s="559"/>
      <c r="F140" s="559"/>
      <c r="G140" s="559"/>
      <c r="H140" s="559"/>
      <c r="I140" s="559"/>
      <c r="J140" s="559"/>
      <c r="K140" s="559"/>
      <c r="L140" s="559"/>
      <c r="M140" s="559"/>
      <c r="N140" s="559"/>
      <c r="O140" s="559"/>
      <c r="P140" s="559"/>
      <c r="Q140" s="559"/>
      <c r="R140" s="559"/>
      <c r="S140" s="559"/>
      <c r="T140" s="559"/>
      <c r="U140" s="559"/>
      <c r="V140" s="559"/>
    </row>
    <row r="141" spans="1:22">
      <c r="A141" s="559"/>
      <c r="B141" s="559"/>
      <c r="C141" s="559"/>
      <c r="D141" s="559"/>
      <c r="E141" s="559"/>
      <c r="F141" s="559"/>
      <c r="G141" s="559"/>
      <c r="H141" s="559"/>
      <c r="I141" s="559"/>
      <c r="J141" s="559"/>
      <c r="K141" s="559"/>
      <c r="L141" s="559"/>
      <c r="M141" s="559"/>
      <c r="N141" s="559"/>
      <c r="O141" s="559"/>
      <c r="P141" s="559"/>
      <c r="Q141" s="559"/>
      <c r="R141" s="559"/>
      <c r="S141" s="559"/>
      <c r="T141" s="559"/>
      <c r="U141" s="559"/>
      <c r="V141" s="559"/>
    </row>
    <row r="142" spans="1:22">
      <c r="A142" s="559"/>
      <c r="B142" s="559"/>
      <c r="C142" s="559"/>
      <c r="D142" s="559"/>
      <c r="E142" s="559"/>
      <c r="F142" s="559"/>
      <c r="G142" s="559"/>
      <c r="H142" s="559"/>
      <c r="I142" s="559"/>
      <c r="J142" s="559"/>
      <c r="K142" s="559"/>
      <c r="L142" s="559"/>
      <c r="M142" s="559"/>
      <c r="N142" s="559"/>
      <c r="O142" s="559"/>
      <c r="P142" s="559"/>
      <c r="Q142" s="559"/>
      <c r="R142" s="559"/>
      <c r="S142" s="559"/>
      <c r="T142" s="559"/>
      <c r="U142" s="559"/>
      <c r="V142" s="559"/>
    </row>
    <row r="143" spans="1:22">
      <c r="A143" s="559"/>
      <c r="B143" s="559"/>
      <c r="C143" s="559"/>
      <c r="D143" s="559"/>
      <c r="E143" s="559"/>
      <c r="F143" s="559"/>
      <c r="G143" s="559"/>
      <c r="H143" s="559"/>
      <c r="I143" s="559"/>
      <c r="J143" s="559"/>
      <c r="K143" s="559"/>
      <c r="L143" s="559"/>
      <c r="M143" s="559"/>
      <c r="N143" s="559"/>
      <c r="O143" s="559"/>
      <c r="P143" s="559"/>
      <c r="Q143" s="559"/>
      <c r="R143" s="559"/>
      <c r="S143" s="559"/>
      <c r="T143" s="559"/>
      <c r="U143" s="559"/>
      <c r="V143" s="559"/>
    </row>
    <row r="144" spans="1:22">
      <c r="A144" s="559"/>
      <c r="B144" s="559"/>
      <c r="C144" s="559"/>
      <c r="D144" s="559"/>
      <c r="E144" s="559"/>
      <c r="F144" s="559"/>
      <c r="G144" s="559"/>
      <c r="H144" s="559"/>
      <c r="I144" s="559"/>
      <c r="J144" s="559"/>
      <c r="K144" s="559"/>
      <c r="L144" s="559"/>
      <c r="M144" s="559"/>
      <c r="N144" s="559"/>
      <c r="O144" s="559"/>
      <c r="P144" s="559"/>
      <c r="Q144" s="559"/>
      <c r="R144" s="559"/>
      <c r="S144" s="559"/>
      <c r="T144" s="559"/>
      <c r="U144" s="559"/>
      <c r="V144" s="559"/>
    </row>
    <row r="145" spans="1:22">
      <c r="A145" s="559"/>
      <c r="B145" s="559"/>
      <c r="C145" s="559"/>
      <c r="D145" s="559"/>
      <c r="E145" s="559"/>
      <c r="F145" s="559"/>
      <c r="G145" s="559"/>
      <c r="H145" s="559"/>
      <c r="I145" s="559"/>
      <c r="J145" s="559"/>
      <c r="K145" s="559"/>
      <c r="L145" s="559"/>
      <c r="M145" s="559"/>
      <c r="N145" s="559"/>
      <c r="O145" s="559"/>
      <c r="P145" s="559"/>
      <c r="Q145" s="559"/>
      <c r="R145" s="559"/>
      <c r="S145" s="559"/>
      <c r="T145" s="559"/>
      <c r="U145" s="559"/>
      <c r="V145" s="559"/>
    </row>
    <row r="146" spans="1:22">
      <c r="A146" s="559"/>
      <c r="B146" s="559"/>
      <c r="C146" s="559"/>
      <c r="D146" s="559"/>
      <c r="E146" s="559"/>
      <c r="F146" s="559"/>
      <c r="G146" s="559"/>
      <c r="H146" s="559"/>
      <c r="I146" s="559"/>
      <c r="J146" s="559"/>
      <c r="K146" s="559"/>
      <c r="L146" s="559"/>
      <c r="M146" s="559"/>
      <c r="N146" s="559"/>
      <c r="O146" s="559"/>
      <c r="P146" s="559"/>
      <c r="Q146" s="559"/>
      <c r="R146" s="559"/>
      <c r="S146" s="559"/>
      <c r="T146" s="559"/>
      <c r="U146" s="559"/>
      <c r="V146" s="559"/>
    </row>
    <row r="147" spans="1:22">
      <c r="A147" s="559"/>
      <c r="B147" s="559"/>
      <c r="C147" s="559"/>
      <c r="D147" s="559"/>
      <c r="E147" s="559"/>
      <c r="F147" s="559"/>
      <c r="G147" s="559"/>
      <c r="H147" s="559"/>
      <c r="I147" s="559"/>
      <c r="J147" s="559"/>
      <c r="K147" s="559"/>
      <c r="L147" s="559"/>
      <c r="M147" s="559"/>
      <c r="N147" s="559"/>
      <c r="O147" s="559"/>
      <c r="P147" s="559"/>
      <c r="Q147" s="559"/>
      <c r="R147" s="559"/>
      <c r="S147" s="559"/>
      <c r="T147" s="559"/>
      <c r="U147" s="559"/>
      <c r="V147" s="559"/>
    </row>
    <row r="148" spans="1:22">
      <c r="A148" s="559"/>
      <c r="B148" s="559"/>
      <c r="C148" s="559"/>
      <c r="D148" s="559"/>
      <c r="E148" s="559"/>
      <c r="F148" s="559"/>
      <c r="G148" s="559"/>
      <c r="H148" s="559"/>
      <c r="I148" s="559"/>
      <c r="J148" s="559"/>
      <c r="K148" s="559"/>
      <c r="L148" s="559"/>
      <c r="M148" s="559"/>
      <c r="N148" s="559"/>
      <c r="O148" s="559"/>
      <c r="P148" s="559"/>
      <c r="Q148" s="559"/>
      <c r="R148" s="559"/>
      <c r="S148" s="559"/>
      <c r="T148" s="559"/>
      <c r="U148" s="559"/>
      <c r="V148" s="559"/>
    </row>
    <row r="149" spans="1:22">
      <c r="A149" s="559"/>
      <c r="B149" s="559"/>
      <c r="C149" s="559"/>
      <c r="D149" s="559"/>
      <c r="E149" s="559"/>
      <c r="F149" s="559"/>
      <c r="G149" s="559"/>
      <c r="H149" s="559"/>
      <c r="I149" s="559"/>
      <c r="J149" s="559"/>
      <c r="K149" s="559"/>
      <c r="L149" s="559"/>
      <c r="M149" s="559"/>
      <c r="N149" s="559"/>
      <c r="O149" s="559"/>
      <c r="P149" s="559"/>
      <c r="Q149" s="559"/>
      <c r="R149" s="559"/>
      <c r="S149" s="559"/>
      <c r="T149" s="559"/>
      <c r="U149" s="559"/>
      <c r="V149" s="559"/>
    </row>
    <row r="150" spans="1:22">
      <c r="A150" s="559"/>
      <c r="B150" s="559"/>
      <c r="C150" s="559"/>
      <c r="D150" s="559"/>
      <c r="E150" s="559"/>
      <c r="F150" s="559"/>
      <c r="G150" s="559"/>
      <c r="H150" s="559"/>
      <c r="I150" s="559"/>
      <c r="J150" s="559"/>
      <c r="K150" s="559"/>
      <c r="L150" s="559"/>
      <c r="M150" s="559"/>
      <c r="N150" s="559"/>
      <c r="O150" s="559"/>
      <c r="P150" s="559"/>
      <c r="Q150" s="559"/>
      <c r="R150" s="559"/>
      <c r="S150" s="559"/>
      <c r="T150" s="559"/>
      <c r="U150" s="559"/>
      <c r="V150" s="559"/>
    </row>
    <row r="151" spans="1:22">
      <c r="A151" s="559"/>
      <c r="B151" s="559"/>
      <c r="C151" s="559"/>
      <c r="D151" s="559"/>
      <c r="E151" s="559"/>
      <c r="F151" s="559"/>
      <c r="G151" s="559"/>
      <c r="H151" s="559"/>
      <c r="I151" s="559"/>
      <c r="J151" s="559"/>
      <c r="K151" s="559"/>
      <c r="L151" s="559"/>
      <c r="M151" s="559"/>
      <c r="N151" s="559"/>
      <c r="O151" s="559"/>
      <c r="P151" s="559"/>
      <c r="Q151" s="559"/>
      <c r="R151" s="559"/>
      <c r="S151" s="559"/>
      <c r="T151" s="559"/>
      <c r="U151" s="559"/>
      <c r="V151" s="559"/>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78"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F9C70207-5521-459D-947D-8389AEBCA0A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7</vt:i4>
      </vt:variant>
    </vt:vector>
  </HeadingPairs>
  <TitlesOfParts>
    <vt:vector size="36"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NSPL</vt:lpstr>
      <vt:lpstr>WSQ Schedule 12</vt:lpstr>
      <vt:lpstr>WSQ Schedule 1A</vt:lpstr>
      <vt:lpstr>'KGP - WS P Dep. Rates'!Print_Area</vt:lpstr>
      <vt:lpstr>TCOS!Print_Area</vt:lpstr>
      <vt:lpstr>'WS B-3'!Print_Area</vt:lpstr>
      <vt:lpstr>'WS G  State Tax Rate'!Print_Area</vt:lpstr>
      <vt:lpstr>'WS O - PBOP'!Print_Area</vt:lpstr>
      <vt:lpstr>'WSQ NSPL'!Print_Area</vt:lpstr>
      <vt:lpstr>'WSQ Schedule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2020-05-25T16:15:41Z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5a7f0985-0e9f-4e86-9774-d837f4355cc0</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ies>
</file>